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ms-excel.sheet.macroEnabled.main+xml" PartName="/xl/workbook.xml"/>
  <Override ContentType="application/vnd.openxmlformats-officedocument.spreadsheetml.styles+xml" PartName="/xl/styles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qOvu73Ime+KqA0s/7HYkVJp9iTOJ4Yf+9YX39iphf8Y="/>
    </ext>
  </extLst>
</workbook>
</file>

<file path=xl/sharedStrings.xml><?xml version="1.0" encoding="utf-8"?>
<sst xmlns="http://schemas.openxmlformats.org/spreadsheetml/2006/main" count="3305" uniqueCount="774">
  <si>
    <t>transaksi</t>
  </si>
  <si>
    <t>tanggal</t>
  </si>
  <si>
    <t>kode_customer</t>
  </si>
  <si>
    <t>customer</t>
  </si>
  <si>
    <t>user</t>
  </si>
  <si>
    <t>cs</t>
  </si>
  <si>
    <t>operator</t>
  </si>
  <si>
    <t>finishing</t>
  </si>
  <si>
    <t>suport</t>
  </si>
  <si>
    <t>alamat</t>
  </si>
  <si>
    <t>kode_item</t>
  </si>
  <si>
    <t>produk</t>
  </si>
  <si>
    <t>quantity</t>
  </si>
  <si>
    <t>satuan</t>
  </si>
  <si>
    <t>harga</t>
  </si>
  <si>
    <t>tunai</t>
  </si>
  <si>
    <t>kredit</t>
  </si>
  <si>
    <t>total</t>
  </si>
  <si>
    <t>potongan</t>
  </si>
  <si>
    <t>ket</t>
  </si>
  <si>
    <t>ket2</t>
  </si>
  <si>
    <t>9828/JL/UTM/0124</t>
  </si>
  <si>
    <t>UMUM</t>
  </si>
  <si>
    <t>JUFRY</t>
  </si>
  <si>
    <t xml:space="preserve">  </t>
  </si>
  <si>
    <t>10026</t>
  </si>
  <si>
    <t>TIGER BRANKAS TG LK II</t>
  </si>
  <si>
    <t>UNIT</t>
  </si>
  <si>
    <t/>
  </si>
  <si>
    <t>9829/JL/UTM/0124</t>
  </si>
  <si>
    <t>40524</t>
  </si>
  <si>
    <t>UCHIDA BRANKAS BK-S</t>
  </si>
  <si>
    <t>TRANSFER BRI</t>
  </si>
  <si>
    <t>40210</t>
  </si>
  <si>
    <t>SECURE FINGERPRINT IDENTIFICATION SYSTEM EAZY</t>
  </si>
  <si>
    <t>9830/JL/UTM/0124</t>
  </si>
  <si>
    <t>706271</t>
  </si>
  <si>
    <t>AKTIV VINO MEJA 1/2 BIRO MTB 120</t>
  </si>
  <si>
    <t>706280</t>
  </si>
  <si>
    <t>INCO KURSI STAF MALTA I</t>
  </si>
  <si>
    <t>BH</t>
  </si>
  <si>
    <t>9831/JL/UTM/0124</t>
  </si>
  <si>
    <t>706187</t>
  </si>
  <si>
    <t>KINGCO WHITE BOARD 50 X 70 CM</t>
  </si>
  <si>
    <t>10094</t>
  </si>
  <si>
    <t>AMANO PITA EX 3200/6100</t>
  </si>
  <si>
    <t>PCS</t>
  </si>
  <si>
    <t>9832/JL/UTM/0124</t>
  </si>
  <si>
    <t>044</t>
  </si>
  <si>
    <t>BANK SULTENG KC PALU</t>
  </si>
  <si>
    <t>606063</t>
  </si>
  <si>
    <t>Topas Safe Deposit FD 300</t>
  </si>
  <si>
    <t>DEV.UMUM</t>
  </si>
  <si>
    <t>9833/JL/UTM/0124</t>
  </si>
  <si>
    <t>40620</t>
  </si>
  <si>
    <t>EMPORIUM LEMARI KOMBINASI EC-142</t>
  </si>
  <si>
    <t>9834/JL/UTM/0124</t>
  </si>
  <si>
    <t>40023</t>
  </si>
  <si>
    <t>ELEMEN PEMANAS PRESS TANGAN 30 CM</t>
  </si>
  <si>
    <t>9835/JL/UTM/0124</t>
  </si>
  <si>
    <t>PL0912</t>
  </si>
  <si>
    <t>CV. LEO BANGUNAN PERDANA</t>
  </si>
  <si>
    <t xml:space="preserve">PALU  </t>
  </si>
  <si>
    <t>20049</t>
  </si>
  <si>
    <t>LION FILING CABINET 4 LACI L44</t>
  </si>
  <si>
    <t>9836/JL/UTM/0124</t>
  </si>
  <si>
    <t>PL0695</t>
  </si>
  <si>
    <t>AN-NUR BUUTS</t>
  </si>
  <si>
    <t>706268</t>
  </si>
  <si>
    <t>V-TEC WB 120 X 240 STAND D/F NON MAGNET</t>
  </si>
  <si>
    <t>9837/JL/UTM/0124</t>
  </si>
  <si>
    <t>606062</t>
  </si>
  <si>
    <t>Uchida Brankast HS 36K</t>
  </si>
  <si>
    <t>9838/JL/UTM/0124</t>
  </si>
  <si>
    <t>40018</t>
  </si>
  <si>
    <t>SECURE PAPER SHREDDER EzSS 6315 A</t>
  </si>
  <si>
    <t>9839/JL/UTM/0124</t>
  </si>
  <si>
    <t>20372</t>
  </si>
  <si>
    <t>SECURE INSTAN MESIN LAMINATING</t>
  </si>
  <si>
    <t>9840/JL/UTM/0124</t>
  </si>
  <si>
    <t>40556</t>
  </si>
  <si>
    <t>OCEAN CITY MONEY DETECTOR OCI-2820</t>
  </si>
  <si>
    <t>9841/JL/UTM/0124</t>
  </si>
  <si>
    <t>606071</t>
  </si>
  <si>
    <t>KINGCO WHITEBOARD 90X120</t>
  </si>
  <si>
    <t>9842/JL/UTM/0124</t>
  </si>
  <si>
    <t>706274</t>
  </si>
  <si>
    <t>SECURE PAPER SHREDDER AUTO60</t>
  </si>
  <si>
    <t>QRIS</t>
  </si>
  <si>
    <t>9843/JL/UTM/0124</t>
  </si>
  <si>
    <t>PL0769</t>
  </si>
  <si>
    <t>RONNY.B</t>
  </si>
  <si>
    <t xml:space="preserve">METRO REGENCY  </t>
  </si>
  <si>
    <t>9844/JL/UTM/0124</t>
  </si>
  <si>
    <t>40331</t>
  </si>
  <si>
    <t>V-TEC CASH BOX VT-869</t>
  </si>
  <si>
    <t>9845/JL/UTM/0124</t>
  </si>
  <si>
    <t>9846/JL/UTM/0124</t>
  </si>
  <si>
    <t>775</t>
  </si>
  <si>
    <t>PT. SURYA MADISTRINDO</t>
  </si>
  <si>
    <t>706254</t>
  </si>
  <si>
    <t>VTEC W. BOARD STAND NON MAGNET D/F 90 X 120</t>
  </si>
  <si>
    <t>9847/JL/UTM/0124</t>
  </si>
  <si>
    <t>TRANSFER BCA</t>
  </si>
  <si>
    <t>9848/JL/UTM/0124</t>
  </si>
  <si>
    <t>706188</t>
  </si>
  <si>
    <t>AZ IMPULSE SEALER 200i</t>
  </si>
  <si>
    <t>9849/JL/UTM/0124</t>
  </si>
  <si>
    <t>9850/JL/UTM/0124</t>
  </si>
  <si>
    <t>706116</t>
  </si>
  <si>
    <t>JOYKO MSN LEBEL HARGA MX5500</t>
  </si>
  <si>
    <t>9851/JL/UTM/0124</t>
  </si>
  <si>
    <t>9852/JL/UTM/0124</t>
  </si>
  <si>
    <t>9853/JL/UTM/0124</t>
  </si>
  <si>
    <t>9854/JL/UTM/0124</t>
  </si>
  <si>
    <t>PL0913</t>
  </si>
  <si>
    <t>SMA SARJO</t>
  </si>
  <si>
    <t xml:space="preserve">PASANGKAYU  </t>
  </si>
  <si>
    <t>706287</t>
  </si>
  <si>
    <t>AVERY RAK BUKU METAL HBS 002</t>
  </si>
  <si>
    <t>9855/JL/UTM/0124</t>
  </si>
  <si>
    <t>262</t>
  </si>
  <si>
    <t>TRAKINDO</t>
  </si>
  <si>
    <t>706227</t>
  </si>
  <si>
    <t>INCO JAVICO I  KURSI STAF</t>
  </si>
  <si>
    <t>706279</t>
  </si>
  <si>
    <t>INCO KURSI STAF CASOVA I</t>
  </si>
  <si>
    <t>40417</t>
  </si>
  <si>
    <t>KURSI TUNGGU 4 SEAT (STAINLESS) KT-04</t>
  </si>
  <si>
    <t>40499</t>
  </si>
  <si>
    <t>AKTIV MEJA RAPAT GALANT MKO 120</t>
  </si>
  <si>
    <t>9856/JL/UTM/0124</t>
  </si>
  <si>
    <t>PL0914</t>
  </si>
  <si>
    <t>BPR MODERN EXPRESS</t>
  </si>
  <si>
    <t>706082</t>
  </si>
  <si>
    <t>INTAGSTAR FC A18 INT LEMARI ARSIP 2 PINTU AYUN</t>
  </si>
  <si>
    <t>40400</t>
  </si>
  <si>
    <t>AKTIV MEJA 1/2 BIRO GALANT MTO 120</t>
  </si>
  <si>
    <t>40555</t>
  </si>
  <si>
    <t>AKTIV MEJA 1 BIRO GALANT MTO 161</t>
  </si>
  <si>
    <t>706272</t>
  </si>
  <si>
    <t>BROTHER KURSI SUSUN BR-700 CTB</t>
  </si>
  <si>
    <t>9857/JL/UTM/0124</t>
  </si>
  <si>
    <t>712</t>
  </si>
  <si>
    <t>BPBD</t>
  </si>
  <si>
    <t>706124</t>
  </si>
  <si>
    <t>INTAGSTAR LEMARI PINTU PLAT + KACA AYUN FC 06 INT</t>
  </si>
  <si>
    <t>9858/JL/UTM/0124</t>
  </si>
  <si>
    <t>196</t>
  </si>
  <si>
    <t>KSP. SINAR KASIH</t>
  </si>
  <si>
    <t>20054</t>
  </si>
  <si>
    <t>BROTHER FILING CABINET 4 LACI B104</t>
  </si>
  <si>
    <t>9859/JL/UTM/0124</t>
  </si>
  <si>
    <t>PL0698</t>
  </si>
  <si>
    <t>YAYASAN ALFAHMI</t>
  </si>
  <si>
    <t>706183</t>
  </si>
  <si>
    <t>EMPORIUM LOKER 15 PINTU EL-15</t>
  </si>
  <si>
    <t>9860/JL/UTM/0124</t>
  </si>
  <si>
    <t>10025</t>
  </si>
  <si>
    <t>TIGER BRANKAS TG LK I</t>
  </si>
  <si>
    <t>9861/JL/UTM/0124</t>
  </si>
  <si>
    <t>40503</t>
  </si>
  <si>
    <t>AJP WHITEBOARD 60X90</t>
  </si>
  <si>
    <t>QRIS TGL 18-01-24</t>
  </si>
  <si>
    <t>9862/JL/UTM/0124</t>
  </si>
  <si>
    <t>9863/JL/UTM/0124</t>
  </si>
  <si>
    <t>9864/JL/UTM/0124</t>
  </si>
  <si>
    <t>9865/JL/UTM/0124</t>
  </si>
  <si>
    <t>40209</t>
  </si>
  <si>
    <t>YUNGUANG KEY BOX ISI 60</t>
  </si>
  <si>
    <t>706282</t>
  </si>
  <si>
    <t>MASPION KEY BOX MC 12</t>
  </si>
  <si>
    <t>9866/JL/UTM/0124</t>
  </si>
  <si>
    <t>9867/JL/UTM/0124</t>
  </si>
  <si>
    <t>20058</t>
  </si>
  <si>
    <t>BROTHER LEMARI ARSIP PINTU KACA B304</t>
  </si>
  <si>
    <t>EDC MANDIRI</t>
  </si>
  <si>
    <t>706281</t>
  </si>
  <si>
    <t>VTEC WB NON MAGNET D/F 120 X 180</t>
  </si>
  <si>
    <t>706253</t>
  </si>
  <si>
    <t>VTEC W. BOARD STAND NON MAGNET D/F 90 X 180</t>
  </si>
  <si>
    <t>9868/JL/UTM/0124</t>
  </si>
  <si>
    <t>PL0910</t>
  </si>
  <si>
    <t>TINUS</t>
  </si>
  <si>
    <t>706288</t>
  </si>
  <si>
    <t>BROTHER KURSI BR 206 AH</t>
  </si>
  <si>
    <t>9869/JL/UTM/0124</t>
  </si>
  <si>
    <t>9870/JL/UTM/0124</t>
  </si>
  <si>
    <t>PL0880</t>
  </si>
  <si>
    <t>PT. MIDI UTAMA INDONESIA</t>
  </si>
  <si>
    <t>20050</t>
  </si>
  <si>
    <t>LION FILING CABINET 3 LACI L43</t>
  </si>
  <si>
    <t>9871/JL/UTM/0124</t>
  </si>
  <si>
    <t>706093</t>
  </si>
  <si>
    <t>TOPAS SAFETY BOX FD250</t>
  </si>
  <si>
    <t>EDC BCA</t>
  </si>
  <si>
    <t>9872/JL/UTM/0124</t>
  </si>
  <si>
    <t>PL0763</t>
  </si>
  <si>
    <t>HAMKA (POLDA)</t>
  </si>
  <si>
    <t>606075</t>
  </si>
  <si>
    <t>HIKVISION DVR 8 CHANNEL</t>
  </si>
  <si>
    <t>706148</t>
  </si>
  <si>
    <t>HARDISK 2 TERA</t>
  </si>
  <si>
    <t>706087</t>
  </si>
  <si>
    <t>HIKVISION CAMERA 2CE 5 MP</t>
  </si>
  <si>
    <t>706190</t>
  </si>
  <si>
    <t>HIKVISION KAMERA CCTV OUT DOOR 5 MP</t>
  </si>
  <si>
    <t>706126</t>
  </si>
  <si>
    <t>kabel CCTV RG 6+POWER</t>
  </si>
  <si>
    <t>METER</t>
  </si>
  <si>
    <t>706143</t>
  </si>
  <si>
    <t>konektor BNC</t>
  </si>
  <si>
    <t>706243</t>
  </si>
  <si>
    <t>KONEKTOR DC MALE</t>
  </si>
  <si>
    <t>706142</t>
  </si>
  <si>
    <t>power suplay</t>
  </si>
  <si>
    <t>706289</t>
  </si>
  <si>
    <t>KABEL HARDISK SATA</t>
  </si>
  <si>
    <t>706164</t>
  </si>
  <si>
    <t>KABEL HDMI</t>
  </si>
  <si>
    <t>706240</t>
  </si>
  <si>
    <t>BELDEN KABEL LAN CAT 5 ORY</t>
  </si>
  <si>
    <t>40493</t>
  </si>
  <si>
    <t>JASA INSTALASI &amp; PROGRAM PABX / CCTV</t>
  </si>
  <si>
    <t>JASA</t>
  </si>
  <si>
    <t>706159</t>
  </si>
  <si>
    <t>BIAYA SERVICE</t>
  </si>
  <si>
    <t>9873/JL/UTM/0124</t>
  </si>
  <si>
    <t>706150</t>
  </si>
  <si>
    <t>SECURE MONEY COUNTER LD 24M</t>
  </si>
  <si>
    <t>9874/JL/UTM/0124</t>
  </si>
  <si>
    <t>10008</t>
  </si>
  <si>
    <t>CAPSTONE BRANKAS CROWN SISE I 178KG</t>
  </si>
  <si>
    <t>TRANSFER BNI</t>
  </si>
  <si>
    <t>9875/JL/UTM/0124</t>
  </si>
  <si>
    <t>077</t>
  </si>
  <si>
    <t>GKI  PALU</t>
  </si>
  <si>
    <t xml:space="preserve">JLN. PATIMURA  </t>
  </si>
  <si>
    <t>706248</t>
  </si>
  <si>
    <t>KINGCO W. BOARD 40 X 60</t>
  </si>
  <si>
    <t>9876/JL/UTM/0224</t>
  </si>
  <si>
    <t>40340</t>
  </si>
  <si>
    <t>JASA PENGISIAN TABUNG PEMADAM 6 KG</t>
  </si>
  <si>
    <t>40339</t>
  </si>
  <si>
    <t>JASA PENGISIAN TABUNG PEMADAM 3 KG</t>
  </si>
  <si>
    <t>9877/JL/UTM/0224</t>
  </si>
  <si>
    <t>9878/JL/UTM/0224</t>
  </si>
  <si>
    <t>9879/JL/UTM/0224</t>
  </si>
  <si>
    <t>20051</t>
  </si>
  <si>
    <t>LION LEMARI ARSIP 2 PINTU L33</t>
  </si>
  <si>
    <t>9880/JL/UTM/0224</t>
  </si>
  <si>
    <t>40188</t>
  </si>
  <si>
    <t>POP ONE WHITEBOARD 90X180</t>
  </si>
  <si>
    <t>9881/JL/UTM/0224</t>
  </si>
  <si>
    <t>40569</t>
  </si>
  <si>
    <t>EMPORIUM LEMARI ARSIP PINTU PLAT+KACA EC-07</t>
  </si>
  <si>
    <t>9882/JL/UTM/0224</t>
  </si>
  <si>
    <t>PL0911</t>
  </si>
  <si>
    <t>U I N  PALU</t>
  </si>
  <si>
    <t>TRANSFER BRI TGL 30-12-23 TOTAL 25.232.860</t>
  </si>
  <si>
    <t>9883/JL/UTM/0224</t>
  </si>
  <si>
    <t>PL0915</t>
  </si>
  <si>
    <t>PU SDA / PAK SALEH</t>
  </si>
  <si>
    <t>706119</t>
  </si>
  <si>
    <t>KINGCO WHITE BOARD 60 X 120</t>
  </si>
  <si>
    <t>9884/JL/UTM/0224</t>
  </si>
  <si>
    <t>PL0884</t>
  </si>
  <si>
    <t>BAPPEDA PROV.(P" ILHAM)</t>
  </si>
  <si>
    <t>20383</t>
  </si>
  <si>
    <t>BROTHER PITA MESIN KETIK LISTRIK 1030</t>
  </si>
  <si>
    <t>9885/JL/UTM/0224</t>
  </si>
  <si>
    <t>40189</t>
  </si>
  <si>
    <t>POP ONE WHITEBOARD 120X240</t>
  </si>
  <si>
    <t>9886/JL/UTM/0224</t>
  </si>
  <si>
    <t>PL0856</t>
  </si>
  <si>
    <t>PT. PEMBANGUNAN PERUMAHAN (PP)</t>
  </si>
  <si>
    <t>9887/JL/UTM/0224</t>
  </si>
  <si>
    <t>9888/JL/UTM/0224</t>
  </si>
  <si>
    <t>9889/JL/UTM/0224</t>
  </si>
  <si>
    <t>9890/JL/UTM/0224</t>
  </si>
  <si>
    <t>DEVISI SKAI</t>
  </si>
  <si>
    <t>9891/JL/UTM/0224</t>
  </si>
  <si>
    <t>9892/JL/UTM/0224</t>
  </si>
  <si>
    <t>726</t>
  </si>
  <si>
    <t>GEREJA BK KULAWI</t>
  </si>
  <si>
    <t>9893/JL/UTM/0224</t>
  </si>
  <si>
    <t>10059</t>
  </si>
  <si>
    <t>VTEC FLIP CHART 75X100</t>
  </si>
  <si>
    <t>9894/JL/UTM/0224</t>
  </si>
  <si>
    <t>706149</t>
  </si>
  <si>
    <t>V-TEC PEMOTONG ID CARD</t>
  </si>
  <si>
    <t>9895/JL/UTM/0224</t>
  </si>
  <si>
    <t>425</t>
  </si>
  <si>
    <t>KSP KARYA PERDANA</t>
  </si>
  <si>
    <t>40131</t>
  </si>
  <si>
    <t>LION FILLING CABINET 2 LACI</t>
  </si>
  <si>
    <t>706290</t>
  </si>
  <si>
    <t>KURSI TUNGGU BUSA 4 SEAT</t>
  </si>
  <si>
    <t>9896/JL/UTM/0224</t>
  </si>
  <si>
    <t>40504</t>
  </si>
  <si>
    <t>BRIGHT OFFICE PAPER CUTTER NO. 8292 A3</t>
  </si>
  <si>
    <t>9897/JL/UTM/0224</t>
  </si>
  <si>
    <t>953</t>
  </si>
  <si>
    <t>PT. POSO ENERGY</t>
  </si>
  <si>
    <t>706068</t>
  </si>
  <si>
    <t>MAESTRO KING BRANKAST SIZE II</t>
  </si>
  <si>
    <t>9898/JL/UTM/0224</t>
  </si>
  <si>
    <t>9899/JL/UTM/0224</t>
  </si>
  <si>
    <t>PL0917</t>
  </si>
  <si>
    <t>SOALPRINT</t>
  </si>
  <si>
    <t xml:space="preserve">THAMRIN  </t>
  </si>
  <si>
    <t>706276</t>
  </si>
  <si>
    <t>EMPORIUM LOKER 12 PINTU EL-12</t>
  </si>
  <si>
    <t>40242</t>
  </si>
  <si>
    <t>BROTHER RAK BESI SERBAGUNA B-901</t>
  </si>
  <si>
    <t>702267</t>
  </si>
  <si>
    <t>AVERY MEJA 1 BIRO BESI MT 1600D</t>
  </si>
  <si>
    <t>9900/JL/UTM/0224</t>
  </si>
  <si>
    <t>706260</t>
  </si>
  <si>
    <t>PDFM 360 MINI LAMINATING ROL</t>
  </si>
  <si>
    <t>QRIS TOTAL Rp. 3.950.000 selisih untuk ATK</t>
  </si>
  <si>
    <t>9901/JL/UTM/0224</t>
  </si>
  <si>
    <t>9902/JL/UTM/0224</t>
  </si>
  <si>
    <t>9903/JL/UTM/0224</t>
  </si>
  <si>
    <t>805</t>
  </si>
  <si>
    <t>PT. ANUGRAH ARGON MEDICA</t>
  </si>
  <si>
    <t>20254</t>
  </si>
  <si>
    <t>SECURE PAPER SHREDDER EzSC-10A</t>
  </si>
  <si>
    <t>TRANSFER MANDIRI</t>
  </si>
  <si>
    <t>9904/JL/UTM/0224</t>
  </si>
  <si>
    <t>9905/JL/UTM/0224</t>
  </si>
  <si>
    <t>903</t>
  </si>
  <si>
    <t>SEKOLAH BK PALU</t>
  </si>
  <si>
    <t>9906/JL/UTM/0224</t>
  </si>
  <si>
    <t>678</t>
  </si>
  <si>
    <t>SMK NEG.I BANAWA, DONGGALA</t>
  </si>
  <si>
    <t>9907/JL/UTM/0224</t>
  </si>
  <si>
    <t>TUNAI Rp 1.150.000, EDC MANDIRI Rp.500.000</t>
  </si>
  <si>
    <t>9908/JL/UTM/0224</t>
  </si>
  <si>
    <t>9909/JL/UTM/0224</t>
  </si>
  <si>
    <t>9910/JL/UTM/0224</t>
  </si>
  <si>
    <t>40320</t>
  </si>
  <si>
    <t>GEMET PAPER SHREDDER 1000 S</t>
  </si>
  <si>
    <t>TRANSFER TGL 21-2-24 MANDIRI TOTAL 1Rp.1.875.000</t>
  </si>
  <si>
    <t>9911/JL/UTM/0224</t>
  </si>
  <si>
    <t>9912/JL/UTM/0224</t>
  </si>
  <si>
    <t>10060</t>
  </si>
  <si>
    <t>VTEC FLIP CHART 60X90</t>
  </si>
  <si>
    <t>9913/JL/UTM/0224</t>
  </si>
  <si>
    <t>PO NO 2717/PALU SM</t>
  </si>
  <si>
    <t>9914/JL/UTM/0224</t>
  </si>
  <si>
    <t>PL0919</t>
  </si>
  <si>
    <t>NETJES-IN</t>
  </si>
  <si>
    <t>9915/JL/UTM/0224</t>
  </si>
  <si>
    <t>9916/JL/UTM/0224</t>
  </si>
  <si>
    <t>505086</t>
  </si>
  <si>
    <t>BROTHER LEMARI ARSIP TANPA PINTU B 202</t>
  </si>
  <si>
    <t>9917/JL/UTM/0224</t>
  </si>
  <si>
    <t>606064</t>
  </si>
  <si>
    <t>Maestro King Brankast Size III</t>
  </si>
  <si>
    <t>9918/JL/UTM/0224</t>
  </si>
  <si>
    <t>PL0712</t>
  </si>
  <si>
    <t>UNTAD (FAK.KEDOKTERAN)</t>
  </si>
  <si>
    <t>TRANSFER BNI 1.800.000 TUNIA 800.000</t>
  </si>
  <si>
    <t>9919/JL/UTM/0224</t>
  </si>
  <si>
    <t>9920/JL/UTM/0224</t>
  </si>
  <si>
    <t>9921/JL/UTM/0224</t>
  </si>
  <si>
    <t>706197</t>
  </si>
  <si>
    <t>SECURE CASH BOX C 250</t>
  </si>
  <si>
    <t>9922/JL/UTM/0224</t>
  </si>
  <si>
    <t>9923/JL/UTM/0224</t>
  </si>
  <si>
    <t>9924/JL/UTM/0224</t>
  </si>
  <si>
    <t>PL0872</t>
  </si>
  <si>
    <t>BASARNAS</t>
  </si>
  <si>
    <t>10035</t>
  </si>
  <si>
    <t>VTEC WHITEBOARD KAKI MAGNET 90X120</t>
  </si>
  <si>
    <t>9925/JL/UTM/0324</t>
  </si>
  <si>
    <t>9926/JL/UTM/0324</t>
  </si>
  <si>
    <t>PL0920</t>
  </si>
  <si>
    <t>PT. SARI KRESNA KIMIA</t>
  </si>
  <si>
    <t>706233</t>
  </si>
  <si>
    <t>AVERY KURSI STAF OMC 006</t>
  </si>
  <si>
    <t>9927/JL/UTM/0324</t>
  </si>
  <si>
    <t>PL0921</t>
  </si>
  <si>
    <t>P M D /IBU REGINA</t>
  </si>
  <si>
    <t>706112</t>
  </si>
  <si>
    <t>TEMPAT SAMPAH KAKI ISI 40 LTR</t>
  </si>
  <si>
    <t>9928/JL/UTM/0324</t>
  </si>
  <si>
    <t>PL0779</t>
  </si>
  <si>
    <t>SD IT BINA INSAN PALU</t>
  </si>
  <si>
    <t>20386</t>
  </si>
  <si>
    <t>MASPION KOTAK OBAT P 3 K MC-11</t>
  </si>
  <si>
    <t>9929/JL/UTM/0324</t>
  </si>
  <si>
    <t>PL0923</t>
  </si>
  <si>
    <t>BAPPEDA PROV. /NURHAYATI</t>
  </si>
  <si>
    <t>9930/JL/UTM/0324</t>
  </si>
  <si>
    <t>PL0894</t>
  </si>
  <si>
    <t>SMA GAMALIEL</t>
  </si>
  <si>
    <t>40330</t>
  </si>
  <si>
    <t>V-TEC CASH BOX VT-868</t>
  </si>
  <si>
    <t>9931/JL/UTM/0324</t>
  </si>
  <si>
    <t>DEV. PERENCANAAN</t>
  </si>
  <si>
    <t>9932/JL/UTM/0324</t>
  </si>
  <si>
    <t>9933/JL/UTM/0324</t>
  </si>
  <si>
    <t>9934/JL/UTM/0324</t>
  </si>
  <si>
    <t>9935/JL/UTM/0324</t>
  </si>
  <si>
    <t>9936/JL/UTM/0324</t>
  </si>
  <si>
    <t>9937/JL/UTM/0324</t>
  </si>
  <si>
    <t>9938/JL/UTM/0324</t>
  </si>
  <si>
    <t>40568</t>
  </si>
  <si>
    <t>EMPORIUM LEMARI ARSIP 2 PINTU EC-01</t>
  </si>
  <si>
    <t>20277</t>
  </si>
  <si>
    <t>GM LABEL KECIL</t>
  </si>
  <si>
    <t>20276</t>
  </si>
  <si>
    <t>GM LABEL BESAR</t>
  </si>
  <si>
    <t>9939/JL/UTM/0324</t>
  </si>
  <si>
    <t>20056</t>
  </si>
  <si>
    <t>BROTHER FILING CABINET 2 LACI B102</t>
  </si>
  <si>
    <t>20288</t>
  </si>
  <si>
    <t>BROTHER ALMARI ARSIP 1/2 TINGGI (PINTU WINGS ) B-206</t>
  </si>
  <si>
    <t>9940/JL/UTM/0324</t>
  </si>
  <si>
    <t>606072</t>
  </si>
  <si>
    <t>KINGCO WHITEBOARD 60X90</t>
  </si>
  <si>
    <t>9941/JL/UTM/0324</t>
  </si>
  <si>
    <t>9942/JL/UTM/0324</t>
  </si>
  <si>
    <t>PL0926</t>
  </si>
  <si>
    <t>PT. MACMAHON MINING SERVICES</t>
  </si>
  <si>
    <t>PO NO.M235-1038558</t>
  </si>
  <si>
    <t>505095</t>
  </si>
  <si>
    <t>Pop One whit soft board 60x90</t>
  </si>
  <si>
    <t>9943/JL/UTM/0324</t>
  </si>
  <si>
    <t>9944/JL/UTM/0324</t>
  </si>
  <si>
    <t>9945/JL/UTM/0324</t>
  </si>
  <si>
    <t>20120</t>
  </si>
  <si>
    <t>HONGSENG PRICE LABELLER MX 6600</t>
  </si>
  <si>
    <t>9946/JL/UTM/0324</t>
  </si>
  <si>
    <t>354</t>
  </si>
  <si>
    <t>ANUGRAH JAYA</t>
  </si>
  <si>
    <t>9947/JL/UTM/0324</t>
  </si>
  <si>
    <t>706069</t>
  </si>
  <si>
    <t>MAESTRO KING BRANKAST SIZE VI</t>
  </si>
  <si>
    <t>9948/JL/UTM/0324</t>
  </si>
  <si>
    <t>9949/JL/UTM/0324</t>
  </si>
  <si>
    <t>PL0927</t>
  </si>
  <si>
    <t>CV. SENTOSA ABADI</t>
  </si>
  <si>
    <t>9950/JL/UTM/0324</t>
  </si>
  <si>
    <t>10231</t>
  </si>
  <si>
    <t>FULL MARK LIFT-OFF F-583 (GR 143/145)</t>
  </si>
  <si>
    <t>9951/JL/UTM/0324</t>
  </si>
  <si>
    <t>10247</t>
  </si>
  <si>
    <t>JOYKO PRICE LABELLER MX 6600 N</t>
  </si>
  <si>
    <t>9952/JL/UTM/0324</t>
  </si>
  <si>
    <t>9953/JL/UTM/0324</t>
  </si>
  <si>
    <t>687</t>
  </si>
  <si>
    <t>Dr. FRANKY</t>
  </si>
  <si>
    <t>40390</t>
  </si>
  <si>
    <t>BIAYA BAHAN INSTALASI CCTV</t>
  </si>
  <si>
    <t>9954/JL/UTM/0324</t>
  </si>
  <si>
    <t>505051</t>
  </si>
  <si>
    <t>General pemadam api 3 kg</t>
  </si>
  <si>
    <t>9955/JL/UTM/0324</t>
  </si>
  <si>
    <t>40538</t>
  </si>
  <si>
    <t>BRIGHT OFFICE PAPER CUTTER NO. 8293 B4</t>
  </si>
  <si>
    <t>TF MANDIRI</t>
  </si>
  <si>
    <t>9956/JL/UTM/0324</t>
  </si>
  <si>
    <t>9957/JL/UTM/0324</t>
  </si>
  <si>
    <t>40299</t>
  </si>
  <si>
    <t>BRIGHT OFFICE PAPER CUTTER F4 NO. 8200</t>
  </si>
  <si>
    <t>9958/JL/UTM/0324</t>
  </si>
  <si>
    <t>9959/JL/UTM/0324</t>
  </si>
  <si>
    <t>706189</t>
  </si>
  <si>
    <t>AZ IMPULSE SEALER 300i</t>
  </si>
  <si>
    <t>9960/JL/UTM/0324</t>
  </si>
  <si>
    <t>PL0928</t>
  </si>
  <si>
    <t>PT. AKM</t>
  </si>
  <si>
    <t xml:space="preserve">Palu  </t>
  </si>
  <si>
    <t>9961/JL/UTM/0324</t>
  </si>
  <si>
    <t>PL0903</t>
  </si>
  <si>
    <t>RS. TOMBOLOTUTU</t>
  </si>
  <si>
    <t xml:space="preserve">PARIGI  </t>
  </si>
  <si>
    <t>9962/JL/UTM/0324</t>
  </si>
  <si>
    <t>9963/JL/UTM/0324</t>
  </si>
  <si>
    <t>9964/JL/UTM/0324</t>
  </si>
  <si>
    <t>TF.MANDIRI</t>
  </si>
  <si>
    <t>9965/JL/UTM/0324</t>
  </si>
  <si>
    <t>706262</t>
  </si>
  <si>
    <t>TOPAS SAFETY BOX FD 200</t>
  </si>
  <si>
    <t>505059</t>
  </si>
  <si>
    <t>General pemadam api 6 kg</t>
  </si>
  <si>
    <t>9966/JL/UTM/0324</t>
  </si>
  <si>
    <t>40624</t>
  </si>
  <si>
    <t>BRIGHT OFFICE LAMINATING FGK-330</t>
  </si>
  <si>
    <t>9967/JL/UTM/0324</t>
  </si>
  <si>
    <t>PL0930</t>
  </si>
  <si>
    <t>PAK AHMAD BUOL</t>
  </si>
  <si>
    <t xml:space="preserve">BUOL  </t>
  </si>
  <si>
    <t>706294</t>
  </si>
  <si>
    <t>MITSUBISHI W, BOARD 90 X 180 CM</t>
  </si>
  <si>
    <t>9968/JL/UTM/0324</t>
  </si>
  <si>
    <t>40359</t>
  </si>
  <si>
    <t>POP ONE WHITEBOARD 120X180</t>
  </si>
  <si>
    <t>9969/JL/UTM/0324</t>
  </si>
  <si>
    <t>DEV. KREDIT</t>
  </si>
  <si>
    <t>9970/JL/UTM/0324</t>
  </si>
  <si>
    <t>9971/JL/UTM/0424</t>
  </si>
  <si>
    <t>TUNAI 1.000.000N QRIS 500.000</t>
  </si>
  <si>
    <t>9972/JL/UTM/0424</t>
  </si>
  <si>
    <t>PL0931</t>
  </si>
  <si>
    <t>YACHIYO ENGINEERING.CO</t>
  </si>
  <si>
    <t>706211</t>
  </si>
  <si>
    <t>AKTIV MEJA 1/2 BIRO VINO MT 121</t>
  </si>
  <si>
    <t>TRANSFER 4-4-24 BRI TOTAL 23 .643,000</t>
  </si>
  <si>
    <t>9973/JL/UTM/0424</t>
  </si>
  <si>
    <t>PL0909</t>
  </si>
  <si>
    <t>BPSDM PROV.SULTENG</t>
  </si>
  <si>
    <t>706297</t>
  </si>
  <si>
    <t>ALAT GYM</t>
  </si>
  <si>
    <t>SP2D BPD</t>
  </si>
  <si>
    <t>706298</t>
  </si>
  <si>
    <t>ALAT SIT UP</t>
  </si>
  <si>
    <t>706295</t>
  </si>
  <si>
    <t>TREADMILL</t>
  </si>
  <si>
    <t>706296</t>
  </si>
  <si>
    <t>SEPEDA STATIS</t>
  </si>
  <si>
    <t>706299</t>
  </si>
  <si>
    <t>TEMPAT SAMPAH RODA  120 L</t>
  </si>
  <si>
    <t>9974/JL/UTM/0424</t>
  </si>
  <si>
    <t>9975/JL/UTM/0424</t>
  </si>
  <si>
    <t>EDC BRI</t>
  </si>
  <si>
    <t>9976/JL/UTM/0424</t>
  </si>
  <si>
    <t>9977/JL/UTM/0424</t>
  </si>
  <si>
    <t>522</t>
  </si>
  <si>
    <t>PT. PALU AGRO LESTARI</t>
  </si>
  <si>
    <t>9978/JL/UTM/0424</t>
  </si>
  <si>
    <t>9979/JL/UTM/0424</t>
  </si>
  <si>
    <t>646</t>
  </si>
  <si>
    <t>BAPPEDA R.M (EMMA)</t>
  </si>
  <si>
    <t>9980/JL/UTM/0424</t>
  </si>
  <si>
    <t>9981/JL/UTM/0424</t>
  </si>
  <si>
    <t>40332</t>
  </si>
  <si>
    <t>V-TEC CASH BOX 867</t>
  </si>
  <si>
    <t>9982/JL/UTM/0424</t>
  </si>
  <si>
    <t>9983/JL/UTM/0424</t>
  </si>
  <si>
    <t>9984/JL/UTM/0424</t>
  </si>
  <si>
    <t>TF. BRI LO KUI DJENG</t>
  </si>
  <si>
    <t>9985/JL/UTM/0424</t>
  </si>
  <si>
    <t>PL0932</t>
  </si>
  <si>
    <t>PT. MERANTI SARANA NIAGA</t>
  </si>
  <si>
    <t>TF.BRI TOTAL 310.000 GABUNG ATK DAN PPN</t>
  </si>
  <si>
    <t>9986/JL/UTM/0424</t>
  </si>
  <si>
    <t>TF BRI TGL 20-04-24</t>
  </si>
  <si>
    <t>20057</t>
  </si>
  <si>
    <t>BROTHER LEMARI ARSIP 2 PINTU B203</t>
  </si>
  <si>
    <t>9987/JL/UTM/0424</t>
  </si>
  <si>
    <t>9988/JL/UTM/0424</t>
  </si>
  <si>
    <t>PL0933</t>
  </si>
  <si>
    <t>SD INPRES TANAMODINDI</t>
  </si>
  <si>
    <t>706184</t>
  </si>
  <si>
    <t>EMPORIUM LOKER 4 PINTU EL-4</t>
  </si>
  <si>
    <t>9989/JL/UTM/0424</t>
  </si>
  <si>
    <t>PL0889</t>
  </si>
  <si>
    <t>SMK NEG 3 PALU</t>
  </si>
  <si>
    <t>SIPLAH</t>
  </si>
  <si>
    <t>9990/JL/UTM/0424</t>
  </si>
  <si>
    <t>9991/JL/UTM/0424</t>
  </si>
  <si>
    <t>9992/JL/UTM/0424</t>
  </si>
  <si>
    <t>9993/JL/UTM/0424</t>
  </si>
  <si>
    <t>706201</t>
  </si>
  <si>
    <t>SECURE MONEY COUNTER LD26M</t>
  </si>
  <si>
    <t>9994/JL/UTM/0424</t>
  </si>
  <si>
    <t>20273</t>
  </si>
  <si>
    <t>BEST LABEL BESAR</t>
  </si>
  <si>
    <t>9995/JL/UTM/0424</t>
  </si>
  <si>
    <t>9996/JL/UTM/0424</t>
  </si>
  <si>
    <t>9997/JL/UTM/0424</t>
  </si>
  <si>
    <t>PL0934</t>
  </si>
  <si>
    <t>TK. GAMALIEL</t>
  </si>
  <si>
    <t>9998/JL/UTM/0424</t>
  </si>
  <si>
    <t>9999/JL/UTM/0424</t>
  </si>
  <si>
    <t>TF. BRI</t>
  </si>
  <si>
    <t>10000/JL/UTM/0424</t>
  </si>
  <si>
    <t>317</t>
  </si>
  <si>
    <t>WVI</t>
  </si>
  <si>
    <t>PO. PID  2024100</t>
  </si>
  <si>
    <t>10001/JL/UTM/0424</t>
  </si>
  <si>
    <t>70617</t>
  </si>
  <si>
    <t>INCO KURSI STAF AERON I CR</t>
  </si>
  <si>
    <t>10002/JL/UTM/0524</t>
  </si>
  <si>
    <t>TF. MANDIRI</t>
  </si>
  <si>
    <t>10003/JL/UTM/0524</t>
  </si>
  <si>
    <t>372</t>
  </si>
  <si>
    <t>LIBRA COMPUTER</t>
  </si>
  <si>
    <t xml:space="preserve">JL. OTISTA NO. 78  </t>
  </si>
  <si>
    <t>20055</t>
  </si>
  <si>
    <t>BROTHER FILING CABINET 3 LACI B103</t>
  </si>
  <si>
    <t>10004/JL/UTM/0524</t>
  </si>
  <si>
    <t>10005/JL/UTM/0524</t>
  </si>
  <si>
    <t>PL0937</t>
  </si>
  <si>
    <t>BPPID (AGUSTIN MARIA)</t>
  </si>
  <si>
    <t>10006/JL/UTM/0524</t>
  </si>
  <si>
    <t>10007/JL/UTM/0524</t>
  </si>
  <si>
    <t>20087</t>
  </si>
  <si>
    <t>V-TEC ALAT POTONG A3</t>
  </si>
  <si>
    <t>TF.MANDIRI TGL 2-5-2024</t>
  </si>
  <si>
    <t>10008/JL/UTM/0524</t>
  </si>
  <si>
    <t>10009/JL/UTM/0524</t>
  </si>
  <si>
    <t>10010/JL/UTM/0524</t>
  </si>
  <si>
    <t>10011/JL/UTM/0524</t>
  </si>
  <si>
    <t>10012/JL/UTM/0524</t>
  </si>
  <si>
    <t>ADM</t>
  </si>
  <si>
    <t>706291</t>
  </si>
  <si>
    <t>INCO VOLCAN 3 KURSI HADAP</t>
  </si>
  <si>
    <t>10013/JL/UTM/0524</t>
  </si>
  <si>
    <t>TF BRI</t>
  </si>
  <si>
    <t>10014/JL/UTM/0524</t>
  </si>
  <si>
    <t>814</t>
  </si>
  <si>
    <t>BPKAD (IBU IRA)</t>
  </si>
  <si>
    <t>10015/JL/UTM/0524</t>
  </si>
  <si>
    <t>10016/JL/UTM/0524</t>
  </si>
  <si>
    <t>706301</t>
  </si>
  <si>
    <t>DRAGON BRANKAS A1 LK</t>
  </si>
  <si>
    <t>10017/JL/UTM/0524</t>
  </si>
  <si>
    <t>10018/JL/UTM/0524</t>
  </si>
  <si>
    <t>RESET FINGER</t>
  </si>
  <si>
    <t>10019/JL/UTM/0524</t>
  </si>
  <si>
    <t>10020/JL/UTM/0524</t>
  </si>
  <si>
    <t>10021/JL/UTM/0524</t>
  </si>
  <si>
    <t>10022/JL/UTM/0524</t>
  </si>
  <si>
    <t>10023/JL/UTM/0524</t>
  </si>
  <si>
    <t>40515</t>
  </si>
  <si>
    <t>V-TEC 1212 PEMOTONG KERTAS A3</t>
  </si>
  <si>
    <t>10025/JL/UTM/0524</t>
  </si>
  <si>
    <t>10026/JL/UTM/0524</t>
  </si>
  <si>
    <t>10024/JL/UTM/0524</t>
  </si>
  <si>
    <t>10027/JL/UTM/0524</t>
  </si>
  <si>
    <t>706269</t>
  </si>
  <si>
    <t>MURATA LEMARI ARSIP KOMBINASI MR 007</t>
  </si>
  <si>
    <t xml:space="preserve">EDC BCA </t>
  </si>
  <si>
    <t>10028/JL/UTM/0524</t>
  </si>
  <si>
    <t>706305</t>
  </si>
  <si>
    <t>MITSUBISHI W. BOARD 90 X 120 CM</t>
  </si>
  <si>
    <t>10029/JL/UTM/0524</t>
  </si>
  <si>
    <t>PL0939</t>
  </si>
  <si>
    <t>BRI KCU PALU</t>
  </si>
  <si>
    <t>10030/JL/UTM/0524</t>
  </si>
  <si>
    <t>706300</t>
  </si>
  <si>
    <t>MARK PRINT RIBBON</t>
  </si>
  <si>
    <t>10031/JL/UTM/0524</t>
  </si>
  <si>
    <t>10032/JL/UTM/0524</t>
  </si>
  <si>
    <t>706304</t>
  </si>
  <si>
    <t>AKTIV LEMARI ARSIP PINTU AYUN FORTE SWB 90</t>
  </si>
  <si>
    <t>10033/JL/UTM/0524</t>
  </si>
  <si>
    <t>PL0940</t>
  </si>
  <si>
    <t>PUSKESMAS SANGURARA</t>
  </si>
  <si>
    <t>20258</t>
  </si>
  <si>
    <t>V-TEC TIANG ANTRIAN 4 LINE</t>
  </si>
  <si>
    <t>10034/JL/UTM/0524</t>
  </si>
  <si>
    <t>706306</t>
  </si>
  <si>
    <t>AKTIV KURSI KERJA KENT KM 102</t>
  </si>
  <si>
    <t>10035/JL/UTM/0524</t>
  </si>
  <si>
    <t>PL0941</t>
  </si>
  <si>
    <t>Dr. ANDI</t>
  </si>
  <si>
    <t>706302</t>
  </si>
  <si>
    <t>AKTIV LEMARI PAKAIAN FARTE SL 120</t>
  </si>
  <si>
    <t>706303</t>
  </si>
  <si>
    <t>AKTIV LEMARI ARSIP PINTU KACA FORTE SCL 90</t>
  </si>
  <si>
    <t>10036/JL/UTM/0524</t>
  </si>
  <si>
    <t>10037/JL/UTM/0524</t>
  </si>
  <si>
    <t>511</t>
  </si>
  <si>
    <t>BANK BTN</t>
  </si>
  <si>
    <t>10038/JL/UTM/0524</t>
  </si>
  <si>
    <t>PL0943</t>
  </si>
  <si>
    <t>ASURANSI RAMAYANA</t>
  </si>
  <si>
    <t>10039/JL/UTM/0524</t>
  </si>
  <si>
    <t>SDH BAYAR CASH TGL 29-4-2024</t>
  </si>
  <si>
    <t>10040/JL/UTM/0524</t>
  </si>
  <si>
    <t>706307</t>
  </si>
  <si>
    <t>EMPORIUM LEMARI 3 PINTU EC 105</t>
  </si>
  <si>
    <t>10041/JL/UTM/0524</t>
  </si>
  <si>
    <t>10042/JL/UTM/0624</t>
  </si>
  <si>
    <t>706292</t>
  </si>
  <si>
    <t>UCHIDA BRANKAS HS-50K</t>
  </si>
  <si>
    <t>10043/JL/UTM/0624</t>
  </si>
  <si>
    <t>10044/JL/UTM/0624</t>
  </si>
  <si>
    <t>TF MANDIRI TOTAL RP 6.000.000</t>
  </si>
  <si>
    <t>10045/JL/UTM/0624</t>
  </si>
  <si>
    <t>228</t>
  </si>
  <si>
    <t>BANK INDONESIA</t>
  </si>
  <si>
    <t>10046/JL/UTM/0624</t>
  </si>
  <si>
    <t>10047/JL/UTM/0624</t>
  </si>
  <si>
    <t>10048/JL/UTM/0624</t>
  </si>
  <si>
    <t>359</t>
  </si>
  <si>
    <t>BPR BINARTA LUHUR, SUMBER SARI</t>
  </si>
  <si>
    <t>10049/JL/UTM/0624</t>
  </si>
  <si>
    <t>10051/JL/UTM/0624</t>
  </si>
  <si>
    <t>706075</t>
  </si>
  <si>
    <t>DATALITE WALLSREEN WS 70</t>
  </si>
  <si>
    <t>10050/JL/UTM/0624</t>
  </si>
  <si>
    <t>PL0859</t>
  </si>
  <si>
    <t>SMK NEG 1 PALU</t>
  </si>
  <si>
    <t>40385</t>
  </si>
  <si>
    <t>V-TEC WHITEBOARD MAGNET STANDING 120X240</t>
  </si>
  <si>
    <t>10012/JL/UTM/0624</t>
  </si>
  <si>
    <t>10013/JL/UTM/0624</t>
  </si>
  <si>
    <t>10014/JL/UTM/0624</t>
  </si>
  <si>
    <t>10015/JL/UTM/0624</t>
  </si>
  <si>
    <t>706255</t>
  </si>
  <si>
    <t>VTEC CASH BOX CB 825</t>
  </si>
  <si>
    <t>TF BCA</t>
  </si>
  <si>
    <t>10016/JL/UTM/0624</t>
  </si>
  <si>
    <t>10017/JL/UTM/0624</t>
  </si>
  <si>
    <t>10019/JL/UTM/0624</t>
  </si>
  <si>
    <t>20148</t>
  </si>
  <si>
    <t>ICHIBAN CASH BOX IB 20</t>
  </si>
  <si>
    <t>10020/JL/UTM/0624</t>
  </si>
  <si>
    <t>PL0938</t>
  </si>
  <si>
    <t>GIZ-FORCLINE</t>
  </si>
  <si>
    <t>10032/JL/UTM/0624</t>
  </si>
  <si>
    <t>832</t>
  </si>
  <si>
    <t>KPU TOJO UNA-UNA</t>
  </si>
  <si>
    <t>TF BRI, SENILAI Rp. 5.903,050</t>
  </si>
  <si>
    <t>10062/JL/UTM/0624</t>
  </si>
  <si>
    <t>627</t>
  </si>
  <si>
    <t>HOTEL RAMA</t>
  </si>
  <si>
    <t>10065/JL/UTM/0624</t>
  </si>
  <si>
    <t>TF BRI TOTAL RP. 1.305.000 + ATK</t>
  </si>
  <si>
    <t>10066/JL/UTM/0624</t>
  </si>
  <si>
    <t>10067/JL/UTM/0624</t>
  </si>
  <si>
    <t>10068/JL/UTM/0624</t>
  </si>
  <si>
    <t>PO NO. PID-2059896</t>
  </si>
  <si>
    <t>10069/JL/UTM/0624</t>
  </si>
  <si>
    <t>SDH BUAT NOTA MANUAL TGL 20-6-24</t>
  </si>
  <si>
    <t>10070/JL/UTM/0624</t>
  </si>
  <si>
    <t>BRI LO KUI DJENG TGL 22-06-24</t>
  </si>
  <si>
    <t>10071/JL/UTM/0624</t>
  </si>
  <si>
    <t>10072/JL/UTM/0624</t>
  </si>
  <si>
    <t>10073/JL/UTM/0624</t>
  </si>
  <si>
    <t>PL0826</t>
  </si>
  <si>
    <t>PT.WEIR MINERAL</t>
  </si>
  <si>
    <t>10074/JL/UTM/0624</t>
  </si>
  <si>
    <t>PL0860</t>
  </si>
  <si>
    <t>PUSKESMAS LERE</t>
  </si>
  <si>
    <t>40333</t>
  </si>
  <si>
    <t>ZETTA FURNITURE MEJA 1 BIRO MT-301</t>
  </si>
  <si>
    <t>TF BANK SULTENG</t>
  </si>
  <si>
    <t>40334</t>
  </si>
  <si>
    <t>ZETTA FURNITURE BOX LACI LC-01</t>
  </si>
  <si>
    <t>10075/JL/UTM/0624</t>
  </si>
  <si>
    <t>PL0944</t>
  </si>
  <si>
    <t>KTR. SYAHBANDAR POSO</t>
  </si>
  <si>
    <t xml:space="preserve">POSO  </t>
  </si>
  <si>
    <t>10076/JL/UTM/0624</t>
  </si>
  <si>
    <t>606066</t>
  </si>
  <si>
    <t>Maestro King Brankast Size V</t>
  </si>
  <si>
    <t>10077/JL/UTM/0624</t>
  </si>
  <si>
    <t>TF BNI</t>
  </si>
  <si>
    <t>10078/JL/UTM/0624</t>
  </si>
  <si>
    <t>706309</t>
  </si>
  <si>
    <t>BRIGHT OFFICE MONEY COUNTER 728 D</t>
  </si>
  <si>
    <t>10079/JL/UTM/0724</t>
  </si>
  <si>
    <t>10080/JL/UTM/0724</t>
  </si>
  <si>
    <t>10081/JL/UTM/0724</t>
  </si>
  <si>
    <t>706310</t>
  </si>
  <si>
    <t>DRAGON BRANKAS A2 LK</t>
  </si>
  <si>
    <t>10082/JL/UTM/0724</t>
  </si>
  <si>
    <t>10083/JL/UTM/0724</t>
  </si>
  <si>
    <t>10084/JL/UTM/0724</t>
  </si>
  <si>
    <t>193</t>
  </si>
  <si>
    <t>BPS SIGI (PAK JEFRY)</t>
  </si>
  <si>
    <t>40599</t>
  </si>
  <si>
    <t>DAHUA CAMERA INDOOR HDW1000RP-S3</t>
  </si>
  <si>
    <t>bulan</t>
  </si>
  <si>
    <t>SUM of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</si>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</sst>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Rp-421]* #,##0.00_-;_-[$Rp-421]* \-#,##0.00_-;_-[$Rp-421]* &quot;-&quot;??_-;_-@"/>
  </numFmts>
  <fonts count="4">
    <font>
      <sz val="11.0"/>
      <color rgb="FF000000"/>
      <name val="Calibri"/>
      <scheme val="minor"/>
    </font>
    <font>
      <b/>
      <sz val="8.0"/>
      <color rgb="FF000000"/>
      <name val="Arial"/>
    </font>
    <font>
      <sz val="8.0"/>
      <color rgb="FF000000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</border>
    <border/>
  </borders>
  <cellStyleXfs count="1">
    <xf borderId="0" fillId="0" fontId="0" numFmtId="0" applyAlignment="1" applyBorder="1" applyFont="1"/>
  </cellStyleXfs>
  <cellXfs count="14">
    <xf borderId="0" fillId="0" fontId="0" numFmtId="0" xfId="0" applyAlignment="1" applyBorder="1" applyFont="1">
      <alignment horizontal="left" readingOrder="0" shrinkToFit="0" vertical="top" wrapText="1"/>
    </xf>
    <xf borderId="1" fillId="0" fontId="1" numFmtId="0" xfId="0" applyAlignment="1" applyFont="1">
      <alignment horizontal="center" shrinkToFit="0" vertical="center" wrapText="1"/>
    </xf>
    <xf borderId="1" fillId="0" fontId="2" numFmtId="49" xfId="0" applyAlignment="1" applyFont="1" applyNumberFormat="1">
      <alignment horizontal="center" shrinkToFit="0" vertical="top" wrapText="1"/>
    </xf>
    <xf borderId="1" fillId="0" fontId="2" numFmtId="22" xfId="0" applyAlignment="1" applyFont="1" applyNumberFormat="1">
      <alignment horizontal="center" shrinkToFit="0" vertical="top" wrapText="1"/>
    </xf>
    <xf borderId="1" fillId="0" fontId="2" numFmtId="0" xfId="0" applyAlignment="1" applyFont="1">
      <alignment horizontal="center" shrinkToFit="0" vertical="top" wrapText="1"/>
    </xf>
    <xf borderId="1" fillId="0" fontId="2" numFmtId="1" xfId="0" applyAlignment="1" applyFont="1" applyNumberFormat="1">
      <alignment horizontal="center" shrinkToFit="0" vertical="top" wrapText="1"/>
    </xf>
    <xf borderId="1" fillId="0" fontId="2" numFmtId="2" xfId="0" applyAlignment="1" applyFont="1" applyNumberFormat="1">
      <alignment horizontal="center" shrinkToFit="0" vertical="top" wrapText="1"/>
    </xf>
    <xf borderId="1" fillId="0" fontId="2" numFmtId="0" xfId="0" applyAlignment="1" applyFont="1">
      <alignment horizontal="left" shrinkToFit="0" vertical="top" wrapText="1"/>
    </xf>
    <xf borderId="1" fillId="0" fontId="3" numFmtId="0" xfId="0" applyAlignment="1" applyFont="1">
      <alignment horizontal="left" shrinkToFit="0" vertical="top" wrapText="1"/>
    </xf>
    <xf borderId="1" fillId="0" fontId="3" numFmtId="0" xfId="0" applyAlignment="1" applyFont="1">
      <alignment horizontal="left" readingOrder="0" shrinkToFit="0" vertical="top" wrapText="1"/>
    </xf>
    <xf borderId="1" fillId="0" fontId="3" numFmtId="164" xfId="0" applyAlignment="1" applyFont="1" applyNumberFormat="1">
      <alignment horizontal="left" shrinkToFit="0" vertical="top" wrapText="1"/>
    </xf>
    <xf borderId="1" fillId="0" fontId="3" numFmtId="22" xfId="0" applyAlignment="1" applyFont="1" applyNumberFormat="1">
      <alignment horizontal="left" shrinkToFit="0" vertical="top" wrapText="1"/>
    </xf>
    <xf borderId="1" fillId="0" fontId="3" numFmtId="1" xfId="0" applyAlignment="1" applyFont="1" applyNumberFormat="1">
      <alignment horizontal="left" shrinkToFit="0" vertical="top" wrapText="1"/>
    </xf>
    <xf borderId="1" fillId="0" fontId="3" numFmtId="2" xfId="0" applyAlignment="1" applyFont="1" applyNumberForma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11.57"/>
    <col customWidth="1" min="2" max="2" width="16.29"/>
    <col customWidth="1" min="3" max="3" width="23.86"/>
    <col customWidth="1" min="4" max="4" width="24.43"/>
    <col customWidth="1" min="5" max="6" width="8.14"/>
    <col customWidth="1" min="7" max="7" width="8.57"/>
    <col customWidth="1" min="8" max="8" width="8.71"/>
    <col customWidth="1" min="9" max="9" width="8.57"/>
    <col customWidth="1" min="10" max="10" width="9.0"/>
    <col customWidth="1" min="11" max="11" width="12.0"/>
    <col customWidth="1" min="12" max="12" width="30.0"/>
    <col customWidth="1" min="13" max="13" width="8.0"/>
    <col customWidth="1" min="14" max="14" width="12.0"/>
    <col customWidth="1" min="15" max="15" width="7.86"/>
    <col customWidth="1" min="16" max="16" width="9.43"/>
    <col customWidth="1" min="17" max="17" width="0.14"/>
    <col customWidth="1" min="18" max="18" width="8.57"/>
    <col customWidth="1" min="19" max="19" width="9.86"/>
    <col customWidth="1" min="20" max="20" width="9.43"/>
    <col customWidth="1" min="21" max="21" width="8.29"/>
    <col customWidth="1" min="22" max="23" width="16.0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ht="12.75" customHeight="1">
      <c r="A2" s="2" t="s">
        <v>21</v>
      </c>
      <c r="B2" s="3">
        <v>45294.6971180556</v>
      </c>
      <c r="C2" s="3" t="s">
        <v>22</v>
      </c>
      <c r="D2" s="2" t="s">
        <v>22</v>
      </c>
      <c r="E2" s="2" t="s">
        <v>23</v>
      </c>
      <c r="F2" s="4"/>
      <c r="G2" s="4"/>
      <c r="H2" s="4"/>
      <c r="I2" s="4"/>
      <c r="J2" s="2" t="s">
        <v>24</v>
      </c>
      <c r="K2" s="2" t="s">
        <v>25</v>
      </c>
      <c r="L2" s="2" t="s">
        <v>26</v>
      </c>
      <c r="M2" s="5">
        <v>1.0</v>
      </c>
      <c r="N2" s="2" t="s">
        <v>27</v>
      </c>
      <c r="O2" s="6">
        <v>6300000.0</v>
      </c>
      <c r="P2" s="5">
        <v>6300000.0</v>
      </c>
      <c r="R2" s="4">
        <v>0.0</v>
      </c>
      <c r="S2" s="5">
        <v>0.0</v>
      </c>
      <c r="T2" s="5">
        <v>6300000.0</v>
      </c>
      <c r="U2" s="6">
        <v>0.0</v>
      </c>
      <c r="V2" s="3" t="s">
        <v>28</v>
      </c>
      <c r="W2" s="7" t="s">
        <v>28</v>
      </c>
    </row>
    <row r="3" ht="12.75" customHeight="1">
      <c r="A3" s="2" t="s">
        <v>29</v>
      </c>
      <c r="B3" s="3">
        <v>45294.6990277778</v>
      </c>
      <c r="C3" s="3" t="s">
        <v>22</v>
      </c>
      <c r="D3" s="2" t="s">
        <v>22</v>
      </c>
      <c r="E3" s="2" t="s">
        <v>23</v>
      </c>
      <c r="F3" s="4"/>
      <c r="G3" s="4"/>
      <c r="H3" s="4"/>
      <c r="I3" s="4"/>
      <c r="J3" s="2" t="s">
        <v>24</v>
      </c>
      <c r="K3" s="2" t="s">
        <v>30</v>
      </c>
      <c r="L3" s="2" t="s">
        <v>31</v>
      </c>
      <c r="M3" s="5">
        <v>1.0</v>
      </c>
      <c r="N3" s="2" t="s">
        <v>27</v>
      </c>
      <c r="O3" s="6">
        <v>4450000.0</v>
      </c>
      <c r="P3" s="5">
        <v>5850000.0</v>
      </c>
      <c r="R3" s="4">
        <v>0.0</v>
      </c>
      <c r="S3" s="5">
        <v>0.0</v>
      </c>
      <c r="T3" s="5">
        <v>4450000.0</v>
      </c>
      <c r="U3" s="6">
        <v>6.4</v>
      </c>
      <c r="V3" s="3" t="s">
        <v>32</v>
      </c>
      <c r="W3" s="7" t="s">
        <v>28</v>
      </c>
    </row>
    <row r="4" ht="12.75" customHeight="1">
      <c r="A4" s="2" t="s">
        <v>29</v>
      </c>
      <c r="B4" s="3">
        <v>45294.6990277778</v>
      </c>
      <c r="C4" s="3" t="s">
        <v>22</v>
      </c>
      <c r="D4" s="2" t="s">
        <v>22</v>
      </c>
      <c r="E4" s="2" t="s">
        <v>23</v>
      </c>
      <c r="F4" s="4"/>
      <c r="G4" s="4"/>
      <c r="H4" s="4"/>
      <c r="I4" s="4"/>
      <c r="J4" s="2" t="s">
        <v>24</v>
      </c>
      <c r="K4" s="2" t="s">
        <v>33</v>
      </c>
      <c r="L4" s="2" t="s">
        <v>34</v>
      </c>
      <c r="M4" s="5">
        <v>1.0</v>
      </c>
      <c r="N4" s="2" t="s">
        <v>27</v>
      </c>
      <c r="O4" s="6">
        <v>1800000.0</v>
      </c>
      <c r="P4" s="5">
        <v>5850000.0</v>
      </c>
      <c r="R4" s="4">
        <v>0.0</v>
      </c>
      <c r="S4" s="5">
        <v>0.0</v>
      </c>
      <c r="T4" s="5">
        <v>1800000.0</v>
      </c>
      <c r="U4" s="6">
        <v>6.4</v>
      </c>
      <c r="V4" s="3" t="s">
        <v>32</v>
      </c>
      <c r="W4" s="7" t="s">
        <v>28</v>
      </c>
    </row>
    <row r="5" ht="12.75" customHeight="1">
      <c r="A5" s="2" t="s">
        <v>35</v>
      </c>
      <c r="B5" s="3">
        <v>45294.7003472222</v>
      </c>
      <c r="C5" s="3" t="s">
        <v>22</v>
      </c>
      <c r="D5" s="2" t="s">
        <v>22</v>
      </c>
      <c r="E5" s="2" t="s">
        <v>23</v>
      </c>
      <c r="F5" s="4"/>
      <c r="G5" s="4"/>
      <c r="H5" s="4"/>
      <c r="I5" s="4"/>
      <c r="J5" s="2" t="s">
        <v>24</v>
      </c>
      <c r="K5" s="2" t="s">
        <v>36</v>
      </c>
      <c r="L5" s="2" t="s">
        <v>37</v>
      </c>
      <c r="M5" s="5">
        <v>2.0</v>
      </c>
      <c r="N5" s="2" t="s">
        <v>27</v>
      </c>
      <c r="O5" s="6">
        <v>1100000.0</v>
      </c>
      <c r="P5" s="5">
        <v>4400000.0</v>
      </c>
      <c r="R5" s="4">
        <v>0.0</v>
      </c>
      <c r="S5" s="5">
        <v>0.0</v>
      </c>
      <c r="T5" s="5">
        <v>2200000.0</v>
      </c>
      <c r="U5" s="6">
        <v>0.0</v>
      </c>
      <c r="V5" s="3" t="s">
        <v>32</v>
      </c>
      <c r="W5" s="7" t="s">
        <v>28</v>
      </c>
    </row>
    <row r="6" ht="12.75" customHeight="1">
      <c r="A6" s="2" t="s">
        <v>35</v>
      </c>
      <c r="B6" s="3">
        <v>45294.7003472222</v>
      </c>
      <c r="C6" s="3" t="s">
        <v>22</v>
      </c>
      <c r="D6" s="2" t="s">
        <v>22</v>
      </c>
      <c r="E6" s="2" t="s">
        <v>23</v>
      </c>
      <c r="F6" s="4"/>
      <c r="G6" s="4"/>
      <c r="H6" s="4"/>
      <c r="I6" s="4"/>
      <c r="J6" s="2" t="s">
        <v>24</v>
      </c>
      <c r="K6" s="2" t="s">
        <v>38</v>
      </c>
      <c r="L6" s="2" t="s">
        <v>39</v>
      </c>
      <c r="M6" s="5">
        <v>2.0</v>
      </c>
      <c r="N6" s="2" t="s">
        <v>40</v>
      </c>
      <c r="O6" s="6">
        <v>1100000.0</v>
      </c>
      <c r="P6" s="5">
        <v>4400000.0</v>
      </c>
      <c r="R6" s="4">
        <v>0.0</v>
      </c>
      <c r="S6" s="5">
        <v>0.0</v>
      </c>
      <c r="T6" s="5">
        <v>2200000.0</v>
      </c>
      <c r="U6" s="6">
        <v>0.0</v>
      </c>
      <c r="V6" s="3" t="s">
        <v>32</v>
      </c>
      <c r="W6" s="7" t="s">
        <v>28</v>
      </c>
    </row>
    <row r="7" ht="13.5" customHeight="1">
      <c r="A7" s="2" t="s">
        <v>41</v>
      </c>
      <c r="B7" s="3">
        <v>45294.7017476852</v>
      </c>
      <c r="C7" s="3" t="s">
        <v>22</v>
      </c>
      <c r="D7" s="2" t="s">
        <v>22</v>
      </c>
      <c r="E7" s="2" t="s">
        <v>23</v>
      </c>
      <c r="F7" s="4"/>
      <c r="G7" s="4"/>
      <c r="H7" s="4"/>
      <c r="I7" s="4"/>
      <c r="J7" s="2" t="s">
        <v>24</v>
      </c>
      <c r="K7" s="2" t="s">
        <v>42</v>
      </c>
      <c r="L7" s="2" t="s">
        <v>43</v>
      </c>
      <c r="M7" s="5">
        <v>1.0</v>
      </c>
      <c r="N7" s="2" t="s">
        <v>40</v>
      </c>
      <c r="O7" s="6">
        <v>80000.0</v>
      </c>
      <c r="P7" s="5">
        <v>165000.0</v>
      </c>
      <c r="R7" s="4">
        <v>0.0</v>
      </c>
      <c r="S7" s="5">
        <v>0.0</v>
      </c>
      <c r="T7" s="5">
        <v>80000.0</v>
      </c>
      <c r="U7" s="6">
        <v>0.0</v>
      </c>
      <c r="V7" s="3" t="s">
        <v>28</v>
      </c>
      <c r="W7" s="7" t="s">
        <v>28</v>
      </c>
    </row>
    <row r="8" ht="12.75" customHeight="1">
      <c r="A8" s="2" t="s">
        <v>41</v>
      </c>
      <c r="B8" s="3">
        <v>45294.7017476852</v>
      </c>
      <c r="C8" s="3" t="s">
        <v>22</v>
      </c>
      <c r="D8" s="2" t="s">
        <v>22</v>
      </c>
      <c r="E8" s="2" t="s">
        <v>23</v>
      </c>
      <c r="F8" s="4"/>
      <c r="G8" s="4"/>
      <c r="H8" s="4"/>
      <c r="I8" s="4"/>
      <c r="J8" s="2" t="s">
        <v>24</v>
      </c>
      <c r="K8" s="2" t="s">
        <v>44</v>
      </c>
      <c r="L8" s="2" t="s">
        <v>45</v>
      </c>
      <c r="M8" s="5">
        <v>1.0</v>
      </c>
      <c r="N8" s="2" t="s">
        <v>46</v>
      </c>
      <c r="O8" s="6">
        <v>85000.0</v>
      </c>
      <c r="P8" s="5">
        <v>165000.0</v>
      </c>
      <c r="R8" s="4">
        <v>0.0</v>
      </c>
      <c r="S8" s="5">
        <v>0.0</v>
      </c>
      <c r="T8" s="5">
        <v>85000.0</v>
      </c>
      <c r="U8" s="6">
        <v>0.0</v>
      </c>
      <c r="V8" s="3" t="s">
        <v>28</v>
      </c>
      <c r="W8" s="7" t="s">
        <v>28</v>
      </c>
    </row>
    <row r="9" ht="12.75" customHeight="1">
      <c r="A9" s="2" t="s">
        <v>47</v>
      </c>
      <c r="B9" s="3">
        <v>45294.7024537037</v>
      </c>
      <c r="C9" s="3" t="s">
        <v>48</v>
      </c>
      <c r="D9" s="2" t="s">
        <v>49</v>
      </c>
      <c r="E9" s="2" t="s">
        <v>23</v>
      </c>
      <c r="F9" s="4"/>
      <c r="G9" s="4"/>
      <c r="H9" s="4"/>
      <c r="I9" s="4"/>
      <c r="J9" s="2" t="s">
        <v>24</v>
      </c>
      <c r="K9" s="2" t="s">
        <v>50</v>
      </c>
      <c r="L9" s="2" t="s">
        <v>51</v>
      </c>
      <c r="M9" s="5">
        <v>1.0</v>
      </c>
      <c r="N9" s="2" t="s">
        <v>40</v>
      </c>
      <c r="O9" s="6">
        <v>1350000.0</v>
      </c>
      <c r="P9" s="5">
        <v>0.0</v>
      </c>
      <c r="R9" s="4">
        <v>0.0</v>
      </c>
      <c r="S9" s="5">
        <v>1350000.0</v>
      </c>
      <c r="T9" s="5">
        <v>1350000.0</v>
      </c>
      <c r="U9" s="6">
        <v>0.0</v>
      </c>
      <c r="V9" s="3" t="s">
        <v>52</v>
      </c>
      <c r="W9" s="7" t="s">
        <v>28</v>
      </c>
    </row>
    <row r="10" ht="12.75" customHeight="1">
      <c r="A10" s="2" t="s">
        <v>53</v>
      </c>
      <c r="B10" s="3">
        <v>45295.7068055556</v>
      </c>
      <c r="C10" s="3" t="s">
        <v>22</v>
      </c>
      <c r="D10" s="2" t="s">
        <v>22</v>
      </c>
      <c r="E10" s="2" t="s">
        <v>23</v>
      </c>
      <c r="F10" s="4"/>
      <c r="G10" s="4"/>
      <c r="H10" s="4"/>
      <c r="I10" s="4"/>
      <c r="J10" s="2" t="s">
        <v>24</v>
      </c>
      <c r="K10" s="2" t="s">
        <v>54</v>
      </c>
      <c r="L10" s="2" t="s">
        <v>55</v>
      </c>
      <c r="M10" s="5">
        <v>1.0</v>
      </c>
      <c r="N10" s="2" t="s">
        <v>27</v>
      </c>
      <c r="O10" s="6">
        <v>3000000.0</v>
      </c>
      <c r="P10" s="5">
        <v>3000000.0</v>
      </c>
      <c r="R10" s="4">
        <v>0.0</v>
      </c>
      <c r="S10" s="5">
        <v>0.0</v>
      </c>
      <c r="T10" s="5">
        <v>3000000.0</v>
      </c>
      <c r="U10" s="6">
        <v>0.0</v>
      </c>
      <c r="V10" s="3" t="s">
        <v>28</v>
      </c>
      <c r="W10" s="7" t="s">
        <v>28</v>
      </c>
    </row>
    <row r="11" ht="12.75" customHeight="1">
      <c r="A11" s="2" t="s">
        <v>56</v>
      </c>
      <c r="B11" s="3">
        <v>45295.7081828704</v>
      </c>
      <c r="C11" s="3" t="s">
        <v>22</v>
      </c>
      <c r="D11" s="2" t="s">
        <v>22</v>
      </c>
      <c r="E11" s="2" t="s">
        <v>23</v>
      </c>
      <c r="F11" s="4"/>
      <c r="G11" s="4"/>
      <c r="H11" s="4"/>
      <c r="I11" s="4"/>
      <c r="J11" s="2" t="s">
        <v>24</v>
      </c>
      <c r="K11" s="2" t="s">
        <v>57</v>
      </c>
      <c r="L11" s="2" t="s">
        <v>58</v>
      </c>
      <c r="M11" s="5">
        <v>2.0</v>
      </c>
      <c r="N11" s="2" t="s">
        <v>40</v>
      </c>
      <c r="O11" s="6">
        <v>25000.0</v>
      </c>
      <c r="P11" s="5">
        <v>50000.0</v>
      </c>
      <c r="R11" s="4">
        <v>0.0</v>
      </c>
      <c r="S11" s="5">
        <v>0.0</v>
      </c>
      <c r="T11" s="5">
        <v>50000.0</v>
      </c>
      <c r="U11" s="6">
        <v>0.0</v>
      </c>
      <c r="V11" s="3" t="s">
        <v>28</v>
      </c>
      <c r="W11" s="7" t="s">
        <v>28</v>
      </c>
    </row>
    <row r="12" ht="12.75" customHeight="1">
      <c r="A12" s="2" t="s">
        <v>59</v>
      </c>
      <c r="B12" s="3">
        <v>45296.6920717593</v>
      </c>
      <c r="C12" s="3" t="s">
        <v>60</v>
      </c>
      <c r="D12" s="2" t="s">
        <v>61</v>
      </c>
      <c r="E12" s="2" t="s">
        <v>23</v>
      </c>
      <c r="F12" s="4"/>
      <c r="G12" s="4"/>
      <c r="H12" s="4"/>
      <c r="I12" s="4"/>
      <c r="J12" s="2" t="s">
        <v>62</v>
      </c>
      <c r="K12" s="2" t="s">
        <v>63</v>
      </c>
      <c r="L12" s="2" t="s">
        <v>64</v>
      </c>
      <c r="M12" s="5">
        <v>1.0</v>
      </c>
      <c r="N12" s="2" t="s">
        <v>27</v>
      </c>
      <c r="O12" s="6">
        <v>3885000.0</v>
      </c>
      <c r="P12" s="5">
        <v>3500000.0</v>
      </c>
      <c r="R12" s="4">
        <v>0.0</v>
      </c>
      <c r="S12" s="5">
        <v>0.0</v>
      </c>
      <c r="T12" s="5">
        <v>3885000.0</v>
      </c>
      <c r="U12" s="6">
        <v>9.9099099099</v>
      </c>
      <c r="V12" s="3" t="s">
        <v>28</v>
      </c>
      <c r="W12" s="7" t="s">
        <v>28</v>
      </c>
    </row>
    <row r="13" ht="12.75" customHeight="1">
      <c r="A13" s="2" t="s">
        <v>65</v>
      </c>
      <c r="B13" s="3">
        <v>45296.6942013889</v>
      </c>
      <c r="C13" s="3" t="s">
        <v>66</v>
      </c>
      <c r="D13" s="2" t="s">
        <v>67</v>
      </c>
      <c r="E13" s="2" t="s">
        <v>23</v>
      </c>
      <c r="F13" s="4"/>
      <c r="G13" s="4"/>
      <c r="H13" s="4"/>
      <c r="I13" s="4"/>
      <c r="J13" s="2" t="s">
        <v>24</v>
      </c>
      <c r="K13" s="2" t="s">
        <v>68</v>
      </c>
      <c r="L13" s="2" t="s">
        <v>69</v>
      </c>
      <c r="M13" s="5">
        <v>1.0</v>
      </c>
      <c r="N13" s="2" t="s">
        <v>40</v>
      </c>
      <c r="O13" s="6">
        <v>2800000.0</v>
      </c>
      <c r="P13" s="5">
        <v>2650000.0</v>
      </c>
      <c r="R13" s="4">
        <v>0.0</v>
      </c>
      <c r="S13" s="5">
        <v>0.0</v>
      </c>
      <c r="T13" s="5">
        <v>2800000.0</v>
      </c>
      <c r="U13" s="6">
        <v>5.3571428571</v>
      </c>
      <c r="V13" s="3" t="s">
        <v>28</v>
      </c>
      <c r="W13" s="7" t="s">
        <v>28</v>
      </c>
    </row>
    <row r="14" ht="12.75" customHeight="1">
      <c r="A14" s="2" t="s">
        <v>70</v>
      </c>
      <c r="B14" s="3">
        <v>45296.6949652778</v>
      </c>
      <c r="C14" s="3" t="s">
        <v>22</v>
      </c>
      <c r="D14" s="2" t="s">
        <v>22</v>
      </c>
      <c r="E14" s="2" t="s">
        <v>23</v>
      </c>
      <c r="F14" s="4"/>
      <c r="G14" s="4"/>
      <c r="H14" s="4"/>
      <c r="I14" s="4"/>
      <c r="J14" s="2" t="s">
        <v>24</v>
      </c>
      <c r="K14" s="2" t="s">
        <v>71</v>
      </c>
      <c r="L14" s="2" t="s">
        <v>72</v>
      </c>
      <c r="M14" s="5">
        <v>1.0</v>
      </c>
      <c r="N14" s="2" t="s">
        <v>40</v>
      </c>
      <c r="O14" s="6">
        <v>4300000.0</v>
      </c>
      <c r="P14" s="5">
        <v>4300000.0</v>
      </c>
      <c r="R14" s="4">
        <v>0.0</v>
      </c>
      <c r="S14" s="5">
        <v>0.0</v>
      </c>
      <c r="T14" s="5">
        <v>4300000.0</v>
      </c>
      <c r="U14" s="6">
        <v>0.0</v>
      </c>
      <c r="V14" s="3" t="s">
        <v>28</v>
      </c>
      <c r="W14" s="7" t="s">
        <v>28</v>
      </c>
    </row>
    <row r="15" ht="12.75" customHeight="1">
      <c r="A15" s="2" t="s">
        <v>73</v>
      </c>
      <c r="B15" s="3">
        <v>45296.6961111111</v>
      </c>
      <c r="C15" s="3" t="s">
        <v>22</v>
      </c>
      <c r="D15" s="2" t="s">
        <v>22</v>
      </c>
      <c r="E15" s="2" t="s">
        <v>23</v>
      </c>
      <c r="F15" s="4"/>
      <c r="G15" s="4"/>
      <c r="H15" s="4"/>
      <c r="I15" s="4"/>
      <c r="J15" s="2" t="s">
        <v>24</v>
      </c>
      <c r="K15" s="2" t="s">
        <v>74</v>
      </c>
      <c r="L15" s="2" t="s">
        <v>75</v>
      </c>
      <c r="M15" s="5">
        <v>1.0</v>
      </c>
      <c r="N15" s="2" t="s">
        <v>46</v>
      </c>
      <c r="O15" s="6">
        <v>1650000.0</v>
      </c>
      <c r="P15" s="5">
        <v>1650000.0</v>
      </c>
      <c r="R15" s="4">
        <v>0.0</v>
      </c>
      <c r="S15" s="5">
        <v>0.0</v>
      </c>
      <c r="T15" s="5">
        <v>1650000.0</v>
      </c>
      <c r="U15" s="6">
        <v>0.0</v>
      </c>
      <c r="V15" s="3" t="s">
        <v>28</v>
      </c>
      <c r="W15" s="7" t="s">
        <v>28</v>
      </c>
    </row>
    <row r="16" ht="12.75" customHeight="1">
      <c r="A16" s="2" t="s">
        <v>76</v>
      </c>
      <c r="B16" s="3">
        <v>45299.6317824074</v>
      </c>
      <c r="C16" s="3" t="s">
        <v>22</v>
      </c>
      <c r="D16" s="2" t="s">
        <v>22</v>
      </c>
      <c r="E16" s="2" t="s">
        <v>23</v>
      </c>
      <c r="F16" s="4"/>
      <c r="G16" s="4"/>
      <c r="H16" s="4"/>
      <c r="I16" s="4"/>
      <c r="J16" s="2" t="s">
        <v>24</v>
      </c>
      <c r="K16" s="2" t="s">
        <v>77</v>
      </c>
      <c r="L16" s="2" t="s">
        <v>78</v>
      </c>
      <c r="M16" s="5">
        <v>1.0</v>
      </c>
      <c r="N16" s="2" t="s">
        <v>40</v>
      </c>
      <c r="O16" s="6">
        <v>950000.0</v>
      </c>
      <c r="P16" s="5">
        <v>950000.0</v>
      </c>
      <c r="R16" s="4">
        <v>0.0</v>
      </c>
      <c r="S16" s="5">
        <v>0.0</v>
      </c>
      <c r="T16" s="5">
        <v>950000.0</v>
      </c>
      <c r="U16" s="6">
        <v>0.0</v>
      </c>
      <c r="V16" s="3" t="s">
        <v>28</v>
      </c>
      <c r="W16" s="7" t="s">
        <v>28</v>
      </c>
    </row>
    <row r="17" ht="12.75" customHeight="1">
      <c r="A17" s="2" t="s">
        <v>79</v>
      </c>
      <c r="B17" s="3">
        <v>45299.632650463</v>
      </c>
      <c r="C17" s="3" t="s">
        <v>22</v>
      </c>
      <c r="D17" s="2" t="s">
        <v>22</v>
      </c>
      <c r="E17" s="2" t="s">
        <v>23</v>
      </c>
      <c r="F17" s="4"/>
      <c r="G17" s="4"/>
      <c r="H17" s="4"/>
      <c r="I17" s="4"/>
      <c r="J17" s="2" t="s">
        <v>24</v>
      </c>
      <c r="K17" s="2" t="s">
        <v>80</v>
      </c>
      <c r="L17" s="2" t="s">
        <v>81</v>
      </c>
      <c r="M17" s="5">
        <v>1.0</v>
      </c>
      <c r="N17" s="2" t="s">
        <v>40</v>
      </c>
      <c r="O17" s="6">
        <v>165000.0</v>
      </c>
      <c r="P17" s="5">
        <v>165000.0</v>
      </c>
      <c r="R17" s="4">
        <v>0.0</v>
      </c>
      <c r="S17" s="5">
        <v>0.0</v>
      </c>
      <c r="T17" s="5">
        <v>165000.0</v>
      </c>
      <c r="U17" s="6">
        <v>0.0</v>
      </c>
      <c r="V17" s="3" t="s">
        <v>28</v>
      </c>
      <c r="W17" s="7" t="s">
        <v>28</v>
      </c>
    </row>
    <row r="18" ht="12.75" customHeight="1">
      <c r="A18" s="2" t="s">
        <v>82</v>
      </c>
      <c r="B18" s="3">
        <v>45299.633275463</v>
      </c>
      <c r="C18" s="3" t="s">
        <v>22</v>
      </c>
      <c r="D18" s="2" t="s">
        <v>22</v>
      </c>
      <c r="E18" s="2" t="s">
        <v>23</v>
      </c>
      <c r="F18" s="4"/>
      <c r="G18" s="4"/>
      <c r="H18" s="4"/>
      <c r="I18" s="4"/>
      <c r="J18" s="2" t="s">
        <v>24</v>
      </c>
      <c r="K18" s="2" t="s">
        <v>83</v>
      </c>
      <c r="L18" s="2" t="s">
        <v>84</v>
      </c>
      <c r="M18" s="5">
        <v>1.0</v>
      </c>
      <c r="N18" s="2" t="s">
        <v>40</v>
      </c>
      <c r="O18" s="6">
        <v>250000.0</v>
      </c>
      <c r="P18" s="5">
        <v>240000.0</v>
      </c>
      <c r="R18" s="4">
        <v>0.0</v>
      </c>
      <c r="S18" s="5">
        <v>0.0</v>
      </c>
      <c r="T18" s="5">
        <v>250000.0</v>
      </c>
      <c r="U18" s="6">
        <v>4.0</v>
      </c>
      <c r="V18" s="3" t="s">
        <v>28</v>
      </c>
      <c r="W18" s="7" t="s">
        <v>28</v>
      </c>
    </row>
    <row r="19" ht="12.75" customHeight="1">
      <c r="A19" s="2" t="s">
        <v>85</v>
      </c>
      <c r="B19" s="3">
        <v>45299.6687615741</v>
      </c>
      <c r="C19" s="3" t="s">
        <v>22</v>
      </c>
      <c r="D19" s="2" t="s">
        <v>22</v>
      </c>
      <c r="E19" s="2" t="s">
        <v>23</v>
      </c>
      <c r="F19" s="4"/>
      <c r="G19" s="4"/>
      <c r="H19" s="4"/>
      <c r="I19" s="4"/>
      <c r="J19" s="2" t="s">
        <v>24</v>
      </c>
      <c r="K19" s="2" t="s">
        <v>86</v>
      </c>
      <c r="L19" s="2" t="s">
        <v>87</v>
      </c>
      <c r="M19" s="5">
        <v>1.0</v>
      </c>
      <c r="N19" s="2" t="s">
        <v>40</v>
      </c>
      <c r="O19" s="6">
        <v>2750000.0</v>
      </c>
      <c r="P19" s="5">
        <v>2600000.0</v>
      </c>
      <c r="R19" s="4">
        <v>0.0</v>
      </c>
      <c r="S19" s="5">
        <v>0.0</v>
      </c>
      <c r="T19" s="5">
        <v>2750000.0</v>
      </c>
      <c r="U19" s="6">
        <v>5.4545454545</v>
      </c>
      <c r="V19" s="3" t="s">
        <v>88</v>
      </c>
      <c r="W19" s="7" t="s">
        <v>28</v>
      </c>
    </row>
    <row r="20" ht="13.5" customHeight="1">
      <c r="A20" s="2" t="s">
        <v>89</v>
      </c>
      <c r="B20" s="3">
        <v>45300.6918402778</v>
      </c>
      <c r="C20" s="3" t="s">
        <v>90</v>
      </c>
      <c r="D20" s="2" t="s">
        <v>91</v>
      </c>
      <c r="E20" s="2" t="s">
        <v>23</v>
      </c>
      <c r="F20" s="4"/>
      <c r="G20" s="4"/>
      <c r="H20" s="4"/>
      <c r="I20" s="4"/>
      <c r="J20" s="2" t="s">
        <v>92</v>
      </c>
      <c r="K20" s="2" t="s">
        <v>33</v>
      </c>
      <c r="L20" s="2" t="s">
        <v>34</v>
      </c>
      <c r="M20" s="5">
        <v>1.0</v>
      </c>
      <c r="N20" s="2" t="s">
        <v>27</v>
      </c>
      <c r="O20" s="6">
        <v>1800000.0</v>
      </c>
      <c r="P20" s="5">
        <v>1620000.0</v>
      </c>
      <c r="R20" s="4">
        <v>0.0</v>
      </c>
      <c r="S20" s="5">
        <v>0.0</v>
      </c>
      <c r="T20" s="5">
        <v>1620000.0</v>
      </c>
      <c r="U20" s="6">
        <v>0.0</v>
      </c>
      <c r="V20" s="3" t="s">
        <v>28</v>
      </c>
      <c r="W20" s="7" t="s">
        <v>28</v>
      </c>
    </row>
    <row r="21" ht="12.75" customHeight="1">
      <c r="A21" s="2" t="s">
        <v>93</v>
      </c>
      <c r="B21" s="3">
        <v>45300.6928703704</v>
      </c>
      <c r="C21" s="3" t="s">
        <v>22</v>
      </c>
      <c r="D21" s="2" t="s">
        <v>22</v>
      </c>
      <c r="E21" s="2" t="s">
        <v>23</v>
      </c>
      <c r="F21" s="4"/>
      <c r="G21" s="4"/>
      <c r="H21" s="4"/>
      <c r="I21" s="4"/>
      <c r="J21" s="2" t="s">
        <v>24</v>
      </c>
      <c r="K21" s="2" t="s">
        <v>94</v>
      </c>
      <c r="L21" s="2" t="s">
        <v>95</v>
      </c>
      <c r="M21" s="5">
        <v>1.0</v>
      </c>
      <c r="N21" s="2" t="s">
        <v>40</v>
      </c>
      <c r="O21" s="6">
        <v>800000.0</v>
      </c>
      <c r="P21" s="5">
        <v>800000.0</v>
      </c>
      <c r="R21" s="4">
        <v>0.0</v>
      </c>
      <c r="S21" s="5">
        <v>0.0</v>
      </c>
      <c r="T21" s="5">
        <v>800000.0</v>
      </c>
      <c r="U21" s="6">
        <v>0.0</v>
      </c>
      <c r="V21" s="3" t="s">
        <v>28</v>
      </c>
      <c r="W21" s="7" t="s">
        <v>28</v>
      </c>
    </row>
    <row r="22" ht="12.75" customHeight="1">
      <c r="A22" s="2" t="s">
        <v>96</v>
      </c>
      <c r="B22" s="3">
        <v>45300.6935300926</v>
      </c>
      <c r="C22" s="3" t="s">
        <v>22</v>
      </c>
      <c r="D22" s="2" t="s">
        <v>22</v>
      </c>
      <c r="E22" s="2" t="s">
        <v>23</v>
      </c>
      <c r="F22" s="4"/>
      <c r="G22" s="4"/>
      <c r="H22" s="4"/>
      <c r="I22" s="4"/>
      <c r="J22" s="2" t="s">
        <v>24</v>
      </c>
      <c r="K22" s="2" t="s">
        <v>44</v>
      </c>
      <c r="L22" s="2" t="s">
        <v>45</v>
      </c>
      <c r="M22" s="5">
        <v>1.0</v>
      </c>
      <c r="N22" s="2" t="s">
        <v>46</v>
      </c>
      <c r="O22" s="6">
        <v>85000.0</v>
      </c>
      <c r="P22" s="5">
        <v>85000.0</v>
      </c>
      <c r="R22" s="4">
        <v>0.0</v>
      </c>
      <c r="S22" s="5">
        <v>0.0</v>
      </c>
      <c r="T22" s="5">
        <v>85000.0</v>
      </c>
      <c r="U22" s="6">
        <v>0.0</v>
      </c>
      <c r="V22" s="3" t="s">
        <v>28</v>
      </c>
      <c r="W22" s="7" t="s">
        <v>28</v>
      </c>
    </row>
    <row r="23" ht="12.75" customHeight="1">
      <c r="A23" s="2" t="s">
        <v>97</v>
      </c>
      <c r="B23" s="3">
        <v>45300.6947453704</v>
      </c>
      <c r="C23" s="3" t="s">
        <v>98</v>
      </c>
      <c r="D23" s="2" t="s">
        <v>99</v>
      </c>
      <c r="E23" s="2" t="s">
        <v>23</v>
      </c>
      <c r="F23" s="4"/>
      <c r="G23" s="4"/>
      <c r="H23" s="4"/>
      <c r="I23" s="4"/>
      <c r="J23" s="2" t="s">
        <v>24</v>
      </c>
      <c r="K23" s="2" t="s">
        <v>100</v>
      </c>
      <c r="L23" s="2" t="s">
        <v>101</v>
      </c>
      <c r="M23" s="5">
        <v>3.0</v>
      </c>
      <c r="N23" s="2" t="s">
        <v>27</v>
      </c>
      <c r="O23" s="6">
        <v>1500000.0</v>
      </c>
      <c r="P23" s="5">
        <v>0.0</v>
      </c>
      <c r="R23" s="4">
        <v>0.0</v>
      </c>
      <c r="S23" s="5">
        <v>3900000.0</v>
      </c>
      <c r="T23" s="5">
        <v>4500000.0</v>
      </c>
      <c r="U23" s="6">
        <v>13.3333333333</v>
      </c>
      <c r="V23" s="3" t="s">
        <v>28</v>
      </c>
      <c r="W23" s="7" t="s">
        <v>28</v>
      </c>
    </row>
    <row r="24" ht="12.75" customHeight="1">
      <c r="A24" s="2" t="s">
        <v>102</v>
      </c>
      <c r="B24" s="3">
        <v>45303.6892476852</v>
      </c>
      <c r="C24" s="3" t="s">
        <v>22</v>
      </c>
      <c r="D24" s="2" t="s">
        <v>22</v>
      </c>
      <c r="E24" s="2" t="s">
        <v>23</v>
      </c>
      <c r="F24" s="4"/>
      <c r="G24" s="4"/>
      <c r="H24" s="4"/>
      <c r="I24" s="4"/>
      <c r="J24" s="2" t="s">
        <v>24</v>
      </c>
      <c r="K24" s="2" t="s">
        <v>50</v>
      </c>
      <c r="L24" s="2" t="s">
        <v>51</v>
      </c>
      <c r="M24" s="5">
        <v>1.0</v>
      </c>
      <c r="N24" s="2" t="s">
        <v>40</v>
      </c>
      <c r="O24" s="6">
        <v>1350000.0</v>
      </c>
      <c r="P24" s="5">
        <v>1250000.0</v>
      </c>
      <c r="R24" s="4">
        <v>0.0</v>
      </c>
      <c r="S24" s="5">
        <v>0.0</v>
      </c>
      <c r="T24" s="5">
        <v>1350000.0</v>
      </c>
      <c r="U24" s="6">
        <v>7.4074074074</v>
      </c>
      <c r="V24" s="3" t="s">
        <v>103</v>
      </c>
      <c r="W24" s="7" t="s">
        <v>28</v>
      </c>
    </row>
    <row r="25" ht="12.75" customHeight="1">
      <c r="A25" s="2" t="s">
        <v>104</v>
      </c>
      <c r="B25" s="3">
        <v>45303.69</v>
      </c>
      <c r="C25" s="3" t="s">
        <v>22</v>
      </c>
      <c r="D25" s="2" t="s">
        <v>22</v>
      </c>
      <c r="E25" s="2" t="s">
        <v>23</v>
      </c>
      <c r="F25" s="4"/>
      <c r="G25" s="4"/>
      <c r="H25" s="4"/>
      <c r="I25" s="4"/>
      <c r="J25" s="2" t="s">
        <v>24</v>
      </c>
      <c r="K25" s="2" t="s">
        <v>105</v>
      </c>
      <c r="L25" s="2" t="s">
        <v>106</v>
      </c>
      <c r="M25" s="5">
        <v>1.0</v>
      </c>
      <c r="N25" s="2" t="s">
        <v>40</v>
      </c>
      <c r="O25" s="6">
        <v>235000.0</v>
      </c>
      <c r="P25" s="5">
        <v>235000.0</v>
      </c>
      <c r="R25" s="4">
        <v>0.0</v>
      </c>
      <c r="S25" s="5">
        <v>0.0</v>
      </c>
      <c r="T25" s="5">
        <v>235000.0</v>
      </c>
      <c r="U25" s="6">
        <v>0.0</v>
      </c>
      <c r="V25" s="3" t="s">
        <v>88</v>
      </c>
      <c r="W25" s="7" t="s">
        <v>28</v>
      </c>
    </row>
    <row r="26" ht="12.75" customHeight="1">
      <c r="A26" s="2" t="s">
        <v>107</v>
      </c>
      <c r="B26" s="3">
        <v>45303.6906481481</v>
      </c>
      <c r="C26" s="3" t="s">
        <v>22</v>
      </c>
      <c r="D26" s="2" t="s">
        <v>22</v>
      </c>
      <c r="E26" s="2" t="s">
        <v>23</v>
      </c>
      <c r="F26" s="4"/>
      <c r="G26" s="4"/>
      <c r="H26" s="4"/>
      <c r="I26" s="4"/>
      <c r="J26" s="2" t="s">
        <v>24</v>
      </c>
      <c r="K26" s="2" t="s">
        <v>105</v>
      </c>
      <c r="L26" s="2" t="s">
        <v>106</v>
      </c>
      <c r="M26" s="5">
        <v>1.0</v>
      </c>
      <c r="N26" s="2" t="s">
        <v>40</v>
      </c>
      <c r="O26" s="6">
        <v>235000.0</v>
      </c>
      <c r="P26" s="5">
        <v>225000.0</v>
      </c>
      <c r="R26" s="4">
        <v>0.0</v>
      </c>
      <c r="S26" s="5">
        <v>0.0</v>
      </c>
      <c r="T26" s="5">
        <v>235000.0</v>
      </c>
      <c r="U26" s="6">
        <v>4.2553191489</v>
      </c>
      <c r="V26" s="3" t="s">
        <v>28</v>
      </c>
      <c r="W26" s="7" t="s">
        <v>28</v>
      </c>
    </row>
    <row r="27" ht="12.75" customHeight="1">
      <c r="A27" s="2" t="s">
        <v>108</v>
      </c>
      <c r="B27" s="3">
        <v>45303.69125</v>
      </c>
      <c r="C27" s="3" t="s">
        <v>22</v>
      </c>
      <c r="D27" s="2" t="s">
        <v>22</v>
      </c>
      <c r="E27" s="2" t="s">
        <v>23</v>
      </c>
      <c r="F27" s="4"/>
      <c r="G27" s="4"/>
      <c r="H27" s="4"/>
      <c r="I27" s="4"/>
      <c r="J27" s="2" t="s">
        <v>24</v>
      </c>
      <c r="K27" s="2" t="s">
        <v>109</v>
      </c>
      <c r="L27" s="2" t="s">
        <v>110</v>
      </c>
      <c r="M27" s="5">
        <v>1.0</v>
      </c>
      <c r="N27" s="2" t="s">
        <v>40</v>
      </c>
      <c r="O27" s="6">
        <v>70000.0</v>
      </c>
      <c r="P27" s="5">
        <v>70000.0</v>
      </c>
      <c r="R27" s="4">
        <v>0.0</v>
      </c>
      <c r="S27" s="5">
        <v>0.0</v>
      </c>
      <c r="T27" s="5">
        <v>70000.0</v>
      </c>
      <c r="U27" s="6">
        <v>0.0</v>
      </c>
      <c r="V27" s="3" t="s">
        <v>28</v>
      </c>
      <c r="W27" s="7" t="s">
        <v>28</v>
      </c>
    </row>
    <row r="28" ht="12.75" customHeight="1">
      <c r="A28" s="2" t="s">
        <v>111</v>
      </c>
      <c r="B28" s="3">
        <v>45306.6650462963</v>
      </c>
      <c r="C28" s="3" t="s">
        <v>22</v>
      </c>
      <c r="D28" s="2" t="s">
        <v>22</v>
      </c>
      <c r="E28" s="2" t="s">
        <v>23</v>
      </c>
      <c r="F28" s="4"/>
      <c r="G28" s="4"/>
      <c r="H28" s="4"/>
      <c r="I28" s="4"/>
      <c r="J28" s="2" t="s">
        <v>24</v>
      </c>
      <c r="K28" s="2" t="s">
        <v>83</v>
      </c>
      <c r="L28" s="2" t="s">
        <v>84</v>
      </c>
      <c r="M28" s="5">
        <v>1.0</v>
      </c>
      <c r="N28" s="2" t="s">
        <v>40</v>
      </c>
      <c r="O28" s="6">
        <v>250000.0</v>
      </c>
      <c r="P28" s="5">
        <v>240000.0</v>
      </c>
      <c r="R28" s="4">
        <v>0.0</v>
      </c>
      <c r="S28" s="5">
        <v>0.0</v>
      </c>
      <c r="T28" s="5">
        <v>250000.0</v>
      </c>
      <c r="U28" s="6">
        <v>4.0</v>
      </c>
      <c r="V28" s="3" t="s">
        <v>28</v>
      </c>
      <c r="W28" s="7" t="s">
        <v>28</v>
      </c>
    </row>
    <row r="29" ht="12.75" customHeight="1">
      <c r="A29" s="2" t="s">
        <v>112</v>
      </c>
      <c r="B29" s="3">
        <v>45306.6656134259</v>
      </c>
      <c r="C29" s="3" t="s">
        <v>22</v>
      </c>
      <c r="D29" s="2" t="s">
        <v>22</v>
      </c>
      <c r="E29" s="2" t="s">
        <v>23</v>
      </c>
      <c r="F29" s="4"/>
      <c r="G29" s="4"/>
      <c r="H29" s="4"/>
      <c r="I29" s="4"/>
      <c r="J29" s="2" t="s">
        <v>24</v>
      </c>
      <c r="K29" s="2" t="s">
        <v>83</v>
      </c>
      <c r="L29" s="2" t="s">
        <v>84</v>
      </c>
      <c r="M29" s="5">
        <v>1.0</v>
      </c>
      <c r="N29" s="2" t="s">
        <v>40</v>
      </c>
      <c r="O29" s="6">
        <v>250000.0</v>
      </c>
      <c r="P29" s="5">
        <v>250000.0</v>
      </c>
      <c r="R29" s="4">
        <v>0.0</v>
      </c>
      <c r="S29" s="5">
        <v>0.0</v>
      </c>
      <c r="T29" s="5">
        <v>250000.0</v>
      </c>
      <c r="U29" s="6">
        <v>0.0</v>
      </c>
      <c r="V29" s="3" t="s">
        <v>28</v>
      </c>
      <c r="W29" s="7" t="s">
        <v>28</v>
      </c>
    </row>
    <row r="30" ht="12.75" customHeight="1">
      <c r="A30" s="2" t="s">
        <v>113</v>
      </c>
      <c r="B30" s="3">
        <v>45306.6662615741</v>
      </c>
      <c r="C30" s="3" t="s">
        <v>22</v>
      </c>
      <c r="D30" s="2" t="s">
        <v>22</v>
      </c>
      <c r="E30" s="2" t="s">
        <v>23</v>
      </c>
      <c r="F30" s="4"/>
      <c r="G30" s="4"/>
      <c r="H30" s="4"/>
      <c r="I30" s="4"/>
      <c r="J30" s="2" t="s">
        <v>24</v>
      </c>
      <c r="K30" s="2" t="s">
        <v>83</v>
      </c>
      <c r="L30" s="2" t="s">
        <v>84</v>
      </c>
      <c r="M30" s="5">
        <v>1.0</v>
      </c>
      <c r="N30" s="2" t="s">
        <v>40</v>
      </c>
      <c r="O30" s="6">
        <v>250000.0</v>
      </c>
      <c r="P30" s="5">
        <v>250000.0</v>
      </c>
      <c r="R30" s="4">
        <v>0.0</v>
      </c>
      <c r="S30" s="5">
        <v>0.0</v>
      </c>
      <c r="T30" s="5">
        <v>250000.0</v>
      </c>
      <c r="U30" s="6">
        <v>0.0</v>
      </c>
      <c r="V30" s="3" t="s">
        <v>88</v>
      </c>
      <c r="W30" s="7" t="s">
        <v>28</v>
      </c>
    </row>
    <row r="31" ht="12.75" customHeight="1">
      <c r="A31" s="2" t="s">
        <v>114</v>
      </c>
      <c r="B31" s="3">
        <v>45307.683287037</v>
      </c>
      <c r="C31" s="3" t="s">
        <v>115</v>
      </c>
      <c r="D31" s="2" t="s">
        <v>116</v>
      </c>
      <c r="E31" s="2" t="s">
        <v>23</v>
      </c>
      <c r="F31" s="4"/>
      <c r="G31" s="4"/>
      <c r="H31" s="4"/>
      <c r="I31" s="4"/>
      <c r="J31" s="2" t="s">
        <v>117</v>
      </c>
      <c r="K31" s="2" t="s">
        <v>118</v>
      </c>
      <c r="L31" s="2" t="s">
        <v>119</v>
      </c>
      <c r="M31" s="5">
        <v>2.0</v>
      </c>
      <c r="N31" s="2" t="s">
        <v>27</v>
      </c>
      <c r="O31" s="6">
        <v>2750000.0</v>
      </c>
      <c r="P31" s="5">
        <v>5000000.0</v>
      </c>
      <c r="R31" s="4">
        <v>0.0</v>
      </c>
      <c r="S31" s="5">
        <v>0.0</v>
      </c>
      <c r="T31" s="5">
        <v>5500000.0</v>
      </c>
      <c r="U31" s="6">
        <v>9.0909090909</v>
      </c>
      <c r="V31" s="3" t="s">
        <v>32</v>
      </c>
      <c r="W31" s="7" t="s">
        <v>28</v>
      </c>
    </row>
    <row r="32" ht="13.5" customHeight="1">
      <c r="A32" s="2" t="s">
        <v>120</v>
      </c>
      <c r="B32" s="3">
        <v>45307.6857407407</v>
      </c>
      <c r="C32" s="3" t="s">
        <v>121</v>
      </c>
      <c r="D32" s="2" t="s">
        <v>122</v>
      </c>
      <c r="E32" s="2" t="s">
        <v>23</v>
      </c>
      <c r="F32" s="4"/>
      <c r="G32" s="4"/>
      <c r="H32" s="4"/>
      <c r="I32" s="4"/>
      <c r="J32" s="2" t="s">
        <v>24</v>
      </c>
      <c r="K32" s="2" t="s">
        <v>123</v>
      </c>
      <c r="L32" s="2" t="s">
        <v>124</v>
      </c>
      <c r="M32" s="5">
        <v>6.0</v>
      </c>
      <c r="N32" s="2" t="s">
        <v>40</v>
      </c>
      <c r="O32" s="6">
        <v>880000.0</v>
      </c>
      <c r="P32" s="5">
        <v>0.0</v>
      </c>
      <c r="R32" s="4">
        <v>0.0</v>
      </c>
      <c r="S32" s="5">
        <v>1.153E7</v>
      </c>
      <c r="T32" s="5">
        <v>5280000.0</v>
      </c>
      <c r="U32" s="6">
        <v>0.0</v>
      </c>
      <c r="V32" s="3" t="s">
        <v>28</v>
      </c>
      <c r="W32" s="7" t="s">
        <v>28</v>
      </c>
    </row>
    <row r="33" ht="12.75" customHeight="1">
      <c r="A33" s="2" t="s">
        <v>120</v>
      </c>
      <c r="B33" s="3">
        <v>45307.6857407407</v>
      </c>
      <c r="C33" s="3" t="s">
        <v>121</v>
      </c>
      <c r="D33" s="2" t="s">
        <v>122</v>
      </c>
      <c r="E33" s="2" t="s">
        <v>23</v>
      </c>
      <c r="F33" s="4"/>
      <c r="G33" s="4"/>
      <c r="H33" s="4"/>
      <c r="I33" s="4"/>
      <c r="J33" s="2" t="s">
        <v>24</v>
      </c>
      <c r="K33" s="2" t="s">
        <v>125</v>
      </c>
      <c r="L33" s="2" t="s">
        <v>126</v>
      </c>
      <c r="M33" s="5">
        <v>4.0</v>
      </c>
      <c r="N33" s="2" t="s">
        <v>40</v>
      </c>
      <c r="O33" s="6">
        <v>950000.0</v>
      </c>
      <c r="P33" s="5">
        <v>0.0</v>
      </c>
      <c r="R33" s="4">
        <v>0.0</v>
      </c>
      <c r="S33" s="5">
        <v>1.153E7</v>
      </c>
      <c r="T33" s="5">
        <v>3800000.0</v>
      </c>
      <c r="U33" s="6">
        <v>0.0</v>
      </c>
      <c r="V33" s="3" t="s">
        <v>28</v>
      </c>
      <c r="W33" s="7" t="s">
        <v>28</v>
      </c>
    </row>
    <row r="34" ht="12.75" customHeight="1">
      <c r="A34" s="2" t="s">
        <v>120</v>
      </c>
      <c r="B34" s="3">
        <v>45307.6857407407</v>
      </c>
      <c r="C34" s="3" t="s">
        <v>121</v>
      </c>
      <c r="D34" s="2" t="s">
        <v>122</v>
      </c>
      <c r="E34" s="2" t="s">
        <v>23</v>
      </c>
      <c r="F34" s="4"/>
      <c r="G34" s="4"/>
      <c r="H34" s="4"/>
      <c r="I34" s="4"/>
      <c r="J34" s="2" t="s">
        <v>24</v>
      </c>
      <c r="K34" s="2" t="s">
        <v>127</v>
      </c>
      <c r="L34" s="2" t="s">
        <v>128</v>
      </c>
      <c r="M34" s="5">
        <v>1.0</v>
      </c>
      <c r="N34" s="2" t="s">
        <v>27</v>
      </c>
      <c r="O34" s="6">
        <v>1500000.0</v>
      </c>
      <c r="P34" s="5">
        <v>0.0</v>
      </c>
      <c r="R34" s="4">
        <v>0.0</v>
      </c>
      <c r="S34" s="5">
        <v>1.153E7</v>
      </c>
      <c r="T34" s="5">
        <v>1500000.0</v>
      </c>
      <c r="U34" s="6">
        <v>0.0</v>
      </c>
      <c r="V34" s="3" t="s">
        <v>28</v>
      </c>
      <c r="W34" s="7" t="s">
        <v>28</v>
      </c>
    </row>
    <row r="35" ht="12.75" customHeight="1">
      <c r="A35" s="2" t="s">
        <v>120</v>
      </c>
      <c r="B35" s="3">
        <v>45307.6857407407</v>
      </c>
      <c r="C35" s="3" t="s">
        <v>121</v>
      </c>
      <c r="D35" s="2" t="s">
        <v>122</v>
      </c>
      <c r="E35" s="2" t="s">
        <v>23</v>
      </c>
      <c r="F35" s="4"/>
      <c r="G35" s="4"/>
      <c r="H35" s="4"/>
      <c r="I35" s="4"/>
      <c r="J35" s="2" t="s">
        <v>24</v>
      </c>
      <c r="K35" s="2" t="s">
        <v>129</v>
      </c>
      <c r="L35" s="2" t="s">
        <v>130</v>
      </c>
      <c r="M35" s="5">
        <v>1.0</v>
      </c>
      <c r="N35" s="2" t="s">
        <v>27</v>
      </c>
      <c r="O35" s="6">
        <v>950000.0</v>
      </c>
      <c r="P35" s="5">
        <v>0.0</v>
      </c>
      <c r="R35" s="4">
        <v>0.0</v>
      </c>
      <c r="S35" s="5">
        <v>1.153E7</v>
      </c>
      <c r="T35" s="5">
        <v>950000.0</v>
      </c>
      <c r="U35" s="6">
        <v>0.0</v>
      </c>
      <c r="V35" s="3" t="s">
        <v>28</v>
      </c>
      <c r="W35" s="7" t="s">
        <v>28</v>
      </c>
    </row>
    <row r="36" ht="12.75" customHeight="1">
      <c r="A36" s="2" t="s">
        <v>131</v>
      </c>
      <c r="B36" s="3">
        <v>45308.6717361111</v>
      </c>
      <c r="C36" s="3" t="s">
        <v>132</v>
      </c>
      <c r="D36" s="2" t="s">
        <v>133</v>
      </c>
      <c r="E36" s="2" t="s">
        <v>23</v>
      </c>
      <c r="F36" s="4"/>
      <c r="G36" s="4"/>
      <c r="H36" s="4"/>
      <c r="I36" s="4"/>
      <c r="J36" s="2" t="s">
        <v>62</v>
      </c>
      <c r="K36" s="2" t="s">
        <v>134</v>
      </c>
      <c r="L36" s="2" t="s">
        <v>135</v>
      </c>
      <c r="M36" s="5">
        <v>1.0</v>
      </c>
      <c r="N36" s="2" t="s">
        <v>27</v>
      </c>
      <c r="O36" s="6">
        <v>2600000.0</v>
      </c>
      <c r="P36" s="5">
        <v>8300000.0</v>
      </c>
      <c r="R36" s="4">
        <v>0.0</v>
      </c>
      <c r="S36" s="5">
        <v>0.0</v>
      </c>
      <c r="T36" s="5">
        <v>2600000.0</v>
      </c>
      <c r="U36" s="6">
        <v>0.0</v>
      </c>
      <c r="V36" s="3" t="s">
        <v>28</v>
      </c>
      <c r="W36" s="7" t="s">
        <v>28</v>
      </c>
    </row>
    <row r="37" ht="12.75" customHeight="1">
      <c r="A37" s="2" t="s">
        <v>131</v>
      </c>
      <c r="B37" s="3">
        <v>45308.6717361111</v>
      </c>
      <c r="C37" s="3" t="s">
        <v>132</v>
      </c>
      <c r="D37" s="2" t="s">
        <v>133</v>
      </c>
      <c r="E37" s="2" t="s">
        <v>23</v>
      </c>
      <c r="F37" s="4"/>
      <c r="G37" s="4"/>
      <c r="H37" s="4"/>
      <c r="I37" s="4"/>
      <c r="J37" s="2" t="s">
        <v>62</v>
      </c>
      <c r="K37" s="2" t="s">
        <v>136</v>
      </c>
      <c r="L37" s="2" t="s">
        <v>137</v>
      </c>
      <c r="M37" s="5">
        <v>1.0</v>
      </c>
      <c r="N37" s="2" t="s">
        <v>27</v>
      </c>
      <c r="O37" s="6">
        <v>1000000.0</v>
      </c>
      <c r="P37" s="5">
        <v>8300000.0</v>
      </c>
      <c r="R37" s="4">
        <v>0.0</v>
      </c>
      <c r="S37" s="5">
        <v>0.0</v>
      </c>
      <c r="T37" s="5">
        <v>1000000.0</v>
      </c>
      <c r="U37" s="6">
        <v>0.0</v>
      </c>
      <c r="V37" s="3" t="s">
        <v>28</v>
      </c>
      <c r="W37" s="7" t="s">
        <v>28</v>
      </c>
    </row>
    <row r="38" ht="12.75" customHeight="1">
      <c r="A38" s="2" t="s">
        <v>131</v>
      </c>
      <c r="B38" s="3">
        <v>45308.6717361111</v>
      </c>
      <c r="C38" s="3" t="s">
        <v>132</v>
      </c>
      <c r="D38" s="2" t="s">
        <v>133</v>
      </c>
      <c r="E38" s="2" t="s">
        <v>23</v>
      </c>
      <c r="F38" s="4"/>
      <c r="G38" s="4"/>
      <c r="H38" s="4"/>
      <c r="I38" s="4"/>
      <c r="J38" s="2" t="s">
        <v>62</v>
      </c>
      <c r="K38" s="2" t="s">
        <v>138</v>
      </c>
      <c r="L38" s="2" t="s">
        <v>139</v>
      </c>
      <c r="M38" s="5">
        <v>1.0</v>
      </c>
      <c r="N38" s="2" t="s">
        <v>27</v>
      </c>
      <c r="O38" s="6">
        <v>1700000.0</v>
      </c>
      <c r="P38" s="5">
        <v>8300000.0</v>
      </c>
      <c r="R38" s="4">
        <v>0.0</v>
      </c>
      <c r="S38" s="5">
        <v>0.0</v>
      </c>
      <c r="T38" s="5">
        <v>1700000.0</v>
      </c>
      <c r="U38" s="6">
        <v>0.0</v>
      </c>
      <c r="V38" s="3" t="s">
        <v>28</v>
      </c>
      <c r="W38" s="7" t="s">
        <v>28</v>
      </c>
    </row>
    <row r="39" ht="12.75" customHeight="1">
      <c r="A39" s="2" t="s">
        <v>131</v>
      </c>
      <c r="B39" s="3">
        <v>45308.6717361111</v>
      </c>
      <c r="C39" s="3" t="s">
        <v>132</v>
      </c>
      <c r="D39" s="2" t="s">
        <v>133</v>
      </c>
      <c r="E39" s="2" t="s">
        <v>23</v>
      </c>
      <c r="F39" s="4"/>
      <c r="G39" s="4"/>
      <c r="H39" s="4"/>
      <c r="I39" s="4"/>
      <c r="J39" s="2" t="s">
        <v>62</v>
      </c>
      <c r="K39" s="2" t="s">
        <v>140</v>
      </c>
      <c r="L39" s="2" t="s">
        <v>141</v>
      </c>
      <c r="M39" s="5">
        <v>10.0</v>
      </c>
      <c r="N39" s="2" t="s">
        <v>40</v>
      </c>
      <c r="O39" s="6">
        <v>300000.0</v>
      </c>
      <c r="P39" s="5">
        <v>8300000.0</v>
      </c>
      <c r="R39" s="4">
        <v>0.0</v>
      </c>
      <c r="S39" s="5">
        <v>0.0</v>
      </c>
      <c r="T39" s="5">
        <v>3000000.0</v>
      </c>
      <c r="U39" s="6">
        <v>0.0</v>
      </c>
      <c r="V39" s="3" t="s">
        <v>28</v>
      </c>
      <c r="W39" s="7" t="s">
        <v>28</v>
      </c>
    </row>
    <row r="40" ht="12.75" customHeight="1">
      <c r="A40" s="2" t="s">
        <v>142</v>
      </c>
      <c r="B40" s="3">
        <v>45308.6723842593</v>
      </c>
      <c r="C40" s="3" t="s">
        <v>143</v>
      </c>
      <c r="D40" s="2" t="s">
        <v>144</v>
      </c>
      <c r="E40" s="2" t="s">
        <v>23</v>
      </c>
      <c r="F40" s="4"/>
      <c r="G40" s="4"/>
      <c r="H40" s="4"/>
      <c r="I40" s="4"/>
      <c r="J40" s="2" t="s">
        <v>24</v>
      </c>
      <c r="K40" s="2" t="s">
        <v>145</v>
      </c>
      <c r="L40" s="2" t="s">
        <v>146</v>
      </c>
      <c r="M40" s="5">
        <v>1.0</v>
      </c>
      <c r="N40" s="2" t="s">
        <v>27</v>
      </c>
      <c r="O40" s="6">
        <v>3000000.0</v>
      </c>
      <c r="P40" s="5">
        <v>3000000.0</v>
      </c>
      <c r="R40" s="4">
        <v>0.0</v>
      </c>
      <c r="S40" s="5">
        <v>0.0</v>
      </c>
      <c r="T40" s="5">
        <v>3000000.0</v>
      </c>
      <c r="U40" s="6">
        <v>0.0</v>
      </c>
      <c r="V40" s="3" t="s">
        <v>28</v>
      </c>
      <c r="W40" s="7" t="s">
        <v>28</v>
      </c>
    </row>
    <row r="41" ht="12.75" customHeight="1">
      <c r="A41" s="2" t="s">
        <v>147</v>
      </c>
      <c r="B41" s="3">
        <v>45308.6736342593</v>
      </c>
      <c r="C41" s="3" t="s">
        <v>148</v>
      </c>
      <c r="D41" s="2" t="s">
        <v>149</v>
      </c>
      <c r="E41" s="2" t="s">
        <v>23</v>
      </c>
      <c r="F41" s="4"/>
      <c r="G41" s="4"/>
      <c r="H41" s="4"/>
      <c r="I41" s="4"/>
      <c r="J41" s="2" t="s">
        <v>24</v>
      </c>
      <c r="K41" s="2" t="s">
        <v>150</v>
      </c>
      <c r="L41" s="2" t="s">
        <v>151</v>
      </c>
      <c r="M41" s="5">
        <v>2.0</v>
      </c>
      <c r="N41" s="2" t="s">
        <v>27</v>
      </c>
      <c r="O41" s="6">
        <v>2690000.0</v>
      </c>
      <c r="P41" s="5">
        <v>5000000.0</v>
      </c>
      <c r="R41" s="4">
        <v>0.0</v>
      </c>
      <c r="S41" s="5">
        <v>0.0</v>
      </c>
      <c r="T41" s="5">
        <v>5380000.0</v>
      </c>
      <c r="U41" s="6">
        <v>7.063197026</v>
      </c>
      <c r="V41" s="3" t="s">
        <v>32</v>
      </c>
      <c r="W41" s="7" t="s">
        <v>28</v>
      </c>
    </row>
    <row r="42" ht="12.75" customHeight="1">
      <c r="A42" s="2" t="s">
        <v>152</v>
      </c>
      <c r="B42" s="3">
        <v>45310.6958564815</v>
      </c>
      <c r="C42" s="3" t="s">
        <v>153</v>
      </c>
      <c r="D42" s="2" t="s">
        <v>154</v>
      </c>
      <c r="E42" s="2" t="s">
        <v>23</v>
      </c>
      <c r="F42" s="4"/>
      <c r="G42" s="4"/>
      <c r="H42" s="4"/>
      <c r="I42" s="4"/>
      <c r="J42" s="2" t="s">
        <v>24</v>
      </c>
      <c r="K42" s="2" t="s">
        <v>155</v>
      </c>
      <c r="L42" s="2" t="s">
        <v>156</v>
      </c>
      <c r="M42" s="5">
        <v>1.0</v>
      </c>
      <c r="N42" s="2" t="s">
        <v>27</v>
      </c>
      <c r="O42" s="6">
        <v>2900000.0</v>
      </c>
      <c r="P42" s="5">
        <v>5900000.0</v>
      </c>
      <c r="R42" s="4">
        <v>0.0</v>
      </c>
      <c r="S42" s="5">
        <v>0.0</v>
      </c>
      <c r="T42" s="5">
        <v>2900000.0</v>
      </c>
      <c r="U42" s="6">
        <v>0.0</v>
      </c>
      <c r="V42" s="3" t="s">
        <v>28</v>
      </c>
      <c r="W42" s="7" t="s">
        <v>28</v>
      </c>
    </row>
    <row r="43" ht="12.75" customHeight="1">
      <c r="A43" s="2" t="s">
        <v>152</v>
      </c>
      <c r="B43" s="3">
        <v>45310.6958564815</v>
      </c>
      <c r="C43" s="3" t="s">
        <v>153</v>
      </c>
      <c r="D43" s="2" t="s">
        <v>154</v>
      </c>
      <c r="E43" s="2" t="s">
        <v>23</v>
      </c>
      <c r="F43" s="4"/>
      <c r="G43" s="4"/>
      <c r="H43" s="4"/>
      <c r="I43" s="4"/>
      <c r="J43" s="2" t="s">
        <v>24</v>
      </c>
      <c r="K43" s="2" t="s">
        <v>136</v>
      </c>
      <c r="L43" s="2" t="s">
        <v>137</v>
      </c>
      <c r="M43" s="5">
        <v>3.0</v>
      </c>
      <c r="N43" s="2" t="s">
        <v>27</v>
      </c>
      <c r="O43" s="6">
        <v>1000000.0</v>
      </c>
      <c r="P43" s="5">
        <v>5900000.0</v>
      </c>
      <c r="R43" s="4">
        <v>0.0</v>
      </c>
      <c r="S43" s="5">
        <v>0.0</v>
      </c>
      <c r="T43" s="5">
        <v>3000000.0</v>
      </c>
      <c r="U43" s="6">
        <v>0.0</v>
      </c>
      <c r="V43" s="3" t="s">
        <v>28</v>
      </c>
      <c r="W43" s="7" t="s">
        <v>28</v>
      </c>
    </row>
    <row r="44" ht="12.75" customHeight="1">
      <c r="A44" s="2" t="s">
        <v>157</v>
      </c>
      <c r="B44" s="3">
        <v>45310.6968171296</v>
      </c>
      <c r="C44" s="3" t="s">
        <v>22</v>
      </c>
      <c r="D44" s="2" t="s">
        <v>22</v>
      </c>
      <c r="E44" s="2" t="s">
        <v>23</v>
      </c>
      <c r="F44" s="4"/>
      <c r="G44" s="4"/>
      <c r="H44" s="4"/>
      <c r="I44" s="4"/>
      <c r="J44" s="2" t="s">
        <v>24</v>
      </c>
      <c r="K44" s="2" t="s">
        <v>158</v>
      </c>
      <c r="L44" s="2" t="s">
        <v>159</v>
      </c>
      <c r="M44" s="5">
        <v>1.0</v>
      </c>
      <c r="N44" s="2" t="s">
        <v>27</v>
      </c>
      <c r="O44" s="6">
        <v>4800000.0</v>
      </c>
      <c r="P44" s="5">
        <v>4400000.0</v>
      </c>
      <c r="R44" s="4">
        <v>0.0</v>
      </c>
      <c r="S44" s="5">
        <v>0.0</v>
      </c>
      <c r="T44" s="5">
        <v>4800000.0</v>
      </c>
      <c r="U44" s="6">
        <v>8.3333333333</v>
      </c>
      <c r="V44" s="3" t="s">
        <v>28</v>
      </c>
      <c r="W44" s="7" t="s">
        <v>28</v>
      </c>
    </row>
    <row r="45" ht="13.5" customHeight="1">
      <c r="A45" s="2" t="s">
        <v>160</v>
      </c>
      <c r="B45" s="3">
        <v>45310.697662037</v>
      </c>
      <c r="C45" s="3" t="s">
        <v>22</v>
      </c>
      <c r="D45" s="2" t="s">
        <v>22</v>
      </c>
      <c r="E45" s="2" t="s">
        <v>23</v>
      </c>
      <c r="F45" s="4"/>
      <c r="G45" s="4"/>
      <c r="H45" s="4"/>
      <c r="I45" s="4"/>
      <c r="J45" s="2" t="s">
        <v>24</v>
      </c>
      <c r="K45" s="2" t="s">
        <v>161</v>
      </c>
      <c r="L45" s="2" t="s">
        <v>162</v>
      </c>
      <c r="M45" s="5">
        <v>1.0</v>
      </c>
      <c r="N45" s="2" t="s">
        <v>40</v>
      </c>
      <c r="O45" s="6">
        <v>150000.0</v>
      </c>
      <c r="P45" s="5">
        <v>150000.0</v>
      </c>
      <c r="R45" s="4">
        <v>0.0</v>
      </c>
      <c r="S45" s="5">
        <v>0.0</v>
      </c>
      <c r="T45" s="5">
        <v>150000.0</v>
      </c>
      <c r="U45" s="6">
        <v>0.0</v>
      </c>
      <c r="V45" s="3" t="s">
        <v>163</v>
      </c>
      <c r="W45" s="7" t="s">
        <v>28</v>
      </c>
    </row>
    <row r="46" ht="12.75" customHeight="1">
      <c r="A46" s="2" t="s">
        <v>164</v>
      </c>
      <c r="B46" s="3">
        <v>45311.6702430556</v>
      </c>
      <c r="C46" s="3" t="s">
        <v>132</v>
      </c>
      <c r="D46" s="2" t="s">
        <v>133</v>
      </c>
      <c r="E46" s="2" t="s">
        <v>23</v>
      </c>
      <c r="F46" s="4"/>
      <c r="G46" s="4"/>
      <c r="H46" s="4"/>
      <c r="I46" s="4"/>
      <c r="J46" s="2" t="s">
        <v>62</v>
      </c>
      <c r="K46" s="2" t="s">
        <v>138</v>
      </c>
      <c r="L46" s="2" t="s">
        <v>139</v>
      </c>
      <c r="M46" s="5">
        <v>1.0</v>
      </c>
      <c r="N46" s="2" t="s">
        <v>27</v>
      </c>
      <c r="O46" s="6">
        <v>1800000.0</v>
      </c>
      <c r="P46" s="5">
        <v>1700000.0</v>
      </c>
      <c r="R46" s="4">
        <v>0.0</v>
      </c>
      <c r="S46" s="5">
        <v>0.0</v>
      </c>
      <c r="T46" s="5">
        <v>1800000.0</v>
      </c>
      <c r="U46" s="6">
        <v>5.5555555556</v>
      </c>
      <c r="V46" s="3" t="s">
        <v>28</v>
      </c>
      <c r="W46" s="7" t="s">
        <v>28</v>
      </c>
    </row>
    <row r="47" ht="12.75" customHeight="1">
      <c r="A47" s="2" t="s">
        <v>165</v>
      </c>
      <c r="B47" s="3">
        <v>45311.6710185185</v>
      </c>
      <c r="C47" s="3" t="s">
        <v>22</v>
      </c>
      <c r="D47" s="2" t="s">
        <v>22</v>
      </c>
      <c r="E47" s="2" t="s">
        <v>23</v>
      </c>
      <c r="F47" s="4"/>
      <c r="G47" s="4"/>
      <c r="H47" s="4"/>
      <c r="I47" s="4"/>
      <c r="J47" s="2" t="s">
        <v>24</v>
      </c>
      <c r="K47" s="2" t="s">
        <v>50</v>
      </c>
      <c r="L47" s="2" t="s">
        <v>51</v>
      </c>
      <c r="M47" s="5">
        <v>1.0</v>
      </c>
      <c r="N47" s="2" t="s">
        <v>40</v>
      </c>
      <c r="O47" s="6">
        <v>1350000.0</v>
      </c>
      <c r="P47" s="5">
        <v>1350000.0</v>
      </c>
      <c r="R47" s="4">
        <v>0.0</v>
      </c>
      <c r="S47" s="5">
        <v>0.0</v>
      </c>
      <c r="T47" s="5">
        <v>1350000.0</v>
      </c>
      <c r="U47" s="6">
        <v>0.0</v>
      </c>
      <c r="V47" s="3" t="s">
        <v>28</v>
      </c>
      <c r="W47" s="7" t="s">
        <v>28</v>
      </c>
    </row>
    <row r="48" ht="12.75" customHeight="1">
      <c r="A48" s="2" t="s">
        <v>166</v>
      </c>
      <c r="B48" s="3">
        <v>45313.6756018519</v>
      </c>
      <c r="C48" s="3" t="s">
        <v>22</v>
      </c>
      <c r="D48" s="2" t="s">
        <v>22</v>
      </c>
      <c r="E48" s="2" t="s">
        <v>23</v>
      </c>
      <c r="F48" s="4"/>
      <c r="G48" s="4"/>
      <c r="H48" s="4"/>
      <c r="I48" s="4"/>
      <c r="J48" s="2" t="s">
        <v>24</v>
      </c>
      <c r="K48" s="2" t="s">
        <v>68</v>
      </c>
      <c r="L48" s="2" t="s">
        <v>69</v>
      </c>
      <c r="M48" s="5">
        <v>1.0</v>
      </c>
      <c r="N48" s="2" t="s">
        <v>40</v>
      </c>
      <c r="O48" s="6">
        <v>2800000.0</v>
      </c>
      <c r="P48" s="5">
        <v>2800000.0</v>
      </c>
      <c r="R48" s="4">
        <v>0.0</v>
      </c>
      <c r="S48" s="5">
        <v>0.0</v>
      </c>
      <c r="T48" s="5">
        <v>2800000.0</v>
      </c>
      <c r="U48" s="6">
        <v>0.0</v>
      </c>
      <c r="V48" s="3" t="s">
        <v>88</v>
      </c>
      <c r="W48" s="7" t="s">
        <v>28</v>
      </c>
    </row>
    <row r="49" ht="12.75" customHeight="1">
      <c r="A49" s="2" t="s">
        <v>167</v>
      </c>
      <c r="B49" s="3">
        <v>45313.6771527778</v>
      </c>
      <c r="C49" s="3" t="s">
        <v>22</v>
      </c>
      <c r="D49" s="2" t="s">
        <v>22</v>
      </c>
      <c r="E49" s="2" t="s">
        <v>23</v>
      </c>
      <c r="F49" s="4"/>
      <c r="G49" s="4"/>
      <c r="H49" s="4"/>
      <c r="I49" s="4"/>
      <c r="J49" s="2" t="s">
        <v>24</v>
      </c>
      <c r="K49" s="2" t="s">
        <v>168</v>
      </c>
      <c r="L49" s="2" t="s">
        <v>169</v>
      </c>
      <c r="M49" s="5">
        <v>1.0</v>
      </c>
      <c r="N49" s="2" t="s">
        <v>40</v>
      </c>
      <c r="O49" s="6">
        <v>735000.0</v>
      </c>
      <c r="P49" s="5">
        <v>950000.0</v>
      </c>
      <c r="R49" s="4">
        <v>0.0</v>
      </c>
      <c r="S49" s="5">
        <v>0.0</v>
      </c>
      <c r="T49" s="5">
        <v>735000.0</v>
      </c>
      <c r="U49" s="6">
        <v>5.9405940594</v>
      </c>
      <c r="V49" s="3" t="s">
        <v>28</v>
      </c>
      <c r="W49" s="7" t="s">
        <v>28</v>
      </c>
    </row>
    <row r="50" ht="12.75" customHeight="1">
      <c r="A50" s="2" t="s">
        <v>167</v>
      </c>
      <c r="B50" s="3">
        <v>45313.6771527778</v>
      </c>
      <c r="C50" s="3" t="s">
        <v>22</v>
      </c>
      <c r="D50" s="2" t="s">
        <v>22</v>
      </c>
      <c r="E50" s="2" t="s">
        <v>23</v>
      </c>
      <c r="F50" s="4"/>
      <c r="G50" s="4"/>
      <c r="H50" s="4"/>
      <c r="I50" s="4"/>
      <c r="J50" s="2" t="s">
        <v>24</v>
      </c>
      <c r="K50" s="2" t="s">
        <v>170</v>
      </c>
      <c r="L50" s="2" t="s">
        <v>171</v>
      </c>
      <c r="M50" s="5">
        <v>1.0</v>
      </c>
      <c r="N50" s="2" t="s">
        <v>40</v>
      </c>
      <c r="O50" s="6">
        <v>275000.0</v>
      </c>
      <c r="P50" s="5">
        <v>950000.0</v>
      </c>
      <c r="R50" s="4">
        <v>0.0</v>
      </c>
      <c r="S50" s="5">
        <v>0.0</v>
      </c>
      <c r="T50" s="5">
        <v>275000.0</v>
      </c>
      <c r="U50" s="6">
        <v>5.9405940594</v>
      </c>
      <c r="V50" s="3" t="s">
        <v>28</v>
      </c>
      <c r="W50" s="7" t="s">
        <v>28</v>
      </c>
    </row>
    <row r="51" ht="12.75" customHeight="1">
      <c r="A51" s="2" t="s">
        <v>172</v>
      </c>
      <c r="B51" s="3">
        <v>45313.6987384259</v>
      </c>
      <c r="C51" s="3" t="s">
        <v>22</v>
      </c>
      <c r="D51" s="2" t="s">
        <v>22</v>
      </c>
      <c r="E51" s="2" t="s">
        <v>23</v>
      </c>
      <c r="F51" s="4"/>
      <c r="G51" s="4"/>
      <c r="H51" s="4"/>
      <c r="I51" s="4"/>
      <c r="J51" s="2" t="s">
        <v>24</v>
      </c>
      <c r="K51" s="2" t="s">
        <v>25</v>
      </c>
      <c r="L51" s="2" t="s">
        <v>26</v>
      </c>
      <c r="M51" s="5">
        <v>1.0</v>
      </c>
      <c r="N51" s="2" t="s">
        <v>27</v>
      </c>
      <c r="O51" s="6">
        <v>6350000.0</v>
      </c>
      <c r="P51" s="5">
        <v>6150000.0</v>
      </c>
      <c r="R51" s="4">
        <v>0.0</v>
      </c>
      <c r="S51" s="5">
        <v>0.0</v>
      </c>
      <c r="T51" s="5">
        <v>6350000.0</v>
      </c>
      <c r="U51" s="6">
        <v>3.1496062992</v>
      </c>
      <c r="V51" s="3" t="s">
        <v>28</v>
      </c>
      <c r="W51" s="7" t="s">
        <v>28</v>
      </c>
    </row>
    <row r="52" ht="12.75" customHeight="1">
      <c r="A52" s="2" t="s">
        <v>173</v>
      </c>
      <c r="B52" s="3">
        <v>45314.6758333333</v>
      </c>
      <c r="C52" s="3" t="s">
        <v>66</v>
      </c>
      <c r="D52" s="2" t="s">
        <v>67</v>
      </c>
      <c r="E52" s="2" t="s">
        <v>23</v>
      </c>
      <c r="F52" s="4"/>
      <c r="G52" s="4"/>
      <c r="H52" s="4"/>
      <c r="I52" s="4"/>
      <c r="J52" s="2" t="s">
        <v>24</v>
      </c>
      <c r="K52" s="2" t="s">
        <v>174</v>
      </c>
      <c r="L52" s="2" t="s">
        <v>175</v>
      </c>
      <c r="M52" s="5">
        <v>1.0</v>
      </c>
      <c r="N52" s="2" t="s">
        <v>27</v>
      </c>
      <c r="O52" s="6">
        <v>3625000.0</v>
      </c>
      <c r="P52" s="5">
        <v>1.09E7</v>
      </c>
      <c r="R52" s="4">
        <v>0.0</v>
      </c>
      <c r="S52" s="5">
        <v>0.0</v>
      </c>
      <c r="T52" s="5">
        <v>3625000.0</v>
      </c>
      <c r="U52" s="6">
        <v>6.2365591398</v>
      </c>
      <c r="V52" s="3" t="s">
        <v>176</v>
      </c>
      <c r="W52" s="7" t="s">
        <v>28</v>
      </c>
    </row>
    <row r="53" ht="12.75" customHeight="1">
      <c r="A53" s="2" t="s">
        <v>173</v>
      </c>
      <c r="B53" s="3">
        <v>45314.6758333333</v>
      </c>
      <c r="C53" s="3" t="s">
        <v>66</v>
      </c>
      <c r="D53" s="2" t="s">
        <v>67</v>
      </c>
      <c r="E53" s="2" t="s">
        <v>23</v>
      </c>
      <c r="F53" s="4"/>
      <c r="G53" s="4"/>
      <c r="H53" s="4"/>
      <c r="I53" s="4"/>
      <c r="J53" s="2" t="s">
        <v>24</v>
      </c>
      <c r="K53" s="2" t="s">
        <v>177</v>
      </c>
      <c r="L53" s="2" t="s">
        <v>178</v>
      </c>
      <c r="M53" s="5">
        <v>2.0</v>
      </c>
      <c r="N53" s="2" t="s">
        <v>40</v>
      </c>
      <c r="O53" s="6">
        <v>2250000.0</v>
      </c>
      <c r="P53" s="5">
        <v>1.09E7</v>
      </c>
      <c r="R53" s="4">
        <v>0.0</v>
      </c>
      <c r="S53" s="5">
        <v>0.0</v>
      </c>
      <c r="T53" s="5">
        <v>4500000.0</v>
      </c>
      <c r="U53" s="6">
        <v>6.2365591398</v>
      </c>
      <c r="V53" s="3" t="s">
        <v>176</v>
      </c>
      <c r="W53" s="7" t="s">
        <v>28</v>
      </c>
    </row>
    <row r="54" ht="12.75" customHeight="1">
      <c r="A54" s="2" t="s">
        <v>173</v>
      </c>
      <c r="B54" s="3">
        <v>45314.6758333333</v>
      </c>
      <c r="C54" s="3" t="s">
        <v>66</v>
      </c>
      <c r="D54" s="2" t="s">
        <v>67</v>
      </c>
      <c r="E54" s="2" t="s">
        <v>23</v>
      </c>
      <c r="F54" s="4"/>
      <c r="G54" s="4"/>
      <c r="H54" s="4"/>
      <c r="I54" s="4"/>
      <c r="J54" s="2" t="s">
        <v>24</v>
      </c>
      <c r="K54" s="2" t="s">
        <v>179</v>
      </c>
      <c r="L54" s="2" t="s">
        <v>180</v>
      </c>
      <c r="M54" s="5">
        <v>2.0</v>
      </c>
      <c r="N54" s="2" t="s">
        <v>27</v>
      </c>
      <c r="O54" s="6">
        <v>1750000.0</v>
      </c>
      <c r="P54" s="5">
        <v>1.09E7</v>
      </c>
      <c r="R54" s="4">
        <v>0.0</v>
      </c>
      <c r="S54" s="5">
        <v>0.0</v>
      </c>
      <c r="T54" s="5">
        <v>3500000.0</v>
      </c>
      <c r="U54" s="6">
        <v>6.2365591398</v>
      </c>
      <c r="V54" s="3" t="s">
        <v>176</v>
      </c>
      <c r="W54" s="7" t="s">
        <v>28</v>
      </c>
    </row>
    <row r="55" ht="12.75" customHeight="1">
      <c r="A55" s="2" t="s">
        <v>181</v>
      </c>
      <c r="B55" s="3">
        <v>45314.6771064815</v>
      </c>
      <c r="C55" s="3" t="s">
        <v>182</v>
      </c>
      <c r="D55" s="2" t="s">
        <v>183</v>
      </c>
      <c r="E55" s="2" t="s">
        <v>23</v>
      </c>
      <c r="F55" s="4"/>
      <c r="G55" s="4"/>
      <c r="H55" s="4"/>
      <c r="I55" s="4"/>
      <c r="J55" s="2" t="s">
        <v>62</v>
      </c>
      <c r="K55" s="2" t="s">
        <v>184</v>
      </c>
      <c r="L55" s="2" t="s">
        <v>185</v>
      </c>
      <c r="M55" s="5">
        <v>13.0</v>
      </c>
      <c r="N55" s="2" t="s">
        <v>40</v>
      </c>
      <c r="O55" s="6">
        <v>850000.0</v>
      </c>
      <c r="P55" s="5">
        <v>1.105E7</v>
      </c>
      <c r="R55" s="4">
        <v>0.0</v>
      </c>
      <c r="S55" s="5">
        <v>0.0</v>
      </c>
      <c r="T55" s="5">
        <v>1.105E7</v>
      </c>
      <c r="U55" s="6">
        <v>0.0</v>
      </c>
      <c r="V55" s="3" t="s">
        <v>32</v>
      </c>
      <c r="W55" s="7" t="s">
        <v>28</v>
      </c>
    </row>
    <row r="56" ht="12.75" customHeight="1">
      <c r="A56" s="2" t="s">
        <v>186</v>
      </c>
      <c r="B56" s="3">
        <v>45315.6852893519</v>
      </c>
      <c r="C56" s="3" t="s">
        <v>22</v>
      </c>
      <c r="D56" s="2" t="s">
        <v>22</v>
      </c>
      <c r="E56" s="2" t="s">
        <v>23</v>
      </c>
      <c r="F56" s="4"/>
      <c r="G56" s="4"/>
      <c r="H56" s="4"/>
      <c r="I56" s="4"/>
      <c r="J56" s="2" t="s">
        <v>24</v>
      </c>
      <c r="K56" s="2" t="s">
        <v>33</v>
      </c>
      <c r="L56" s="2" t="s">
        <v>34</v>
      </c>
      <c r="M56" s="5">
        <v>1.0</v>
      </c>
      <c r="N56" s="2" t="s">
        <v>27</v>
      </c>
      <c r="O56" s="6">
        <v>800000.0</v>
      </c>
      <c r="P56" s="5">
        <v>800000.0</v>
      </c>
      <c r="R56" s="4">
        <v>0.0</v>
      </c>
      <c r="S56" s="5">
        <v>0.0</v>
      </c>
      <c r="T56" s="5">
        <v>800000.0</v>
      </c>
      <c r="U56" s="6">
        <v>0.0</v>
      </c>
      <c r="V56" s="3" t="s">
        <v>28</v>
      </c>
      <c r="W56" s="7" t="s">
        <v>28</v>
      </c>
    </row>
    <row r="57" ht="13.5" customHeight="1">
      <c r="A57" s="2" t="s">
        <v>187</v>
      </c>
      <c r="B57" s="3">
        <v>45315.6869328704</v>
      </c>
      <c r="C57" s="3" t="s">
        <v>188</v>
      </c>
      <c r="D57" s="2" t="s">
        <v>189</v>
      </c>
      <c r="E57" s="2" t="s">
        <v>23</v>
      </c>
      <c r="F57" s="4"/>
      <c r="G57" s="4"/>
      <c r="H57" s="4"/>
      <c r="I57" s="4"/>
      <c r="J57" s="2" t="s">
        <v>62</v>
      </c>
      <c r="K57" s="2" t="s">
        <v>190</v>
      </c>
      <c r="L57" s="2" t="s">
        <v>191</v>
      </c>
      <c r="M57" s="5">
        <v>3.0</v>
      </c>
      <c r="N57" s="2" t="s">
        <v>27</v>
      </c>
      <c r="O57" s="6">
        <v>3100000.0</v>
      </c>
      <c r="P57" s="5">
        <v>0.0</v>
      </c>
      <c r="R57" s="4">
        <v>0.0</v>
      </c>
      <c r="S57" s="5">
        <v>9000000.0</v>
      </c>
      <c r="T57" s="5">
        <v>9300000.0</v>
      </c>
      <c r="U57" s="6">
        <v>3.2258064516</v>
      </c>
      <c r="V57" s="3" t="s">
        <v>28</v>
      </c>
      <c r="W57" s="7" t="s">
        <v>28</v>
      </c>
    </row>
    <row r="58" ht="12.75" customHeight="1">
      <c r="A58" s="2" t="s">
        <v>192</v>
      </c>
      <c r="B58" s="3">
        <v>45315.7167476852</v>
      </c>
      <c r="C58" s="3" t="s">
        <v>22</v>
      </c>
      <c r="D58" s="2" t="s">
        <v>22</v>
      </c>
      <c r="E58" s="2" t="s">
        <v>23</v>
      </c>
      <c r="F58" s="4"/>
      <c r="G58" s="4"/>
      <c r="H58" s="4"/>
      <c r="I58" s="4"/>
      <c r="J58" s="2" t="s">
        <v>24</v>
      </c>
      <c r="K58" s="2" t="s">
        <v>193</v>
      </c>
      <c r="L58" s="2" t="s">
        <v>194</v>
      </c>
      <c r="M58" s="5">
        <v>1.0</v>
      </c>
      <c r="N58" s="2" t="s">
        <v>40</v>
      </c>
      <c r="O58" s="6">
        <v>1200000.0</v>
      </c>
      <c r="P58" s="5">
        <v>1200000.0</v>
      </c>
      <c r="R58" s="4">
        <v>0.0</v>
      </c>
      <c r="S58" s="5">
        <v>0.0</v>
      </c>
      <c r="T58" s="5">
        <v>1200000.0</v>
      </c>
      <c r="U58" s="6">
        <v>0.0</v>
      </c>
      <c r="V58" s="3" t="s">
        <v>195</v>
      </c>
      <c r="W58" s="7" t="s">
        <v>28</v>
      </c>
    </row>
    <row r="59" ht="12.75" customHeight="1">
      <c r="A59" s="2" t="s">
        <v>196</v>
      </c>
      <c r="B59" s="3">
        <v>45316.645</v>
      </c>
      <c r="C59" s="3" t="s">
        <v>197</v>
      </c>
      <c r="D59" s="2" t="s">
        <v>198</v>
      </c>
      <c r="E59" s="2" t="s">
        <v>23</v>
      </c>
      <c r="F59" s="4"/>
      <c r="G59" s="4"/>
      <c r="H59" s="4"/>
      <c r="I59" s="4"/>
      <c r="J59" s="2" t="s">
        <v>62</v>
      </c>
      <c r="K59" s="2" t="s">
        <v>199</v>
      </c>
      <c r="L59" s="2" t="s">
        <v>200</v>
      </c>
      <c r="M59" s="5">
        <v>1.0</v>
      </c>
      <c r="N59" s="2" t="s">
        <v>40</v>
      </c>
      <c r="O59" s="6">
        <v>3350000.0</v>
      </c>
      <c r="P59" s="5">
        <v>0.0</v>
      </c>
      <c r="R59" s="4">
        <v>0.0</v>
      </c>
      <c r="S59" s="5">
        <v>1.093E7</v>
      </c>
      <c r="T59" s="5">
        <v>3350000.0</v>
      </c>
      <c r="U59" s="6">
        <v>0.0</v>
      </c>
      <c r="V59" s="3" t="s">
        <v>28</v>
      </c>
      <c r="W59" s="7" t="s">
        <v>28</v>
      </c>
    </row>
    <row r="60" ht="12.75" customHeight="1">
      <c r="A60" s="2" t="s">
        <v>196</v>
      </c>
      <c r="B60" s="3">
        <v>45316.645</v>
      </c>
      <c r="C60" s="3" t="s">
        <v>197</v>
      </c>
      <c r="D60" s="2" t="s">
        <v>198</v>
      </c>
      <c r="E60" s="2" t="s">
        <v>23</v>
      </c>
      <c r="F60" s="4"/>
      <c r="G60" s="4"/>
      <c r="H60" s="4"/>
      <c r="I60" s="4"/>
      <c r="J60" s="2" t="s">
        <v>62</v>
      </c>
      <c r="K60" s="2" t="s">
        <v>201</v>
      </c>
      <c r="L60" s="2" t="s">
        <v>202</v>
      </c>
      <c r="M60" s="5">
        <v>1.0</v>
      </c>
      <c r="N60" s="2" t="s">
        <v>40</v>
      </c>
      <c r="O60" s="6">
        <v>1500000.0</v>
      </c>
      <c r="P60" s="5">
        <v>0.0</v>
      </c>
      <c r="R60" s="4">
        <v>0.0</v>
      </c>
      <c r="S60" s="5">
        <v>1.093E7</v>
      </c>
      <c r="T60" s="5">
        <v>1500000.0</v>
      </c>
      <c r="U60" s="6">
        <v>0.0</v>
      </c>
      <c r="V60" s="3" t="s">
        <v>28</v>
      </c>
      <c r="W60" s="7" t="s">
        <v>28</v>
      </c>
    </row>
    <row r="61" ht="12.75" customHeight="1">
      <c r="A61" s="2" t="s">
        <v>196</v>
      </c>
      <c r="B61" s="3">
        <v>45316.645</v>
      </c>
      <c r="C61" s="3" t="s">
        <v>197</v>
      </c>
      <c r="D61" s="2" t="s">
        <v>198</v>
      </c>
      <c r="E61" s="2" t="s">
        <v>23</v>
      </c>
      <c r="F61" s="4"/>
      <c r="G61" s="4"/>
      <c r="H61" s="4"/>
      <c r="I61" s="4"/>
      <c r="J61" s="2" t="s">
        <v>62</v>
      </c>
      <c r="K61" s="2" t="s">
        <v>203</v>
      </c>
      <c r="L61" s="2" t="s">
        <v>204</v>
      </c>
      <c r="M61" s="5">
        <v>3.0</v>
      </c>
      <c r="N61" s="2" t="s">
        <v>40</v>
      </c>
      <c r="O61" s="6">
        <v>645000.0</v>
      </c>
      <c r="P61" s="5">
        <v>0.0</v>
      </c>
      <c r="R61" s="4">
        <v>0.0</v>
      </c>
      <c r="S61" s="5">
        <v>1.093E7</v>
      </c>
      <c r="T61" s="5">
        <v>1935000.0</v>
      </c>
      <c r="U61" s="6">
        <v>0.0</v>
      </c>
      <c r="V61" s="3" t="s">
        <v>28</v>
      </c>
      <c r="W61" s="7" t="s">
        <v>28</v>
      </c>
    </row>
    <row r="62" ht="12.75" customHeight="1">
      <c r="A62" s="2" t="s">
        <v>196</v>
      </c>
      <c r="B62" s="3">
        <v>45316.645</v>
      </c>
      <c r="C62" s="3" t="s">
        <v>197</v>
      </c>
      <c r="D62" s="2" t="s">
        <v>198</v>
      </c>
      <c r="E62" s="2" t="s">
        <v>23</v>
      </c>
      <c r="F62" s="4"/>
      <c r="G62" s="4"/>
      <c r="H62" s="4"/>
      <c r="I62" s="4"/>
      <c r="J62" s="2" t="s">
        <v>62</v>
      </c>
      <c r="K62" s="2" t="s">
        <v>205</v>
      </c>
      <c r="L62" s="2" t="s">
        <v>206</v>
      </c>
      <c r="M62" s="5">
        <v>1.0</v>
      </c>
      <c r="N62" s="2" t="s">
        <v>40</v>
      </c>
      <c r="O62" s="6">
        <v>650000.0</v>
      </c>
      <c r="P62" s="5">
        <v>0.0</v>
      </c>
      <c r="R62" s="4">
        <v>0.0</v>
      </c>
      <c r="S62" s="5">
        <v>1.093E7</v>
      </c>
      <c r="T62" s="5">
        <v>650000.0</v>
      </c>
      <c r="U62" s="6">
        <v>0.0</v>
      </c>
      <c r="V62" s="3" t="s">
        <v>28</v>
      </c>
      <c r="W62" s="7" t="s">
        <v>28</v>
      </c>
    </row>
    <row r="63" ht="12.75" customHeight="1">
      <c r="A63" s="2" t="s">
        <v>196</v>
      </c>
      <c r="B63" s="3">
        <v>45316.645</v>
      </c>
      <c r="C63" s="3" t="s">
        <v>197</v>
      </c>
      <c r="D63" s="2" t="s">
        <v>198</v>
      </c>
      <c r="E63" s="2" t="s">
        <v>23</v>
      </c>
      <c r="F63" s="4"/>
      <c r="G63" s="4"/>
      <c r="H63" s="4"/>
      <c r="I63" s="4"/>
      <c r="J63" s="2" t="s">
        <v>62</v>
      </c>
      <c r="K63" s="2" t="s">
        <v>207</v>
      </c>
      <c r="L63" s="2" t="s">
        <v>208</v>
      </c>
      <c r="M63" s="5">
        <v>215.0</v>
      </c>
      <c r="N63" s="2" t="s">
        <v>209</v>
      </c>
      <c r="O63" s="6">
        <v>5000.0</v>
      </c>
      <c r="P63" s="5">
        <v>0.0</v>
      </c>
      <c r="R63" s="4">
        <v>0.0</v>
      </c>
      <c r="S63" s="5">
        <v>1.093E7</v>
      </c>
      <c r="T63" s="5">
        <v>1075000.0</v>
      </c>
      <c r="U63" s="6">
        <v>0.0</v>
      </c>
      <c r="V63" s="3" t="s">
        <v>28</v>
      </c>
      <c r="W63" s="7" t="s">
        <v>28</v>
      </c>
    </row>
    <row r="64" ht="12.75" customHeight="1">
      <c r="A64" s="2" t="s">
        <v>196</v>
      </c>
      <c r="B64" s="3">
        <v>45316.645</v>
      </c>
      <c r="C64" s="3" t="s">
        <v>197</v>
      </c>
      <c r="D64" s="2" t="s">
        <v>198</v>
      </c>
      <c r="E64" s="2" t="s">
        <v>23</v>
      </c>
      <c r="F64" s="4"/>
      <c r="G64" s="4"/>
      <c r="H64" s="4"/>
      <c r="I64" s="4"/>
      <c r="J64" s="2" t="s">
        <v>62</v>
      </c>
      <c r="K64" s="2" t="s">
        <v>210</v>
      </c>
      <c r="L64" s="2" t="s">
        <v>211</v>
      </c>
      <c r="M64" s="5">
        <v>8.0</v>
      </c>
      <c r="N64" s="2" t="s">
        <v>40</v>
      </c>
      <c r="O64" s="6">
        <v>15000.0</v>
      </c>
      <c r="P64" s="5">
        <v>0.0</v>
      </c>
      <c r="R64" s="4">
        <v>0.0</v>
      </c>
      <c r="S64" s="5">
        <v>1.093E7</v>
      </c>
      <c r="T64" s="5">
        <v>120000.0</v>
      </c>
      <c r="U64" s="6">
        <v>0.0</v>
      </c>
      <c r="V64" s="3" t="s">
        <v>28</v>
      </c>
      <c r="W64" s="7" t="s">
        <v>28</v>
      </c>
    </row>
    <row r="65" ht="12.75" customHeight="1">
      <c r="A65" s="2" t="s">
        <v>196</v>
      </c>
      <c r="B65" s="3">
        <v>45316.645</v>
      </c>
      <c r="C65" s="3" t="s">
        <v>197</v>
      </c>
      <c r="D65" s="2" t="s">
        <v>198</v>
      </c>
      <c r="E65" s="2" t="s">
        <v>23</v>
      </c>
      <c r="F65" s="4"/>
      <c r="G65" s="4"/>
      <c r="H65" s="4"/>
      <c r="I65" s="4"/>
      <c r="J65" s="2" t="s">
        <v>62</v>
      </c>
      <c r="K65" s="2" t="s">
        <v>212</v>
      </c>
      <c r="L65" s="2" t="s">
        <v>213</v>
      </c>
      <c r="M65" s="5">
        <v>4.0</v>
      </c>
      <c r="N65" s="2" t="s">
        <v>40</v>
      </c>
      <c r="O65" s="6">
        <v>5000.0</v>
      </c>
      <c r="P65" s="5">
        <v>0.0</v>
      </c>
      <c r="R65" s="4">
        <v>0.0</v>
      </c>
      <c r="S65" s="5">
        <v>1.093E7</v>
      </c>
      <c r="T65" s="5">
        <v>20000.0</v>
      </c>
      <c r="U65" s="6">
        <v>0.0</v>
      </c>
      <c r="V65" s="3" t="s">
        <v>28</v>
      </c>
      <c r="W65" s="7" t="s">
        <v>28</v>
      </c>
    </row>
    <row r="66" ht="12.75" customHeight="1">
      <c r="A66" s="2" t="s">
        <v>196</v>
      </c>
      <c r="B66" s="3">
        <v>45316.645</v>
      </c>
      <c r="C66" s="3" t="s">
        <v>197</v>
      </c>
      <c r="D66" s="2" t="s">
        <v>198</v>
      </c>
      <c r="E66" s="2" t="s">
        <v>23</v>
      </c>
      <c r="F66" s="4"/>
      <c r="G66" s="4"/>
      <c r="H66" s="4"/>
      <c r="I66" s="4"/>
      <c r="J66" s="2" t="s">
        <v>62</v>
      </c>
      <c r="K66" s="2" t="s">
        <v>214</v>
      </c>
      <c r="L66" s="2" t="s">
        <v>215</v>
      </c>
      <c r="M66" s="5">
        <v>1.0</v>
      </c>
      <c r="N66" s="2" t="s">
        <v>40</v>
      </c>
      <c r="O66" s="6">
        <v>200000.0</v>
      </c>
      <c r="P66" s="5">
        <v>0.0</v>
      </c>
      <c r="R66" s="4">
        <v>0.0</v>
      </c>
      <c r="S66" s="5">
        <v>1.093E7</v>
      </c>
      <c r="T66" s="5">
        <v>200000.0</v>
      </c>
      <c r="U66" s="6">
        <v>0.0</v>
      </c>
      <c r="V66" s="3" t="s">
        <v>28</v>
      </c>
      <c r="W66" s="7" t="s">
        <v>28</v>
      </c>
    </row>
    <row r="67" ht="12.75" customHeight="1">
      <c r="A67" s="2" t="s">
        <v>196</v>
      </c>
      <c r="B67" s="3">
        <v>45316.645</v>
      </c>
      <c r="C67" s="3" t="s">
        <v>197</v>
      </c>
      <c r="D67" s="2" t="s">
        <v>198</v>
      </c>
      <c r="E67" s="2" t="s">
        <v>23</v>
      </c>
      <c r="F67" s="4"/>
      <c r="G67" s="4"/>
      <c r="H67" s="4"/>
      <c r="I67" s="4"/>
      <c r="J67" s="2" t="s">
        <v>62</v>
      </c>
      <c r="K67" s="2" t="s">
        <v>216</v>
      </c>
      <c r="L67" s="2" t="s">
        <v>217</v>
      </c>
      <c r="M67" s="5">
        <v>1.0</v>
      </c>
      <c r="N67" s="2" t="s">
        <v>40</v>
      </c>
      <c r="O67" s="6">
        <v>35000.0</v>
      </c>
      <c r="P67" s="5">
        <v>0.0</v>
      </c>
      <c r="R67" s="4">
        <v>0.0</v>
      </c>
      <c r="S67" s="5">
        <v>1.093E7</v>
      </c>
      <c r="T67" s="5">
        <v>35000.0</v>
      </c>
      <c r="U67" s="6">
        <v>0.0</v>
      </c>
      <c r="V67" s="3" t="s">
        <v>28</v>
      </c>
      <c r="W67" s="7" t="s">
        <v>28</v>
      </c>
    </row>
    <row r="68" ht="12.75" customHeight="1">
      <c r="A68" s="2" t="s">
        <v>196</v>
      </c>
      <c r="B68" s="3">
        <v>45316.645</v>
      </c>
      <c r="C68" s="3" t="s">
        <v>197</v>
      </c>
      <c r="D68" s="2" t="s">
        <v>198</v>
      </c>
      <c r="E68" s="2" t="s">
        <v>23</v>
      </c>
      <c r="F68" s="4"/>
      <c r="G68" s="4"/>
      <c r="H68" s="4"/>
      <c r="I68" s="4"/>
      <c r="J68" s="2" t="s">
        <v>62</v>
      </c>
      <c r="K68" s="2" t="s">
        <v>218</v>
      </c>
      <c r="L68" s="2" t="s">
        <v>219</v>
      </c>
      <c r="M68" s="5">
        <v>1.0</v>
      </c>
      <c r="N68" s="2" t="s">
        <v>40</v>
      </c>
      <c r="O68" s="6">
        <v>65000.0</v>
      </c>
      <c r="P68" s="5">
        <v>0.0</v>
      </c>
      <c r="R68" s="4">
        <v>0.0</v>
      </c>
      <c r="S68" s="5">
        <v>1.093E7</v>
      </c>
      <c r="T68" s="5">
        <v>65000.0</v>
      </c>
      <c r="U68" s="6">
        <v>0.0</v>
      </c>
      <c r="V68" s="3" t="s">
        <v>28</v>
      </c>
      <c r="W68" s="7" t="s">
        <v>28</v>
      </c>
    </row>
    <row r="69" ht="12.75" customHeight="1">
      <c r="A69" s="2" t="s">
        <v>196</v>
      </c>
      <c r="B69" s="3">
        <v>45316.645</v>
      </c>
      <c r="C69" s="3" t="s">
        <v>197</v>
      </c>
      <c r="D69" s="2" t="s">
        <v>198</v>
      </c>
      <c r="E69" s="2" t="s">
        <v>23</v>
      </c>
      <c r="F69" s="4"/>
      <c r="G69" s="4"/>
      <c r="H69" s="4"/>
      <c r="I69" s="4"/>
      <c r="J69" s="2" t="s">
        <v>62</v>
      </c>
      <c r="K69" s="2" t="s">
        <v>220</v>
      </c>
      <c r="L69" s="2" t="s">
        <v>221</v>
      </c>
      <c r="M69" s="5">
        <v>12.0</v>
      </c>
      <c r="N69" s="2" t="s">
        <v>40</v>
      </c>
      <c r="O69" s="6">
        <v>15000.0</v>
      </c>
      <c r="P69" s="5">
        <v>0.0</v>
      </c>
      <c r="R69" s="4">
        <v>0.0</v>
      </c>
      <c r="S69" s="5">
        <v>1.093E7</v>
      </c>
      <c r="T69" s="5">
        <v>180000.0</v>
      </c>
      <c r="U69" s="6">
        <v>0.0</v>
      </c>
      <c r="V69" s="3" t="s">
        <v>28</v>
      </c>
      <c r="W69" s="7" t="s">
        <v>28</v>
      </c>
    </row>
    <row r="70" ht="13.5" customHeight="1">
      <c r="A70" s="2" t="s">
        <v>196</v>
      </c>
      <c r="B70" s="3">
        <v>45316.645</v>
      </c>
      <c r="C70" s="3" t="s">
        <v>197</v>
      </c>
      <c r="D70" s="2" t="s">
        <v>198</v>
      </c>
      <c r="E70" s="2" t="s">
        <v>23</v>
      </c>
      <c r="F70" s="4"/>
      <c r="G70" s="4"/>
      <c r="H70" s="4"/>
      <c r="I70" s="4"/>
      <c r="J70" s="2" t="s">
        <v>62</v>
      </c>
      <c r="K70" s="2" t="s">
        <v>222</v>
      </c>
      <c r="L70" s="2" t="s">
        <v>223</v>
      </c>
      <c r="M70" s="5">
        <v>4.0</v>
      </c>
      <c r="N70" s="2" t="s">
        <v>224</v>
      </c>
      <c r="O70" s="6">
        <v>350000.0</v>
      </c>
      <c r="P70" s="5">
        <v>0.0</v>
      </c>
      <c r="R70" s="4">
        <v>0.0</v>
      </c>
      <c r="S70" s="5">
        <v>1.093E7</v>
      </c>
      <c r="T70" s="5">
        <v>1400000.0</v>
      </c>
      <c r="U70" s="6">
        <v>0.0</v>
      </c>
      <c r="V70" s="3" t="s">
        <v>28</v>
      </c>
      <c r="W70" s="7" t="s">
        <v>28</v>
      </c>
    </row>
    <row r="71" ht="12.75" customHeight="1">
      <c r="A71" s="2" t="s">
        <v>196</v>
      </c>
      <c r="B71" s="3">
        <v>45316.645</v>
      </c>
      <c r="C71" s="3" t="s">
        <v>197</v>
      </c>
      <c r="D71" s="2" t="s">
        <v>198</v>
      </c>
      <c r="E71" s="2" t="s">
        <v>23</v>
      </c>
      <c r="F71" s="4"/>
      <c r="G71" s="4"/>
      <c r="H71" s="4"/>
      <c r="I71" s="4"/>
      <c r="J71" s="2" t="s">
        <v>62</v>
      </c>
      <c r="K71" s="2" t="s">
        <v>225</v>
      </c>
      <c r="L71" s="2" t="s">
        <v>226</v>
      </c>
      <c r="M71" s="5">
        <v>2.0</v>
      </c>
      <c r="N71" s="2" t="s">
        <v>40</v>
      </c>
      <c r="O71" s="6">
        <v>200000.0</v>
      </c>
      <c r="P71" s="5">
        <v>0.0</v>
      </c>
      <c r="R71" s="4">
        <v>0.0</v>
      </c>
      <c r="S71" s="5">
        <v>1.093E7</v>
      </c>
      <c r="T71" s="5">
        <v>400000.0</v>
      </c>
      <c r="U71" s="6">
        <v>0.0</v>
      </c>
      <c r="V71" s="3" t="s">
        <v>28</v>
      </c>
      <c r="W71" s="7" t="s">
        <v>28</v>
      </c>
    </row>
    <row r="72" ht="12.75" customHeight="1">
      <c r="A72" s="2" t="s">
        <v>227</v>
      </c>
      <c r="B72" s="3">
        <v>45316.6545833333</v>
      </c>
      <c r="C72" s="3" t="s">
        <v>22</v>
      </c>
      <c r="D72" s="2" t="s">
        <v>22</v>
      </c>
      <c r="E72" s="2" t="s">
        <v>23</v>
      </c>
      <c r="F72" s="4"/>
      <c r="G72" s="4"/>
      <c r="H72" s="4"/>
      <c r="I72" s="4"/>
      <c r="J72" s="2" t="s">
        <v>24</v>
      </c>
      <c r="K72" s="2" t="s">
        <v>228</v>
      </c>
      <c r="L72" s="2" t="s">
        <v>229</v>
      </c>
      <c r="M72" s="5">
        <v>1.0</v>
      </c>
      <c r="N72" s="2" t="s">
        <v>40</v>
      </c>
      <c r="O72" s="6">
        <v>1750000.0</v>
      </c>
      <c r="P72" s="5">
        <v>1600000.0</v>
      </c>
      <c r="R72" s="4">
        <v>0.0</v>
      </c>
      <c r="S72" s="5">
        <v>0.0</v>
      </c>
      <c r="T72" s="5">
        <v>1750000.0</v>
      </c>
      <c r="U72" s="6">
        <v>8.5714285714</v>
      </c>
      <c r="V72" s="3" t="s">
        <v>32</v>
      </c>
      <c r="W72" s="7" t="s">
        <v>28</v>
      </c>
    </row>
    <row r="73" ht="12.75" customHeight="1">
      <c r="A73" s="2" t="s">
        <v>230</v>
      </c>
      <c r="B73" s="3">
        <v>45320.6643402778</v>
      </c>
      <c r="C73" s="3" t="s">
        <v>22</v>
      </c>
      <c r="D73" s="2" t="s">
        <v>22</v>
      </c>
      <c r="E73" s="2" t="s">
        <v>23</v>
      </c>
      <c r="F73" s="4"/>
      <c r="G73" s="4"/>
      <c r="H73" s="4"/>
      <c r="I73" s="4"/>
      <c r="J73" s="2" t="s">
        <v>24</v>
      </c>
      <c r="K73" s="2" t="s">
        <v>231</v>
      </c>
      <c r="L73" s="2" t="s">
        <v>232</v>
      </c>
      <c r="M73" s="5">
        <v>1.0</v>
      </c>
      <c r="N73" s="2" t="s">
        <v>27</v>
      </c>
      <c r="O73" s="6">
        <v>9000000.0</v>
      </c>
      <c r="P73" s="5">
        <v>9000000.0</v>
      </c>
      <c r="R73" s="4">
        <v>0.0</v>
      </c>
      <c r="S73" s="5">
        <v>0.0</v>
      </c>
      <c r="T73" s="5">
        <v>9000000.0</v>
      </c>
      <c r="U73" s="6">
        <v>0.0</v>
      </c>
      <c r="V73" s="3" t="s">
        <v>233</v>
      </c>
      <c r="W73" s="7" t="s">
        <v>28</v>
      </c>
    </row>
    <row r="74" ht="12.75" customHeight="1">
      <c r="A74" s="2" t="s">
        <v>234</v>
      </c>
      <c r="B74" s="3">
        <v>45320.6659490741</v>
      </c>
      <c r="C74" s="3" t="s">
        <v>235</v>
      </c>
      <c r="D74" s="2" t="s">
        <v>236</v>
      </c>
      <c r="E74" s="2" t="s">
        <v>23</v>
      </c>
      <c r="F74" s="4"/>
      <c r="G74" s="4"/>
      <c r="H74" s="4"/>
      <c r="I74" s="4"/>
      <c r="J74" s="2" t="s">
        <v>237</v>
      </c>
      <c r="K74" s="2" t="s">
        <v>238</v>
      </c>
      <c r="L74" s="2" t="s">
        <v>239</v>
      </c>
      <c r="M74" s="5">
        <v>1.0</v>
      </c>
      <c r="N74" s="2" t="s">
        <v>40</v>
      </c>
      <c r="O74" s="6">
        <v>80000.0</v>
      </c>
      <c r="P74" s="5">
        <v>0.0</v>
      </c>
      <c r="R74" s="4">
        <v>0.0</v>
      </c>
      <c r="S74" s="5">
        <v>80000.0</v>
      </c>
      <c r="T74" s="5">
        <v>80000.0</v>
      </c>
      <c r="U74" s="6">
        <v>0.0</v>
      </c>
      <c r="V74" s="3" t="s">
        <v>28</v>
      </c>
      <c r="W74" s="7" t="s">
        <v>28</v>
      </c>
    </row>
    <row r="75" ht="12.75" customHeight="1">
      <c r="A75" s="2" t="s">
        <v>240</v>
      </c>
      <c r="B75" s="3">
        <v>45323.6778009259</v>
      </c>
      <c r="C75" s="3" t="s">
        <v>22</v>
      </c>
      <c r="D75" s="2" t="s">
        <v>22</v>
      </c>
      <c r="E75" s="2" t="s">
        <v>23</v>
      </c>
      <c r="F75" s="4"/>
      <c r="G75" s="4"/>
      <c r="H75" s="4"/>
      <c r="I75" s="4"/>
      <c r="J75" s="2" t="s">
        <v>24</v>
      </c>
      <c r="K75" s="2" t="s">
        <v>241</v>
      </c>
      <c r="L75" s="2" t="s">
        <v>242</v>
      </c>
      <c r="M75" s="5">
        <v>1.0</v>
      </c>
      <c r="N75" s="2" t="s">
        <v>40</v>
      </c>
      <c r="O75" s="6">
        <v>390000.0</v>
      </c>
      <c r="P75" s="5">
        <v>665000.0</v>
      </c>
      <c r="R75" s="4">
        <v>0.0</v>
      </c>
      <c r="S75" s="5">
        <v>0.0</v>
      </c>
      <c r="T75" s="5">
        <v>390000.0</v>
      </c>
      <c r="U75" s="6">
        <v>0.0</v>
      </c>
      <c r="V75" s="3" t="s">
        <v>28</v>
      </c>
      <c r="W75" s="7" t="s">
        <v>28</v>
      </c>
    </row>
    <row r="76" ht="12.75" customHeight="1">
      <c r="A76" s="2" t="s">
        <v>240</v>
      </c>
      <c r="B76" s="3">
        <v>45323.6778009259</v>
      </c>
      <c r="C76" s="3" t="s">
        <v>22</v>
      </c>
      <c r="D76" s="2" t="s">
        <v>22</v>
      </c>
      <c r="E76" s="2" t="s">
        <v>23</v>
      </c>
      <c r="F76" s="4"/>
      <c r="G76" s="4"/>
      <c r="H76" s="4"/>
      <c r="I76" s="4"/>
      <c r="J76" s="2" t="s">
        <v>24</v>
      </c>
      <c r="K76" s="2" t="s">
        <v>243</v>
      </c>
      <c r="L76" s="2" t="s">
        <v>244</v>
      </c>
      <c r="M76" s="5">
        <v>1.0</v>
      </c>
      <c r="N76" s="2" t="s">
        <v>40</v>
      </c>
      <c r="O76" s="6">
        <v>275000.0</v>
      </c>
      <c r="P76" s="5">
        <v>665000.0</v>
      </c>
      <c r="R76" s="4">
        <v>0.0</v>
      </c>
      <c r="S76" s="5">
        <v>0.0</v>
      </c>
      <c r="T76" s="5">
        <v>275000.0</v>
      </c>
      <c r="U76" s="6">
        <v>0.0</v>
      </c>
      <c r="V76" s="3" t="s">
        <v>28</v>
      </c>
      <c r="W76" s="7" t="s">
        <v>28</v>
      </c>
    </row>
    <row r="77" ht="12.75" customHeight="1">
      <c r="A77" s="2" t="s">
        <v>245</v>
      </c>
      <c r="B77" s="3">
        <v>45323.6786458333</v>
      </c>
      <c r="C77" s="3" t="s">
        <v>22</v>
      </c>
      <c r="D77" s="2" t="s">
        <v>22</v>
      </c>
      <c r="E77" s="2" t="s">
        <v>23</v>
      </c>
      <c r="F77" s="4"/>
      <c r="G77" s="4"/>
      <c r="H77" s="4"/>
      <c r="I77" s="4"/>
      <c r="J77" s="2" t="s">
        <v>24</v>
      </c>
      <c r="K77" s="2" t="s">
        <v>80</v>
      </c>
      <c r="L77" s="2" t="s">
        <v>81</v>
      </c>
      <c r="M77" s="5">
        <v>1.0</v>
      </c>
      <c r="N77" s="2" t="s">
        <v>40</v>
      </c>
      <c r="O77" s="6">
        <v>165000.0</v>
      </c>
      <c r="P77" s="5">
        <v>165000.0</v>
      </c>
      <c r="R77" s="4">
        <v>0.0</v>
      </c>
      <c r="S77" s="5">
        <v>0.0</v>
      </c>
      <c r="T77" s="5">
        <v>165000.0</v>
      </c>
      <c r="U77" s="6">
        <v>0.0</v>
      </c>
      <c r="V77" s="3" t="s">
        <v>28</v>
      </c>
      <c r="W77" s="7" t="s">
        <v>28</v>
      </c>
    </row>
    <row r="78" ht="12.75" customHeight="1">
      <c r="A78" s="2" t="s">
        <v>246</v>
      </c>
      <c r="B78" s="3">
        <v>45323.6793171296</v>
      </c>
      <c r="C78" s="3" t="s">
        <v>22</v>
      </c>
      <c r="D78" s="2" t="s">
        <v>22</v>
      </c>
      <c r="E78" s="2" t="s">
        <v>23</v>
      </c>
      <c r="F78" s="4"/>
      <c r="G78" s="4"/>
      <c r="H78" s="4"/>
      <c r="I78" s="4"/>
      <c r="J78" s="2" t="s">
        <v>24</v>
      </c>
      <c r="K78" s="2" t="s">
        <v>42</v>
      </c>
      <c r="L78" s="2" t="s">
        <v>43</v>
      </c>
      <c r="M78" s="5">
        <v>1.0</v>
      </c>
      <c r="N78" s="2" t="s">
        <v>40</v>
      </c>
      <c r="O78" s="6">
        <v>100000.0</v>
      </c>
      <c r="P78" s="5">
        <v>100000.0</v>
      </c>
      <c r="R78" s="4">
        <v>0.0</v>
      </c>
      <c r="S78" s="5">
        <v>0.0</v>
      </c>
      <c r="T78" s="5">
        <v>100000.0</v>
      </c>
      <c r="U78" s="6">
        <v>0.0</v>
      </c>
      <c r="V78" s="3" t="s">
        <v>28</v>
      </c>
      <c r="W78" s="7" t="s">
        <v>28</v>
      </c>
    </row>
    <row r="79" ht="12.75" customHeight="1">
      <c r="A79" s="2" t="s">
        <v>247</v>
      </c>
      <c r="B79" s="3">
        <v>45323.6802314815</v>
      </c>
      <c r="C79" s="3" t="s">
        <v>188</v>
      </c>
      <c r="D79" s="2" t="s">
        <v>189</v>
      </c>
      <c r="E79" s="2" t="s">
        <v>23</v>
      </c>
      <c r="F79" s="4"/>
      <c r="G79" s="4"/>
      <c r="H79" s="4"/>
      <c r="I79" s="4"/>
      <c r="J79" s="2" t="s">
        <v>62</v>
      </c>
      <c r="K79" s="2" t="s">
        <v>248</v>
      </c>
      <c r="L79" s="2" t="s">
        <v>249</v>
      </c>
      <c r="M79" s="5">
        <v>2.0</v>
      </c>
      <c r="N79" s="2" t="s">
        <v>27</v>
      </c>
      <c r="O79" s="6">
        <v>3975000.0</v>
      </c>
      <c r="P79" s="5">
        <v>0.0</v>
      </c>
      <c r="R79" s="4">
        <v>0.0</v>
      </c>
      <c r="S79" s="5">
        <v>7950000.0</v>
      </c>
      <c r="T79" s="5">
        <v>7950000.0</v>
      </c>
      <c r="U79" s="6">
        <v>0.0</v>
      </c>
      <c r="V79" s="3" t="s">
        <v>28</v>
      </c>
      <c r="W79" s="7" t="s">
        <v>28</v>
      </c>
    </row>
    <row r="80" ht="12.75" customHeight="1">
      <c r="A80" s="2" t="s">
        <v>250</v>
      </c>
      <c r="B80" s="3">
        <v>45323.7091087963</v>
      </c>
      <c r="C80" s="3" t="s">
        <v>22</v>
      </c>
      <c r="D80" s="2" t="s">
        <v>22</v>
      </c>
      <c r="E80" s="2" t="s">
        <v>23</v>
      </c>
      <c r="F80" s="4"/>
      <c r="G80" s="4"/>
      <c r="H80" s="4"/>
      <c r="I80" s="4"/>
      <c r="J80" s="2" t="s">
        <v>24</v>
      </c>
      <c r="K80" s="2" t="s">
        <v>251</v>
      </c>
      <c r="L80" s="2" t="s">
        <v>252</v>
      </c>
      <c r="M80" s="5">
        <v>1.0</v>
      </c>
      <c r="N80" s="2" t="s">
        <v>40</v>
      </c>
      <c r="O80" s="6">
        <v>725000.0</v>
      </c>
      <c r="P80" s="5">
        <v>700000.0</v>
      </c>
      <c r="R80" s="4">
        <v>0.0</v>
      </c>
      <c r="S80" s="5">
        <v>0.0</v>
      </c>
      <c r="T80" s="5">
        <v>725000.0</v>
      </c>
      <c r="U80" s="6">
        <v>3.4482758621</v>
      </c>
      <c r="V80" s="3" t="s">
        <v>88</v>
      </c>
      <c r="W80" s="7" t="s">
        <v>28</v>
      </c>
    </row>
    <row r="81" ht="12.75" customHeight="1">
      <c r="A81" s="2" t="s">
        <v>253</v>
      </c>
      <c r="B81" s="3">
        <v>45324.705787037</v>
      </c>
      <c r="C81" s="3" t="s">
        <v>22</v>
      </c>
      <c r="D81" s="2" t="s">
        <v>22</v>
      </c>
      <c r="E81" s="2" t="s">
        <v>23</v>
      </c>
      <c r="F81" s="4"/>
      <c r="G81" s="4"/>
      <c r="H81" s="4"/>
      <c r="I81" s="4"/>
      <c r="J81" s="2" t="s">
        <v>24</v>
      </c>
      <c r="K81" s="2" t="s">
        <v>254</v>
      </c>
      <c r="L81" s="2" t="s">
        <v>255</v>
      </c>
      <c r="M81" s="5">
        <v>1.0</v>
      </c>
      <c r="N81" s="2" t="s">
        <v>27</v>
      </c>
      <c r="O81" s="6">
        <v>2400000.0</v>
      </c>
      <c r="P81" s="5">
        <v>2300000.0</v>
      </c>
      <c r="R81" s="4">
        <v>0.0</v>
      </c>
      <c r="S81" s="5">
        <v>0.0</v>
      </c>
      <c r="T81" s="5">
        <v>2400000.0</v>
      </c>
      <c r="U81" s="6">
        <v>4.1666666667</v>
      </c>
      <c r="V81" s="3" t="s">
        <v>28</v>
      </c>
      <c r="W81" s="7" t="s">
        <v>28</v>
      </c>
    </row>
    <row r="82" ht="13.5" customHeight="1">
      <c r="A82" s="2" t="s">
        <v>256</v>
      </c>
      <c r="B82" s="3">
        <v>45324.7118865741</v>
      </c>
      <c r="C82" s="3" t="s">
        <v>257</v>
      </c>
      <c r="D82" s="2" t="s">
        <v>258</v>
      </c>
      <c r="E82" s="2" t="s">
        <v>23</v>
      </c>
      <c r="F82" s="4"/>
      <c r="G82" s="4"/>
      <c r="H82" s="4"/>
      <c r="I82" s="4"/>
      <c r="J82" s="2" t="s">
        <v>62</v>
      </c>
      <c r="K82" s="2" t="s">
        <v>177</v>
      </c>
      <c r="L82" s="2" t="s">
        <v>178</v>
      </c>
      <c r="M82" s="5">
        <v>11.0</v>
      </c>
      <c r="N82" s="2" t="s">
        <v>40</v>
      </c>
      <c r="O82" s="6">
        <v>2150000.0</v>
      </c>
      <c r="P82" s="5">
        <v>2.365E7</v>
      </c>
      <c r="R82" s="4">
        <v>0.0</v>
      </c>
      <c r="S82" s="5">
        <v>0.0</v>
      </c>
      <c r="T82" s="5">
        <v>2.365E7</v>
      </c>
      <c r="U82" s="6">
        <v>0.0</v>
      </c>
      <c r="V82" s="3" t="s">
        <v>259</v>
      </c>
      <c r="W82" s="7" t="s">
        <v>28</v>
      </c>
    </row>
    <row r="83" ht="12.75" customHeight="1">
      <c r="A83" s="2" t="s">
        <v>260</v>
      </c>
      <c r="B83" s="3">
        <v>45324.7123958333</v>
      </c>
      <c r="C83" s="3" t="s">
        <v>261</v>
      </c>
      <c r="D83" s="2" t="s">
        <v>262</v>
      </c>
      <c r="E83" s="2" t="s">
        <v>23</v>
      </c>
      <c r="F83" s="4"/>
      <c r="G83" s="4"/>
      <c r="H83" s="4"/>
      <c r="I83" s="4"/>
      <c r="J83" s="2" t="s">
        <v>62</v>
      </c>
      <c r="K83" s="2" t="s">
        <v>263</v>
      </c>
      <c r="L83" s="2" t="s">
        <v>264</v>
      </c>
      <c r="M83" s="5">
        <v>1.0</v>
      </c>
      <c r="N83" s="2" t="s">
        <v>40</v>
      </c>
      <c r="O83" s="6">
        <v>175000.0</v>
      </c>
      <c r="P83" s="5">
        <v>0.0</v>
      </c>
      <c r="R83" s="4">
        <v>0.0</v>
      </c>
      <c r="S83" s="5">
        <v>175000.0</v>
      </c>
      <c r="T83" s="5">
        <v>175000.0</v>
      </c>
      <c r="U83" s="6">
        <v>0.0</v>
      </c>
      <c r="V83" s="3" t="s">
        <v>28</v>
      </c>
      <c r="W83" s="7" t="s">
        <v>28</v>
      </c>
    </row>
    <row r="84" ht="12.75" customHeight="1">
      <c r="A84" s="2" t="s">
        <v>265</v>
      </c>
      <c r="B84" s="3">
        <v>45324.7167708333</v>
      </c>
      <c r="C84" s="3" t="s">
        <v>266</v>
      </c>
      <c r="D84" s="2" t="s">
        <v>267</v>
      </c>
      <c r="E84" s="2" t="s">
        <v>23</v>
      </c>
      <c r="F84" s="4"/>
      <c r="G84" s="4"/>
      <c r="H84" s="4"/>
      <c r="I84" s="4"/>
      <c r="J84" s="2" t="s">
        <v>62</v>
      </c>
      <c r="K84" s="2" t="s">
        <v>268</v>
      </c>
      <c r="L84" s="2" t="s">
        <v>269</v>
      </c>
      <c r="M84" s="5">
        <v>2.0</v>
      </c>
      <c r="N84" s="2" t="s">
        <v>46</v>
      </c>
      <c r="O84" s="6">
        <v>50000.0</v>
      </c>
      <c r="P84" s="5">
        <v>0.0</v>
      </c>
      <c r="R84" s="4">
        <v>0.0</v>
      </c>
      <c r="S84" s="5">
        <v>100000.0</v>
      </c>
      <c r="T84" s="5">
        <v>100000.0</v>
      </c>
      <c r="U84" s="6">
        <v>0.0</v>
      </c>
      <c r="V84" s="3" t="s">
        <v>28</v>
      </c>
      <c r="W84" s="7" t="s">
        <v>28</v>
      </c>
    </row>
    <row r="85" ht="12.75" customHeight="1">
      <c r="A85" s="2" t="s">
        <v>270</v>
      </c>
      <c r="B85" s="3">
        <v>45327.6902430556</v>
      </c>
      <c r="C85" s="3" t="s">
        <v>22</v>
      </c>
      <c r="D85" s="2" t="s">
        <v>22</v>
      </c>
      <c r="E85" s="2" t="s">
        <v>23</v>
      </c>
      <c r="F85" s="4"/>
      <c r="G85" s="4"/>
      <c r="H85" s="4"/>
      <c r="I85" s="4"/>
      <c r="J85" s="2" t="s">
        <v>24</v>
      </c>
      <c r="K85" s="2" t="s">
        <v>271</v>
      </c>
      <c r="L85" s="2" t="s">
        <v>272</v>
      </c>
      <c r="M85" s="5">
        <v>1.0</v>
      </c>
      <c r="N85" s="2" t="s">
        <v>40</v>
      </c>
      <c r="O85" s="6">
        <v>950000.0</v>
      </c>
      <c r="P85" s="5">
        <v>950000.0</v>
      </c>
      <c r="R85" s="4">
        <v>0.0</v>
      </c>
      <c r="S85" s="5">
        <v>0.0</v>
      </c>
      <c r="T85" s="5">
        <v>950000.0</v>
      </c>
      <c r="U85" s="6">
        <v>0.0</v>
      </c>
      <c r="V85" s="3" t="s">
        <v>28</v>
      </c>
      <c r="W85" s="7" t="s">
        <v>28</v>
      </c>
    </row>
    <row r="86" ht="12.75" customHeight="1">
      <c r="A86" s="2" t="s">
        <v>273</v>
      </c>
      <c r="B86" s="3">
        <v>45327.6917592593</v>
      </c>
      <c r="C86" s="3" t="s">
        <v>274</v>
      </c>
      <c r="D86" s="2" t="s">
        <v>275</v>
      </c>
      <c r="E86" s="2" t="s">
        <v>23</v>
      </c>
      <c r="F86" s="4"/>
      <c r="G86" s="4"/>
      <c r="H86" s="4"/>
      <c r="I86" s="4"/>
      <c r="J86" s="2" t="s">
        <v>62</v>
      </c>
      <c r="K86" s="2" t="s">
        <v>42</v>
      </c>
      <c r="L86" s="2" t="s">
        <v>43</v>
      </c>
      <c r="M86" s="5">
        <v>1.0</v>
      </c>
      <c r="N86" s="2" t="s">
        <v>40</v>
      </c>
      <c r="O86" s="6">
        <v>100000.0</v>
      </c>
      <c r="P86" s="5">
        <v>0.0</v>
      </c>
      <c r="R86" s="4">
        <v>0.0</v>
      </c>
      <c r="S86" s="5">
        <v>100000.0</v>
      </c>
      <c r="T86" s="5">
        <v>100000.0</v>
      </c>
      <c r="U86" s="6">
        <v>0.0</v>
      </c>
      <c r="V86" s="3" t="s">
        <v>28</v>
      </c>
      <c r="W86" s="7" t="s">
        <v>28</v>
      </c>
    </row>
    <row r="87" ht="12.75" customHeight="1">
      <c r="A87" s="2" t="s">
        <v>276</v>
      </c>
      <c r="B87" s="3">
        <v>45328.6970601852</v>
      </c>
      <c r="C87" s="3" t="s">
        <v>22</v>
      </c>
      <c r="D87" s="2" t="s">
        <v>22</v>
      </c>
      <c r="E87" s="2" t="s">
        <v>23</v>
      </c>
      <c r="F87" s="4"/>
      <c r="G87" s="4"/>
      <c r="H87" s="4"/>
      <c r="I87" s="4"/>
      <c r="J87" s="2" t="s">
        <v>24</v>
      </c>
      <c r="K87" s="2" t="s">
        <v>30</v>
      </c>
      <c r="L87" s="2" t="s">
        <v>31</v>
      </c>
      <c r="M87" s="5">
        <v>1.0</v>
      </c>
      <c r="N87" s="2" t="s">
        <v>27</v>
      </c>
      <c r="O87" s="6">
        <v>4450000.0</v>
      </c>
      <c r="P87" s="5">
        <v>4250000.0</v>
      </c>
      <c r="R87" s="4">
        <v>0.0</v>
      </c>
      <c r="S87" s="5">
        <v>0.0</v>
      </c>
      <c r="T87" s="5">
        <v>4450000.0</v>
      </c>
      <c r="U87" s="6">
        <v>4.4943820225</v>
      </c>
      <c r="V87" s="3" t="s">
        <v>28</v>
      </c>
      <c r="W87" s="7" t="s">
        <v>28</v>
      </c>
    </row>
    <row r="88" ht="12.75" customHeight="1">
      <c r="A88" s="2" t="s">
        <v>277</v>
      </c>
      <c r="B88" s="3">
        <v>45328.6978472222</v>
      </c>
      <c r="C88" s="3" t="s">
        <v>22</v>
      </c>
      <c r="D88" s="2" t="s">
        <v>22</v>
      </c>
      <c r="E88" s="2" t="s">
        <v>23</v>
      </c>
      <c r="F88" s="4"/>
      <c r="G88" s="4"/>
      <c r="H88" s="4"/>
      <c r="I88" s="4"/>
      <c r="J88" s="2" t="s">
        <v>24</v>
      </c>
      <c r="K88" s="2" t="s">
        <v>80</v>
      </c>
      <c r="L88" s="2" t="s">
        <v>81</v>
      </c>
      <c r="M88" s="5">
        <v>1.0</v>
      </c>
      <c r="N88" s="2" t="s">
        <v>40</v>
      </c>
      <c r="O88" s="6">
        <v>165000.0</v>
      </c>
      <c r="P88" s="5">
        <v>160000.0</v>
      </c>
      <c r="R88" s="4">
        <v>0.0</v>
      </c>
      <c r="S88" s="5">
        <v>0.0</v>
      </c>
      <c r="T88" s="5">
        <v>165000.0</v>
      </c>
      <c r="U88" s="6">
        <v>3.0303030303</v>
      </c>
      <c r="V88" s="3" t="s">
        <v>28</v>
      </c>
      <c r="W88" s="7" t="s">
        <v>28</v>
      </c>
    </row>
    <row r="89" ht="12.75" customHeight="1">
      <c r="A89" s="2" t="s">
        <v>278</v>
      </c>
      <c r="B89" s="3">
        <v>45328.6982986111</v>
      </c>
      <c r="C89" s="3" t="s">
        <v>22</v>
      </c>
      <c r="D89" s="2" t="s">
        <v>22</v>
      </c>
      <c r="E89" s="2" t="s">
        <v>23</v>
      </c>
      <c r="F89" s="4"/>
      <c r="G89" s="4"/>
      <c r="H89" s="4"/>
      <c r="I89" s="4"/>
      <c r="J89" s="2" t="s">
        <v>24</v>
      </c>
      <c r="K89" s="2" t="s">
        <v>109</v>
      </c>
      <c r="L89" s="2" t="s">
        <v>110</v>
      </c>
      <c r="M89" s="5">
        <v>1.0</v>
      </c>
      <c r="N89" s="2" t="s">
        <v>40</v>
      </c>
      <c r="O89" s="6">
        <v>70000.0</v>
      </c>
      <c r="P89" s="5">
        <v>70000.0</v>
      </c>
      <c r="R89" s="4">
        <v>0.0</v>
      </c>
      <c r="S89" s="5">
        <v>0.0</v>
      </c>
      <c r="T89" s="5">
        <v>70000.0</v>
      </c>
      <c r="U89" s="6">
        <v>0.0</v>
      </c>
      <c r="V89" s="3" t="s">
        <v>28</v>
      </c>
      <c r="W89" s="7" t="s">
        <v>28</v>
      </c>
    </row>
    <row r="90" ht="12.75" customHeight="1">
      <c r="A90" s="2" t="s">
        <v>279</v>
      </c>
      <c r="B90" s="3">
        <v>45328.6990740741</v>
      </c>
      <c r="C90" s="3" t="s">
        <v>48</v>
      </c>
      <c r="D90" s="2" t="s">
        <v>49</v>
      </c>
      <c r="E90" s="2" t="s">
        <v>23</v>
      </c>
      <c r="F90" s="4"/>
      <c r="G90" s="4"/>
      <c r="H90" s="4"/>
      <c r="I90" s="4"/>
      <c r="J90" s="2" t="s">
        <v>24</v>
      </c>
      <c r="K90" s="2" t="s">
        <v>86</v>
      </c>
      <c r="L90" s="2" t="s">
        <v>87</v>
      </c>
      <c r="M90" s="5">
        <v>1.0</v>
      </c>
      <c r="N90" s="2" t="s">
        <v>40</v>
      </c>
      <c r="O90" s="6">
        <v>2750000.0</v>
      </c>
      <c r="P90" s="5">
        <v>0.0</v>
      </c>
      <c r="R90" s="4">
        <v>0.0</v>
      </c>
      <c r="S90" s="5">
        <v>2750000.0</v>
      </c>
      <c r="T90" s="5">
        <v>2750000.0</v>
      </c>
      <c r="U90" s="6">
        <v>0.0</v>
      </c>
      <c r="V90" s="3" t="s">
        <v>280</v>
      </c>
      <c r="W90" s="7" t="s">
        <v>28</v>
      </c>
    </row>
    <row r="91" ht="12.75" customHeight="1">
      <c r="A91" s="2" t="s">
        <v>281</v>
      </c>
      <c r="B91" s="3">
        <v>45329.6827199074</v>
      </c>
      <c r="C91" s="3" t="s">
        <v>153</v>
      </c>
      <c r="D91" s="2" t="s">
        <v>154</v>
      </c>
      <c r="E91" s="2" t="s">
        <v>23</v>
      </c>
      <c r="F91" s="4"/>
      <c r="G91" s="4"/>
      <c r="H91" s="4"/>
      <c r="I91" s="4"/>
      <c r="J91" s="2" t="s">
        <v>24</v>
      </c>
      <c r="K91" s="2" t="s">
        <v>145</v>
      </c>
      <c r="L91" s="2" t="s">
        <v>146</v>
      </c>
      <c r="M91" s="5">
        <v>1.0</v>
      </c>
      <c r="N91" s="2" t="s">
        <v>27</v>
      </c>
      <c r="O91" s="6">
        <v>3000000.0</v>
      </c>
      <c r="P91" s="5">
        <v>6400000.0</v>
      </c>
      <c r="R91" s="4">
        <v>0.0</v>
      </c>
      <c r="S91" s="5">
        <v>0.0</v>
      </c>
      <c r="T91" s="5">
        <v>3000000.0</v>
      </c>
      <c r="U91" s="6">
        <v>0.0</v>
      </c>
      <c r="V91" s="3" t="s">
        <v>28</v>
      </c>
      <c r="W91" s="7" t="s">
        <v>28</v>
      </c>
    </row>
    <row r="92" ht="12.75" customHeight="1">
      <c r="A92" s="2" t="s">
        <v>281</v>
      </c>
      <c r="B92" s="3">
        <v>45329.6827199074</v>
      </c>
      <c r="C92" s="3" t="s">
        <v>153</v>
      </c>
      <c r="D92" s="2" t="s">
        <v>154</v>
      </c>
      <c r="E92" s="2" t="s">
        <v>23</v>
      </c>
      <c r="F92" s="4"/>
      <c r="G92" s="4"/>
      <c r="H92" s="4"/>
      <c r="I92" s="4"/>
      <c r="J92" s="2" t="s">
        <v>24</v>
      </c>
      <c r="K92" s="2" t="s">
        <v>174</v>
      </c>
      <c r="L92" s="2" t="s">
        <v>175</v>
      </c>
      <c r="M92" s="5">
        <v>1.0</v>
      </c>
      <c r="N92" s="2" t="s">
        <v>27</v>
      </c>
      <c r="O92" s="6">
        <v>3400000.0</v>
      </c>
      <c r="P92" s="5">
        <v>6400000.0</v>
      </c>
      <c r="R92" s="4">
        <v>0.0</v>
      </c>
      <c r="S92" s="5">
        <v>0.0</v>
      </c>
      <c r="T92" s="5">
        <v>3400000.0</v>
      </c>
      <c r="U92" s="6">
        <v>0.0</v>
      </c>
      <c r="V92" s="3" t="s">
        <v>28</v>
      </c>
      <c r="W92" s="7" t="s">
        <v>28</v>
      </c>
    </row>
    <row r="93" ht="12.75" customHeight="1">
      <c r="A93" s="2" t="s">
        <v>282</v>
      </c>
      <c r="B93" s="3">
        <v>45334.702037037</v>
      </c>
      <c r="C93" s="3" t="s">
        <v>283</v>
      </c>
      <c r="D93" s="2" t="s">
        <v>284</v>
      </c>
      <c r="E93" s="2" t="s">
        <v>23</v>
      </c>
      <c r="F93" s="4"/>
      <c r="G93" s="4"/>
      <c r="H93" s="4"/>
      <c r="I93" s="4"/>
      <c r="J93" s="2" t="s">
        <v>24</v>
      </c>
      <c r="K93" s="2" t="s">
        <v>30</v>
      </c>
      <c r="L93" s="2" t="s">
        <v>31</v>
      </c>
      <c r="M93" s="5">
        <v>1.0</v>
      </c>
      <c r="N93" s="2" t="s">
        <v>27</v>
      </c>
      <c r="O93" s="6">
        <v>4450000.0</v>
      </c>
      <c r="P93" s="5">
        <v>4250000.0</v>
      </c>
      <c r="R93" s="4">
        <v>0.0</v>
      </c>
      <c r="S93" s="5">
        <v>0.0</v>
      </c>
      <c r="T93" s="5">
        <v>4450000.0</v>
      </c>
      <c r="U93" s="6">
        <v>4.4943820225</v>
      </c>
      <c r="V93" s="3" t="s">
        <v>28</v>
      </c>
      <c r="W93" s="7" t="s">
        <v>28</v>
      </c>
    </row>
    <row r="94" ht="12.75" customHeight="1">
      <c r="A94" s="2" t="s">
        <v>285</v>
      </c>
      <c r="B94" s="3">
        <v>45335.5875231481</v>
      </c>
      <c r="C94" s="3" t="s">
        <v>22</v>
      </c>
      <c r="D94" s="2" t="s">
        <v>22</v>
      </c>
      <c r="E94" s="2" t="s">
        <v>23</v>
      </c>
      <c r="F94" s="4"/>
      <c r="G94" s="4"/>
      <c r="H94" s="4"/>
      <c r="I94" s="4"/>
      <c r="J94" s="2" t="s">
        <v>24</v>
      </c>
      <c r="K94" s="2" t="s">
        <v>177</v>
      </c>
      <c r="L94" s="2" t="s">
        <v>178</v>
      </c>
      <c r="M94" s="5">
        <v>1.0</v>
      </c>
      <c r="N94" s="2" t="s">
        <v>40</v>
      </c>
      <c r="O94" s="6">
        <v>2100000.0</v>
      </c>
      <c r="P94" s="5">
        <v>5670000.0</v>
      </c>
      <c r="R94" s="4">
        <v>0.0</v>
      </c>
      <c r="S94" s="5">
        <v>0.0</v>
      </c>
      <c r="T94" s="5">
        <v>2100000.0</v>
      </c>
      <c r="U94" s="6">
        <v>0.0</v>
      </c>
      <c r="V94" s="3" t="s">
        <v>195</v>
      </c>
      <c r="W94" s="7" t="s">
        <v>28</v>
      </c>
    </row>
    <row r="95" ht="13.5" customHeight="1">
      <c r="A95" s="2" t="s">
        <v>285</v>
      </c>
      <c r="B95" s="3">
        <v>45335.5875231481</v>
      </c>
      <c r="C95" s="3" t="s">
        <v>22</v>
      </c>
      <c r="D95" s="2" t="s">
        <v>22</v>
      </c>
      <c r="E95" s="2" t="s">
        <v>23</v>
      </c>
      <c r="F95" s="4"/>
      <c r="G95" s="4"/>
      <c r="H95" s="4"/>
      <c r="I95" s="4"/>
      <c r="J95" s="2" t="s">
        <v>24</v>
      </c>
      <c r="K95" s="2" t="s">
        <v>179</v>
      </c>
      <c r="L95" s="2" t="s">
        <v>180</v>
      </c>
      <c r="M95" s="5">
        <v>1.0</v>
      </c>
      <c r="N95" s="2" t="s">
        <v>27</v>
      </c>
      <c r="O95" s="6">
        <v>1650000.0</v>
      </c>
      <c r="P95" s="5">
        <v>5670000.0</v>
      </c>
      <c r="R95" s="4">
        <v>0.0</v>
      </c>
      <c r="S95" s="5">
        <v>0.0</v>
      </c>
      <c r="T95" s="5">
        <v>1650000.0</v>
      </c>
      <c r="U95" s="6">
        <v>0.0</v>
      </c>
      <c r="V95" s="3" t="s">
        <v>195</v>
      </c>
      <c r="W95" s="7" t="s">
        <v>28</v>
      </c>
    </row>
    <row r="96" ht="12.75" customHeight="1">
      <c r="A96" s="2" t="s">
        <v>285</v>
      </c>
      <c r="B96" s="3">
        <v>45335.5875231481</v>
      </c>
      <c r="C96" s="3" t="s">
        <v>22</v>
      </c>
      <c r="D96" s="2" t="s">
        <v>22</v>
      </c>
      <c r="E96" s="2" t="s">
        <v>23</v>
      </c>
      <c r="F96" s="4"/>
      <c r="G96" s="4"/>
      <c r="H96" s="4"/>
      <c r="I96" s="4"/>
      <c r="J96" s="2" t="s">
        <v>24</v>
      </c>
      <c r="K96" s="2" t="s">
        <v>286</v>
      </c>
      <c r="L96" s="2" t="s">
        <v>287</v>
      </c>
      <c r="M96" s="5">
        <v>1.0</v>
      </c>
      <c r="N96" s="2" t="s">
        <v>40</v>
      </c>
      <c r="O96" s="6">
        <v>1400000.0</v>
      </c>
      <c r="P96" s="5">
        <v>5670000.0</v>
      </c>
      <c r="R96" s="4">
        <v>0.0</v>
      </c>
      <c r="S96" s="5">
        <v>0.0</v>
      </c>
      <c r="T96" s="5">
        <v>1400000.0</v>
      </c>
      <c r="U96" s="6">
        <v>0.0</v>
      </c>
      <c r="V96" s="3" t="s">
        <v>195</v>
      </c>
      <c r="W96" s="7" t="s">
        <v>28</v>
      </c>
    </row>
    <row r="97" ht="12.75" customHeight="1">
      <c r="A97" s="2" t="s">
        <v>285</v>
      </c>
      <c r="B97" s="3">
        <v>45335.5875231481</v>
      </c>
      <c r="C97" s="3" t="s">
        <v>22</v>
      </c>
      <c r="D97" s="2" t="s">
        <v>22</v>
      </c>
      <c r="E97" s="2" t="s">
        <v>23</v>
      </c>
      <c r="F97" s="4"/>
      <c r="G97" s="4"/>
      <c r="H97" s="4"/>
      <c r="I97" s="4"/>
      <c r="J97" s="2" t="s">
        <v>24</v>
      </c>
      <c r="K97" s="2" t="s">
        <v>170</v>
      </c>
      <c r="L97" s="2" t="s">
        <v>171</v>
      </c>
      <c r="M97" s="5">
        <v>2.0</v>
      </c>
      <c r="N97" s="2" t="s">
        <v>40</v>
      </c>
      <c r="O97" s="6">
        <v>260000.0</v>
      </c>
      <c r="P97" s="5">
        <v>5670000.0</v>
      </c>
      <c r="R97" s="4">
        <v>0.0</v>
      </c>
      <c r="S97" s="5">
        <v>0.0</v>
      </c>
      <c r="T97" s="5">
        <v>520000.0</v>
      </c>
      <c r="U97" s="6">
        <v>0.0</v>
      </c>
      <c r="V97" s="3" t="s">
        <v>195</v>
      </c>
      <c r="W97" s="7" t="s">
        <v>28</v>
      </c>
    </row>
    <row r="98" ht="12.75" customHeight="1">
      <c r="A98" s="2" t="s">
        <v>288</v>
      </c>
      <c r="B98" s="3">
        <v>45335.6848842593</v>
      </c>
      <c r="C98" s="3" t="s">
        <v>22</v>
      </c>
      <c r="D98" s="2" t="s">
        <v>22</v>
      </c>
      <c r="E98" s="2" t="s">
        <v>23</v>
      </c>
      <c r="F98" s="4"/>
      <c r="G98" s="4"/>
      <c r="H98" s="4"/>
      <c r="I98" s="4"/>
      <c r="J98" s="2" t="s">
        <v>24</v>
      </c>
      <c r="K98" s="2" t="s">
        <v>289</v>
      </c>
      <c r="L98" s="2" t="s">
        <v>290</v>
      </c>
      <c r="M98" s="5">
        <v>1.0</v>
      </c>
      <c r="N98" s="2" t="s">
        <v>40</v>
      </c>
      <c r="O98" s="6">
        <v>650000.0</v>
      </c>
      <c r="P98" s="5">
        <v>650000.0</v>
      </c>
      <c r="R98" s="4">
        <v>0.0</v>
      </c>
      <c r="S98" s="5">
        <v>0.0</v>
      </c>
      <c r="T98" s="5">
        <v>650000.0</v>
      </c>
      <c r="U98" s="6">
        <v>0.0</v>
      </c>
      <c r="V98" s="3" t="s">
        <v>28</v>
      </c>
      <c r="W98" s="7" t="s">
        <v>28</v>
      </c>
    </row>
    <row r="99" ht="12.75" customHeight="1">
      <c r="A99" s="2" t="s">
        <v>291</v>
      </c>
      <c r="B99" s="3">
        <v>45337.6030092593</v>
      </c>
      <c r="C99" s="3" t="s">
        <v>292</v>
      </c>
      <c r="D99" s="2" t="s">
        <v>293</v>
      </c>
      <c r="E99" s="2" t="s">
        <v>23</v>
      </c>
      <c r="F99" s="4"/>
      <c r="G99" s="4"/>
      <c r="H99" s="4"/>
      <c r="I99" s="4"/>
      <c r="J99" s="2" t="s">
        <v>24</v>
      </c>
      <c r="K99" s="2" t="s">
        <v>248</v>
      </c>
      <c r="L99" s="2" t="s">
        <v>249</v>
      </c>
      <c r="M99" s="5">
        <v>2.0</v>
      </c>
      <c r="N99" s="2" t="s">
        <v>27</v>
      </c>
      <c r="O99" s="6">
        <v>3650000.0</v>
      </c>
      <c r="P99" s="5">
        <v>1.85E7</v>
      </c>
      <c r="R99" s="4">
        <v>0.0</v>
      </c>
      <c r="S99" s="5">
        <v>0.0</v>
      </c>
      <c r="T99" s="5">
        <v>7300000.0</v>
      </c>
      <c r="U99" s="6">
        <v>0.0</v>
      </c>
      <c r="V99" s="3" t="s">
        <v>233</v>
      </c>
      <c r="W99" s="7" t="s">
        <v>28</v>
      </c>
    </row>
    <row r="100" ht="12.75" customHeight="1">
      <c r="A100" s="2" t="s">
        <v>291</v>
      </c>
      <c r="B100" s="3">
        <v>45337.6030092593</v>
      </c>
      <c r="C100" s="3" t="s">
        <v>292</v>
      </c>
      <c r="D100" s="2" t="s">
        <v>293</v>
      </c>
      <c r="E100" s="2" t="s">
        <v>23</v>
      </c>
      <c r="F100" s="4"/>
      <c r="G100" s="4"/>
      <c r="H100" s="4"/>
      <c r="I100" s="4"/>
      <c r="J100" s="2" t="s">
        <v>24</v>
      </c>
      <c r="K100" s="2" t="s">
        <v>63</v>
      </c>
      <c r="L100" s="2" t="s">
        <v>64</v>
      </c>
      <c r="M100" s="5">
        <v>1.0</v>
      </c>
      <c r="N100" s="2" t="s">
        <v>27</v>
      </c>
      <c r="O100" s="6">
        <v>3600000.0</v>
      </c>
      <c r="P100" s="5">
        <v>1.85E7</v>
      </c>
      <c r="R100" s="4">
        <v>0.0</v>
      </c>
      <c r="S100" s="5">
        <v>0.0</v>
      </c>
      <c r="T100" s="5">
        <v>3600000.0</v>
      </c>
      <c r="U100" s="6">
        <v>0.0</v>
      </c>
      <c r="V100" s="3" t="s">
        <v>233</v>
      </c>
      <c r="W100" s="7" t="s">
        <v>28</v>
      </c>
    </row>
    <row r="101" ht="12.75" customHeight="1">
      <c r="A101" s="2" t="s">
        <v>291</v>
      </c>
      <c r="B101" s="3">
        <v>45337.6030092593</v>
      </c>
      <c r="C101" s="3" t="s">
        <v>292</v>
      </c>
      <c r="D101" s="2" t="s">
        <v>293</v>
      </c>
      <c r="E101" s="2" t="s">
        <v>23</v>
      </c>
      <c r="F101" s="4"/>
      <c r="G101" s="4"/>
      <c r="H101" s="4"/>
      <c r="I101" s="4"/>
      <c r="J101" s="2" t="s">
        <v>24</v>
      </c>
      <c r="K101" s="2" t="s">
        <v>294</v>
      </c>
      <c r="L101" s="2" t="s">
        <v>295</v>
      </c>
      <c r="M101" s="5">
        <v>1.0</v>
      </c>
      <c r="N101" s="2" t="s">
        <v>27</v>
      </c>
      <c r="O101" s="6">
        <v>2200000.0</v>
      </c>
      <c r="P101" s="5">
        <v>1.85E7</v>
      </c>
      <c r="R101" s="4">
        <v>0.0</v>
      </c>
      <c r="S101" s="5">
        <v>0.0</v>
      </c>
      <c r="T101" s="5">
        <v>2200000.0</v>
      </c>
      <c r="U101" s="6">
        <v>0.0</v>
      </c>
      <c r="V101" s="3" t="s">
        <v>233</v>
      </c>
      <c r="W101" s="7" t="s">
        <v>28</v>
      </c>
    </row>
    <row r="102" ht="12.75" customHeight="1">
      <c r="A102" s="2" t="s">
        <v>291</v>
      </c>
      <c r="B102" s="3">
        <v>45337.6030092593</v>
      </c>
      <c r="C102" s="3" t="s">
        <v>292</v>
      </c>
      <c r="D102" s="2" t="s">
        <v>293</v>
      </c>
      <c r="E102" s="2" t="s">
        <v>23</v>
      </c>
      <c r="F102" s="4"/>
      <c r="G102" s="4"/>
      <c r="H102" s="4"/>
      <c r="I102" s="4"/>
      <c r="J102" s="2" t="s">
        <v>24</v>
      </c>
      <c r="K102" s="2" t="s">
        <v>296</v>
      </c>
      <c r="L102" s="2" t="s">
        <v>297</v>
      </c>
      <c r="M102" s="5">
        <v>2.0</v>
      </c>
      <c r="N102" s="2" t="s">
        <v>40</v>
      </c>
      <c r="O102" s="6">
        <v>2700000.0</v>
      </c>
      <c r="P102" s="5">
        <v>1.85E7</v>
      </c>
      <c r="R102" s="4">
        <v>0.0</v>
      </c>
      <c r="S102" s="5">
        <v>0.0</v>
      </c>
      <c r="T102" s="5">
        <v>5400000.0</v>
      </c>
      <c r="U102" s="6">
        <v>0.0</v>
      </c>
      <c r="V102" s="3" t="s">
        <v>233</v>
      </c>
      <c r="W102" s="7" t="s">
        <v>28</v>
      </c>
    </row>
    <row r="103" ht="12.75" customHeight="1">
      <c r="A103" s="2" t="s">
        <v>298</v>
      </c>
      <c r="B103" s="3">
        <v>45337.6039351852</v>
      </c>
      <c r="C103" s="3" t="s">
        <v>274</v>
      </c>
      <c r="D103" s="2" t="s">
        <v>275</v>
      </c>
      <c r="E103" s="2" t="s">
        <v>23</v>
      </c>
      <c r="F103" s="4"/>
      <c r="G103" s="4"/>
      <c r="H103" s="4"/>
      <c r="I103" s="4"/>
      <c r="J103" s="2" t="s">
        <v>62</v>
      </c>
      <c r="K103" s="2" t="s">
        <v>299</v>
      </c>
      <c r="L103" s="2" t="s">
        <v>300</v>
      </c>
      <c r="M103" s="5">
        <v>1.0</v>
      </c>
      <c r="N103" s="2" t="s">
        <v>40</v>
      </c>
      <c r="O103" s="6">
        <v>325000.0</v>
      </c>
      <c r="P103" s="5">
        <v>0.0</v>
      </c>
      <c r="R103" s="4">
        <v>0.0</v>
      </c>
      <c r="S103" s="5">
        <v>325000.0</v>
      </c>
      <c r="T103" s="5">
        <v>325000.0</v>
      </c>
      <c r="U103" s="6">
        <v>0.0</v>
      </c>
      <c r="V103" s="3" t="s">
        <v>28</v>
      </c>
      <c r="W103" s="7" t="s">
        <v>28</v>
      </c>
    </row>
    <row r="104" ht="12.75" customHeight="1">
      <c r="A104" s="2" t="s">
        <v>301</v>
      </c>
      <c r="B104" s="3">
        <v>45337.6706828704</v>
      </c>
      <c r="C104" s="3" t="s">
        <v>302</v>
      </c>
      <c r="D104" s="2" t="s">
        <v>303</v>
      </c>
      <c r="E104" s="2" t="s">
        <v>23</v>
      </c>
      <c r="F104" s="4"/>
      <c r="G104" s="4"/>
      <c r="H104" s="4"/>
      <c r="I104" s="4"/>
      <c r="J104" s="2" t="s">
        <v>24</v>
      </c>
      <c r="K104" s="2" t="s">
        <v>304</v>
      </c>
      <c r="L104" s="2" t="s">
        <v>305</v>
      </c>
      <c r="M104" s="5">
        <v>1.0</v>
      </c>
      <c r="N104" s="2" t="s">
        <v>40</v>
      </c>
      <c r="O104" s="6">
        <v>1.55E7</v>
      </c>
      <c r="P104" s="5">
        <v>0.0</v>
      </c>
      <c r="R104" s="4">
        <v>0.0</v>
      </c>
      <c r="S104" s="5">
        <v>1.7205E7</v>
      </c>
      <c r="T104" s="5">
        <v>1.55E7</v>
      </c>
      <c r="U104" s="6">
        <v>0.0</v>
      </c>
      <c r="V104" s="3" t="s">
        <v>28</v>
      </c>
      <c r="W104" s="7" t="s">
        <v>28</v>
      </c>
    </row>
    <row r="105" ht="12.75" customHeight="1">
      <c r="A105" s="2" t="s">
        <v>306</v>
      </c>
      <c r="B105" s="3">
        <v>45341.6704976852</v>
      </c>
      <c r="C105" s="3" t="s">
        <v>121</v>
      </c>
      <c r="D105" s="2" t="s">
        <v>122</v>
      </c>
      <c r="E105" s="2" t="s">
        <v>23</v>
      </c>
      <c r="F105" s="4"/>
      <c r="G105" s="4"/>
      <c r="H105" s="4"/>
      <c r="I105" s="4"/>
      <c r="J105" s="2" t="s">
        <v>24</v>
      </c>
      <c r="K105" s="2" t="s">
        <v>125</v>
      </c>
      <c r="L105" s="2" t="s">
        <v>126</v>
      </c>
      <c r="M105" s="5">
        <v>2.0</v>
      </c>
      <c r="N105" s="2" t="s">
        <v>40</v>
      </c>
      <c r="O105" s="6">
        <v>950000.0</v>
      </c>
      <c r="P105" s="5">
        <v>0.0</v>
      </c>
      <c r="R105" s="4">
        <v>0.0</v>
      </c>
      <c r="S105" s="5">
        <v>1900000.0</v>
      </c>
      <c r="T105" s="5">
        <v>1900000.0</v>
      </c>
      <c r="U105" s="6">
        <v>0.0</v>
      </c>
      <c r="V105" s="3" t="s">
        <v>28</v>
      </c>
      <c r="W105" s="7" t="s">
        <v>28</v>
      </c>
    </row>
    <row r="106" ht="12.75" customHeight="1">
      <c r="A106" s="2" t="s">
        <v>307</v>
      </c>
      <c r="B106" s="3">
        <v>45341.6743634259</v>
      </c>
      <c r="C106" s="3" t="s">
        <v>308</v>
      </c>
      <c r="D106" s="2" t="s">
        <v>309</v>
      </c>
      <c r="E106" s="2" t="s">
        <v>23</v>
      </c>
      <c r="F106" s="4"/>
      <c r="G106" s="4"/>
      <c r="H106" s="4"/>
      <c r="I106" s="4"/>
      <c r="J106" s="2" t="s">
        <v>310</v>
      </c>
      <c r="K106" s="2" t="s">
        <v>311</v>
      </c>
      <c r="L106" s="2" t="s">
        <v>312</v>
      </c>
      <c r="M106" s="5">
        <v>1.0</v>
      </c>
      <c r="N106" s="2" t="s">
        <v>27</v>
      </c>
      <c r="O106" s="6">
        <v>3100000.0</v>
      </c>
      <c r="P106" s="5">
        <v>0.0</v>
      </c>
      <c r="R106" s="4">
        <v>0.0</v>
      </c>
      <c r="S106" s="5">
        <v>6187500.0</v>
      </c>
      <c r="T106" s="5">
        <v>3100000.0</v>
      </c>
      <c r="U106" s="6">
        <v>25.0</v>
      </c>
      <c r="V106" s="3" t="s">
        <v>28</v>
      </c>
      <c r="W106" s="7" t="s">
        <v>28</v>
      </c>
    </row>
    <row r="107" ht="13.5" customHeight="1">
      <c r="A107" s="2" t="s">
        <v>307</v>
      </c>
      <c r="B107" s="3">
        <v>45341.6743634259</v>
      </c>
      <c r="C107" s="3" t="s">
        <v>308</v>
      </c>
      <c r="D107" s="2" t="s">
        <v>309</v>
      </c>
      <c r="E107" s="2" t="s">
        <v>23</v>
      </c>
      <c r="F107" s="4"/>
      <c r="G107" s="4"/>
      <c r="H107" s="4"/>
      <c r="I107" s="4"/>
      <c r="J107" s="2" t="s">
        <v>310</v>
      </c>
      <c r="K107" s="2" t="s">
        <v>313</v>
      </c>
      <c r="L107" s="2" t="s">
        <v>314</v>
      </c>
      <c r="M107" s="5">
        <v>1.0</v>
      </c>
      <c r="N107" s="2" t="s">
        <v>27</v>
      </c>
      <c r="O107" s="6">
        <v>1650000.0</v>
      </c>
      <c r="P107" s="5">
        <v>0.0</v>
      </c>
      <c r="R107" s="4">
        <v>0.0</v>
      </c>
      <c r="S107" s="5">
        <v>6187500.0</v>
      </c>
      <c r="T107" s="5">
        <v>1650000.0</v>
      </c>
      <c r="U107" s="6">
        <v>25.0</v>
      </c>
      <c r="V107" s="3" t="s">
        <v>28</v>
      </c>
      <c r="W107" s="7" t="s">
        <v>28</v>
      </c>
    </row>
    <row r="108" ht="12.75" customHeight="1">
      <c r="A108" s="2" t="s">
        <v>307</v>
      </c>
      <c r="B108" s="3">
        <v>45341.6743634259</v>
      </c>
      <c r="C108" s="3" t="s">
        <v>308</v>
      </c>
      <c r="D108" s="2" t="s">
        <v>309</v>
      </c>
      <c r="E108" s="2" t="s">
        <v>23</v>
      </c>
      <c r="F108" s="4"/>
      <c r="G108" s="4"/>
      <c r="H108" s="4"/>
      <c r="I108" s="4"/>
      <c r="J108" s="2" t="s">
        <v>310</v>
      </c>
      <c r="K108" s="2" t="s">
        <v>315</v>
      </c>
      <c r="L108" s="2" t="s">
        <v>316</v>
      </c>
      <c r="M108" s="5">
        <v>1.0</v>
      </c>
      <c r="N108" s="2" t="s">
        <v>27</v>
      </c>
      <c r="O108" s="6">
        <v>3500000.0</v>
      </c>
      <c r="P108" s="5">
        <v>0.0</v>
      </c>
      <c r="R108" s="4">
        <v>0.0</v>
      </c>
      <c r="S108" s="5">
        <v>6187500.0</v>
      </c>
      <c r="T108" s="5">
        <v>3500000.0</v>
      </c>
      <c r="U108" s="6">
        <v>25.0</v>
      </c>
      <c r="V108" s="3" t="s">
        <v>28</v>
      </c>
      <c r="W108" s="7" t="s">
        <v>28</v>
      </c>
    </row>
    <row r="109" ht="12.75" customHeight="1">
      <c r="A109" s="2" t="s">
        <v>317</v>
      </c>
      <c r="B109" s="3">
        <v>45342.6725115741</v>
      </c>
      <c r="C109" s="3" t="s">
        <v>22</v>
      </c>
      <c r="D109" s="2" t="s">
        <v>22</v>
      </c>
      <c r="E109" s="2" t="s">
        <v>23</v>
      </c>
      <c r="F109" s="4"/>
      <c r="G109" s="4"/>
      <c r="H109" s="4"/>
      <c r="I109" s="4"/>
      <c r="J109" s="2" t="s">
        <v>24</v>
      </c>
      <c r="K109" s="2" t="s">
        <v>318</v>
      </c>
      <c r="L109" s="2" t="s">
        <v>319</v>
      </c>
      <c r="M109" s="5">
        <v>1.0</v>
      </c>
      <c r="N109" s="2" t="s">
        <v>40</v>
      </c>
      <c r="O109" s="6">
        <v>4000000.0</v>
      </c>
      <c r="P109" s="5">
        <v>3700000.0</v>
      </c>
      <c r="R109" s="4">
        <v>0.0</v>
      </c>
      <c r="S109" s="5">
        <v>0.0</v>
      </c>
      <c r="T109" s="5">
        <v>4000000.0</v>
      </c>
      <c r="U109" s="6">
        <v>7.5</v>
      </c>
      <c r="V109" s="3" t="s">
        <v>320</v>
      </c>
      <c r="W109" s="7" t="s">
        <v>28</v>
      </c>
    </row>
    <row r="110" ht="12.75" customHeight="1">
      <c r="A110" s="2" t="s">
        <v>321</v>
      </c>
      <c r="B110" s="3">
        <v>45342.6731481481</v>
      </c>
      <c r="C110" s="3" t="s">
        <v>22</v>
      </c>
      <c r="D110" s="2" t="s">
        <v>22</v>
      </c>
      <c r="E110" s="2" t="s">
        <v>23</v>
      </c>
      <c r="F110" s="4"/>
      <c r="G110" s="4"/>
      <c r="H110" s="4"/>
      <c r="I110" s="4"/>
      <c r="J110" s="2" t="s">
        <v>24</v>
      </c>
      <c r="K110" s="2" t="s">
        <v>109</v>
      </c>
      <c r="L110" s="2" t="s">
        <v>110</v>
      </c>
      <c r="M110" s="5">
        <v>1.0</v>
      </c>
      <c r="N110" s="2" t="s">
        <v>40</v>
      </c>
      <c r="O110" s="6">
        <v>70000.0</v>
      </c>
      <c r="P110" s="5">
        <v>70000.0</v>
      </c>
      <c r="R110" s="4">
        <v>0.0</v>
      </c>
      <c r="S110" s="5">
        <v>0.0</v>
      </c>
      <c r="T110" s="5">
        <v>70000.0</v>
      </c>
      <c r="U110" s="6">
        <v>0.0</v>
      </c>
      <c r="V110" s="3" t="s">
        <v>28</v>
      </c>
      <c r="W110" s="7" t="s">
        <v>28</v>
      </c>
    </row>
    <row r="111" ht="12.75" customHeight="1">
      <c r="A111" s="2" t="s">
        <v>322</v>
      </c>
      <c r="B111" s="3">
        <v>45343.702025463</v>
      </c>
      <c r="C111" s="3" t="s">
        <v>22</v>
      </c>
      <c r="D111" s="2" t="s">
        <v>22</v>
      </c>
      <c r="E111" s="2" t="s">
        <v>23</v>
      </c>
      <c r="F111" s="4"/>
      <c r="G111" s="4"/>
      <c r="H111" s="4"/>
      <c r="I111" s="4"/>
      <c r="J111" s="2" t="s">
        <v>24</v>
      </c>
      <c r="K111" s="2" t="s">
        <v>94</v>
      </c>
      <c r="L111" s="2" t="s">
        <v>95</v>
      </c>
      <c r="M111" s="5">
        <v>1.0</v>
      </c>
      <c r="N111" s="2" t="s">
        <v>40</v>
      </c>
      <c r="O111" s="6">
        <v>800000.0</v>
      </c>
      <c r="P111" s="5">
        <v>750000.0</v>
      </c>
      <c r="R111" s="4">
        <v>0.0</v>
      </c>
      <c r="S111" s="5">
        <v>0.0</v>
      </c>
      <c r="T111" s="5">
        <v>800000.0</v>
      </c>
      <c r="U111" s="6">
        <v>6.25</v>
      </c>
      <c r="V111" s="3" t="s">
        <v>88</v>
      </c>
      <c r="W111" s="7" t="s">
        <v>28</v>
      </c>
    </row>
    <row r="112" ht="12.75" customHeight="1">
      <c r="A112" s="2" t="s">
        <v>323</v>
      </c>
      <c r="B112" s="3">
        <v>45343.7041203704</v>
      </c>
      <c r="C112" s="3" t="s">
        <v>324</v>
      </c>
      <c r="D112" s="2" t="s">
        <v>325</v>
      </c>
      <c r="E112" s="2" t="s">
        <v>23</v>
      </c>
      <c r="F112" s="4"/>
      <c r="G112" s="4"/>
      <c r="H112" s="4"/>
      <c r="I112" s="4"/>
      <c r="J112" s="2" t="s">
        <v>24</v>
      </c>
      <c r="K112" s="2" t="s">
        <v>326</v>
      </c>
      <c r="L112" s="2" t="s">
        <v>327</v>
      </c>
      <c r="M112" s="5">
        <v>1.0</v>
      </c>
      <c r="N112" s="2" t="s">
        <v>27</v>
      </c>
      <c r="O112" s="6">
        <v>1875000.0</v>
      </c>
      <c r="P112" s="5">
        <v>1875000.0</v>
      </c>
      <c r="R112" s="4">
        <v>0.0</v>
      </c>
      <c r="S112" s="5">
        <v>0.0</v>
      </c>
      <c r="T112" s="5">
        <v>1875000.0</v>
      </c>
      <c r="U112" s="6">
        <v>0.0</v>
      </c>
      <c r="V112" s="3" t="s">
        <v>328</v>
      </c>
      <c r="W112" s="7" t="s">
        <v>28</v>
      </c>
    </row>
    <row r="113" ht="12.75" customHeight="1">
      <c r="A113" s="2" t="s">
        <v>329</v>
      </c>
      <c r="B113" s="3">
        <v>45343.7047222222</v>
      </c>
      <c r="C113" s="3" t="s">
        <v>22</v>
      </c>
      <c r="D113" s="2" t="s">
        <v>22</v>
      </c>
      <c r="E113" s="2" t="s">
        <v>23</v>
      </c>
      <c r="F113" s="4"/>
      <c r="G113" s="4"/>
      <c r="H113" s="4"/>
      <c r="I113" s="4"/>
      <c r="J113" s="2" t="s">
        <v>24</v>
      </c>
      <c r="K113" s="2" t="s">
        <v>42</v>
      </c>
      <c r="L113" s="2" t="s">
        <v>43</v>
      </c>
      <c r="M113" s="5">
        <v>4.0</v>
      </c>
      <c r="N113" s="2" t="s">
        <v>40</v>
      </c>
      <c r="O113" s="6">
        <v>100000.0</v>
      </c>
      <c r="P113" s="5">
        <v>400000.0</v>
      </c>
      <c r="R113" s="4">
        <v>0.0</v>
      </c>
      <c r="S113" s="5">
        <v>0.0</v>
      </c>
      <c r="T113" s="5">
        <v>400000.0</v>
      </c>
      <c r="U113" s="6">
        <v>0.0</v>
      </c>
      <c r="V113" s="3" t="s">
        <v>28</v>
      </c>
      <c r="W113" s="7" t="s">
        <v>28</v>
      </c>
    </row>
    <row r="114" ht="12.75" customHeight="1">
      <c r="A114" s="2" t="s">
        <v>330</v>
      </c>
      <c r="B114" s="3">
        <v>45344.6305324074</v>
      </c>
      <c r="C114" s="3" t="s">
        <v>331</v>
      </c>
      <c r="D114" s="2" t="s">
        <v>332</v>
      </c>
      <c r="E114" s="2" t="s">
        <v>23</v>
      </c>
      <c r="F114" s="4"/>
      <c r="G114" s="4"/>
      <c r="H114" s="4"/>
      <c r="I114" s="4"/>
      <c r="J114" s="2" t="s">
        <v>24</v>
      </c>
      <c r="K114" s="2" t="s">
        <v>134</v>
      </c>
      <c r="L114" s="2" t="s">
        <v>135</v>
      </c>
      <c r="M114" s="5">
        <v>1.0</v>
      </c>
      <c r="N114" s="2" t="s">
        <v>27</v>
      </c>
      <c r="O114" s="6">
        <v>2725000.0</v>
      </c>
      <c r="P114" s="5">
        <v>2600000.0</v>
      </c>
      <c r="R114" s="4">
        <v>0.0</v>
      </c>
      <c r="S114" s="5">
        <v>0.0</v>
      </c>
      <c r="T114" s="5">
        <v>2725000.0</v>
      </c>
      <c r="U114" s="6">
        <v>4.5871559633</v>
      </c>
      <c r="V114" s="3" t="s">
        <v>28</v>
      </c>
      <c r="W114" s="7" t="s">
        <v>28</v>
      </c>
    </row>
    <row r="115" ht="12.75" customHeight="1">
      <c r="A115" s="2" t="s">
        <v>333</v>
      </c>
      <c r="B115" s="3">
        <v>45344.6315277778</v>
      </c>
      <c r="C115" s="3" t="s">
        <v>334</v>
      </c>
      <c r="D115" s="2" t="s">
        <v>335</v>
      </c>
      <c r="E115" s="2" t="s">
        <v>23</v>
      </c>
      <c r="F115" s="4"/>
      <c r="G115" s="4"/>
      <c r="H115" s="4"/>
      <c r="I115" s="4"/>
      <c r="J115" s="2" t="s">
        <v>24</v>
      </c>
      <c r="K115" s="2" t="s">
        <v>118</v>
      </c>
      <c r="L115" s="2" t="s">
        <v>119</v>
      </c>
      <c r="M115" s="5">
        <v>1.0</v>
      </c>
      <c r="N115" s="2" t="s">
        <v>27</v>
      </c>
      <c r="O115" s="6">
        <v>2750000.0</v>
      </c>
      <c r="P115" s="5">
        <v>2600000.0</v>
      </c>
      <c r="R115" s="4">
        <v>0.0</v>
      </c>
      <c r="S115" s="5">
        <v>0.0</v>
      </c>
      <c r="T115" s="5">
        <v>2750000.0</v>
      </c>
      <c r="U115" s="6">
        <v>5.4545454545</v>
      </c>
      <c r="V115" s="3" t="s">
        <v>28</v>
      </c>
      <c r="W115" s="7" t="s">
        <v>28</v>
      </c>
    </row>
    <row r="116" ht="12.75" customHeight="1">
      <c r="A116" s="2" t="s">
        <v>336</v>
      </c>
      <c r="B116" s="3">
        <v>45344.6333101852</v>
      </c>
      <c r="C116" s="3" t="s">
        <v>22</v>
      </c>
      <c r="D116" s="2" t="s">
        <v>22</v>
      </c>
      <c r="E116" s="2" t="s">
        <v>23</v>
      </c>
      <c r="F116" s="4"/>
      <c r="G116" s="4"/>
      <c r="H116" s="4"/>
      <c r="I116" s="4"/>
      <c r="J116" s="2" t="s">
        <v>24</v>
      </c>
      <c r="K116" s="2" t="s">
        <v>228</v>
      </c>
      <c r="L116" s="2" t="s">
        <v>229</v>
      </c>
      <c r="M116" s="5">
        <v>1.0</v>
      </c>
      <c r="N116" s="2" t="s">
        <v>40</v>
      </c>
      <c r="O116" s="6">
        <v>1750000.0</v>
      </c>
      <c r="P116" s="5">
        <v>1650000.0</v>
      </c>
      <c r="R116" s="4">
        <v>0.0</v>
      </c>
      <c r="S116" s="5">
        <v>0.0</v>
      </c>
      <c r="T116" s="5">
        <v>1750000.0</v>
      </c>
      <c r="U116" s="6">
        <v>5.7142857143</v>
      </c>
      <c r="V116" s="3" t="s">
        <v>337</v>
      </c>
      <c r="W116" s="7" t="s">
        <v>28</v>
      </c>
    </row>
    <row r="117" ht="12.75" customHeight="1">
      <c r="A117" s="2" t="s">
        <v>338</v>
      </c>
      <c r="B117" s="3">
        <v>45344.6339699074</v>
      </c>
      <c r="C117" s="3" t="s">
        <v>22</v>
      </c>
      <c r="D117" s="2" t="s">
        <v>22</v>
      </c>
      <c r="E117" s="2" t="s">
        <v>23</v>
      </c>
      <c r="F117" s="4"/>
      <c r="G117" s="4"/>
      <c r="H117" s="4"/>
      <c r="I117" s="4"/>
      <c r="J117" s="2" t="s">
        <v>24</v>
      </c>
      <c r="K117" s="2" t="s">
        <v>109</v>
      </c>
      <c r="L117" s="2" t="s">
        <v>110</v>
      </c>
      <c r="M117" s="5">
        <v>1.0</v>
      </c>
      <c r="N117" s="2" t="s">
        <v>40</v>
      </c>
      <c r="O117" s="6">
        <v>70000.0</v>
      </c>
      <c r="P117" s="5">
        <v>70000.0</v>
      </c>
      <c r="R117" s="4">
        <v>0.0</v>
      </c>
      <c r="S117" s="5">
        <v>0.0</v>
      </c>
      <c r="T117" s="5">
        <v>70000.0</v>
      </c>
      <c r="U117" s="6">
        <v>0.0</v>
      </c>
      <c r="V117" s="3" t="s">
        <v>28</v>
      </c>
      <c r="W117" s="7" t="s">
        <v>28</v>
      </c>
    </row>
    <row r="118" ht="12.75" customHeight="1">
      <c r="A118" s="2" t="s">
        <v>339</v>
      </c>
      <c r="B118" s="3">
        <v>45344.6656944444</v>
      </c>
      <c r="C118" s="3" t="s">
        <v>22</v>
      </c>
      <c r="D118" s="2" t="s">
        <v>22</v>
      </c>
      <c r="E118" s="2" t="s">
        <v>23</v>
      </c>
      <c r="F118" s="4"/>
      <c r="G118" s="4"/>
      <c r="H118" s="4"/>
      <c r="I118" s="4"/>
      <c r="J118" s="2" t="s">
        <v>24</v>
      </c>
      <c r="K118" s="2" t="s">
        <v>71</v>
      </c>
      <c r="L118" s="2" t="s">
        <v>72</v>
      </c>
      <c r="M118" s="5">
        <v>1.0</v>
      </c>
      <c r="N118" s="2" t="s">
        <v>40</v>
      </c>
      <c r="O118" s="6">
        <v>4550000.0</v>
      </c>
      <c r="P118" s="5">
        <v>4300000.0</v>
      </c>
      <c r="R118" s="4">
        <v>0.0</v>
      </c>
      <c r="S118" s="5">
        <v>0.0</v>
      </c>
      <c r="T118" s="5">
        <v>4550000.0</v>
      </c>
      <c r="U118" s="6">
        <v>5.4945054945</v>
      </c>
      <c r="V118" s="3" t="s">
        <v>88</v>
      </c>
      <c r="W118" s="7" t="s">
        <v>28</v>
      </c>
    </row>
    <row r="119" ht="12.75" customHeight="1">
      <c r="A119" s="2" t="s">
        <v>340</v>
      </c>
      <c r="B119" s="3">
        <v>45344.6767708333</v>
      </c>
      <c r="C119" s="3" t="s">
        <v>324</v>
      </c>
      <c r="D119" s="2" t="s">
        <v>325</v>
      </c>
      <c r="E119" s="2" t="s">
        <v>23</v>
      </c>
      <c r="F119" s="4"/>
      <c r="G119" s="4"/>
      <c r="H119" s="4"/>
      <c r="I119" s="4"/>
      <c r="J119" s="2" t="s">
        <v>24</v>
      </c>
      <c r="K119" s="2" t="s">
        <v>341</v>
      </c>
      <c r="L119" s="2" t="s">
        <v>342</v>
      </c>
      <c r="M119" s="5">
        <v>1.0</v>
      </c>
      <c r="N119" s="2" t="s">
        <v>27</v>
      </c>
      <c r="O119" s="6">
        <v>1650000.0</v>
      </c>
      <c r="P119" s="5">
        <v>1650000.0</v>
      </c>
      <c r="R119" s="4">
        <v>0.0</v>
      </c>
      <c r="S119" s="5">
        <v>0.0</v>
      </c>
      <c r="T119" s="5">
        <v>1650000.0</v>
      </c>
      <c r="U119" s="6">
        <v>0.0</v>
      </c>
      <c r="V119" s="3" t="s">
        <v>343</v>
      </c>
      <c r="W119" s="7" t="s">
        <v>28</v>
      </c>
    </row>
    <row r="120" ht="13.5" customHeight="1">
      <c r="A120" s="2" t="s">
        <v>344</v>
      </c>
      <c r="B120" s="3">
        <v>45344.6791782407</v>
      </c>
      <c r="C120" s="3" t="s">
        <v>22</v>
      </c>
      <c r="D120" s="2" t="s">
        <v>22</v>
      </c>
      <c r="E120" s="2" t="s">
        <v>23</v>
      </c>
      <c r="F120" s="4"/>
      <c r="G120" s="4"/>
      <c r="H120" s="4"/>
      <c r="I120" s="4"/>
      <c r="J120" s="2" t="s">
        <v>24</v>
      </c>
      <c r="K120" s="2" t="s">
        <v>77</v>
      </c>
      <c r="L120" s="2" t="s">
        <v>78</v>
      </c>
      <c r="M120" s="5">
        <v>1.0</v>
      </c>
      <c r="N120" s="2" t="s">
        <v>40</v>
      </c>
      <c r="O120" s="6">
        <v>950000.0</v>
      </c>
      <c r="P120" s="5">
        <v>900000.0</v>
      </c>
      <c r="R120" s="4">
        <v>0.0</v>
      </c>
      <c r="S120" s="5">
        <v>0.0</v>
      </c>
      <c r="T120" s="5">
        <v>950000.0</v>
      </c>
      <c r="U120" s="6">
        <v>5.2631578947</v>
      </c>
      <c r="V120" s="3" t="s">
        <v>28</v>
      </c>
      <c r="W120" s="7" t="s">
        <v>28</v>
      </c>
    </row>
    <row r="121" ht="12.75" customHeight="1">
      <c r="A121" s="2" t="s">
        <v>345</v>
      </c>
      <c r="B121" s="3">
        <v>45345.6399074074</v>
      </c>
      <c r="C121" s="3" t="s">
        <v>22</v>
      </c>
      <c r="D121" s="2" t="s">
        <v>22</v>
      </c>
      <c r="E121" s="2" t="s">
        <v>23</v>
      </c>
      <c r="F121" s="4"/>
      <c r="G121" s="4"/>
      <c r="H121" s="4"/>
      <c r="I121" s="4"/>
      <c r="J121" s="2" t="s">
        <v>24</v>
      </c>
      <c r="K121" s="2" t="s">
        <v>346</v>
      </c>
      <c r="L121" s="2" t="s">
        <v>347</v>
      </c>
      <c r="M121" s="5">
        <v>1.0</v>
      </c>
      <c r="N121" s="2" t="s">
        <v>40</v>
      </c>
      <c r="O121" s="6">
        <v>1175000.0</v>
      </c>
      <c r="P121" s="5">
        <v>1100000.0</v>
      </c>
      <c r="R121" s="4">
        <v>0.0</v>
      </c>
      <c r="S121" s="5">
        <v>0.0</v>
      </c>
      <c r="T121" s="5">
        <v>1175000.0</v>
      </c>
      <c r="U121" s="6">
        <v>6.3829787234</v>
      </c>
      <c r="V121" s="3" t="s">
        <v>28</v>
      </c>
      <c r="W121" s="7" t="s">
        <v>28</v>
      </c>
    </row>
    <row r="122" ht="12.75" customHeight="1">
      <c r="A122" s="2" t="s">
        <v>348</v>
      </c>
      <c r="B122" s="3">
        <v>45345.6417939815</v>
      </c>
      <c r="C122" s="3" t="s">
        <v>98</v>
      </c>
      <c r="D122" s="2" t="s">
        <v>99</v>
      </c>
      <c r="E122" s="2" t="s">
        <v>23</v>
      </c>
      <c r="F122" s="4"/>
      <c r="G122" s="4"/>
      <c r="H122" s="4"/>
      <c r="I122" s="4"/>
      <c r="J122" s="2" t="s">
        <v>24</v>
      </c>
      <c r="K122" s="2" t="s">
        <v>100</v>
      </c>
      <c r="L122" s="2" t="s">
        <v>101</v>
      </c>
      <c r="M122" s="5">
        <v>3.0</v>
      </c>
      <c r="N122" s="2" t="s">
        <v>27</v>
      </c>
      <c r="O122" s="6">
        <v>1306306.0</v>
      </c>
      <c r="P122" s="5">
        <v>0.0</v>
      </c>
      <c r="R122" s="4">
        <v>0.0</v>
      </c>
      <c r="S122" s="5">
        <v>3918918.0</v>
      </c>
      <c r="T122" s="5">
        <v>3918918.0</v>
      </c>
      <c r="U122" s="6">
        <v>0.0</v>
      </c>
      <c r="V122" s="3" t="s">
        <v>349</v>
      </c>
      <c r="W122" s="7" t="s">
        <v>28</v>
      </c>
    </row>
    <row r="123" ht="12.75" customHeight="1">
      <c r="A123" s="2" t="s">
        <v>350</v>
      </c>
      <c r="B123" s="3">
        <v>45345.6425347222</v>
      </c>
      <c r="C123" s="3" t="s">
        <v>351</v>
      </c>
      <c r="D123" s="2" t="s">
        <v>352</v>
      </c>
      <c r="E123" s="2" t="s">
        <v>23</v>
      </c>
      <c r="F123" s="4"/>
      <c r="G123" s="4"/>
      <c r="H123" s="4"/>
      <c r="I123" s="4"/>
      <c r="J123" s="2" t="s">
        <v>62</v>
      </c>
      <c r="K123" s="2" t="s">
        <v>125</v>
      </c>
      <c r="L123" s="2" t="s">
        <v>126</v>
      </c>
      <c r="M123" s="5">
        <v>1.0</v>
      </c>
      <c r="N123" s="2" t="s">
        <v>40</v>
      </c>
      <c r="O123" s="6">
        <v>950000.0</v>
      </c>
      <c r="P123" s="5">
        <v>0.0</v>
      </c>
      <c r="R123" s="4">
        <v>0.0</v>
      </c>
      <c r="S123" s="5">
        <v>712500.0</v>
      </c>
      <c r="T123" s="5">
        <v>712500.0</v>
      </c>
      <c r="U123" s="6">
        <v>0.0</v>
      </c>
      <c r="V123" s="3" t="s">
        <v>28</v>
      </c>
      <c r="W123" s="7" t="s">
        <v>28</v>
      </c>
    </row>
    <row r="124" ht="12.75" customHeight="1">
      <c r="A124" s="2" t="s">
        <v>353</v>
      </c>
      <c r="B124" s="3">
        <v>45346.6272453704</v>
      </c>
      <c r="C124" s="3" t="s">
        <v>22</v>
      </c>
      <c r="D124" s="2" t="s">
        <v>22</v>
      </c>
      <c r="E124" s="2" t="s">
        <v>23</v>
      </c>
      <c r="F124" s="4"/>
      <c r="G124" s="4"/>
      <c r="H124" s="4"/>
      <c r="I124" s="4"/>
      <c r="J124" s="2" t="s">
        <v>24</v>
      </c>
      <c r="K124" s="2" t="s">
        <v>109</v>
      </c>
      <c r="L124" s="2" t="s">
        <v>110</v>
      </c>
      <c r="M124" s="5">
        <v>1.0</v>
      </c>
      <c r="N124" s="2" t="s">
        <v>40</v>
      </c>
      <c r="O124" s="6">
        <v>70000.0</v>
      </c>
      <c r="P124" s="5">
        <v>70000.0</v>
      </c>
      <c r="R124" s="4">
        <v>0.0</v>
      </c>
      <c r="S124" s="5">
        <v>0.0</v>
      </c>
      <c r="T124" s="5">
        <v>70000.0</v>
      </c>
      <c r="U124" s="6">
        <v>0.0</v>
      </c>
      <c r="V124" s="3" t="s">
        <v>28</v>
      </c>
      <c r="W124" s="7" t="s">
        <v>28</v>
      </c>
    </row>
    <row r="125" ht="12.75" customHeight="1">
      <c r="A125" s="2" t="s">
        <v>354</v>
      </c>
      <c r="B125" s="3">
        <v>45346.6292476852</v>
      </c>
      <c r="C125" s="3" t="s">
        <v>153</v>
      </c>
      <c r="D125" s="2" t="s">
        <v>154</v>
      </c>
      <c r="E125" s="2" t="s">
        <v>23</v>
      </c>
      <c r="F125" s="4"/>
      <c r="G125" s="4"/>
      <c r="H125" s="4"/>
      <c r="I125" s="4"/>
      <c r="J125" s="2" t="s">
        <v>24</v>
      </c>
      <c r="K125" s="2" t="s">
        <v>355</v>
      </c>
      <c r="L125" s="2" t="s">
        <v>356</v>
      </c>
      <c r="M125" s="5">
        <v>1.0</v>
      </c>
      <c r="N125" s="2" t="s">
        <v>40</v>
      </c>
      <c r="O125" s="6">
        <v>2050000.0</v>
      </c>
      <c r="P125" s="5">
        <v>2000000.0</v>
      </c>
      <c r="R125" s="4">
        <v>0.0</v>
      </c>
      <c r="S125" s="5">
        <v>0.0</v>
      </c>
      <c r="T125" s="5">
        <v>2050000.0</v>
      </c>
      <c r="U125" s="6">
        <v>2.4390243902</v>
      </c>
      <c r="V125" s="3" t="s">
        <v>28</v>
      </c>
      <c r="W125" s="7" t="s">
        <v>28</v>
      </c>
    </row>
    <row r="126" ht="12.75" customHeight="1">
      <c r="A126" s="2" t="s">
        <v>357</v>
      </c>
      <c r="B126" s="3">
        <v>45348.6498263889</v>
      </c>
      <c r="C126" s="3" t="s">
        <v>22</v>
      </c>
      <c r="D126" s="2" t="s">
        <v>22</v>
      </c>
      <c r="E126" s="2" t="s">
        <v>23</v>
      </c>
      <c r="F126" s="4"/>
      <c r="G126" s="4"/>
      <c r="H126" s="4"/>
      <c r="I126" s="4"/>
      <c r="J126" s="2" t="s">
        <v>24</v>
      </c>
      <c r="K126" s="2" t="s">
        <v>358</v>
      </c>
      <c r="L126" s="2" t="s">
        <v>359</v>
      </c>
      <c r="M126" s="5">
        <v>1.0</v>
      </c>
      <c r="N126" s="2" t="s">
        <v>40</v>
      </c>
      <c r="O126" s="6">
        <v>1.825E7</v>
      </c>
      <c r="P126" s="5">
        <v>1.725E7</v>
      </c>
      <c r="R126" s="4">
        <v>0.0</v>
      </c>
      <c r="S126" s="5">
        <v>0.0</v>
      </c>
      <c r="T126" s="5">
        <v>1.825E7</v>
      </c>
      <c r="U126" s="6">
        <v>5.4794520548</v>
      </c>
      <c r="V126" s="3" t="s">
        <v>28</v>
      </c>
      <c r="W126" s="7" t="s">
        <v>28</v>
      </c>
    </row>
    <row r="127" ht="12.75" customHeight="1">
      <c r="A127" s="2" t="s">
        <v>360</v>
      </c>
      <c r="B127" s="3">
        <v>45349.6161111111</v>
      </c>
      <c r="C127" s="3" t="s">
        <v>361</v>
      </c>
      <c r="D127" s="2" t="s">
        <v>362</v>
      </c>
      <c r="E127" s="2" t="s">
        <v>23</v>
      </c>
      <c r="F127" s="4"/>
      <c r="G127" s="4"/>
      <c r="H127" s="4"/>
      <c r="I127" s="4"/>
      <c r="J127" s="2" t="s">
        <v>62</v>
      </c>
      <c r="K127" s="2" t="s">
        <v>68</v>
      </c>
      <c r="L127" s="2" t="s">
        <v>69</v>
      </c>
      <c r="M127" s="5">
        <v>1.0</v>
      </c>
      <c r="N127" s="2" t="s">
        <v>40</v>
      </c>
      <c r="O127" s="6">
        <v>2800000.0</v>
      </c>
      <c r="P127" s="5">
        <v>2600000.0</v>
      </c>
      <c r="R127" s="4">
        <v>0.0</v>
      </c>
      <c r="S127" s="5">
        <v>0.0</v>
      </c>
      <c r="T127" s="5">
        <v>2800000.0</v>
      </c>
      <c r="U127" s="6">
        <v>7.1428571429</v>
      </c>
      <c r="V127" s="3" t="s">
        <v>363</v>
      </c>
      <c r="W127" s="7" t="s">
        <v>28</v>
      </c>
    </row>
    <row r="128" ht="12.75" customHeight="1">
      <c r="A128" s="2" t="s">
        <v>364</v>
      </c>
      <c r="B128" s="3">
        <v>45349.6171412037</v>
      </c>
      <c r="C128" s="3" t="s">
        <v>22</v>
      </c>
      <c r="D128" s="2" t="s">
        <v>22</v>
      </c>
      <c r="E128" s="2" t="s">
        <v>23</v>
      </c>
      <c r="F128" s="4"/>
      <c r="G128" s="4"/>
      <c r="H128" s="4"/>
      <c r="I128" s="4"/>
      <c r="J128" s="2" t="s">
        <v>24</v>
      </c>
      <c r="K128" s="2" t="s">
        <v>42</v>
      </c>
      <c r="L128" s="2" t="s">
        <v>43</v>
      </c>
      <c r="M128" s="5">
        <v>1.0</v>
      </c>
      <c r="N128" s="2" t="s">
        <v>40</v>
      </c>
      <c r="O128" s="6">
        <v>100000.0</v>
      </c>
      <c r="P128" s="5">
        <v>100000.0</v>
      </c>
      <c r="R128" s="4">
        <v>0.0</v>
      </c>
      <c r="S128" s="5">
        <v>0.0</v>
      </c>
      <c r="T128" s="5">
        <v>100000.0</v>
      </c>
      <c r="U128" s="6">
        <v>0.0</v>
      </c>
      <c r="V128" s="3" t="s">
        <v>28</v>
      </c>
      <c r="W128" s="7" t="s">
        <v>28</v>
      </c>
    </row>
    <row r="129" ht="12.75" customHeight="1">
      <c r="A129" s="2" t="s">
        <v>365</v>
      </c>
      <c r="B129" s="3">
        <v>45349.7066319444</v>
      </c>
      <c r="C129" s="3" t="s">
        <v>22</v>
      </c>
      <c r="D129" s="2" t="s">
        <v>22</v>
      </c>
      <c r="E129" s="2" t="s">
        <v>23</v>
      </c>
      <c r="F129" s="4"/>
      <c r="G129" s="4"/>
      <c r="H129" s="4"/>
      <c r="I129" s="4"/>
      <c r="J129" s="2" t="s">
        <v>24</v>
      </c>
      <c r="K129" s="2" t="s">
        <v>228</v>
      </c>
      <c r="L129" s="2" t="s">
        <v>229</v>
      </c>
      <c r="M129" s="5">
        <v>1.0</v>
      </c>
      <c r="N129" s="2" t="s">
        <v>40</v>
      </c>
      <c r="O129" s="6">
        <v>1750000.0</v>
      </c>
      <c r="P129" s="5">
        <v>1700000.0</v>
      </c>
      <c r="R129" s="4">
        <v>0.0</v>
      </c>
      <c r="S129" s="5">
        <v>0.0</v>
      </c>
      <c r="T129" s="5">
        <v>1750000.0</v>
      </c>
      <c r="U129" s="6">
        <v>2.8571428571</v>
      </c>
      <c r="V129" s="3" t="s">
        <v>28</v>
      </c>
      <c r="W129" s="7" t="s">
        <v>28</v>
      </c>
    </row>
    <row r="130" ht="12.75" customHeight="1">
      <c r="A130" s="2" t="s">
        <v>366</v>
      </c>
      <c r="B130" s="3">
        <v>45350.6196180556</v>
      </c>
      <c r="C130" s="3" t="s">
        <v>22</v>
      </c>
      <c r="D130" s="2" t="s">
        <v>22</v>
      </c>
      <c r="E130" s="2" t="s">
        <v>23</v>
      </c>
      <c r="F130" s="4"/>
      <c r="G130" s="4"/>
      <c r="H130" s="4"/>
      <c r="I130" s="4"/>
      <c r="J130" s="2" t="s">
        <v>24</v>
      </c>
      <c r="K130" s="2" t="s">
        <v>367</v>
      </c>
      <c r="L130" s="2" t="s">
        <v>368</v>
      </c>
      <c r="M130" s="5">
        <v>1.0</v>
      </c>
      <c r="N130" s="2" t="s">
        <v>40</v>
      </c>
      <c r="O130" s="6">
        <v>250000.0</v>
      </c>
      <c r="P130" s="5">
        <v>250000.0</v>
      </c>
      <c r="R130" s="4">
        <v>0.0</v>
      </c>
      <c r="S130" s="5">
        <v>0.0</v>
      </c>
      <c r="T130" s="5">
        <v>250000.0</v>
      </c>
      <c r="U130" s="6">
        <v>0.0</v>
      </c>
      <c r="V130" s="3" t="s">
        <v>88</v>
      </c>
      <c r="W130" s="7" t="s">
        <v>28</v>
      </c>
    </row>
    <row r="131" ht="12.75" customHeight="1">
      <c r="A131" s="2" t="s">
        <v>369</v>
      </c>
      <c r="B131" s="3">
        <v>45350.6222800926</v>
      </c>
      <c r="C131" s="3" t="s">
        <v>22</v>
      </c>
      <c r="D131" s="2" t="s">
        <v>22</v>
      </c>
      <c r="E131" s="2" t="s">
        <v>23</v>
      </c>
      <c r="F131" s="4"/>
      <c r="G131" s="4"/>
      <c r="H131" s="4"/>
      <c r="I131" s="4"/>
      <c r="J131" s="2" t="s">
        <v>24</v>
      </c>
      <c r="K131" s="2" t="s">
        <v>145</v>
      </c>
      <c r="L131" s="2" t="s">
        <v>146</v>
      </c>
      <c r="M131" s="5">
        <v>1.0</v>
      </c>
      <c r="N131" s="2" t="s">
        <v>27</v>
      </c>
      <c r="O131" s="6">
        <v>3245000.0</v>
      </c>
      <c r="P131" s="5">
        <v>3000000.0</v>
      </c>
      <c r="R131" s="4">
        <v>0.0</v>
      </c>
      <c r="S131" s="5">
        <v>0.0</v>
      </c>
      <c r="T131" s="5">
        <v>3245000.0</v>
      </c>
      <c r="U131" s="6">
        <v>7.5500770416</v>
      </c>
      <c r="V131" s="3" t="s">
        <v>328</v>
      </c>
      <c r="W131" s="7" t="s">
        <v>28</v>
      </c>
    </row>
    <row r="132" ht="13.5" customHeight="1">
      <c r="A132" s="2" t="s">
        <v>370</v>
      </c>
      <c r="B132" s="3">
        <v>45351.646412037</v>
      </c>
      <c r="C132" s="3" t="s">
        <v>22</v>
      </c>
      <c r="D132" s="2" t="s">
        <v>22</v>
      </c>
      <c r="E132" s="2" t="s">
        <v>23</v>
      </c>
      <c r="F132" s="4"/>
      <c r="G132" s="4"/>
      <c r="H132" s="4"/>
      <c r="I132" s="4"/>
      <c r="J132" s="2" t="s">
        <v>24</v>
      </c>
      <c r="K132" s="2" t="s">
        <v>150</v>
      </c>
      <c r="L132" s="2" t="s">
        <v>151</v>
      </c>
      <c r="M132" s="5">
        <v>1.0</v>
      </c>
      <c r="N132" s="2" t="s">
        <v>27</v>
      </c>
      <c r="O132" s="6">
        <v>2690000.0</v>
      </c>
      <c r="P132" s="5">
        <v>2500000.0</v>
      </c>
      <c r="R132" s="4">
        <v>0.0</v>
      </c>
      <c r="S132" s="5">
        <v>0.0</v>
      </c>
      <c r="T132" s="5">
        <v>2690000.0</v>
      </c>
      <c r="U132" s="6">
        <v>7.063197026</v>
      </c>
      <c r="V132" s="3" t="s">
        <v>88</v>
      </c>
      <c r="W132" s="7" t="s">
        <v>28</v>
      </c>
    </row>
    <row r="133" ht="12.75" customHeight="1">
      <c r="A133" s="2" t="s">
        <v>371</v>
      </c>
      <c r="B133" s="3">
        <v>45351.6807407407</v>
      </c>
      <c r="C133" s="3" t="s">
        <v>372</v>
      </c>
      <c r="D133" s="2" t="s">
        <v>373</v>
      </c>
      <c r="E133" s="2" t="s">
        <v>23</v>
      </c>
      <c r="F133" s="4"/>
      <c r="G133" s="4"/>
      <c r="H133" s="4"/>
      <c r="I133" s="4"/>
      <c r="J133" s="2" t="s">
        <v>24</v>
      </c>
      <c r="K133" s="2" t="s">
        <v>346</v>
      </c>
      <c r="L133" s="2" t="s">
        <v>347</v>
      </c>
      <c r="M133" s="5">
        <v>2.0</v>
      </c>
      <c r="N133" s="2" t="s">
        <v>40</v>
      </c>
      <c r="O133" s="6">
        <v>1175000.0</v>
      </c>
      <c r="P133" s="5">
        <v>0.0</v>
      </c>
      <c r="R133" s="4">
        <v>0.0</v>
      </c>
      <c r="S133" s="5">
        <v>4150000.0</v>
      </c>
      <c r="T133" s="5">
        <v>2350000.0</v>
      </c>
      <c r="U133" s="6">
        <v>0.0</v>
      </c>
      <c r="V133" s="3" t="s">
        <v>28</v>
      </c>
      <c r="W133" s="7" t="s">
        <v>28</v>
      </c>
    </row>
    <row r="134" ht="12.75" customHeight="1">
      <c r="A134" s="2" t="s">
        <v>371</v>
      </c>
      <c r="B134" s="3">
        <v>45351.6807407407</v>
      </c>
      <c r="C134" s="3" t="s">
        <v>372</v>
      </c>
      <c r="D134" s="2" t="s">
        <v>373</v>
      </c>
      <c r="E134" s="2" t="s">
        <v>23</v>
      </c>
      <c r="F134" s="4"/>
      <c r="G134" s="4"/>
      <c r="H134" s="4"/>
      <c r="I134" s="4"/>
      <c r="J134" s="2" t="s">
        <v>24</v>
      </c>
      <c r="K134" s="2" t="s">
        <v>374</v>
      </c>
      <c r="L134" s="2" t="s">
        <v>375</v>
      </c>
      <c r="M134" s="5">
        <v>1.0</v>
      </c>
      <c r="N134" s="2" t="s">
        <v>27</v>
      </c>
      <c r="O134" s="6">
        <v>1800000.0</v>
      </c>
      <c r="P134" s="5">
        <v>0.0</v>
      </c>
      <c r="R134" s="4">
        <v>0.0</v>
      </c>
      <c r="S134" s="5">
        <v>4150000.0</v>
      </c>
      <c r="T134" s="5">
        <v>1800000.0</v>
      </c>
      <c r="U134" s="6">
        <v>0.0</v>
      </c>
      <c r="V134" s="3" t="s">
        <v>28</v>
      </c>
      <c r="W134" s="7" t="s">
        <v>28</v>
      </c>
    </row>
    <row r="135" ht="12.75" customHeight="1">
      <c r="A135" s="2" t="s">
        <v>376</v>
      </c>
      <c r="B135" s="3">
        <v>45355.6493055556</v>
      </c>
      <c r="C135" s="3" t="s">
        <v>22</v>
      </c>
      <c r="D135" s="2" t="s">
        <v>22</v>
      </c>
      <c r="E135" s="2" t="s">
        <v>23</v>
      </c>
      <c r="F135" s="4"/>
      <c r="G135" s="4"/>
      <c r="H135" s="4"/>
      <c r="I135" s="4"/>
      <c r="J135" s="2" t="s">
        <v>24</v>
      </c>
      <c r="K135" s="2" t="s">
        <v>25</v>
      </c>
      <c r="L135" s="2" t="s">
        <v>26</v>
      </c>
      <c r="M135" s="5">
        <v>1.0</v>
      </c>
      <c r="N135" s="2" t="s">
        <v>27</v>
      </c>
      <c r="O135" s="6">
        <v>6350000.0</v>
      </c>
      <c r="P135" s="5">
        <v>6200000.0</v>
      </c>
      <c r="R135" s="4">
        <v>0.0</v>
      </c>
      <c r="S135" s="5">
        <v>0.0</v>
      </c>
      <c r="T135" s="5">
        <v>6350000.0</v>
      </c>
      <c r="U135" s="6">
        <v>2.3622047244</v>
      </c>
      <c r="V135" s="3" t="s">
        <v>28</v>
      </c>
      <c r="W135" s="7" t="s">
        <v>28</v>
      </c>
    </row>
    <row r="136" ht="12.75" customHeight="1">
      <c r="A136" s="2" t="s">
        <v>377</v>
      </c>
      <c r="B136" s="3">
        <v>45355.6660069444</v>
      </c>
      <c r="C136" s="3" t="s">
        <v>378</v>
      </c>
      <c r="D136" s="2" t="s">
        <v>379</v>
      </c>
      <c r="E136" s="2" t="s">
        <v>23</v>
      </c>
      <c r="F136" s="4"/>
      <c r="G136" s="4"/>
      <c r="H136" s="4"/>
      <c r="I136" s="4"/>
      <c r="J136" s="2" t="s">
        <v>62</v>
      </c>
      <c r="K136" s="2" t="s">
        <v>380</v>
      </c>
      <c r="L136" s="2" t="s">
        <v>381</v>
      </c>
      <c r="M136" s="5">
        <v>2.0</v>
      </c>
      <c r="N136" s="2" t="s">
        <v>27</v>
      </c>
      <c r="O136" s="6">
        <v>525000.0</v>
      </c>
      <c r="P136" s="5">
        <v>1047100.0</v>
      </c>
      <c r="R136" s="4">
        <v>0.0</v>
      </c>
      <c r="S136" s="5">
        <v>0.0</v>
      </c>
      <c r="T136" s="5">
        <v>1050000.0</v>
      </c>
      <c r="U136" s="6">
        <v>0.2761904762</v>
      </c>
      <c r="V136" s="3" t="s">
        <v>328</v>
      </c>
      <c r="W136" s="7" t="s">
        <v>28</v>
      </c>
    </row>
    <row r="137" ht="12.75" customHeight="1">
      <c r="A137" s="2" t="s">
        <v>382</v>
      </c>
      <c r="B137" s="3">
        <v>45355.6843634259</v>
      </c>
      <c r="C137" s="3" t="s">
        <v>383</v>
      </c>
      <c r="D137" s="2" t="s">
        <v>384</v>
      </c>
      <c r="E137" s="2" t="s">
        <v>23</v>
      </c>
      <c r="F137" s="4"/>
      <c r="G137" s="4"/>
      <c r="H137" s="4"/>
      <c r="I137" s="4"/>
      <c r="J137" s="2" t="s">
        <v>62</v>
      </c>
      <c r="K137" s="2" t="s">
        <v>385</v>
      </c>
      <c r="L137" s="2" t="s">
        <v>386</v>
      </c>
      <c r="M137" s="5">
        <v>1.0</v>
      </c>
      <c r="N137" s="2" t="s">
        <v>27</v>
      </c>
      <c r="O137" s="6">
        <v>1750000.0</v>
      </c>
      <c r="P137" s="5">
        <v>0.0</v>
      </c>
      <c r="R137" s="4">
        <v>0.0</v>
      </c>
      <c r="S137" s="5">
        <v>1750000.0</v>
      </c>
      <c r="T137" s="5">
        <v>1750000.0</v>
      </c>
      <c r="U137" s="6">
        <v>0.0</v>
      </c>
      <c r="V137" s="3" t="s">
        <v>28</v>
      </c>
      <c r="W137" s="7" t="s">
        <v>28</v>
      </c>
    </row>
    <row r="138" ht="12.75" customHeight="1">
      <c r="A138" s="2" t="s">
        <v>387</v>
      </c>
      <c r="B138" s="3">
        <v>45356.6840509259</v>
      </c>
      <c r="C138" s="3" t="s">
        <v>388</v>
      </c>
      <c r="D138" s="2" t="s">
        <v>389</v>
      </c>
      <c r="E138" s="2" t="s">
        <v>23</v>
      </c>
      <c r="F138" s="4"/>
      <c r="G138" s="4"/>
      <c r="H138" s="4"/>
      <c r="I138" s="4"/>
      <c r="J138" s="2" t="s">
        <v>62</v>
      </c>
      <c r="K138" s="2" t="s">
        <v>390</v>
      </c>
      <c r="L138" s="2" t="s">
        <v>391</v>
      </c>
      <c r="M138" s="5">
        <v>5.0</v>
      </c>
      <c r="N138" s="2" t="s">
        <v>40</v>
      </c>
      <c r="O138" s="6">
        <v>215000.0</v>
      </c>
      <c r="P138" s="5">
        <v>1000000.0</v>
      </c>
      <c r="R138" s="4">
        <v>0.0</v>
      </c>
      <c r="S138" s="5">
        <v>0.0</v>
      </c>
      <c r="T138" s="5">
        <v>1075000.0</v>
      </c>
      <c r="U138" s="6">
        <v>6.976744186</v>
      </c>
      <c r="V138" s="3" t="s">
        <v>28</v>
      </c>
      <c r="W138" s="7" t="s">
        <v>28</v>
      </c>
    </row>
    <row r="139" ht="12.75" customHeight="1">
      <c r="A139" s="2" t="s">
        <v>392</v>
      </c>
      <c r="B139" s="3">
        <v>45356.7002662037</v>
      </c>
      <c r="C139" s="3" t="s">
        <v>393</v>
      </c>
      <c r="D139" s="2" t="s">
        <v>394</v>
      </c>
      <c r="E139" s="2" t="s">
        <v>23</v>
      </c>
      <c r="F139" s="4"/>
      <c r="G139" s="4"/>
      <c r="H139" s="4"/>
      <c r="I139" s="4"/>
      <c r="J139" s="2" t="s">
        <v>62</v>
      </c>
      <c r="K139" s="2" t="s">
        <v>268</v>
      </c>
      <c r="L139" s="2" t="s">
        <v>269</v>
      </c>
      <c r="M139" s="5">
        <v>2.0</v>
      </c>
      <c r="N139" s="2" t="s">
        <v>46</v>
      </c>
      <c r="O139" s="6">
        <v>50000.0</v>
      </c>
      <c r="P139" s="5">
        <v>0.0</v>
      </c>
      <c r="R139" s="4">
        <v>0.0</v>
      </c>
      <c r="S139" s="5">
        <v>100000.0</v>
      </c>
      <c r="T139" s="5">
        <v>100000.0</v>
      </c>
      <c r="U139" s="6">
        <v>0.0</v>
      </c>
      <c r="V139" s="3" t="s">
        <v>28</v>
      </c>
      <c r="W139" s="7" t="s">
        <v>28</v>
      </c>
    </row>
    <row r="140" ht="12.75" customHeight="1">
      <c r="A140" s="2" t="s">
        <v>395</v>
      </c>
      <c r="B140" s="3">
        <v>45357.714849537</v>
      </c>
      <c r="C140" s="3" t="s">
        <v>396</v>
      </c>
      <c r="D140" s="2" t="s">
        <v>397</v>
      </c>
      <c r="E140" s="2" t="s">
        <v>23</v>
      </c>
      <c r="F140" s="4"/>
      <c r="G140" s="4"/>
      <c r="H140" s="4"/>
      <c r="I140" s="4"/>
      <c r="J140" s="2" t="s">
        <v>62</v>
      </c>
      <c r="K140" s="2" t="s">
        <v>374</v>
      </c>
      <c r="L140" s="2" t="s">
        <v>375</v>
      </c>
      <c r="M140" s="5">
        <v>1.0</v>
      </c>
      <c r="N140" s="2" t="s">
        <v>27</v>
      </c>
      <c r="O140" s="6">
        <v>1800000.0</v>
      </c>
      <c r="P140" s="5">
        <v>4450000.0</v>
      </c>
      <c r="R140" s="4">
        <v>0.0</v>
      </c>
      <c r="S140" s="5">
        <v>0.0</v>
      </c>
      <c r="T140" s="5">
        <v>1800000.0</v>
      </c>
      <c r="U140" s="6">
        <v>6.3157894737</v>
      </c>
      <c r="V140" s="3" t="s">
        <v>28</v>
      </c>
      <c r="W140" s="7" t="s">
        <v>28</v>
      </c>
    </row>
    <row r="141" ht="12.75" customHeight="1">
      <c r="A141" s="2" t="s">
        <v>395</v>
      </c>
      <c r="B141" s="3">
        <v>45357.714849537</v>
      </c>
      <c r="C141" s="3" t="s">
        <v>396</v>
      </c>
      <c r="D141" s="2" t="s">
        <v>397</v>
      </c>
      <c r="E141" s="2" t="s">
        <v>23</v>
      </c>
      <c r="F141" s="4"/>
      <c r="G141" s="4"/>
      <c r="H141" s="4"/>
      <c r="I141" s="4"/>
      <c r="J141" s="2" t="s">
        <v>62</v>
      </c>
      <c r="K141" s="2" t="s">
        <v>177</v>
      </c>
      <c r="L141" s="2" t="s">
        <v>178</v>
      </c>
      <c r="M141" s="5">
        <v>1.0</v>
      </c>
      <c r="N141" s="2" t="s">
        <v>40</v>
      </c>
      <c r="O141" s="6">
        <v>2250000.0</v>
      </c>
      <c r="P141" s="5">
        <v>4450000.0</v>
      </c>
      <c r="R141" s="4">
        <v>0.0</v>
      </c>
      <c r="S141" s="5">
        <v>0.0</v>
      </c>
      <c r="T141" s="5">
        <v>2250000.0</v>
      </c>
      <c r="U141" s="6">
        <v>6.3157894737</v>
      </c>
      <c r="V141" s="3" t="s">
        <v>28</v>
      </c>
      <c r="W141" s="7" t="s">
        <v>28</v>
      </c>
    </row>
    <row r="142" ht="12.75" customHeight="1">
      <c r="A142" s="2" t="s">
        <v>395</v>
      </c>
      <c r="B142" s="3">
        <v>45357.714849537</v>
      </c>
      <c r="C142" s="3" t="s">
        <v>396</v>
      </c>
      <c r="D142" s="2" t="s">
        <v>397</v>
      </c>
      <c r="E142" s="2" t="s">
        <v>23</v>
      </c>
      <c r="F142" s="4"/>
      <c r="G142" s="4"/>
      <c r="H142" s="4"/>
      <c r="I142" s="4"/>
      <c r="J142" s="2" t="s">
        <v>62</v>
      </c>
      <c r="K142" s="2" t="s">
        <v>398</v>
      </c>
      <c r="L142" s="2" t="s">
        <v>399</v>
      </c>
      <c r="M142" s="5">
        <v>1.0</v>
      </c>
      <c r="N142" s="2" t="s">
        <v>40</v>
      </c>
      <c r="O142" s="6">
        <v>700000.0</v>
      </c>
      <c r="P142" s="5">
        <v>4450000.0</v>
      </c>
      <c r="R142" s="4">
        <v>0.0</v>
      </c>
      <c r="S142" s="5">
        <v>0.0</v>
      </c>
      <c r="T142" s="5">
        <v>700000.0</v>
      </c>
      <c r="U142" s="6">
        <v>6.3157894737</v>
      </c>
      <c r="V142" s="3" t="s">
        <v>28</v>
      </c>
      <c r="W142" s="7" t="s">
        <v>28</v>
      </c>
    </row>
    <row r="143" ht="12.75" customHeight="1">
      <c r="A143" s="2" t="s">
        <v>400</v>
      </c>
      <c r="B143" s="3">
        <v>45357.7157060185</v>
      </c>
      <c r="C143" s="3" t="s">
        <v>48</v>
      </c>
      <c r="D143" s="2" t="s">
        <v>49</v>
      </c>
      <c r="E143" s="2" t="s">
        <v>23</v>
      </c>
      <c r="F143" s="4"/>
      <c r="G143" s="4"/>
      <c r="H143" s="4"/>
      <c r="I143" s="4"/>
      <c r="J143" s="2" t="s">
        <v>24</v>
      </c>
      <c r="K143" s="2" t="s">
        <v>86</v>
      </c>
      <c r="L143" s="2" t="s">
        <v>87</v>
      </c>
      <c r="M143" s="5">
        <v>1.0</v>
      </c>
      <c r="N143" s="2" t="s">
        <v>40</v>
      </c>
      <c r="O143" s="6">
        <v>2750000.0</v>
      </c>
      <c r="P143" s="5">
        <v>0.0</v>
      </c>
      <c r="R143" s="4">
        <v>0.0</v>
      </c>
      <c r="S143" s="5">
        <v>2750000.0</v>
      </c>
      <c r="T143" s="5">
        <v>2750000.0</v>
      </c>
      <c r="U143" s="6">
        <v>0.0</v>
      </c>
      <c r="V143" s="3" t="s">
        <v>401</v>
      </c>
      <c r="W143" s="7" t="s">
        <v>28</v>
      </c>
    </row>
    <row r="144" ht="12.75" customHeight="1">
      <c r="A144" s="2" t="s">
        <v>402</v>
      </c>
      <c r="B144" s="3">
        <v>45358.647974537</v>
      </c>
      <c r="C144" s="3" t="s">
        <v>22</v>
      </c>
      <c r="D144" s="2" t="s">
        <v>22</v>
      </c>
      <c r="E144" s="2" t="s">
        <v>23</v>
      </c>
      <c r="F144" s="4"/>
      <c r="G144" s="4"/>
      <c r="H144" s="4"/>
      <c r="I144" s="4"/>
      <c r="J144" s="2" t="s">
        <v>24</v>
      </c>
      <c r="K144" s="2" t="s">
        <v>33</v>
      </c>
      <c r="L144" s="2" t="s">
        <v>34</v>
      </c>
      <c r="M144" s="5">
        <v>1.0</v>
      </c>
      <c r="N144" s="2" t="s">
        <v>27</v>
      </c>
      <c r="O144" s="6">
        <v>1800000.0</v>
      </c>
      <c r="P144" s="5">
        <v>1800000.0</v>
      </c>
      <c r="R144" s="4">
        <v>0.0</v>
      </c>
      <c r="S144" s="5">
        <v>0.0</v>
      </c>
      <c r="T144" s="5">
        <v>1800000.0</v>
      </c>
      <c r="U144" s="6">
        <v>0.0</v>
      </c>
      <c r="V144" s="3" t="s">
        <v>328</v>
      </c>
      <c r="W144" s="7" t="s">
        <v>28</v>
      </c>
    </row>
    <row r="145" ht="13.5" customHeight="1">
      <c r="A145" s="2" t="s">
        <v>403</v>
      </c>
      <c r="B145" s="3">
        <v>45358.6530671296</v>
      </c>
      <c r="C145" s="3" t="s">
        <v>22</v>
      </c>
      <c r="D145" s="2" t="s">
        <v>22</v>
      </c>
      <c r="E145" s="2" t="s">
        <v>23</v>
      </c>
      <c r="F145" s="4"/>
      <c r="G145" s="4"/>
      <c r="H145" s="4"/>
      <c r="I145" s="4"/>
      <c r="J145" s="2" t="s">
        <v>24</v>
      </c>
      <c r="K145" s="2" t="s">
        <v>109</v>
      </c>
      <c r="L145" s="2" t="s">
        <v>110</v>
      </c>
      <c r="M145" s="5">
        <v>1.0</v>
      </c>
      <c r="N145" s="2" t="s">
        <v>40</v>
      </c>
      <c r="O145" s="6">
        <v>70000.0</v>
      </c>
      <c r="P145" s="5">
        <v>70000.0</v>
      </c>
      <c r="R145" s="4">
        <v>0.0</v>
      </c>
      <c r="S145" s="5">
        <v>0.0</v>
      </c>
      <c r="T145" s="5">
        <v>70000.0</v>
      </c>
      <c r="U145" s="6">
        <v>0.0</v>
      </c>
      <c r="V145" s="3" t="s">
        <v>28</v>
      </c>
      <c r="W145" s="7" t="s">
        <v>28</v>
      </c>
    </row>
    <row r="146" ht="12.75" customHeight="1">
      <c r="A146" s="2" t="s">
        <v>404</v>
      </c>
      <c r="B146" s="3">
        <v>45358.6540509259</v>
      </c>
      <c r="C146" s="3" t="s">
        <v>308</v>
      </c>
      <c r="D146" s="2" t="s">
        <v>309</v>
      </c>
      <c r="E146" s="2" t="s">
        <v>23</v>
      </c>
      <c r="F146" s="4"/>
      <c r="G146" s="4"/>
      <c r="H146" s="4"/>
      <c r="I146" s="4"/>
      <c r="J146" s="2" t="s">
        <v>310</v>
      </c>
      <c r="K146" s="2" t="s">
        <v>136</v>
      </c>
      <c r="L146" s="2" t="s">
        <v>137</v>
      </c>
      <c r="M146" s="5">
        <v>1.0</v>
      </c>
      <c r="N146" s="2" t="s">
        <v>27</v>
      </c>
      <c r="O146" s="6">
        <v>1100000.0</v>
      </c>
      <c r="P146" s="5">
        <v>0.0</v>
      </c>
      <c r="R146" s="4">
        <v>0.0</v>
      </c>
      <c r="S146" s="5">
        <v>1650000.0</v>
      </c>
      <c r="T146" s="5">
        <v>1100000.0</v>
      </c>
      <c r="U146" s="6">
        <v>25.0</v>
      </c>
      <c r="V146" s="3" t="s">
        <v>28</v>
      </c>
      <c r="W146" s="7" t="s">
        <v>28</v>
      </c>
    </row>
    <row r="147" ht="12.75" customHeight="1">
      <c r="A147" s="2" t="s">
        <v>404</v>
      </c>
      <c r="B147" s="3">
        <v>45358.6540509259</v>
      </c>
      <c r="C147" s="3" t="s">
        <v>308</v>
      </c>
      <c r="D147" s="2" t="s">
        <v>309</v>
      </c>
      <c r="E147" s="2" t="s">
        <v>23</v>
      </c>
      <c r="F147" s="4"/>
      <c r="G147" s="4"/>
      <c r="H147" s="4"/>
      <c r="I147" s="4"/>
      <c r="J147" s="2" t="s">
        <v>310</v>
      </c>
      <c r="K147" s="2" t="s">
        <v>38</v>
      </c>
      <c r="L147" s="2" t="s">
        <v>39</v>
      </c>
      <c r="M147" s="5">
        <v>1.0</v>
      </c>
      <c r="N147" s="2" t="s">
        <v>40</v>
      </c>
      <c r="O147" s="6">
        <v>1100000.0</v>
      </c>
      <c r="P147" s="5">
        <v>0.0</v>
      </c>
      <c r="R147" s="4">
        <v>0.0</v>
      </c>
      <c r="S147" s="5">
        <v>1650000.0</v>
      </c>
      <c r="T147" s="5">
        <v>1100000.0</v>
      </c>
      <c r="U147" s="6">
        <v>25.0</v>
      </c>
      <c r="V147" s="3" t="s">
        <v>28</v>
      </c>
      <c r="W147" s="7" t="s">
        <v>28</v>
      </c>
    </row>
    <row r="148" ht="12.75" customHeight="1">
      <c r="A148" s="2" t="s">
        <v>405</v>
      </c>
      <c r="B148" s="3">
        <v>45359.7002199074</v>
      </c>
      <c r="C148" s="3" t="s">
        <v>22</v>
      </c>
      <c r="D148" s="2" t="s">
        <v>22</v>
      </c>
      <c r="E148" s="2" t="s">
        <v>23</v>
      </c>
      <c r="F148" s="4"/>
      <c r="G148" s="4"/>
      <c r="H148" s="4"/>
      <c r="I148" s="4"/>
      <c r="J148" s="2" t="s">
        <v>24</v>
      </c>
      <c r="K148" s="2" t="s">
        <v>80</v>
      </c>
      <c r="L148" s="2" t="s">
        <v>81</v>
      </c>
      <c r="M148" s="5">
        <v>2.0</v>
      </c>
      <c r="N148" s="2" t="s">
        <v>40</v>
      </c>
      <c r="O148" s="6">
        <v>165000.0</v>
      </c>
      <c r="P148" s="5">
        <v>330000.0</v>
      </c>
      <c r="R148" s="4">
        <v>0.0</v>
      </c>
      <c r="S148" s="5">
        <v>0.0</v>
      </c>
      <c r="T148" s="5">
        <v>330000.0</v>
      </c>
      <c r="U148" s="6">
        <v>0.0</v>
      </c>
      <c r="V148" s="3" t="s">
        <v>28</v>
      </c>
      <c r="W148" s="7" t="s">
        <v>28</v>
      </c>
    </row>
    <row r="149" ht="12.75" customHeight="1">
      <c r="A149" s="2" t="s">
        <v>406</v>
      </c>
      <c r="B149" s="3">
        <v>45359.7010300926</v>
      </c>
      <c r="C149" s="3" t="s">
        <v>22</v>
      </c>
      <c r="D149" s="2" t="s">
        <v>22</v>
      </c>
      <c r="E149" s="2" t="s">
        <v>23</v>
      </c>
      <c r="F149" s="4"/>
      <c r="G149" s="4"/>
      <c r="H149" s="4"/>
      <c r="I149" s="4"/>
      <c r="J149" s="2" t="s">
        <v>24</v>
      </c>
      <c r="K149" s="2" t="s">
        <v>80</v>
      </c>
      <c r="L149" s="2" t="s">
        <v>81</v>
      </c>
      <c r="M149" s="5">
        <v>1.0</v>
      </c>
      <c r="N149" s="2" t="s">
        <v>40</v>
      </c>
      <c r="O149" s="6">
        <v>165000.0</v>
      </c>
      <c r="P149" s="5">
        <v>165000.0</v>
      </c>
      <c r="R149" s="4">
        <v>0.0</v>
      </c>
      <c r="S149" s="5">
        <v>0.0</v>
      </c>
      <c r="T149" s="5">
        <v>165000.0</v>
      </c>
      <c r="U149" s="6">
        <v>0.0</v>
      </c>
      <c r="V149" s="3" t="s">
        <v>28</v>
      </c>
      <c r="W149" s="7" t="s">
        <v>28</v>
      </c>
    </row>
    <row r="150" ht="12.75" customHeight="1">
      <c r="A150" s="2" t="s">
        <v>407</v>
      </c>
      <c r="B150" s="3">
        <v>45360.6726388889</v>
      </c>
      <c r="C150" s="3" t="s">
        <v>361</v>
      </c>
      <c r="D150" s="2" t="s">
        <v>362</v>
      </c>
      <c r="E150" s="2" t="s">
        <v>23</v>
      </c>
      <c r="F150" s="4"/>
      <c r="G150" s="4"/>
      <c r="H150" s="4"/>
      <c r="I150" s="4"/>
      <c r="J150" s="2" t="s">
        <v>62</v>
      </c>
      <c r="K150" s="2" t="s">
        <v>123</v>
      </c>
      <c r="L150" s="2" t="s">
        <v>124</v>
      </c>
      <c r="M150" s="5">
        <v>6.0</v>
      </c>
      <c r="N150" s="2" t="s">
        <v>40</v>
      </c>
      <c r="O150" s="6">
        <v>880000.0</v>
      </c>
      <c r="P150" s="5">
        <v>4740000.0</v>
      </c>
      <c r="R150" s="4">
        <v>0.0</v>
      </c>
      <c r="S150" s="5">
        <v>0.0</v>
      </c>
      <c r="T150" s="5">
        <v>5280000.0</v>
      </c>
      <c r="U150" s="6">
        <v>10.2272727273</v>
      </c>
      <c r="V150" s="3" t="s">
        <v>28</v>
      </c>
      <c r="W150" s="7" t="s">
        <v>28</v>
      </c>
    </row>
    <row r="151" ht="12.75" customHeight="1">
      <c r="A151" s="2" t="s">
        <v>408</v>
      </c>
      <c r="B151" s="3">
        <v>45360.6758333333</v>
      </c>
      <c r="C151" s="3" t="s">
        <v>22</v>
      </c>
      <c r="D151" s="2" t="s">
        <v>22</v>
      </c>
      <c r="E151" s="2" t="s">
        <v>23</v>
      </c>
      <c r="F151" s="4"/>
      <c r="G151" s="4"/>
      <c r="H151" s="4"/>
      <c r="I151" s="4"/>
      <c r="J151" s="2" t="s">
        <v>24</v>
      </c>
      <c r="K151" s="2" t="s">
        <v>409</v>
      </c>
      <c r="L151" s="2" t="s">
        <v>410</v>
      </c>
      <c r="M151" s="5">
        <v>1.0</v>
      </c>
      <c r="N151" s="2" t="s">
        <v>27</v>
      </c>
      <c r="O151" s="6">
        <v>2500000.0</v>
      </c>
      <c r="P151" s="5">
        <v>2560000.0</v>
      </c>
      <c r="R151" s="4">
        <v>0.0</v>
      </c>
      <c r="S151" s="5">
        <v>0.0</v>
      </c>
      <c r="T151" s="5">
        <v>2500000.0</v>
      </c>
      <c r="U151" s="6">
        <v>0.0</v>
      </c>
      <c r="V151" s="3" t="s">
        <v>88</v>
      </c>
      <c r="W151" s="7" t="s">
        <v>28</v>
      </c>
    </row>
    <row r="152" ht="12.75" customHeight="1">
      <c r="A152" s="2" t="s">
        <v>408</v>
      </c>
      <c r="B152" s="3">
        <v>45360.6758333333</v>
      </c>
      <c r="C152" s="3" t="s">
        <v>22</v>
      </c>
      <c r="D152" s="2" t="s">
        <v>22</v>
      </c>
      <c r="E152" s="2" t="s">
        <v>23</v>
      </c>
      <c r="F152" s="4"/>
      <c r="G152" s="4"/>
      <c r="H152" s="4"/>
      <c r="I152" s="4"/>
      <c r="J152" s="2" t="s">
        <v>24</v>
      </c>
      <c r="K152" s="2" t="s">
        <v>411</v>
      </c>
      <c r="L152" s="2" t="s">
        <v>412</v>
      </c>
      <c r="M152" s="5">
        <v>2.0</v>
      </c>
      <c r="N152" s="2" t="s">
        <v>46</v>
      </c>
      <c r="O152" s="6">
        <v>12500.0</v>
      </c>
      <c r="P152" s="5">
        <v>2560000.0</v>
      </c>
      <c r="R152" s="4">
        <v>0.0</v>
      </c>
      <c r="S152" s="5">
        <v>0.0</v>
      </c>
      <c r="T152" s="5">
        <v>25000.0</v>
      </c>
      <c r="U152" s="6">
        <v>0.0</v>
      </c>
      <c r="V152" s="3" t="s">
        <v>88</v>
      </c>
      <c r="W152" s="7" t="s">
        <v>28</v>
      </c>
    </row>
    <row r="153" ht="12.75" customHeight="1">
      <c r="A153" s="2" t="s">
        <v>408</v>
      </c>
      <c r="B153" s="3">
        <v>45360.6758333333</v>
      </c>
      <c r="C153" s="3" t="s">
        <v>22</v>
      </c>
      <c r="D153" s="2" t="s">
        <v>22</v>
      </c>
      <c r="E153" s="2" t="s">
        <v>23</v>
      </c>
      <c r="F153" s="4"/>
      <c r="G153" s="4"/>
      <c r="H153" s="4"/>
      <c r="I153" s="4"/>
      <c r="J153" s="2" t="s">
        <v>24</v>
      </c>
      <c r="K153" s="2" t="s">
        <v>413</v>
      </c>
      <c r="L153" s="2" t="s">
        <v>414</v>
      </c>
      <c r="M153" s="5">
        <v>1.0</v>
      </c>
      <c r="N153" s="2" t="s">
        <v>46</v>
      </c>
      <c r="O153" s="6">
        <v>35000.0</v>
      </c>
      <c r="P153" s="5">
        <v>2560000.0</v>
      </c>
      <c r="R153" s="4">
        <v>0.0</v>
      </c>
      <c r="S153" s="5">
        <v>0.0</v>
      </c>
      <c r="T153" s="5">
        <v>35000.0</v>
      </c>
      <c r="U153" s="6">
        <v>0.0</v>
      </c>
      <c r="V153" s="3" t="s">
        <v>88</v>
      </c>
      <c r="W153" s="7" t="s">
        <v>28</v>
      </c>
    </row>
    <row r="154" ht="12.75" customHeight="1">
      <c r="A154" s="2" t="s">
        <v>415</v>
      </c>
      <c r="B154" s="3">
        <v>45364.6637384259</v>
      </c>
      <c r="C154" s="3" t="s">
        <v>22</v>
      </c>
      <c r="D154" s="2" t="s">
        <v>22</v>
      </c>
      <c r="E154" s="2" t="s">
        <v>23</v>
      </c>
      <c r="F154" s="4"/>
      <c r="G154" s="4"/>
      <c r="H154" s="4"/>
      <c r="I154" s="4"/>
      <c r="J154" s="2" t="s">
        <v>24</v>
      </c>
      <c r="K154" s="2" t="s">
        <v>416</v>
      </c>
      <c r="L154" s="2" t="s">
        <v>417</v>
      </c>
      <c r="M154" s="5">
        <v>2.0</v>
      </c>
      <c r="N154" s="2" t="s">
        <v>27</v>
      </c>
      <c r="O154" s="6">
        <v>1820000.0</v>
      </c>
      <c r="P154" s="5">
        <v>5400000.0</v>
      </c>
      <c r="R154" s="4">
        <v>0.0</v>
      </c>
      <c r="S154" s="5">
        <v>0.0</v>
      </c>
      <c r="T154" s="5">
        <v>3640000.0</v>
      </c>
      <c r="U154" s="6">
        <v>2.5270758123</v>
      </c>
      <c r="V154" s="3" t="s">
        <v>328</v>
      </c>
      <c r="W154" s="7" t="s">
        <v>28</v>
      </c>
    </row>
    <row r="155" ht="12.75" customHeight="1">
      <c r="A155" s="2" t="s">
        <v>415</v>
      </c>
      <c r="B155" s="3">
        <v>45364.6637384259</v>
      </c>
      <c r="C155" s="3" t="s">
        <v>22</v>
      </c>
      <c r="D155" s="2" t="s">
        <v>22</v>
      </c>
      <c r="E155" s="2" t="s">
        <v>23</v>
      </c>
      <c r="F155" s="4"/>
      <c r="G155" s="4"/>
      <c r="H155" s="4"/>
      <c r="I155" s="4"/>
      <c r="J155" s="2" t="s">
        <v>24</v>
      </c>
      <c r="K155" s="2" t="s">
        <v>418</v>
      </c>
      <c r="L155" s="2" t="s">
        <v>419</v>
      </c>
      <c r="M155" s="5">
        <v>1.0</v>
      </c>
      <c r="N155" s="2" t="s">
        <v>27</v>
      </c>
      <c r="O155" s="6">
        <v>1900000.0</v>
      </c>
      <c r="P155" s="5">
        <v>5400000.0</v>
      </c>
      <c r="R155" s="4">
        <v>0.0</v>
      </c>
      <c r="S155" s="5">
        <v>0.0</v>
      </c>
      <c r="T155" s="5">
        <v>1900000.0</v>
      </c>
      <c r="U155" s="6">
        <v>2.5270758123</v>
      </c>
      <c r="V155" s="3" t="s">
        <v>328</v>
      </c>
      <c r="W155" s="7" t="s">
        <v>28</v>
      </c>
    </row>
    <row r="156" ht="12.75" customHeight="1">
      <c r="A156" s="2" t="s">
        <v>420</v>
      </c>
      <c r="B156" s="3">
        <v>45364.664837963</v>
      </c>
      <c r="C156" s="3" t="s">
        <v>22</v>
      </c>
      <c r="D156" s="2" t="s">
        <v>22</v>
      </c>
      <c r="E156" s="2" t="s">
        <v>23</v>
      </c>
      <c r="F156" s="4"/>
      <c r="G156" s="4"/>
      <c r="H156" s="4"/>
      <c r="I156" s="4"/>
      <c r="J156" s="2" t="s">
        <v>24</v>
      </c>
      <c r="K156" s="2" t="s">
        <v>421</v>
      </c>
      <c r="L156" s="2" t="s">
        <v>422</v>
      </c>
      <c r="M156" s="5">
        <v>1.0</v>
      </c>
      <c r="N156" s="2" t="s">
        <v>40</v>
      </c>
      <c r="O156" s="6">
        <v>145000.0</v>
      </c>
      <c r="P156" s="5">
        <v>145000.0</v>
      </c>
      <c r="R156" s="4">
        <v>0.0</v>
      </c>
      <c r="S156" s="5">
        <v>0.0</v>
      </c>
      <c r="T156" s="5">
        <v>145000.0</v>
      </c>
      <c r="U156" s="6">
        <v>0.0</v>
      </c>
      <c r="V156" s="3" t="s">
        <v>88</v>
      </c>
      <c r="W156" s="7" t="s">
        <v>28</v>
      </c>
    </row>
    <row r="157" ht="13.5" customHeight="1">
      <c r="A157" s="2" t="s">
        <v>423</v>
      </c>
      <c r="B157" s="3">
        <v>45364.6655092593</v>
      </c>
      <c r="C157" s="3" t="s">
        <v>22</v>
      </c>
      <c r="D157" s="2" t="s">
        <v>22</v>
      </c>
      <c r="E157" s="2" t="s">
        <v>23</v>
      </c>
      <c r="F157" s="4"/>
      <c r="G157" s="4"/>
      <c r="H157" s="4"/>
      <c r="I157" s="4"/>
      <c r="J157" s="2" t="s">
        <v>24</v>
      </c>
      <c r="K157" s="2" t="s">
        <v>109</v>
      </c>
      <c r="L157" s="2" t="s">
        <v>110</v>
      </c>
      <c r="M157" s="5">
        <v>1.0</v>
      </c>
      <c r="N157" s="2" t="s">
        <v>40</v>
      </c>
      <c r="O157" s="6">
        <v>70000.0</v>
      </c>
      <c r="P157" s="5">
        <v>70000.0</v>
      </c>
      <c r="R157" s="4">
        <v>0.0</v>
      </c>
      <c r="S157" s="5">
        <v>0.0</v>
      </c>
      <c r="T157" s="5">
        <v>70000.0</v>
      </c>
      <c r="U157" s="6">
        <v>0.0</v>
      </c>
      <c r="V157" s="3" t="s">
        <v>28</v>
      </c>
      <c r="W157" s="7" t="s">
        <v>28</v>
      </c>
    </row>
    <row r="158" ht="12.75" customHeight="1">
      <c r="A158" s="2" t="s">
        <v>424</v>
      </c>
      <c r="B158" s="3">
        <v>45364.6674305556</v>
      </c>
      <c r="C158" s="3" t="s">
        <v>425</v>
      </c>
      <c r="D158" s="2" t="s">
        <v>426</v>
      </c>
      <c r="E158" s="2" t="s">
        <v>23</v>
      </c>
      <c r="F158" s="4"/>
      <c r="G158" s="4"/>
      <c r="H158" s="4"/>
      <c r="I158" s="4"/>
      <c r="J158" s="2" t="s">
        <v>62</v>
      </c>
      <c r="K158" s="2" t="s">
        <v>421</v>
      </c>
      <c r="L158" s="2" t="s">
        <v>422</v>
      </c>
      <c r="M158" s="5">
        <v>1.0</v>
      </c>
      <c r="N158" s="2" t="s">
        <v>40</v>
      </c>
      <c r="O158" s="6">
        <v>150000.0</v>
      </c>
      <c r="P158" s="5">
        <v>0.0</v>
      </c>
      <c r="R158" s="4">
        <v>0.0</v>
      </c>
      <c r="S158" s="5">
        <v>550000.0</v>
      </c>
      <c r="T158" s="5">
        <v>150000.0</v>
      </c>
      <c r="U158" s="6">
        <v>0.0</v>
      </c>
      <c r="V158" s="3" t="s">
        <v>427</v>
      </c>
      <c r="W158" s="7" t="s">
        <v>28</v>
      </c>
    </row>
    <row r="159" ht="12.75" customHeight="1">
      <c r="A159" s="2" t="s">
        <v>424</v>
      </c>
      <c r="B159" s="3">
        <v>45364.6674305556</v>
      </c>
      <c r="C159" s="3" t="s">
        <v>425</v>
      </c>
      <c r="D159" s="2" t="s">
        <v>426</v>
      </c>
      <c r="E159" s="2" t="s">
        <v>23</v>
      </c>
      <c r="F159" s="4"/>
      <c r="G159" s="4"/>
      <c r="H159" s="4"/>
      <c r="I159" s="4"/>
      <c r="J159" s="2" t="s">
        <v>62</v>
      </c>
      <c r="K159" s="2" t="s">
        <v>428</v>
      </c>
      <c r="L159" s="2" t="s">
        <v>429</v>
      </c>
      <c r="M159" s="5">
        <v>1.0</v>
      </c>
      <c r="N159" s="2" t="s">
        <v>40</v>
      </c>
      <c r="O159" s="6">
        <v>400000.0</v>
      </c>
      <c r="P159" s="5">
        <v>0.0</v>
      </c>
      <c r="R159" s="4">
        <v>0.0</v>
      </c>
      <c r="S159" s="5">
        <v>550000.0</v>
      </c>
      <c r="T159" s="5">
        <v>400000.0</v>
      </c>
      <c r="U159" s="6">
        <v>0.0</v>
      </c>
      <c r="V159" s="3" t="s">
        <v>427</v>
      </c>
      <c r="W159" s="7" t="s">
        <v>28</v>
      </c>
    </row>
    <row r="160" ht="12.75" customHeight="1">
      <c r="A160" s="2" t="s">
        <v>430</v>
      </c>
      <c r="B160" s="3">
        <v>45365.6714583333</v>
      </c>
      <c r="C160" s="3" t="s">
        <v>22</v>
      </c>
      <c r="D160" s="2" t="s">
        <v>22</v>
      </c>
      <c r="E160" s="2" t="s">
        <v>23</v>
      </c>
      <c r="F160" s="4"/>
      <c r="G160" s="4"/>
      <c r="H160" s="4"/>
      <c r="I160" s="4"/>
      <c r="J160" s="2" t="s">
        <v>24</v>
      </c>
      <c r="K160" s="2" t="s">
        <v>77</v>
      </c>
      <c r="L160" s="2" t="s">
        <v>78</v>
      </c>
      <c r="M160" s="5">
        <v>1.0</v>
      </c>
      <c r="N160" s="2" t="s">
        <v>40</v>
      </c>
      <c r="O160" s="6">
        <v>950000.0</v>
      </c>
      <c r="P160" s="5">
        <v>900000.0</v>
      </c>
      <c r="R160" s="4">
        <v>0.0</v>
      </c>
      <c r="S160" s="5">
        <v>0.0</v>
      </c>
      <c r="T160" s="5">
        <v>950000.0</v>
      </c>
      <c r="U160" s="6">
        <v>5.2631578947</v>
      </c>
      <c r="V160" s="3" t="s">
        <v>28</v>
      </c>
      <c r="W160" s="7" t="s">
        <v>28</v>
      </c>
    </row>
    <row r="161" ht="12.75" customHeight="1">
      <c r="A161" s="2" t="s">
        <v>431</v>
      </c>
      <c r="B161" s="3">
        <v>45365.6722453704</v>
      </c>
      <c r="C161" s="3" t="s">
        <v>22</v>
      </c>
      <c r="D161" s="2" t="s">
        <v>22</v>
      </c>
      <c r="E161" s="2" t="s">
        <v>23</v>
      </c>
      <c r="F161" s="4"/>
      <c r="G161" s="4"/>
      <c r="H161" s="4"/>
      <c r="I161" s="4"/>
      <c r="J161" s="2" t="s">
        <v>24</v>
      </c>
      <c r="K161" s="2" t="s">
        <v>268</v>
      </c>
      <c r="L161" s="2" t="s">
        <v>269</v>
      </c>
      <c r="M161" s="5">
        <v>1.0</v>
      </c>
      <c r="N161" s="2" t="s">
        <v>46</v>
      </c>
      <c r="O161" s="6">
        <v>50000.0</v>
      </c>
      <c r="P161" s="5">
        <v>50000.0</v>
      </c>
      <c r="R161" s="4">
        <v>0.0</v>
      </c>
      <c r="S161" s="5">
        <v>0.0</v>
      </c>
      <c r="T161" s="5">
        <v>50000.0</v>
      </c>
      <c r="U161" s="6">
        <v>0.0</v>
      </c>
      <c r="V161" s="3" t="s">
        <v>28</v>
      </c>
      <c r="W161" s="7" t="s">
        <v>28</v>
      </c>
    </row>
    <row r="162" ht="12.75" customHeight="1">
      <c r="A162" s="2" t="s">
        <v>432</v>
      </c>
      <c r="B162" s="3">
        <v>45365.673125</v>
      </c>
      <c r="C162" s="3" t="s">
        <v>22</v>
      </c>
      <c r="D162" s="2" t="s">
        <v>22</v>
      </c>
      <c r="E162" s="2" t="s">
        <v>23</v>
      </c>
      <c r="F162" s="4"/>
      <c r="G162" s="4"/>
      <c r="H162" s="4"/>
      <c r="I162" s="4"/>
      <c r="J162" s="2" t="s">
        <v>24</v>
      </c>
      <c r="K162" s="2" t="s">
        <v>433</v>
      </c>
      <c r="L162" s="2" t="s">
        <v>434</v>
      </c>
      <c r="M162" s="5">
        <v>1.0</v>
      </c>
      <c r="N162" s="2" t="s">
        <v>40</v>
      </c>
      <c r="O162" s="6">
        <v>150000.0</v>
      </c>
      <c r="P162" s="5">
        <v>150000.0</v>
      </c>
      <c r="R162" s="4">
        <v>0.0</v>
      </c>
      <c r="S162" s="5">
        <v>0.0</v>
      </c>
      <c r="T162" s="5">
        <v>150000.0</v>
      </c>
      <c r="U162" s="6">
        <v>0.0</v>
      </c>
      <c r="V162" s="3" t="s">
        <v>103</v>
      </c>
      <c r="W162" s="7" t="s">
        <v>28</v>
      </c>
    </row>
    <row r="163" ht="12.75" customHeight="1">
      <c r="A163" s="2" t="s">
        <v>435</v>
      </c>
      <c r="B163" s="3">
        <v>45366.6642476852</v>
      </c>
      <c r="C163" s="3" t="s">
        <v>436</v>
      </c>
      <c r="D163" s="2" t="s">
        <v>437</v>
      </c>
      <c r="E163" s="2" t="s">
        <v>23</v>
      </c>
      <c r="F163" s="4"/>
      <c r="G163" s="4"/>
      <c r="H163" s="4"/>
      <c r="I163" s="4"/>
      <c r="J163" s="2" t="s">
        <v>24</v>
      </c>
      <c r="K163" s="2" t="s">
        <v>63</v>
      </c>
      <c r="L163" s="2" t="s">
        <v>64</v>
      </c>
      <c r="M163" s="5">
        <v>1.0</v>
      </c>
      <c r="N163" s="2" t="s">
        <v>27</v>
      </c>
      <c r="O163" s="6">
        <v>3900000.0</v>
      </c>
      <c r="P163" s="5">
        <v>6345000.0</v>
      </c>
      <c r="R163" s="4">
        <v>0.0</v>
      </c>
      <c r="S163" s="5">
        <v>0.0</v>
      </c>
      <c r="T163" s="5">
        <v>3510000.0</v>
      </c>
      <c r="U163" s="6">
        <v>0.0</v>
      </c>
      <c r="V163" s="3" t="s">
        <v>28</v>
      </c>
      <c r="W163" s="7" t="s">
        <v>28</v>
      </c>
    </row>
    <row r="164" ht="12.75" customHeight="1">
      <c r="A164" s="2" t="s">
        <v>435</v>
      </c>
      <c r="B164" s="3">
        <v>45366.6642476852</v>
      </c>
      <c r="C164" s="3" t="s">
        <v>436</v>
      </c>
      <c r="D164" s="2" t="s">
        <v>437</v>
      </c>
      <c r="E164" s="2" t="s">
        <v>23</v>
      </c>
      <c r="F164" s="4"/>
      <c r="G164" s="4"/>
      <c r="H164" s="4"/>
      <c r="I164" s="4"/>
      <c r="J164" s="2" t="s">
        <v>24</v>
      </c>
      <c r="K164" s="2" t="s">
        <v>190</v>
      </c>
      <c r="L164" s="2" t="s">
        <v>191</v>
      </c>
      <c r="M164" s="5">
        <v>1.0</v>
      </c>
      <c r="N164" s="2" t="s">
        <v>27</v>
      </c>
      <c r="O164" s="6">
        <v>3150000.0</v>
      </c>
      <c r="P164" s="5">
        <v>6345000.0</v>
      </c>
      <c r="R164" s="4">
        <v>0.0</v>
      </c>
      <c r="S164" s="5">
        <v>0.0</v>
      </c>
      <c r="T164" s="5">
        <v>2835000.0</v>
      </c>
      <c r="U164" s="6">
        <v>0.0</v>
      </c>
      <c r="V164" s="3" t="s">
        <v>28</v>
      </c>
      <c r="W164" s="7" t="s">
        <v>28</v>
      </c>
    </row>
    <row r="165" ht="12.75" customHeight="1">
      <c r="A165" s="2" t="s">
        <v>438</v>
      </c>
      <c r="B165" s="3">
        <v>45367.6694675926</v>
      </c>
      <c r="C165" s="3" t="s">
        <v>22</v>
      </c>
      <c r="D165" s="2" t="s">
        <v>22</v>
      </c>
      <c r="E165" s="2" t="s">
        <v>23</v>
      </c>
      <c r="F165" s="4"/>
      <c r="G165" s="4"/>
      <c r="H165" s="4"/>
      <c r="I165" s="4"/>
      <c r="J165" s="2" t="s">
        <v>24</v>
      </c>
      <c r="K165" s="2" t="s">
        <v>439</v>
      </c>
      <c r="L165" s="2" t="s">
        <v>440</v>
      </c>
      <c r="M165" s="5">
        <v>1.0</v>
      </c>
      <c r="N165" s="2" t="s">
        <v>40</v>
      </c>
      <c r="O165" s="6">
        <v>2.65E7</v>
      </c>
      <c r="P165" s="5">
        <v>2.45E7</v>
      </c>
      <c r="R165" s="4">
        <v>0.0</v>
      </c>
      <c r="S165" s="5">
        <v>0.0</v>
      </c>
      <c r="T165" s="5">
        <v>2.65E7</v>
      </c>
      <c r="U165" s="6">
        <v>7.5471698113</v>
      </c>
      <c r="V165" s="3" t="s">
        <v>28</v>
      </c>
      <c r="W165" s="7" t="s">
        <v>28</v>
      </c>
    </row>
    <row r="166" ht="12.75" customHeight="1">
      <c r="A166" s="2" t="s">
        <v>441</v>
      </c>
      <c r="B166" s="3">
        <v>45369.678900463</v>
      </c>
      <c r="C166" s="3" t="s">
        <v>22</v>
      </c>
      <c r="D166" s="2" t="s">
        <v>22</v>
      </c>
      <c r="E166" s="2" t="s">
        <v>23</v>
      </c>
      <c r="F166" s="4"/>
      <c r="G166" s="4"/>
      <c r="H166" s="4"/>
      <c r="I166" s="4"/>
      <c r="J166" s="2" t="s">
        <v>24</v>
      </c>
      <c r="K166" s="2" t="s">
        <v>228</v>
      </c>
      <c r="L166" s="2" t="s">
        <v>229</v>
      </c>
      <c r="M166" s="5">
        <v>1.0</v>
      </c>
      <c r="N166" s="2" t="s">
        <v>40</v>
      </c>
      <c r="O166" s="6">
        <v>1750000.0</v>
      </c>
      <c r="P166" s="5">
        <v>1600000.0</v>
      </c>
      <c r="R166" s="4">
        <v>0.0</v>
      </c>
      <c r="S166" s="5">
        <v>0.0</v>
      </c>
      <c r="T166" s="5">
        <v>1750000.0</v>
      </c>
      <c r="U166" s="6">
        <v>8.5714285714</v>
      </c>
      <c r="V166" s="3" t="s">
        <v>28</v>
      </c>
      <c r="W166" s="7" t="s">
        <v>28</v>
      </c>
    </row>
    <row r="167" ht="12.75" customHeight="1">
      <c r="A167" s="2" t="s">
        <v>442</v>
      </c>
      <c r="B167" s="3">
        <v>45369.6798611111</v>
      </c>
      <c r="C167" s="3" t="s">
        <v>443</v>
      </c>
      <c r="D167" s="2" t="s">
        <v>444</v>
      </c>
      <c r="E167" s="2" t="s">
        <v>23</v>
      </c>
      <c r="F167" s="4"/>
      <c r="G167" s="4"/>
      <c r="H167" s="4"/>
      <c r="I167" s="4"/>
      <c r="J167" s="2" t="s">
        <v>62</v>
      </c>
      <c r="K167" s="2" t="s">
        <v>150</v>
      </c>
      <c r="L167" s="2" t="s">
        <v>151</v>
      </c>
      <c r="M167" s="5">
        <v>1.0</v>
      </c>
      <c r="N167" s="2" t="s">
        <v>27</v>
      </c>
      <c r="O167" s="6">
        <v>2690000.0</v>
      </c>
      <c r="P167" s="5">
        <v>2690000.0</v>
      </c>
      <c r="R167" s="4">
        <v>0.0</v>
      </c>
      <c r="S167" s="5">
        <v>0.0</v>
      </c>
      <c r="T167" s="5">
        <v>2690000.0</v>
      </c>
      <c r="U167" s="6">
        <v>0.0</v>
      </c>
      <c r="V167" s="3" t="s">
        <v>328</v>
      </c>
      <c r="W167" s="7" t="s">
        <v>28</v>
      </c>
    </row>
    <row r="168" ht="12.75" customHeight="1">
      <c r="A168" s="2" t="s">
        <v>445</v>
      </c>
      <c r="B168" s="3">
        <v>45370.6741087963</v>
      </c>
      <c r="C168" s="3" t="s">
        <v>22</v>
      </c>
      <c r="D168" s="2" t="s">
        <v>22</v>
      </c>
      <c r="E168" s="2" t="s">
        <v>23</v>
      </c>
      <c r="F168" s="4"/>
      <c r="G168" s="4"/>
      <c r="H168" s="4"/>
      <c r="I168" s="4"/>
      <c r="J168" s="2" t="s">
        <v>24</v>
      </c>
      <c r="K168" s="2" t="s">
        <v>268</v>
      </c>
      <c r="L168" s="2" t="s">
        <v>269</v>
      </c>
      <c r="M168" s="5">
        <v>2.0</v>
      </c>
      <c r="N168" s="2" t="s">
        <v>46</v>
      </c>
      <c r="O168" s="6">
        <v>50000.0</v>
      </c>
      <c r="P168" s="5">
        <v>250000.0</v>
      </c>
      <c r="R168" s="4">
        <v>0.0</v>
      </c>
      <c r="S168" s="5">
        <v>0.0</v>
      </c>
      <c r="T168" s="5">
        <v>100000.0</v>
      </c>
      <c r="U168" s="6">
        <v>0.0</v>
      </c>
      <c r="V168" s="3" t="s">
        <v>28</v>
      </c>
      <c r="W168" s="7" t="s">
        <v>28</v>
      </c>
    </row>
    <row r="169" ht="12.75" customHeight="1">
      <c r="A169" s="2" t="s">
        <v>445</v>
      </c>
      <c r="B169" s="3">
        <v>45370.6741087963</v>
      </c>
      <c r="C169" s="3" t="s">
        <v>22</v>
      </c>
      <c r="D169" s="2" t="s">
        <v>22</v>
      </c>
      <c r="E169" s="2" t="s">
        <v>23</v>
      </c>
      <c r="F169" s="4"/>
      <c r="G169" s="4"/>
      <c r="H169" s="4"/>
      <c r="I169" s="4"/>
      <c r="J169" s="2" t="s">
        <v>24</v>
      </c>
      <c r="K169" s="2" t="s">
        <v>446</v>
      </c>
      <c r="L169" s="2" t="s">
        <v>447</v>
      </c>
      <c r="M169" s="5">
        <v>6.0</v>
      </c>
      <c r="N169" s="2" t="s">
        <v>40</v>
      </c>
      <c r="O169" s="6">
        <v>25000.0</v>
      </c>
      <c r="P169" s="5">
        <v>250000.0</v>
      </c>
      <c r="R169" s="4">
        <v>0.0</v>
      </c>
      <c r="S169" s="5">
        <v>0.0</v>
      </c>
      <c r="T169" s="5">
        <v>150000.0</v>
      </c>
      <c r="U169" s="6">
        <v>0.0</v>
      </c>
      <c r="V169" s="3" t="s">
        <v>28</v>
      </c>
      <c r="W169" s="7" t="s">
        <v>28</v>
      </c>
    </row>
    <row r="170" ht="13.5" customHeight="1">
      <c r="A170" s="2" t="s">
        <v>448</v>
      </c>
      <c r="B170" s="3">
        <v>45370.6750578704</v>
      </c>
      <c r="C170" s="3" t="s">
        <v>22</v>
      </c>
      <c r="D170" s="2" t="s">
        <v>22</v>
      </c>
      <c r="E170" s="2" t="s">
        <v>23</v>
      </c>
      <c r="F170" s="4"/>
      <c r="G170" s="4"/>
      <c r="H170" s="4"/>
      <c r="I170" s="4"/>
      <c r="J170" s="2" t="s">
        <v>24</v>
      </c>
      <c r="K170" s="2" t="s">
        <v>449</v>
      </c>
      <c r="L170" s="2" t="s">
        <v>450</v>
      </c>
      <c r="M170" s="5">
        <v>2.0</v>
      </c>
      <c r="N170" s="2" t="s">
        <v>40</v>
      </c>
      <c r="O170" s="6">
        <v>150000.0</v>
      </c>
      <c r="P170" s="5">
        <v>300000.0</v>
      </c>
      <c r="R170" s="4">
        <v>0.0</v>
      </c>
      <c r="S170" s="5">
        <v>0.0</v>
      </c>
      <c r="T170" s="5">
        <v>300000.0</v>
      </c>
      <c r="U170" s="6">
        <v>0.0</v>
      </c>
      <c r="V170" s="3" t="s">
        <v>28</v>
      </c>
      <c r="W170" s="7" t="s">
        <v>28</v>
      </c>
    </row>
    <row r="171" ht="12.75" customHeight="1">
      <c r="A171" s="2" t="s">
        <v>451</v>
      </c>
      <c r="B171" s="3">
        <v>45370.6761111111</v>
      </c>
      <c r="C171" s="3" t="s">
        <v>22</v>
      </c>
      <c r="D171" s="2" t="s">
        <v>22</v>
      </c>
      <c r="E171" s="2" t="s">
        <v>23</v>
      </c>
      <c r="F171" s="4"/>
      <c r="G171" s="4"/>
      <c r="H171" s="4"/>
      <c r="I171" s="4"/>
      <c r="J171" s="2" t="s">
        <v>24</v>
      </c>
      <c r="K171" s="2" t="s">
        <v>271</v>
      </c>
      <c r="L171" s="2" t="s">
        <v>272</v>
      </c>
      <c r="M171" s="5">
        <v>1.0</v>
      </c>
      <c r="N171" s="2" t="s">
        <v>40</v>
      </c>
      <c r="O171" s="6">
        <v>950000.0</v>
      </c>
      <c r="P171" s="5">
        <v>950000.0</v>
      </c>
      <c r="R171" s="4">
        <v>0.0</v>
      </c>
      <c r="S171" s="5">
        <v>0.0</v>
      </c>
      <c r="T171" s="5">
        <v>950000.0</v>
      </c>
      <c r="U171" s="6">
        <v>0.0</v>
      </c>
      <c r="V171" s="3" t="s">
        <v>328</v>
      </c>
      <c r="W171" s="7" t="s">
        <v>28</v>
      </c>
    </row>
    <row r="172" ht="12.75" customHeight="1">
      <c r="A172" s="2" t="s">
        <v>452</v>
      </c>
      <c r="B172" s="3">
        <v>45370.678125</v>
      </c>
      <c r="C172" s="3" t="s">
        <v>453</v>
      </c>
      <c r="D172" s="2" t="s">
        <v>454</v>
      </c>
      <c r="E172" s="2" t="s">
        <v>23</v>
      </c>
      <c r="F172" s="4"/>
      <c r="G172" s="4"/>
      <c r="H172" s="4"/>
      <c r="I172" s="4"/>
      <c r="J172" s="2" t="s">
        <v>24</v>
      </c>
      <c r="K172" s="2" t="s">
        <v>455</v>
      </c>
      <c r="L172" s="2" t="s">
        <v>456</v>
      </c>
      <c r="M172" s="5">
        <v>2.0</v>
      </c>
      <c r="N172" s="2" t="s">
        <v>224</v>
      </c>
      <c r="O172" s="6">
        <v>300000.0</v>
      </c>
      <c r="P172" s="5">
        <v>500000.0</v>
      </c>
      <c r="R172" s="4">
        <v>0.0</v>
      </c>
      <c r="S172" s="5">
        <v>0.0</v>
      </c>
      <c r="T172" s="5">
        <v>600000.0</v>
      </c>
      <c r="U172" s="6">
        <v>33.3333333333</v>
      </c>
      <c r="V172" s="3" t="s">
        <v>103</v>
      </c>
      <c r="W172" s="7" t="s">
        <v>28</v>
      </c>
    </row>
    <row r="173" ht="12.75" customHeight="1">
      <c r="A173" s="2" t="s">
        <v>452</v>
      </c>
      <c r="B173" s="3">
        <v>45370.678125</v>
      </c>
      <c r="C173" s="3" t="s">
        <v>453</v>
      </c>
      <c r="D173" s="2" t="s">
        <v>454</v>
      </c>
      <c r="E173" s="2" t="s">
        <v>23</v>
      </c>
      <c r="F173" s="4"/>
      <c r="G173" s="4"/>
      <c r="H173" s="4"/>
      <c r="I173" s="4"/>
      <c r="J173" s="2" t="s">
        <v>24</v>
      </c>
      <c r="K173" s="2" t="s">
        <v>207</v>
      </c>
      <c r="L173" s="2" t="s">
        <v>208</v>
      </c>
      <c r="M173" s="5">
        <v>20.0</v>
      </c>
      <c r="N173" s="2" t="s">
        <v>209</v>
      </c>
      <c r="O173" s="6">
        <v>7500.0</v>
      </c>
      <c r="P173" s="5">
        <v>500000.0</v>
      </c>
      <c r="R173" s="4">
        <v>0.0</v>
      </c>
      <c r="S173" s="5">
        <v>0.0</v>
      </c>
      <c r="T173" s="5">
        <v>150000.0</v>
      </c>
      <c r="U173" s="6">
        <v>33.3333333333</v>
      </c>
      <c r="V173" s="3" t="s">
        <v>103</v>
      </c>
      <c r="W173" s="7" t="s">
        <v>28</v>
      </c>
    </row>
    <row r="174" ht="12.75" customHeight="1">
      <c r="A174" s="2" t="s">
        <v>457</v>
      </c>
      <c r="B174" s="3">
        <v>45372.6818171296</v>
      </c>
      <c r="C174" s="3" t="s">
        <v>22</v>
      </c>
      <c r="D174" s="2" t="s">
        <v>22</v>
      </c>
      <c r="E174" s="2" t="s">
        <v>23</v>
      </c>
      <c r="F174" s="4"/>
      <c r="G174" s="4"/>
      <c r="H174" s="4"/>
      <c r="I174" s="4"/>
      <c r="J174" s="2" t="s">
        <v>24</v>
      </c>
      <c r="K174" s="2" t="s">
        <v>458</v>
      </c>
      <c r="L174" s="2" t="s">
        <v>459</v>
      </c>
      <c r="M174" s="5">
        <v>1.0</v>
      </c>
      <c r="N174" s="2" t="s">
        <v>40</v>
      </c>
      <c r="O174" s="6">
        <v>550000.0</v>
      </c>
      <c r="P174" s="5">
        <v>550000.0</v>
      </c>
      <c r="R174" s="4">
        <v>0.0</v>
      </c>
      <c r="S174" s="5">
        <v>0.0</v>
      </c>
      <c r="T174" s="5">
        <v>550000.0</v>
      </c>
      <c r="U174" s="6">
        <v>0.0</v>
      </c>
      <c r="V174" s="3" t="s">
        <v>88</v>
      </c>
      <c r="W174" s="7" t="s">
        <v>28</v>
      </c>
    </row>
    <row r="175" ht="12.75" customHeight="1">
      <c r="A175" s="2" t="s">
        <v>460</v>
      </c>
      <c r="B175" s="3">
        <v>45372.6838194444</v>
      </c>
      <c r="C175" s="3" t="s">
        <v>22</v>
      </c>
      <c r="D175" s="2" t="s">
        <v>22</v>
      </c>
      <c r="E175" s="2" t="s">
        <v>23</v>
      </c>
      <c r="F175" s="4"/>
      <c r="G175" s="4"/>
      <c r="H175" s="4"/>
      <c r="I175" s="4"/>
      <c r="J175" s="2" t="s">
        <v>24</v>
      </c>
      <c r="K175" s="2" t="s">
        <v>461</v>
      </c>
      <c r="L175" s="2" t="s">
        <v>462</v>
      </c>
      <c r="M175" s="5">
        <v>1.0</v>
      </c>
      <c r="N175" s="2" t="s">
        <v>40</v>
      </c>
      <c r="O175" s="6">
        <v>235000.0</v>
      </c>
      <c r="P175" s="5">
        <v>235000.0</v>
      </c>
      <c r="R175" s="4">
        <v>0.0</v>
      </c>
      <c r="S175" s="5">
        <v>0.0</v>
      </c>
      <c r="T175" s="5">
        <v>235000.0</v>
      </c>
      <c r="U175" s="6">
        <v>0.0</v>
      </c>
      <c r="V175" s="3" t="s">
        <v>463</v>
      </c>
      <c r="W175" s="7" t="s">
        <v>28</v>
      </c>
    </row>
    <row r="176" ht="12.75" customHeight="1">
      <c r="A176" s="2" t="s">
        <v>464</v>
      </c>
      <c r="B176" s="3">
        <v>45372.7066550926</v>
      </c>
      <c r="C176" s="3" t="s">
        <v>22</v>
      </c>
      <c r="D176" s="2" t="s">
        <v>22</v>
      </c>
      <c r="E176" s="2" t="s">
        <v>23</v>
      </c>
      <c r="F176" s="4"/>
      <c r="G176" s="4"/>
      <c r="H176" s="4"/>
      <c r="I176" s="4"/>
      <c r="J176" s="2" t="s">
        <v>24</v>
      </c>
      <c r="K176" s="2" t="s">
        <v>57</v>
      </c>
      <c r="L176" s="2" t="s">
        <v>58</v>
      </c>
      <c r="M176" s="5">
        <v>3.0</v>
      </c>
      <c r="N176" s="2" t="s">
        <v>40</v>
      </c>
      <c r="O176" s="6">
        <v>25000.0</v>
      </c>
      <c r="P176" s="5">
        <v>75000.0</v>
      </c>
      <c r="R176" s="4">
        <v>0.0</v>
      </c>
      <c r="S176" s="5">
        <v>0.0</v>
      </c>
      <c r="T176" s="5">
        <v>75000.0</v>
      </c>
      <c r="U176" s="6">
        <v>0.0</v>
      </c>
      <c r="V176" s="3" t="s">
        <v>88</v>
      </c>
      <c r="W176" s="7" t="s">
        <v>28</v>
      </c>
    </row>
    <row r="177" ht="12.75" customHeight="1">
      <c r="A177" s="2" t="s">
        <v>465</v>
      </c>
      <c r="B177" s="3">
        <v>45374.6592476852</v>
      </c>
      <c r="C177" s="3" t="s">
        <v>22</v>
      </c>
      <c r="D177" s="2" t="s">
        <v>22</v>
      </c>
      <c r="E177" s="2" t="s">
        <v>23</v>
      </c>
      <c r="F177" s="4"/>
      <c r="G177" s="4"/>
      <c r="H177" s="4"/>
      <c r="I177" s="4"/>
      <c r="J177" s="2" t="s">
        <v>24</v>
      </c>
      <c r="K177" s="2" t="s">
        <v>466</v>
      </c>
      <c r="L177" s="2" t="s">
        <v>467</v>
      </c>
      <c r="M177" s="5">
        <v>1.0</v>
      </c>
      <c r="N177" s="2" t="s">
        <v>40</v>
      </c>
      <c r="O177" s="6">
        <v>225000.0</v>
      </c>
      <c r="P177" s="5">
        <v>225000.0</v>
      </c>
      <c r="R177" s="4">
        <v>0.0</v>
      </c>
      <c r="S177" s="5">
        <v>0.0</v>
      </c>
      <c r="T177" s="5">
        <v>225000.0</v>
      </c>
      <c r="U177" s="6">
        <v>0.0</v>
      </c>
      <c r="V177" s="3" t="s">
        <v>28</v>
      </c>
      <c r="W177" s="7" t="s">
        <v>28</v>
      </c>
    </row>
    <row r="178" ht="12.75" customHeight="1">
      <c r="A178" s="2" t="s">
        <v>468</v>
      </c>
      <c r="B178" s="3">
        <v>45374.6600925926</v>
      </c>
      <c r="C178" s="3" t="s">
        <v>22</v>
      </c>
      <c r="D178" s="2" t="s">
        <v>22</v>
      </c>
      <c r="E178" s="2" t="s">
        <v>23</v>
      </c>
      <c r="F178" s="4"/>
      <c r="G178" s="4"/>
      <c r="H178" s="4"/>
      <c r="I178" s="4"/>
      <c r="J178" s="2" t="s">
        <v>24</v>
      </c>
      <c r="K178" s="2" t="s">
        <v>57</v>
      </c>
      <c r="L178" s="2" t="s">
        <v>58</v>
      </c>
      <c r="M178" s="5">
        <v>1.0</v>
      </c>
      <c r="N178" s="2" t="s">
        <v>40</v>
      </c>
      <c r="O178" s="6">
        <v>25000.0</v>
      </c>
      <c r="P178" s="5">
        <v>25000.0</v>
      </c>
      <c r="R178" s="4">
        <v>0.0</v>
      </c>
      <c r="S178" s="5">
        <v>0.0</v>
      </c>
      <c r="T178" s="5">
        <v>25000.0</v>
      </c>
      <c r="U178" s="6">
        <v>0.0</v>
      </c>
      <c r="V178" s="3" t="s">
        <v>28</v>
      </c>
      <c r="W178" s="7" t="s">
        <v>28</v>
      </c>
    </row>
    <row r="179" ht="12.75" customHeight="1">
      <c r="A179" s="2" t="s">
        <v>469</v>
      </c>
      <c r="B179" s="3">
        <v>45374.6607175926</v>
      </c>
      <c r="C179" s="3" t="s">
        <v>22</v>
      </c>
      <c r="D179" s="2" t="s">
        <v>22</v>
      </c>
      <c r="E179" s="2" t="s">
        <v>23</v>
      </c>
      <c r="F179" s="4"/>
      <c r="G179" s="4"/>
      <c r="H179" s="4"/>
      <c r="I179" s="4"/>
      <c r="J179" s="2" t="s">
        <v>24</v>
      </c>
      <c r="K179" s="2" t="s">
        <v>470</v>
      </c>
      <c r="L179" s="2" t="s">
        <v>471</v>
      </c>
      <c r="M179" s="5">
        <v>1.0</v>
      </c>
      <c r="N179" s="2" t="s">
        <v>40</v>
      </c>
      <c r="O179" s="6">
        <v>340000.0</v>
      </c>
      <c r="P179" s="5">
        <v>340000.0</v>
      </c>
      <c r="R179" s="4">
        <v>0.0</v>
      </c>
      <c r="S179" s="5">
        <v>0.0</v>
      </c>
      <c r="T179" s="5">
        <v>340000.0</v>
      </c>
      <c r="U179" s="6">
        <v>0.0</v>
      </c>
      <c r="V179" s="3" t="s">
        <v>28</v>
      </c>
      <c r="W179" s="7" t="s">
        <v>28</v>
      </c>
    </row>
    <row r="180" ht="12.75" customHeight="1">
      <c r="A180" s="2" t="s">
        <v>472</v>
      </c>
      <c r="B180" s="3">
        <v>45374.6628587963</v>
      </c>
      <c r="C180" s="3" t="s">
        <v>473</v>
      </c>
      <c r="D180" s="2" t="s">
        <v>474</v>
      </c>
      <c r="E180" s="2" t="s">
        <v>23</v>
      </c>
      <c r="F180" s="4"/>
      <c r="G180" s="4"/>
      <c r="H180" s="4"/>
      <c r="I180" s="4"/>
      <c r="J180" s="2" t="s">
        <v>475</v>
      </c>
      <c r="K180" s="2" t="s">
        <v>271</v>
      </c>
      <c r="L180" s="2" t="s">
        <v>272</v>
      </c>
      <c r="M180" s="5">
        <v>1.0</v>
      </c>
      <c r="N180" s="2" t="s">
        <v>40</v>
      </c>
      <c r="O180" s="6">
        <v>950000.0</v>
      </c>
      <c r="P180" s="5">
        <v>0.0</v>
      </c>
      <c r="R180" s="4">
        <v>0.0</v>
      </c>
      <c r="S180" s="5">
        <v>950000.0</v>
      </c>
      <c r="T180" s="5">
        <v>950000.0</v>
      </c>
      <c r="U180" s="6">
        <v>0.0</v>
      </c>
      <c r="V180" s="3" t="s">
        <v>28</v>
      </c>
      <c r="W180" s="7" t="s">
        <v>28</v>
      </c>
    </row>
    <row r="181" ht="12.75" customHeight="1">
      <c r="A181" s="2" t="s">
        <v>476</v>
      </c>
      <c r="B181" s="3">
        <v>45374.6635648148</v>
      </c>
      <c r="C181" s="3" t="s">
        <v>477</v>
      </c>
      <c r="D181" s="2" t="s">
        <v>478</v>
      </c>
      <c r="E181" s="2" t="s">
        <v>23</v>
      </c>
      <c r="F181" s="4"/>
      <c r="G181" s="4"/>
      <c r="H181" s="4"/>
      <c r="I181" s="4"/>
      <c r="J181" s="2" t="s">
        <v>479</v>
      </c>
      <c r="K181" s="2" t="s">
        <v>421</v>
      </c>
      <c r="L181" s="2" t="s">
        <v>422</v>
      </c>
      <c r="M181" s="5">
        <v>6.0</v>
      </c>
      <c r="N181" s="2" t="s">
        <v>40</v>
      </c>
      <c r="O181" s="6">
        <v>150000.0</v>
      </c>
      <c r="P181" s="5">
        <v>0.0</v>
      </c>
      <c r="R181" s="4">
        <v>0.0</v>
      </c>
      <c r="S181" s="5">
        <v>900000.0</v>
      </c>
      <c r="T181" s="5">
        <v>900000.0</v>
      </c>
      <c r="U181" s="6">
        <v>0.0</v>
      </c>
      <c r="V181" s="3" t="s">
        <v>28</v>
      </c>
      <c r="W181" s="7" t="s">
        <v>28</v>
      </c>
    </row>
    <row r="182" ht="13.5" customHeight="1">
      <c r="A182" s="2" t="s">
        <v>480</v>
      </c>
      <c r="B182" s="3">
        <v>45377.6724421296</v>
      </c>
      <c r="C182" s="3" t="s">
        <v>22</v>
      </c>
      <c r="D182" s="2" t="s">
        <v>22</v>
      </c>
      <c r="E182" s="2" t="s">
        <v>23</v>
      </c>
      <c r="F182" s="4"/>
      <c r="G182" s="4"/>
      <c r="H182" s="4"/>
      <c r="I182" s="4"/>
      <c r="J182" s="2" t="s">
        <v>24</v>
      </c>
      <c r="K182" s="2" t="s">
        <v>466</v>
      </c>
      <c r="L182" s="2" t="s">
        <v>467</v>
      </c>
      <c r="M182" s="5">
        <v>1.0</v>
      </c>
      <c r="N182" s="2" t="s">
        <v>40</v>
      </c>
      <c r="O182" s="6">
        <v>225000.0</v>
      </c>
      <c r="P182" s="5">
        <v>225000.0</v>
      </c>
      <c r="R182" s="4">
        <v>0.0</v>
      </c>
      <c r="S182" s="5">
        <v>0.0</v>
      </c>
      <c r="T182" s="5">
        <v>225000.0</v>
      </c>
      <c r="U182" s="6">
        <v>0.0</v>
      </c>
      <c r="V182" s="3" t="s">
        <v>28</v>
      </c>
      <c r="W182" s="7" t="s">
        <v>28</v>
      </c>
    </row>
    <row r="183" ht="12.75" customHeight="1">
      <c r="A183" s="2" t="s">
        <v>481</v>
      </c>
      <c r="B183" s="3">
        <v>45377.6732175926</v>
      </c>
      <c r="C183" s="3" t="s">
        <v>22</v>
      </c>
      <c r="D183" s="2" t="s">
        <v>22</v>
      </c>
      <c r="E183" s="2" t="s">
        <v>23</v>
      </c>
      <c r="F183" s="4"/>
      <c r="G183" s="4"/>
      <c r="H183" s="4"/>
      <c r="I183" s="4"/>
      <c r="J183" s="2" t="s">
        <v>24</v>
      </c>
      <c r="K183" s="2" t="s">
        <v>461</v>
      </c>
      <c r="L183" s="2" t="s">
        <v>462</v>
      </c>
      <c r="M183" s="5">
        <v>1.0</v>
      </c>
      <c r="N183" s="2" t="s">
        <v>40</v>
      </c>
      <c r="O183" s="6">
        <v>235000.0</v>
      </c>
      <c r="P183" s="5">
        <v>235000.0</v>
      </c>
      <c r="R183" s="4">
        <v>0.0</v>
      </c>
      <c r="S183" s="5">
        <v>0.0</v>
      </c>
      <c r="T183" s="5">
        <v>235000.0</v>
      </c>
      <c r="U183" s="6">
        <v>0.0</v>
      </c>
      <c r="V183" s="3" t="s">
        <v>28</v>
      </c>
      <c r="W183" s="7" t="s">
        <v>28</v>
      </c>
    </row>
    <row r="184" ht="12.75" customHeight="1">
      <c r="A184" s="2" t="s">
        <v>482</v>
      </c>
      <c r="B184" s="3">
        <v>45379.6145717593</v>
      </c>
      <c r="C184" s="3" t="s">
        <v>22</v>
      </c>
      <c r="D184" s="2" t="s">
        <v>22</v>
      </c>
      <c r="E184" s="2" t="s">
        <v>23</v>
      </c>
      <c r="F184" s="4"/>
      <c r="G184" s="4"/>
      <c r="H184" s="4"/>
      <c r="I184" s="4"/>
      <c r="J184" s="2" t="s">
        <v>24</v>
      </c>
      <c r="K184" s="2" t="s">
        <v>409</v>
      </c>
      <c r="L184" s="2" t="s">
        <v>410</v>
      </c>
      <c r="M184" s="5">
        <v>1.0</v>
      </c>
      <c r="N184" s="2" t="s">
        <v>27</v>
      </c>
      <c r="O184" s="6">
        <v>2400000.0</v>
      </c>
      <c r="P184" s="5">
        <v>2400000.0</v>
      </c>
      <c r="R184" s="4">
        <v>0.0</v>
      </c>
      <c r="S184" s="5">
        <v>0.0</v>
      </c>
      <c r="T184" s="5">
        <v>2400000.0</v>
      </c>
      <c r="U184" s="6">
        <v>0.0</v>
      </c>
      <c r="V184" s="3" t="s">
        <v>483</v>
      </c>
      <c r="W184" s="7" t="s">
        <v>28</v>
      </c>
    </row>
    <row r="185" ht="12.75" customHeight="1">
      <c r="A185" s="2" t="s">
        <v>484</v>
      </c>
      <c r="B185" s="3">
        <v>45379.6169444444</v>
      </c>
      <c r="C185" s="3" t="s">
        <v>22</v>
      </c>
      <c r="D185" s="2" t="s">
        <v>22</v>
      </c>
      <c r="E185" s="2" t="s">
        <v>23</v>
      </c>
      <c r="F185" s="4"/>
      <c r="G185" s="4"/>
      <c r="H185" s="4"/>
      <c r="I185" s="4"/>
      <c r="J185" s="2" t="s">
        <v>24</v>
      </c>
      <c r="K185" s="2" t="s">
        <v>485</v>
      </c>
      <c r="L185" s="2" t="s">
        <v>486</v>
      </c>
      <c r="M185" s="5">
        <v>1.0</v>
      </c>
      <c r="N185" s="2" t="s">
        <v>40</v>
      </c>
      <c r="O185" s="6">
        <v>950000.0</v>
      </c>
      <c r="P185" s="5">
        <v>1850000.0</v>
      </c>
      <c r="R185" s="4">
        <v>0.0</v>
      </c>
      <c r="S185" s="5">
        <v>0.0</v>
      </c>
      <c r="T185" s="5">
        <v>950000.0</v>
      </c>
      <c r="U185" s="6">
        <v>7.5</v>
      </c>
      <c r="V185" s="3" t="s">
        <v>88</v>
      </c>
      <c r="W185" s="7" t="s">
        <v>28</v>
      </c>
    </row>
    <row r="186" ht="12.75" customHeight="1">
      <c r="A186" s="2" t="s">
        <v>484</v>
      </c>
      <c r="B186" s="3">
        <v>45379.6169444444</v>
      </c>
      <c r="C186" s="3" t="s">
        <v>22</v>
      </c>
      <c r="D186" s="2" t="s">
        <v>22</v>
      </c>
      <c r="E186" s="2" t="s">
        <v>23</v>
      </c>
      <c r="F186" s="4"/>
      <c r="G186" s="4"/>
      <c r="H186" s="4"/>
      <c r="I186" s="4"/>
      <c r="J186" s="2" t="s">
        <v>24</v>
      </c>
      <c r="K186" s="2" t="s">
        <v>487</v>
      </c>
      <c r="L186" s="2" t="s">
        <v>488</v>
      </c>
      <c r="M186" s="5">
        <v>1.0</v>
      </c>
      <c r="N186" s="2" t="s">
        <v>40</v>
      </c>
      <c r="O186" s="6">
        <v>1050000.0</v>
      </c>
      <c r="P186" s="5">
        <v>1850000.0</v>
      </c>
      <c r="R186" s="4">
        <v>0.0</v>
      </c>
      <c r="S186" s="5">
        <v>0.0</v>
      </c>
      <c r="T186" s="5">
        <v>1050000.0</v>
      </c>
      <c r="U186" s="6">
        <v>7.5</v>
      </c>
      <c r="V186" s="3" t="s">
        <v>88</v>
      </c>
      <c r="W186" s="7" t="s">
        <v>28</v>
      </c>
    </row>
    <row r="187" ht="12.75" customHeight="1">
      <c r="A187" s="2" t="s">
        <v>489</v>
      </c>
      <c r="B187" s="3">
        <v>45379.6178472222</v>
      </c>
      <c r="C187" s="3" t="s">
        <v>425</v>
      </c>
      <c r="D187" s="2" t="s">
        <v>426</v>
      </c>
      <c r="E187" s="2" t="s">
        <v>23</v>
      </c>
      <c r="F187" s="4"/>
      <c r="G187" s="4"/>
      <c r="H187" s="4"/>
      <c r="I187" s="4"/>
      <c r="J187" s="2" t="s">
        <v>62</v>
      </c>
      <c r="K187" s="2" t="s">
        <v>77</v>
      </c>
      <c r="L187" s="2" t="s">
        <v>78</v>
      </c>
      <c r="M187" s="5">
        <v>1.0</v>
      </c>
      <c r="N187" s="2" t="s">
        <v>40</v>
      </c>
      <c r="O187" s="6">
        <v>950000.0</v>
      </c>
      <c r="P187" s="5">
        <v>0.0</v>
      </c>
      <c r="R187" s="4">
        <v>0.0</v>
      </c>
      <c r="S187" s="5">
        <v>1900000.0</v>
      </c>
      <c r="T187" s="5">
        <v>950000.0</v>
      </c>
      <c r="U187" s="6">
        <v>0.0</v>
      </c>
      <c r="V187" s="3" t="s">
        <v>28</v>
      </c>
      <c r="W187" s="7" t="s">
        <v>28</v>
      </c>
    </row>
    <row r="188" ht="12.75" customHeight="1">
      <c r="A188" s="2" t="s">
        <v>489</v>
      </c>
      <c r="B188" s="3">
        <v>45379.6178472222</v>
      </c>
      <c r="C188" s="3" t="s">
        <v>425</v>
      </c>
      <c r="D188" s="2" t="s">
        <v>426</v>
      </c>
      <c r="E188" s="2" t="s">
        <v>23</v>
      </c>
      <c r="F188" s="4"/>
      <c r="G188" s="4"/>
      <c r="H188" s="4"/>
      <c r="I188" s="4"/>
      <c r="J188" s="2" t="s">
        <v>62</v>
      </c>
      <c r="K188" s="2" t="s">
        <v>490</v>
      </c>
      <c r="L188" s="2" t="s">
        <v>491</v>
      </c>
      <c r="M188" s="5">
        <v>1.0</v>
      </c>
      <c r="N188" s="2" t="s">
        <v>27</v>
      </c>
      <c r="O188" s="6">
        <v>950000.0</v>
      </c>
      <c r="P188" s="5">
        <v>0.0</v>
      </c>
      <c r="R188" s="4">
        <v>0.0</v>
      </c>
      <c r="S188" s="5">
        <v>1900000.0</v>
      </c>
      <c r="T188" s="5">
        <v>950000.0</v>
      </c>
      <c r="U188" s="6">
        <v>0.0</v>
      </c>
      <c r="V188" s="3" t="s">
        <v>28</v>
      </c>
      <c r="W188" s="7" t="s">
        <v>28</v>
      </c>
    </row>
    <row r="189" ht="12.75" customHeight="1">
      <c r="A189" s="2" t="s">
        <v>492</v>
      </c>
      <c r="B189" s="3">
        <v>45379.6192824074</v>
      </c>
      <c r="C189" s="3" t="s">
        <v>493</v>
      </c>
      <c r="D189" s="2" t="s">
        <v>494</v>
      </c>
      <c r="E189" s="2" t="s">
        <v>23</v>
      </c>
      <c r="F189" s="4"/>
      <c r="G189" s="4"/>
      <c r="H189" s="4"/>
      <c r="I189" s="4"/>
      <c r="J189" s="2" t="s">
        <v>495</v>
      </c>
      <c r="K189" s="2" t="s">
        <v>496</v>
      </c>
      <c r="L189" s="2" t="s">
        <v>497</v>
      </c>
      <c r="M189" s="5">
        <v>6.0</v>
      </c>
      <c r="N189" s="2" t="s">
        <v>40</v>
      </c>
      <c r="O189" s="6">
        <v>550000.0</v>
      </c>
      <c r="P189" s="5">
        <v>0.0</v>
      </c>
      <c r="R189" s="4">
        <v>0.0</v>
      </c>
      <c r="S189" s="5">
        <v>3300000.0</v>
      </c>
      <c r="T189" s="5">
        <v>3300000.0</v>
      </c>
      <c r="U189" s="6">
        <v>0.0</v>
      </c>
      <c r="V189" s="3" t="s">
        <v>28</v>
      </c>
      <c r="W189" s="7" t="s">
        <v>28</v>
      </c>
    </row>
    <row r="190" ht="12.75" customHeight="1">
      <c r="A190" s="2" t="s">
        <v>498</v>
      </c>
      <c r="B190" s="3">
        <v>45379.6703009259</v>
      </c>
      <c r="C190" s="3" t="s">
        <v>473</v>
      </c>
      <c r="D190" s="2" t="s">
        <v>474</v>
      </c>
      <c r="E190" s="2" t="s">
        <v>23</v>
      </c>
      <c r="F190" s="4"/>
      <c r="G190" s="4"/>
      <c r="H190" s="4"/>
      <c r="I190" s="4"/>
      <c r="J190" s="2" t="s">
        <v>475</v>
      </c>
      <c r="K190" s="2" t="s">
        <v>499</v>
      </c>
      <c r="L190" s="2" t="s">
        <v>500</v>
      </c>
      <c r="M190" s="5">
        <v>1.0</v>
      </c>
      <c r="N190" s="2" t="s">
        <v>40</v>
      </c>
      <c r="O190" s="6">
        <v>800000.0</v>
      </c>
      <c r="P190" s="5">
        <v>0.0</v>
      </c>
      <c r="R190" s="4">
        <v>0.0</v>
      </c>
      <c r="S190" s="5">
        <v>1050000.0</v>
      </c>
      <c r="T190" s="5">
        <v>800000.0</v>
      </c>
      <c r="U190" s="6">
        <v>0.0</v>
      </c>
      <c r="V190" s="3" t="s">
        <v>28</v>
      </c>
      <c r="W190" s="7" t="s">
        <v>28</v>
      </c>
    </row>
    <row r="191" ht="12.75" customHeight="1">
      <c r="A191" s="2" t="s">
        <v>498</v>
      </c>
      <c r="B191" s="3">
        <v>45379.6703009259</v>
      </c>
      <c r="C191" s="3" t="s">
        <v>473</v>
      </c>
      <c r="D191" s="2" t="s">
        <v>474</v>
      </c>
      <c r="E191" s="2" t="s">
        <v>23</v>
      </c>
      <c r="F191" s="4"/>
      <c r="G191" s="4"/>
      <c r="H191" s="4"/>
      <c r="I191" s="4"/>
      <c r="J191" s="2" t="s">
        <v>475</v>
      </c>
      <c r="K191" s="2" t="s">
        <v>83</v>
      </c>
      <c r="L191" s="2" t="s">
        <v>84</v>
      </c>
      <c r="M191" s="5">
        <v>1.0</v>
      </c>
      <c r="N191" s="2" t="s">
        <v>40</v>
      </c>
      <c r="O191" s="6">
        <v>250000.0</v>
      </c>
      <c r="P191" s="5">
        <v>0.0</v>
      </c>
      <c r="R191" s="4">
        <v>0.0</v>
      </c>
      <c r="S191" s="5">
        <v>1050000.0</v>
      </c>
      <c r="T191" s="5">
        <v>250000.0</v>
      </c>
      <c r="U191" s="6">
        <v>0.0</v>
      </c>
      <c r="V191" s="3" t="s">
        <v>28</v>
      </c>
      <c r="W191" s="7" t="s">
        <v>28</v>
      </c>
    </row>
    <row r="192" ht="12.75" customHeight="1">
      <c r="A192" s="2" t="s">
        <v>501</v>
      </c>
      <c r="B192" s="3">
        <v>45379.6711458333</v>
      </c>
      <c r="C192" s="3" t="s">
        <v>48</v>
      </c>
      <c r="D192" s="2" t="s">
        <v>49</v>
      </c>
      <c r="E192" s="2" t="s">
        <v>23</v>
      </c>
      <c r="F192" s="4"/>
      <c r="G192" s="4"/>
      <c r="H192" s="4"/>
      <c r="I192" s="4"/>
      <c r="J192" s="2" t="s">
        <v>24</v>
      </c>
      <c r="K192" s="2" t="s">
        <v>346</v>
      </c>
      <c r="L192" s="2" t="s">
        <v>347</v>
      </c>
      <c r="M192" s="5">
        <v>1.0</v>
      </c>
      <c r="N192" s="2" t="s">
        <v>40</v>
      </c>
      <c r="O192" s="6">
        <v>1175000.0</v>
      </c>
      <c r="P192" s="5">
        <v>0.0</v>
      </c>
      <c r="R192" s="4">
        <v>0.0</v>
      </c>
      <c r="S192" s="5">
        <v>1175000.0</v>
      </c>
      <c r="T192" s="5">
        <v>1175000.0</v>
      </c>
      <c r="U192" s="6">
        <v>0.0</v>
      </c>
      <c r="V192" s="3" t="s">
        <v>502</v>
      </c>
      <c r="W192" s="7" t="s">
        <v>28</v>
      </c>
    </row>
    <row r="193" ht="12.75" customHeight="1">
      <c r="A193" s="2" t="s">
        <v>503</v>
      </c>
      <c r="B193" s="3">
        <v>45381.5274537037</v>
      </c>
      <c r="C193" s="3" t="s">
        <v>22</v>
      </c>
      <c r="D193" s="2" t="s">
        <v>22</v>
      </c>
      <c r="E193" s="2" t="s">
        <v>23</v>
      </c>
      <c r="F193" s="4"/>
      <c r="G193" s="4"/>
      <c r="H193" s="4"/>
      <c r="I193" s="4"/>
      <c r="J193" s="2" t="s">
        <v>24</v>
      </c>
      <c r="K193" s="2" t="s">
        <v>30</v>
      </c>
      <c r="L193" s="2" t="s">
        <v>31</v>
      </c>
      <c r="M193" s="5">
        <v>1.0</v>
      </c>
      <c r="N193" s="2" t="s">
        <v>27</v>
      </c>
      <c r="O193" s="6">
        <v>4450000.0</v>
      </c>
      <c r="P193" s="5">
        <v>4200000.0</v>
      </c>
      <c r="R193" s="4">
        <v>0.0</v>
      </c>
      <c r="S193" s="5">
        <v>0.0</v>
      </c>
      <c r="T193" s="5">
        <v>4450000.0</v>
      </c>
      <c r="U193" s="6">
        <v>5.6179775281</v>
      </c>
      <c r="V193" s="3" t="s">
        <v>28</v>
      </c>
      <c r="W193" s="7" t="s">
        <v>28</v>
      </c>
    </row>
    <row r="194" ht="12.75" customHeight="1">
      <c r="A194" s="2" t="s">
        <v>504</v>
      </c>
      <c r="B194" s="3">
        <v>45384.6878587963</v>
      </c>
      <c r="C194" s="3" t="s">
        <v>22</v>
      </c>
      <c r="D194" s="2" t="s">
        <v>22</v>
      </c>
      <c r="E194" s="2" t="s">
        <v>23</v>
      </c>
      <c r="F194" s="4"/>
      <c r="G194" s="4"/>
      <c r="H194" s="4"/>
      <c r="I194" s="4"/>
      <c r="J194" s="2" t="s">
        <v>24</v>
      </c>
      <c r="K194" s="2" t="s">
        <v>100</v>
      </c>
      <c r="L194" s="2" t="s">
        <v>101</v>
      </c>
      <c r="M194" s="5">
        <v>1.0</v>
      </c>
      <c r="N194" s="2" t="s">
        <v>27</v>
      </c>
      <c r="O194" s="6">
        <v>1500000.0</v>
      </c>
      <c r="P194" s="5">
        <v>1500000.0</v>
      </c>
      <c r="R194" s="4">
        <v>0.0</v>
      </c>
      <c r="S194" s="5">
        <v>0.0</v>
      </c>
      <c r="T194" s="5">
        <v>1500000.0</v>
      </c>
      <c r="U194" s="6">
        <v>0.0</v>
      </c>
      <c r="V194" s="3" t="s">
        <v>505</v>
      </c>
      <c r="W194" s="7" t="s">
        <v>28</v>
      </c>
    </row>
    <row r="195" ht="13.5" customHeight="1">
      <c r="A195" s="2" t="s">
        <v>506</v>
      </c>
      <c r="B195" s="3">
        <v>45388.5888078704</v>
      </c>
      <c r="C195" s="3" t="s">
        <v>507</v>
      </c>
      <c r="D195" s="2" t="s">
        <v>508</v>
      </c>
      <c r="E195" s="2" t="s">
        <v>23</v>
      </c>
      <c r="F195" s="4"/>
      <c r="G195" s="4"/>
      <c r="H195" s="4"/>
      <c r="I195" s="4"/>
      <c r="J195" s="2" t="s">
        <v>62</v>
      </c>
      <c r="K195" s="2" t="s">
        <v>509</v>
      </c>
      <c r="L195" s="2" t="s">
        <v>510</v>
      </c>
      <c r="M195" s="5">
        <v>12.0</v>
      </c>
      <c r="N195" s="2" t="s">
        <v>40</v>
      </c>
      <c r="O195" s="6">
        <v>850000.0</v>
      </c>
      <c r="P195" s="5">
        <v>1.65E7</v>
      </c>
      <c r="R195" s="4">
        <v>0.0</v>
      </c>
      <c r="S195" s="5">
        <v>0.0</v>
      </c>
      <c r="T195" s="5">
        <v>1.02E7</v>
      </c>
      <c r="U195" s="6">
        <v>0.0</v>
      </c>
      <c r="V195" s="3" t="s">
        <v>511</v>
      </c>
      <c r="W195" s="7" t="s">
        <v>28</v>
      </c>
    </row>
    <row r="196" ht="12.75" customHeight="1">
      <c r="A196" s="2" t="s">
        <v>506</v>
      </c>
      <c r="B196" s="3">
        <v>45388.5888078704</v>
      </c>
      <c r="C196" s="3" t="s">
        <v>507</v>
      </c>
      <c r="D196" s="2" t="s">
        <v>508</v>
      </c>
      <c r="E196" s="2" t="s">
        <v>23</v>
      </c>
      <c r="F196" s="4"/>
      <c r="G196" s="4"/>
      <c r="H196" s="4"/>
      <c r="I196" s="4"/>
      <c r="J196" s="2" t="s">
        <v>62</v>
      </c>
      <c r="K196" s="2" t="s">
        <v>380</v>
      </c>
      <c r="L196" s="2" t="s">
        <v>381</v>
      </c>
      <c r="M196" s="5">
        <v>12.0</v>
      </c>
      <c r="N196" s="2" t="s">
        <v>27</v>
      </c>
      <c r="O196" s="6">
        <v>525000.0</v>
      </c>
      <c r="P196" s="5">
        <v>1.65E7</v>
      </c>
      <c r="R196" s="4">
        <v>0.0</v>
      </c>
      <c r="S196" s="5">
        <v>0.0</v>
      </c>
      <c r="T196" s="5">
        <v>6300000.0</v>
      </c>
      <c r="U196" s="6">
        <v>0.0</v>
      </c>
      <c r="V196" s="3" t="s">
        <v>511</v>
      </c>
      <c r="W196" s="7" t="s">
        <v>28</v>
      </c>
    </row>
    <row r="197" ht="12.75" customHeight="1">
      <c r="A197" s="2" t="s">
        <v>512</v>
      </c>
      <c r="B197" s="3">
        <v>45388.6057523148</v>
      </c>
      <c r="C197" s="3" t="s">
        <v>513</v>
      </c>
      <c r="D197" s="2" t="s">
        <v>514</v>
      </c>
      <c r="E197" s="2" t="s">
        <v>23</v>
      </c>
      <c r="F197" s="4"/>
      <c r="G197" s="4"/>
      <c r="H197" s="4"/>
      <c r="I197" s="4"/>
      <c r="J197" s="2" t="s">
        <v>62</v>
      </c>
      <c r="K197" s="2" t="s">
        <v>515</v>
      </c>
      <c r="L197" s="2" t="s">
        <v>516</v>
      </c>
      <c r="M197" s="5">
        <v>1.0</v>
      </c>
      <c r="N197" s="2" t="s">
        <v>40</v>
      </c>
      <c r="O197" s="6">
        <v>1.425E7</v>
      </c>
      <c r="P197" s="5">
        <v>5.835E7</v>
      </c>
      <c r="R197" s="4">
        <v>0.0</v>
      </c>
      <c r="S197" s="5">
        <v>0.0</v>
      </c>
      <c r="T197" s="5">
        <v>1.425E7</v>
      </c>
      <c r="U197" s="6">
        <v>0.0</v>
      </c>
      <c r="V197" s="3" t="s">
        <v>517</v>
      </c>
      <c r="W197" s="7" t="s">
        <v>28</v>
      </c>
    </row>
    <row r="198" ht="12.75" customHeight="1">
      <c r="A198" s="2" t="s">
        <v>512</v>
      </c>
      <c r="B198" s="3">
        <v>45388.6057523148</v>
      </c>
      <c r="C198" s="3" t="s">
        <v>513</v>
      </c>
      <c r="D198" s="2" t="s">
        <v>514</v>
      </c>
      <c r="E198" s="2" t="s">
        <v>23</v>
      </c>
      <c r="F198" s="4"/>
      <c r="G198" s="4"/>
      <c r="H198" s="4"/>
      <c r="I198" s="4"/>
      <c r="J198" s="2" t="s">
        <v>62</v>
      </c>
      <c r="K198" s="2" t="s">
        <v>518</v>
      </c>
      <c r="L198" s="2" t="s">
        <v>519</v>
      </c>
      <c r="M198" s="5">
        <v>1.0</v>
      </c>
      <c r="N198" s="2" t="s">
        <v>40</v>
      </c>
      <c r="O198" s="6">
        <v>1800000.0</v>
      </c>
      <c r="P198" s="5">
        <v>5.835E7</v>
      </c>
      <c r="R198" s="4">
        <v>0.0</v>
      </c>
      <c r="S198" s="5">
        <v>0.0</v>
      </c>
      <c r="T198" s="5">
        <v>1800000.0</v>
      </c>
      <c r="U198" s="6">
        <v>0.0</v>
      </c>
      <c r="V198" s="3" t="s">
        <v>517</v>
      </c>
      <c r="W198" s="7" t="s">
        <v>28</v>
      </c>
    </row>
    <row r="199" ht="12.75" customHeight="1">
      <c r="A199" s="2" t="s">
        <v>512</v>
      </c>
      <c r="B199" s="3">
        <v>45388.6057523148</v>
      </c>
      <c r="C199" s="3" t="s">
        <v>513</v>
      </c>
      <c r="D199" s="2" t="s">
        <v>514</v>
      </c>
      <c r="E199" s="2" t="s">
        <v>23</v>
      </c>
      <c r="F199" s="4"/>
      <c r="G199" s="4"/>
      <c r="H199" s="4"/>
      <c r="I199" s="4"/>
      <c r="J199" s="2" t="s">
        <v>62</v>
      </c>
      <c r="K199" s="2" t="s">
        <v>520</v>
      </c>
      <c r="L199" s="2" t="s">
        <v>521</v>
      </c>
      <c r="M199" s="5">
        <v>2.0</v>
      </c>
      <c r="N199" s="2" t="s">
        <v>40</v>
      </c>
      <c r="O199" s="6">
        <v>9750000.0</v>
      </c>
      <c r="P199" s="5">
        <v>5.835E7</v>
      </c>
      <c r="R199" s="4">
        <v>0.0</v>
      </c>
      <c r="S199" s="5">
        <v>0.0</v>
      </c>
      <c r="T199" s="5">
        <v>1.95E7</v>
      </c>
      <c r="U199" s="6">
        <v>0.0</v>
      </c>
      <c r="V199" s="3" t="s">
        <v>517</v>
      </c>
      <c r="W199" s="7" t="s">
        <v>28</v>
      </c>
    </row>
    <row r="200" ht="12.75" customHeight="1">
      <c r="A200" s="2" t="s">
        <v>512</v>
      </c>
      <c r="B200" s="3">
        <v>45388.6057523148</v>
      </c>
      <c r="C200" s="3" t="s">
        <v>513</v>
      </c>
      <c r="D200" s="2" t="s">
        <v>514</v>
      </c>
      <c r="E200" s="2" t="s">
        <v>23</v>
      </c>
      <c r="F200" s="4"/>
      <c r="G200" s="4"/>
      <c r="H200" s="4"/>
      <c r="I200" s="4"/>
      <c r="J200" s="2" t="s">
        <v>62</v>
      </c>
      <c r="K200" s="2" t="s">
        <v>522</v>
      </c>
      <c r="L200" s="2" t="s">
        <v>523</v>
      </c>
      <c r="M200" s="5">
        <v>2.0</v>
      </c>
      <c r="N200" s="2" t="s">
        <v>40</v>
      </c>
      <c r="O200" s="6">
        <v>5250000.0</v>
      </c>
      <c r="P200" s="5">
        <v>5.835E7</v>
      </c>
      <c r="R200" s="4">
        <v>0.0</v>
      </c>
      <c r="S200" s="5">
        <v>0.0</v>
      </c>
      <c r="T200" s="5">
        <v>1.05E7</v>
      </c>
      <c r="U200" s="6">
        <v>0.0</v>
      </c>
      <c r="V200" s="3" t="s">
        <v>517</v>
      </c>
      <c r="W200" s="7" t="s">
        <v>28</v>
      </c>
    </row>
    <row r="201" ht="12.75" customHeight="1">
      <c r="A201" s="2" t="s">
        <v>512</v>
      </c>
      <c r="B201" s="3">
        <v>45388.6057523148</v>
      </c>
      <c r="C201" s="3" t="s">
        <v>513</v>
      </c>
      <c r="D201" s="2" t="s">
        <v>514</v>
      </c>
      <c r="E201" s="2" t="s">
        <v>23</v>
      </c>
      <c r="F201" s="4"/>
      <c r="G201" s="4"/>
      <c r="H201" s="4"/>
      <c r="I201" s="4"/>
      <c r="J201" s="2" t="s">
        <v>62</v>
      </c>
      <c r="K201" s="2" t="s">
        <v>127</v>
      </c>
      <c r="L201" s="2" t="s">
        <v>128</v>
      </c>
      <c r="M201" s="5">
        <v>4.0</v>
      </c>
      <c r="N201" s="2" t="s">
        <v>27</v>
      </c>
      <c r="O201" s="6">
        <v>1650000.0</v>
      </c>
      <c r="P201" s="5">
        <v>5.835E7</v>
      </c>
      <c r="R201" s="4">
        <v>0.0</v>
      </c>
      <c r="S201" s="5">
        <v>0.0</v>
      </c>
      <c r="T201" s="5">
        <v>6600000.0</v>
      </c>
      <c r="U201" s="6">
        <v>0.0</v>
      </c>
      <c r="V201" s="3" t="s">
        <v>517</v>
      </c>
      <c r="W201" s="7" t="s">
        <v>28</v>
      </c>
    </row>
    <row r="202" ht="12.75" customHeight="1">
      <c r="A202" s="2" t="s">
        <v>512</v>
      </c>
      <c r="B202" s="3">
        <v>45388.6057523148</v>
      </c>
      <c r="C202" s="3" t="s">
        <v>513</v>
      </c>
      <c r="D202" s="2" t="s">
        <v>514</v>
      </c>
      <c r="E202" s="2" t="s">
        <v>23</v>
      </c>
      <c r="F202" s="4"/>
      <c r="G202" s="4"/>
      <c r="H202" s="4"/>
      <c r="I202" s="4"/>
      <c r="J202" s="2" t="s">
        <v>62</v>
      </c>
      <c r="K202" s="2" t="s">
        <v>524</v>
      </c>
      <c r="L202" s="2" t="s">
        <v>525</v>
      </c>
      <c r="M202" s="5">
        <v>6.0</v>
      </c>
      <c r="N202" s="2" t="s">
        <v>40</v>
      </c>
      <c r="O202" s="6">
        <v>950000.0</v>
      </c>
      <c r="P202" s="5">
        <v>5.835E7</v>
      </c>
      <c r="R202" s="4">
        <v>0.0</v>
      </c>
      <c r="S202" s="5">
        <v>0.0</v>
      </c>
      <c r="T202" s="5">
        <v>5700000.0</v>
      </c>
      <c r="U202" s="6">
        <v>0.0</v>
      </c>
      <c r="V202" s="3" t="s">
        <v>517</v>
      </c>
      <c r="W202" s="7" t="s">
        <v>28</v>
      </c>
    </row>
    <row r="203" ht="12.75" customHeight="1">
      <c r="A203" s="2" t="s">
        <v>526</v>
      </c>
      <c r="B203" s="3">
        <v>45388.6071064815</v>
      </c>
      <c r="C203" s="3" t="s">
        <v>266</v>
      </c>
      <c r="D203" s="2" t="s">
        <v>267</v>
      </c>
      <c r="E203" s="2" t="s">
        <v>23</v>
      </c>
      <c r="F203" s="4"/>
      <c r="G203" s="4"/>
      <c r="H203" s="4"/>
      <c r="I203" s="4"/>
      <c r="J203" s="2" t="s">
        <v>62</v>
      </c>
      <c r="K203" s="2" t="s">
        <v>268</v>
      </c>
      <c r="L203" s="2" t="s">
        <v>269</v>
      </c>
      <c r="M203" s="5">
        <v>2.0</v>
      </c>
      <c r="N203" s="2" t="s">
        <v>46</v>
      </c>
      <c r="O203" s="6">
        <v>50000.0</v>
      </c>
      <c r="P203" s="5">
        <v>0.0</v>
      </c>
      <c r="R203" s="4">
        <v>0.0</v>
      </c>
      <c r="S203" s="5">
        <v>100000.0</v>
      </c>
      <c r="T203" s="5">
        <v>100000.0</v>
      </c>
      <c r="U203" s="6">
        <v>0.0</v>
      </c>
      <c r="V203" s="3" t="s">
        <v>28</v>
      </c>
      <c r="W203" s="7" t="s">
        <v>28</v>
      </c>
    </row>
    <row r="204" ht="12.75" customHeight="1">
      <c r="A204" s="2" t="s">
        <v>527</v>
      </c>
      <c r="B204" s="3">
        <v>45397.7122569444</v>
      </c>
      <c r="C204" s="3" t="s">
        <v>22</v>
      </c>
      <c r="D204" s="2" t="s">
        <v>22</v>
      </c>
      <c r="E204" s="2" t="s">
        <v>23</v>
      </c>
      <c r="F204" s="4"/>
      <c r="G204" s="4"/>
      <c r="H204" s="4"/>
      <c r="I204" s="4"/>
      <c r="J204" s="2" t="s">
        <v>24</v>
      </c>
      <c r="K204" s="2" t="s">
        <v>490</v>
      </c>
      <c r="L204" s="2" t="s">
        <v>491</v>
      </c>
      <c r="M204" s="5">
        <v>1.0</v>
      </c>
      <c r="N204" s="2" t="s">
        <v>27</v>
      </c>
      <c r="O204" s="6">
        <v>950000.0</v>
      </c>
      <c r="P204" s="5">
        <v>930000.0</v>
      </c>
      <c r="R204" s="4">
        <v>0.0</v>
      </c>
      <c r="S204" s="5">
        <v>0.0</v>
      </c>
      <c r="T204" s="5">
        <v>950000.0</v>
      </c>
      <c r="U204" s="6">
        <v>2.1052631579</v>
      </c>
      <c r="V204" s="3" t="s">
        <v>528</v>
      </c>
      <c r="W204" s="7" t="s">
        <v>28</v>
      </c>
    </row>
    <row r="205" ht="12.75" customHeight="1">
      <c r="A205" s="2" t="s">
        <v>529</v>
      </c>
      <c r="B205" s="3">
        <v>45397.7130439815</v>
      </c>
      <c r="C205" s="3" t="s">
        <v>22</v>
      </c>
      <c r="D205" s="2" t="s">
        <v>22</v>
      </c>
      <c r="E205" s="2" t="s">
        <v>23</v>
      </c>
      <c r="F205" s="4"/>
      <c r="G205" s="4"/>
      <c r="H205" s="4"/>
      <c r="I205" s="4"/>
      <c r="J205" s="2" t="s">
        <v>24</v>
      </c>
      <c r="K205" s="2" t="s">
        <v>263</v>
      </c>
      <c r="L205" s="2" t="s">
        <v>264</v>
      </c>
      <c r="M205" s="5">
        <v>1.0</v>
      </c>
      <c r="N205" s="2" t="s">
        <v>40</v>
      </c>
      <c r="O205" s="6">
        <v>175000.0</v>
      </c>
      <c r="P205" s="5">
        <v>175000.0</v>
      </c>
      <c r="R205" s="4">
        <v>0.0</v>
      </c>
      <c r="S205" s="5">
        <v>0.0</v>
      </c>
      <c r="T205" s="5">
        <v>175000.0</v>
      </c>
      <c r="U205" s="6">
        <v>0.0</v>
      </c>
      <c r="V205" s="3" t="s">
        <v>28</v>
      </c>
      <c r="W205" s="7" t="s">
        <v>28</v>
      </c>
    </row>
    <row r="206" ht="12.75" customHeight="1">
      <c r="A206" s="2" t="s">
        <v>530</v>
      </c>
      <c r="B206" s="3">
        <v>45399.7159606482</v>
      </c>
      <c r="C206" s="3" t="s">
        <v>531</v>
      </c>
      <c r="D206" s="2" t="s">
        <v>532</v>
      </c>
      <c r="E206" s="2" t="s">
        <v>23</v>
      </c>
      <c r="F206" s="4"/>
      <c r="G206" s="4"/>
      <c r="H206" s="4"/>
      <c r="I206" s="4"/>
      <c r="J206" s="2" t="s">
        <v>24</v>
      </c>
      <c r="K206" s="2" t="s">
        <v>86</v>
      </c>
      <c r="L206" s="2" t="s">
        <v>87</v>
      </c>
      <c r="M206" s="5">
        <v>1.0</v>
      </c>
      <c r="N206" s="2" t="s">
        <v>40</v>
      </c>
      <c r="O206" s="6">
        <v>2750000.0</v>
      </c>
      <c r="P206" s="5">
        <v>0.0</v>
      </c>
      <c r="R206" s="4">
        <v>0.0</v>
      </c>
      <c r="S206" s="5">
        <v>2750000.0</v>
      </c>
      <c r="T206" s="5">
        <v>2750000.0</v>
      </c>
      <c r="U206" s="6">
        <v>0.0</v>
      </c>
      <c r="V206" s="3" t="s">
        <v>28</v>
      </c>
      <c r="W206" s="7" t="s">
        <v>28</v>
      </c>
    </row>
    <row r="207" ht="13.5" customHeight="1">
      <c r="A207" s="2" t="s">
        <v>533</v>
      </c>
      <c r="B207" s="3">
        <v>45399.7168402778</v>
      </c>
      <c r="C207" s="3" t="s">
        <v>473</v>
      </c>
      <c r="D207" s="2" t="s">
        <v>474</v>
      </c>
      <c r="E207" s="2" t="s">
        <v>23</v>
      </c>
      <c r="F207" s="4"/>
      <c r="G207" s="4"/>
      <c r="H207" s="4"/>
      <c r="I207" s="4"/>
      <c r="J207" s="2" t="s">
        <v>475</v>
      </c>
      <c r="K207" s="2" t="s">
        <v>83</v>
      </c>
      <c r="L207" s="2" t="s">
        <v>84</v>
      </c>
      <c r="M207" s="5">
        <v>1.0</v>
      </c>
      <c r="N207" s="2" t="s">
        <v>40</v>
      </c>
      <c r="O207" s="6">
        <v>250000.0</v>
      </c>
      <c r="P207" s="5">
        <v>0.0</v>
      </c>
      <c r="R207" s="4">
        <v>0.0</v>
      </c>
      <c r="S207" s="5">
        <v>250000.0</v>
      </c>
      <c r="T207" s="5">
        <v>250000.0</v>
      </c>
      <c r="U207" s="6">
        <v>0.0</v>
      </c>
      <c r="V207" s="3" t="s">
        <v>28</v>
      </c>
      <c r="W207" s="7" t="s">
        <v>28</v>
      </c>
    </row>
    <row r="208" ht="12.75" customHeight="1">
      <c r="A208" s="2" t="s">
        <v>534</v>
      </c>
      <c r="B208" s="3">
        <v>45399.7177430556</v>
      </c>
      <c r="C208" s="3" t="s">
        <v>535</v>
      </c>
      <c r="D208" s="2" t="s">
        <v>536</v>
      </c>
      <c r="E208" s="2" t="s">
        <v>23</v>
      </c>
      <c r="F208" s="4"/>
      <c r="G208" s="4"/>
      <c r="H208" s="4"/>
      <c r="I208" s="4"/>
      <c r="J208" s="2" t="s">
        <v>24</v>
      </c>
      <c r="K208" s="2" t="s">
        <v>42</v>
      </c>
      <c r="L208" s="2" t="s">
        <v>43</v>
      </c>
      <c r="M208" s="5">
        <v>1.0</v>
      </c>
      <c r="N208" s="2" t="s">
        <v>40</v>
      </c>
      <c r="O208" s="6">
        <v>100000.0</v>
      </c>
      <c r="P208" s="5">
        <v>0.0</v>
      </c>
      <c r="R208" s="4">
        <v>0.0</v>
      </c>
      <c r="S208" s="5">
        <v>100000.0</v>
      </c>
      <c r="T208" s="5">
        <v>100000.0</v>
      </c>
      <c r="U208" s="6">
        <v>0.0</v>
      </c>
      <c r="V208" s="3" t="s">
        <v>28</v>
      </c>
      <c r="W208" s="7" t="s">
        <v>28</v>
      </c>
    </row>
    <row r="209" ht="12.75" customHeight="1">
      <c r="A209" s="2" t="s">
        <v>537</v>
      </c>
      <c r="B209" s="3">
        <v>45400.6335416667</v>
      </c>
      <c r="C209" s="3" t="s">
        <v>132</v>
      </c>
      <c r="D209" s="2" t="s">
        <v>133</v>
      </c>
      <c r="E209" s="2" t="s">
        <v>23</v>
      </c>
      <c r="F209" s="4"/>
      <c r="G209" s="4"/>
      <c r="H209" s="4"/>
      <c r="I209" s="4"/>
      <c r="J209" s="2" t="s">
        <v>62</v>
      </c>
      <c r="K209" s="2" t="s">
        <v>150</v>
      </c>
      <c r="L209" s="2" t="s">
        <v>151</v>
      </c>
      <c r="M209" s="5">
        <v>10.0</v>
      </c>
      <c r="N209" s="2" t="s">
        <v>27</v>
      </c>
      <c r="O209" s="6">
        <v>2690000.0</v>
      </c>
      <c r="P209" s="5">
        <v>2.5E7</v>
      </c>
      <c r="R209" s="4">
        <v>0.0</v>
      </c>
      <c r="S209" s="5">
        <v>0.0</v>
      </c>
      <c r="T209" s="5">
        <v>2.69E7</v>
      </c>
      <c r="U209" s="6">
        <v>7.063197026</v>
      </c>
      <c r="V209" s="3" t="s">
        <v>28</v>
      </c>
      <c r="W209" s="7" t="s">
        <v>28</v>
      </c>
    </row>
    <row r="210" ht="12.75" customHeight="1">
      <c r="A210" s="2" t="s">
        <v>538</v>
      </c>
      <c r="B210" s="3">
        <v>45400.6343865741</v>
      </c>
      <c r="C210" s="3" t="s">
        <v>22</v>
      </c>
      <c r="D210" s="2" t="s">
        <v>22</v>
      </c>
      <c r="E210" s="2" t="s">
        <v>23</v>
      </c>
      <c r="F210" s="4"/>
      <c r="G210" s="4"/>
      <c r="H210" s="4"/>
      <c r="I210" s="4"/>
      <c r="J210" s="2" t="s">
        <v>24</v>
      </c>
      <c r="K210" s="2" t="s">
        <v>539</v>
      </c>
      <c r="L210" s="2" t="s">
        <v>540</v>
      </c>
      <c r="M210" s="5">
        <v>1.0</v>
      </c>
      <c r="N210" s="2" t="s">
        <v>40</v>
      </c>
      <c r="O210" s="6">
        <v>600000.0</v>
      </c>
      <c r="P210" s="5">
        <v>570000.0</v>
      </c>
      <c r="R210" s="4">
        <v>0.0</v>
      </c>
      <c r="S210" s="5">
        <v>0.0</v>
      </c>
      <c r="T210" s="5">
        <v>570000.0</v>
      </c>
      <c r="U210" s="6">
        <v>0.0</v>
      </c>
      <c r="V210" s="3" t="s">
        <v>28</v>
      </c>
      <c r="W210" s="7" t="s">
        <v>28</v>
      </c>
    </row>
    <row r="211" ht="12.75" customHeight="1">
      <c r="A211" s="2" t="s">
        <v>541</v>
      </c>
      <c r="B211" s="3">
        <v>45400.7456712963</v>
      </c>
      <c r="C211" s="3" t="s">
        <v>473</v>
      </c>
      <c r="D211" s="2" t="s">
        <v>474</v>
      </c>
      <c r="E211" s="2" t="s">
        <v>23</v>
      </c>
      <c r="F211" s="4"/>
      <c r="G211" s="4"/>
      <c r="H211" s="4"/>
      <c r="I211" s="4"/>
      <c r="J211" s="2" t="s">
        <v>475</v>
      </c>
      <c r="K211" s="2" t="s">
        <v>83</v>
      </c>
      <c r="L211" s="2" t="s">
        <v>84</v>
      </c>
      <c r="M211" s="5">
        <v>2.0</v>
      </c>
      <c r="N211" s="2" t="s">
        <v>40</v>
      </c>
      <c r="O211" s="6">
        <v>250000.0</v>
      </c>
      <c r="P211" s="5">
        <v>0.0</v>
      </c>
      <c r="R211" s="4">
        <v>0.0</v>
      </c>
      <c r="S211" s="5">
        <v>500000.0</v>
      </c>
      <c r="T211" s="5">
        <v>500000.0</v>
      </c>
      <c r="U211" s="6">
        <v>0.0</v>
      </c>
      <c r="V211" s="3" t="s">
        <v>28</v>
      </c>
      <c r="W211" s="7" t="s">
        <v>28</v>
      </c>
    </row>
    <row r="212" ht="12.75" customHeight="1">
      <c r="A212" s="2" t="s">
        <v>542</v>
      </c>
      <c r="B212" s="3">
        <v>45401.7184259259</v>
      </c>
      <c r="C212" s="3" t="s">
        <v>22</v>
      </c>
      <c r="D212" s="2" t="s">
        <v>22</v>
      </c>
      <c r="E212" s="2" t="s">
        <v>23</v>
      </c>
      <c r="F212" s="4"/>
      <c r="G212" s="4"/>
      <c r="H212" s="4"/>
      <c r="I212" s="4"/>
      <c r="J212" s="2" t="s">
        <v>24</v>
      </c>
      <c r="K212" s="2" t="s">
        <v>490</v>
      </c>
      <c r="L212" s="2" t="s">
        <v>491</v>
      </c>
      <c r="M212" s="5">
        <v>1.0</v>
      </c>
      <c r="N212" s="2" t="s">
        <v>27</v>
      </c>
      <c r="O212" s="6">
        <v>950000.0</v>
      </c>
      <c r="P212" s="5">
        <v>950000.0</v>
      </c>
      <c r="R212" s="4">
        <v>0.0</v>
      </c>
      <c r="S212" s="5">
        <v>0.0</v>
      </c>
      <c r="T212" s="5">
        <v>950000.0</v>
      </c>
      <c r="U212" s="6">
        <v>0.0</v>
      </c>
      <c r="V212" s="3" t="s">
        <v>88</v>
      </c>
      <c r="W212" s="7" t="s">
        <v>28</v>
      </c>
    </row>
    <row r="213" ht="12.75" customHeight="1">
      <c r="A213" s="2" t="s">
        <v>543</v>
      </c>
      <c r="B213" s="3">
        <v>45401.7196296296</v>
      </c>
      <c r="C213" s="3" t="s">
        <v>22</v>
      </c>
      <c r="D213" s="2" t="s">
        <v>22</v>
      </c>
      <c r="E213" s="2" t="s">
        <v>23</v>
      </c>
      <c r="F213" s="4"/>
      <c r="G213" s="4"/>
      <c r="H213" s="4"/>
      <c r="I213" s="4"/>
      <c r="J213" s="2" t="s">
        <v>24</v>
      </c>
      <c r="K213" s="2" t="s">
        <v>499</v>
      </c>
      <c r="L213" s="2" t="s">
        <v>500</v>
      </c>
      <c r="M213" s="5">
        <v>1.0</v>
      </c>
      <c r="N213" s="2" t="s">
        <v>40</v>
      </c>
      <c r="O213" s="6">
        <v>800000.0</v>
      </c>
      <c r="P213" s="5">
        <v>750000.0</v>
      </c>
      <c r="R213" s="4">
        <v>0.0</v>
      </c>
      <c r="S213" s="5">
        <v>0.0</v>
      </c>
      <c r="T213" s="5">
        <v>800000.0</v>
      </c>
      <c r="U213" s="6">
        <v>6.25</v>
      </c>
      <c r="V213" s="3" t="s">
        <v>544</v>
      </c>
      <c r="W213" s="7" t="s">
        <v>28</v>
      </c>
    </row>
    <row r="214" ht="12.75" customHeight="1">
      <c r="A214" s="2" t="s">
        <v>545</v>
      </c>
      <c r="B214" s="3">
        <v>45401.7217013889</v>
      </c>
      <c r="C214" s="3" t="s">
        <v>546</v>
      </c>
      <c r="D214" s="2" t="s">
        <v>547</v>
      </c>
      <c r="E214" s="2" t="s">
        <v>23</v>
      </c>
      <c r="F214" s="4"/>
      <c r="G214" s="4"/>
      <c r="H214" s="4"/>
      <c r="I214" s="4"/>
      <c r="J214" s="2" t="s">
        <v>62</v>
      </c>
      <c r="K214" s="2" t="s">
        <v>83</v>
      </c>
      <c r="L214" s="2" t="s">
        <v>84</v>
      </c>
      <c r="M214" s="5">
        <v>1.0</v>
      </c>
      <c r="N214" s="2" t="s">
        <v>40</v>
      </c>
      <c r="O214" s="6">
        <v>250000.0</v>
      </c>
      <c r="P214" s="5">
        <v>250000.0</v>
      </c>
      <c r="R214" s="4">
        <v>0.0</v>
      </c>
      <c r="S214" s="5">
        <v>0.0</v>
      </c>
      <c r="T214" s="5">
        <v>250000.0</v>
      </c>
      <c r="U214" s="6">
        <v>0.0</v>
      </c>
      <c r="V214" s="3" t="s">
        <v>548</v>
      </c>
      <c r="W214" s="7" t="s">
        <v>28</v>
      </c>
    </row>
    <row r="215" ht="12.75" customHeight="1">
      <c r="A215" s="2" t="s">
        <v>549</v>
      </c>
      <c r="B215" s="3">
        <v>45404.6091203704</v>
      </c>
      <c r="C215" s="3" t="s">
        <v>22</v>
      </c>
      <c r="D215" s="2" t="s">
        <v>22</v>
      </c>
      <c r="E215" s="2" t="s">
        <v>23</v>
      </c>
      <c r="F215" s="4"/>
      <c r="G215" s="4"/>
      <c r="H215" s="4"/>
      <c r="I215" s="4"/>
      <c r="J215" s="2" t="s">
        <v>24</v>
      </c>
      <c r="K215" s="2" t="s">
        <v>134</v>
      </c>
      <c r="L215" s="2" t="s">
        <v>135</v>
      </c>
      <c r="M215" s="5">
        <v>1.0</v>
      </c>
      <c r="N215" s="2" t="s">
        <v>27</v>
      </c>
      <c r="O215" s="6">
        <v>2600000.0</v>
      </c>
      <c r="P215" s="5">
        <v>1.06E7</v>
      </c>
      <c r="R215" s="4">
        <v>0.0</v>
      </c>
      <c r="S215" s="5">
        <v>0.0</v>
      </c>
      <c r="T215" s="5">
        <v>2600000.0</v>
      </c>
      <c r="U215" s="6">
        <v>0.0</v>
      </c>
      <c r="V215" s="3" t="s">
        <v>550</v>
      </c>
      <c r="W215" s="7" t="s">
        <v>28</v>
      </c>
    </row>
    <row r="216" ht="12.75" customHeight="1">
      <c r="A216" s="2" t="s">
        <v>549</v>
      </c>
      <c r="B216" s="3">
        <v>45404.6091203704</v>
      </c>
      <c r="C216" s="3" t="s">
        <v>22</v>
      </c>
      <c r="D216" s="2" t="s">
        <v>22</v>
      </c>
      <c r="E216" s="2" t="s">
        <v>23</v>
      </c>
      <c r="F216" s="4"/>
      <c r="G216" s="4"/>
      <c r="H216" s="4"/>
      <c r="I216" s="4"/>
      <c r="J216" s="2" t="s">
        <v>24</v>
      </c>
      <c r="K216" s="2" t="s">
        <v>551</v>
      </c>
      <c r="L216" s="2" t="s">
        <v>552</v>
      </c>
      <c r="M216" s="5">
        <v>1.0</v>
      </c>
      <c r="N216" s="2" t="s">
        <v>27</v>
      </c>
      <c r="O216" s="6">
        <v>2600000.0</v>
      </c>
      <c r="P216" s="5">
        <v>1.06E7</v>
      </c>
      <c r="R216" s="4">
        <v>0.0</v>
      </c>
      <c r="S216" s="5">
        <v>0.0</v>
      </c>
      <c r="T216" s="5">
        <v>2600000.0</v>
      </c>
      <c r="U216" s="6">
        <v>0.0</v>
      </c>
      <c r="V216" s="3" t="s">
        <v>550</v>
      </c>
      <c r="W216" s="7" t="s">
        <v>28</v>
      </c>
    </row>
    <row r="217" ht="12.75" customHeight="1">
      <c r="A217" s="2" t="s">
        <v>549</v>
      </c>
      <c r="B217" s="3">
        <v>45404.6091203704</v>
      </c>
      <c r="C217" s="3" t="s">
        <v>22</v>
      </c>
      <c r="D217" s="2" t="s">
        <v>22</v>
      </c>
      <c r="E217" s="2" t="s">
        <v>23</v>
      </c>
      <c r="F217" s="4"/>
      <c r="G217" s="4"/>
      <c r="H217" s="4"/>
      <c r="I217" s="4"/>
      <c r="J217" s="2" t="s">
        <v>24</v>
      </c>
      <c r="K217" s="2" t="s">
        <v>296</v>
      </c>
      <c r="L217" s="2" t="s">
        <v>297</v>
      </c>
      <c r="M217" s="5">
        <v>2.0</v>
      </c>
      <c r="N217" s="2" t="s">
        <v>40</v>
      </c>
      <c r="O217" s="6">
        <v>2700000.0</v>
      </c>
      <c r="P217" s="5">
        <v>1.06E7</v>
      </c>
      <c r="R217" s="4">
        <v>0.0</v>
      </c>
      <c r="S217" s="5">
        <v>0.0</v>
      </c>
      <c r="T217" s="5">
        <v>5400000.0</v>
      </c>
      <c r="U217" s="6">
        <v>0.0</v>
      </c>
      <c r="V217" s="3" t="s">
        <v>550</v>
      </c>
      <c r="W217" s="7" t="s">
        <v>28</v>
      </c>
    </row>
    <row r="218" ht="12.75" customHeight="1">
      <c r="A218" s="2" t="s">
        <v>553</v>
      </c>
      <c r="B218" s="3">
        <v>45404.7390625</v>
      </c>
      <c r="C218" s="3" t="s">
        <v>22</v>
      </c>
      <c r="D218" s="2" t="s">
        <v>22</v>
      </c>
      <c r="E218" s="2" t="s">
        <v>23</v>
      </c>
      <c r="F218" s="4"/>
      <c r="G218" s="4"/>
      <c r="H218" s="4"/>
      <c r="I218" s="4"/>
      <c r="J218" s="2" t="s">
        <v>24</v>
      </c>
      <c r="K218" s="2" t="s">
        <v>268</v>
      </c>
      <c r="L218" s="2" t="s">
        <v>269</v>
      </c>
      <c r="M218" s="5">
        <v>3.0</v>
      </c>
      <c r="N218" s="2" t="s">
        <v>46</v>
      </c>
      <c r="O218" s="6">
        <v>50000.0</v>
      </c>
      <c r="P218" s="5">
        <v>150000.0</v>
      </c>
      <c r="R218" s="4">
        <v>0.0</v>
      </c>
      <c r="S218" s="5">
        <v>0.0</v>
      </c>
      <c r="T218" s="5">
        <v>150000.0</v>
      </c>
      <c r="U218" s="6">
        <v>0.0</v>
      </c>
      <c r="V218" s="3" t="s">
        <v>28</v>
      </c>
      <c r="W218" s="7" t="s">
        <v>28</v>
      </c>
    </row>
    <row r="219" ht="12.75" customHeight="1">
      <c r="A219" s="2" t="s">
        <v>554</v>
      </c>
      <c r="B219" s="3">
        <v>45404.7409953704</v>
      </c>
      <c r="C219" s="3" t="s">
        <v>555</v>
      </c>
      <c r="D219" s="2" t="s">
        <v>556</v>
      </c>
      <c r="E219" s="2" t="s">
        <v>23</v>
      </c>
      <c r="F219" s="4"/>
      <c r="G219" s="4"/>
      <c r="H219" s="4"/>
      <c r="I219" s="4"/>
      <c r="J219" s="2" t="s">
        <v>62</v>
      </c>
      <c r="K219" s="2" t="s">
        <v>409</v>
      </c>
      <c r="L219" s="2" t="s">
        <v>410</v>
      </c>
      <c r="M219" s="5">
        <v>1.0</v>
      </c>
      <c r="N219" s="2" t="s">
        <v>27</v>
      </c>
      <c r="O219" s="6">
        <v>2200000.0</v>
      </c>
      <c r="P219" s="5">
        <v>3700000.0</v>
      </c>
      <c r="R219" s="4">
        <v>0.0</v>
      </c>
      <c r="S219" s="5">
        <v>0.0</v>
      </c>
      <c r="T219" s="5">
        <v>2200000.0</v>
      </c>
      <c r="U219" s="6">
        <v>0.0</v>
      </c>
      <c r="V219" s="3" t="s">
        <v>28</v>
      </c>
      <c r="W219" s="7" t="s">
        <v>28</v>
      </c>
    </row>
    <row r="220" ht="13.5" customHeight="1">
      <c r="A220" s="2" t="s">
        <v>554</v>
      </c>
      <c r="B220" s="3">
        <v>45404.7409953704</v>
      </c>
      <c r="C220" s="3" t="s">
        <v>555</v>
      </c>
      <c r="D220" s="2" t="s">
        <v>556</v>
      </c>
      <c r="E220" s="2" t="s">
        <v>23</v>
      </c>
      <c r="F220" s="4"/>
      <c r="G220" s="4"/>
      <c r="H220" s="4"/>
      <c r="I220" s="4"/>
      <c r="J220" s="2" t="s">
        <v>62</v>
      </c>
      <c r="K220" s="2" t="s">
        <v>557</v>
      </c>
      <c r="L220" s="2" t="s">
        <v>558</v>
      </c>
      <c r="M220" s="5">
        <v>1.0</v>
      </c>
      <c r="N220" s="2" t="s">
        <v>27</v>
      </c>
      <c r="O220" s="6">
        <v>1500000.0</v>
      </c>
      <c r="P220" s="5">
        <v>3700000.0</v>
      </c>
      <c r="R220" s="4">
        <v>0.0</v>
      </c>
      <c r="S220" s="5">
        <v>0.0</v>
      </c>
      <c r="T220" s="5">
        <v>1500000.0</v>
      </c>
      <c r="U220" s="6">
        <v>0.0</v>
      </c>
      <c r="V220" s="3" t="s">
        <v>28</v>
      </c>
      <c r="W220" s="7" t="s">
        <v>28</v>
      </c>
    </row>
    <row r="221" ht="12.75" customHeight="1">
      <c r="A221" s="2" t="s">
        <v>559</v>
      </c>
      <c r="B221" s="3">
        <v>45405.7162152778</v>
      </c>
      <c r="C221" s="3" t="s">
        <v>560</v>
      </c>
      <c r="D221" s="2" t="s">
        <v>561</v>
      </c>
      <c r="E221" s="2" t="s">
        <v>23</v>
      </c>
      <c r="F221" s="4"/>
      <c r="G221" s="4"/>
      <c r="H221" s="4"/>
      <c r="I221" s="4"/>
      <c r="J221" s="2" t="s">
        <v>62</v>
      </c>
      <c r="K221" s="2" t="s">
        <v>155</v>
      </c>
      <c r="L221" s="2" t="s">
        <v>156</v>
      </c>
      <c r="M221" s="5">
        <v>5.0</v>
      </c>
      <c r="N221" s="2" t="s">
        <v>27</v>
      </c>
      <c r="O221" s="6">
        <v>3000000.0</v>
      </c>
      <c r="P221" s="5">
        <v>1.5E7</v>
      </c>
      <c r="R221" s="4">
        <v>0.0</v>
      </c>
      <c r="S221" s="5">
        <v>0.0</v>
      </c>
      <c r="T221" s="5">
        <v>1.5E7</v>
      </c>
      <c r="U221" s="6">
        <v>0.0</v>
      </c>
      <c r="V221" s="3" t="s">
        <v>562</v>
      </c>
      <c r="W221" s="7" t="s">
        <v>28</v>
      </c>
    </row>
    <row r="222" ht="12.75" customHeight="1">
      <c r="A222" s="2" t="s">
        <v>563</v>
      </c>
      <c r="B222" s="3">
        <v>45405.7169675926</v>
      </c>
      <c r="C222" s="3" t="s">
        <v>22</v>
      </c>
      <c r="D222" s="2" t="s">
        <v>22</v>
      </c>
      <c r="E222" s="2" t="s">
        <v>23</v>
      </c>
      <c r="F222" s="4"/>
      <c r="G222" s="4"/>
      <c r="H222" s="4"/>
      <c r="I222" s="4"/>
      <c r="J222" s="2" t="s">
        <v>24</v>
      </c>
      <c r="K222" s="2" t="s">
        <v>83</v>
      </c>
      <c r="L222" s="2" t="s">
        <v>84</v>
      </c>
      <c r="M222" s="5">
        <v>1.0</v>
      </c>
      <c r="N222" s="2" t="s">
        <v>40</v>
      </c>
      <c r="O222" s="6">
        <v>250000.0</v>
      </c>
      <c r="P222" s="5">
        <v>250000.0</v>
      </c>
      <c r="R222" s="4">
        <v>0.0</v>
      </c>
      <c r="S222" s="5">
        <v>0.0</v>
      </c>
      <c r="T222" s="5">
        <v>250000.0</v>
      </c>
      <c r="U222" s="6">
        <v>0.0</v>
      </c>
      <c r="V222" s="3" t="s">
        <v>28</v>
      </c>
      <c r="W222" s="7" t="s">
        <v>28</v>
      </c>
    </row>
    <row r="223" ht="12.75" customHeight="1">
      <c r="A223" s="2" t="s">
        <v>564</v>
      </c>
      <c r="B223" s="3">
        <v>45405.7174652778</v>
      </c>
      <c r="C223" s="3" t="s">
        <v>473</v>
      </c>
      <c r="D223" s="2" t="s">
        <v>474</v>
      </c>
      <c r="E223" s="2" t="s">
        <v>23</v>
      </c>
      <c r="F223" s="4"/>
      <c r="G223" s="4"/>
      <c r="H223" s="4"/>
      <c r="I223" s="4"/>
      <c r="J223" s="2" t="s">
        <v>475</v>
      </c>
      <c r="K223" s="2" t="s">
        <v>83</v>
      </c>
      <c r="L223" s="2" t="s">
        <v>84</v>
      </c>
      <c r="M223" s="5">
        <v>1.0</v>
      </c>
      <c r="N223" s="2" t="s">
        <v>40</v>
      </c>
      <c r="O223" s="6">
        <v>250000.0</v>
      </c>
      <c r="P223" s="5">
        <v>0.0</v>
      </c>
      <c r="R223" s="4">
        <v>0.0</v>
      </c>
      <c r="S223" s="5">
        <v>250000.0</v>
      </c>
      <c r="T223" s="5">
        <v>250000.0</v>
      </c>
      <c r="U223" s="6">
        <v>0.0</v>
      </c>
      <c r="V223" s="3" t="s">
        <v>28</v>
      </c>
      <c r="W223" s="7" t="s">
        <v>28</v>
      </c>
    </row>
    <row r="224" ht="12.75" customHeight="1">
      <c r="A224" s="2" t="s">
        <v>565</v>
      </c>
      <c r="B224" s="3">
        <v>45405.7179976852</v>
      </c>
      <c r="C224" s="3" t="s">
        <v>425</v>
      </c>
      <c r="D224" s="2" t="s">
        <v>426</v>
      </c>
      <c r="E224" s="2" t="s">
        <v>23</v>
      </c>
      <c r="F224" s="4"/>
      <c r="G224" s="4"/>
      <c r="H224" s="4"/>
      <c r="I224" s="4"/>
      <c r="J224" s="2" t="s">
        <v>62</v>
      </c>
      <c r="K224" s="2" t="s">
        <v>421</v>
      </c>
      <c r="L224" s="2" t="s">
        <v>422</v>
      </c>
      <c r="M224" s="5">
        <v>1.0</v>
      </c>
      <c r="N224" s="2" t="s">
        <v>40</v>
      </c>
      <c r="O224" s="6">
        <v>150000.0</v>
      </c>
      <c r="P224" s="5">
        <v>0.0</v>
      </c>
      <c r="R224" s="4">
        <v>0.0</v>
      </c>
      <c r="S224" s="5">
        <v>150000.0</v>
      </c>
      <c r="T224" s="5">
        <v>150000.0</v>
      </c>
      <c r="U224" s="6">
        <v>0.0</v>
      </c>
      <c r="V224" s="3" t="s">
        <v>28</v>
      </c>
      <c r="W224" s="7" t="s">
        <v>28</v>
      </c>
    </row>
    <row r="225" ht="12.75" customHeight="1">
      <c r="A225" s="2" t="s">
        <v>566</v>
      </c>
      <c r="B225" s="3">
        <v>45409.77625</v>
      </c>
      <c r="C225" s="3" t="s">
        <v>22</v>
      </c>
      <c r="D225" s="2" t="s">
        <v>22</v>
      </c>
      <c r="E225" s="2" t="s">
        <v>23</v>
      </c>
      <c r="F225" s="4"/>
      <c r="G225" s="4"/>
      <c r="H225" s="4"/>
      <c r="I225" s="4"/>
      <c r="J225" s="2" t="s">
        <v>24</v>
      </c>
      <c r="K225" s="2" t="s">
        <v>567</v>
      </c>
      <c r="L225" s="2" t="s">
        <v>568</v>
      </c>
      <c r="M225" s="5">
        <v>1.0</v>
      </c>
      <c r="N225" s="2" t="s">
        <v>40</v>
      </c>
      <c r="O225" s="6">
        <v>2850000.0</v>
      </c>
      <c r="P225" s="5">
        <v>2600000.0</v>
      </c>
      <c r="R225" s="4">
        <v>0.0</v>
      </c>
      <c r="S225" s="5">
        <v>0.0</v>
      </c>
      <c r="T225" s="5">
        <v>2850000.0</v>
      </c>
      <c r="U225" s="6">
        <v>8.7719298246</v>
      </c>
      <c r="V225" s="3" t="s">
        <v>28</v>
      </c>
      <c r="W225" s="7" t="s">
        <v>28</v>
      </c>
    </row>
    <row r="226" ht="12.75" customHeight="1">
      <c r="A226" s="2" t="s">
        <v>569</v>
      </c>
      <c r="B226" s="3">
        <v>45409.7772569444</v>
      </c>
      <c r="C226" s="3" t="s">
        <v>22</v>
      </c>
      <c r="D226" s="2" t="s">
        <v>22</v>
      </c>
      <c r="E226" s="2" t="s">
        <v>23</v>
      </c>
      <c r="F226" s="4"/>
      <c r="G226" s="4"/>
      <c r="H226" s="4"/>
      <c r="I226" s="4"/>
      <c r="J226" s="2" t="s">
        <v>24</v>
      </c>
      <c r="K226" s="2" t="s">
        <v>109</v>
      </c>
      <c r="L226" s="2" t="s">
        <v>110</v>
      </c>
      <c r="M226" s="5">
        <v>1.0</v>
      </c>
      <c r="N226" s="2" t="s">
        <v>40</v>
      </c>
      <c r="O226" s="6">
        <v>70000.0</v>
      </c>
      <c r="P226" s="5">
        <v>95000.0</v>
      </c>
      <c r="R226" s="4">
        <v>0.0</v>
      </c>
      <c r="S226" s="5">
        <v>0.0</v>
      </c>
      <c r="T226" s="5">
        <v>70000.0</v>
      </c>
      <c r="U226" s="6">
        <v>0.0</v>
      </c>
      <c r="V226" s="3" t="s">
        <v>28</v>
      </c>
      <c r="W226" s="7" t="s">
        <v>28</v>
      </c>
    </row>
    <row r="227" ht="12.75" customHeight="1">
      <c r="A227" s="2" t="s">
        <v>569</v>
      </c>
      <c r="B227" s="3">
        <v>45409.7772569444</v>
      </c>
      <c r="C227" s="3" t="s">
        <v>22</v>
      </c>
      <c r="D227" s="2" t="s">
        <v>22</v>
      </c>
      <c r="E227" s="2" t="s">
        <v>23</v>
      </c>
      <c r="F227" s="4"/>
      <c r="G227" s="4"/>
      <c r="H227" s="4"/>
      <c r="I227" s="4"/>
      <c r="J227" s="2" t="s">
        <v>24</v>
      </c>
      <c r="K227" s="2" t="s">
        <v>570</v>
      </c>
      <c r="L227" s="2" t="s">
        <v>571</v>
      </c>
      <c r="M227" s="5">
        <v>1.0</v>
      </c>
      <c r="N227" s="2" t="s">
        <v>46</v>
      </c>
      <c r="O227" s="6">
        <v>25000.0</v>
      </c>
      <c r="P227" s="5">
        <v>95000.0</v>
      </c>
      <c r="R227" s="4">
        <v>0.0</v>
      </c>
      <c r="S227" s="5">
        <v>0.0</v>
      </c>
      <c r="T227" s="5">
        <v>25000.0</v>
      </c>
      <c r="U227" s="6">
        <v>0.0</v>
      </c>
      <c r="V227" s="3" t="s">
        <v>28</v>
      </c>
      <c r="W227" s="7" t="s">
        <v>28</v>
      </c>
    </row>
    <row r="228" ht="12.75" customHeight="1">
      <c r="A228" s="2" t="s">
        <v>572</v>
      </c>
      <c r="B228" s="3">
        <v>45409.7777777778</v>
      </c>
      <c r="C228" s="3" t="s">
        <v>22</v>
      </c>
      <c r="D228" s="2" t="s">
        <v>22</v>
      </c>
      <c r="E228" s="2" t="s">
        <v>23</v>
      </c>
      <c r="F228" s="4"/>
      <c r="G228" s="4"/>
      <c r="H228" s="4"/>
      <c r="I228" s="4"/>
      <c r="J228" s="2" t="s">
        <v>24</v>
      </c>
      <c r="K228" s="2" t="s">
        <v>268</v>
      </c>
      <c r="L228" s="2" t="s">
        <v>269</v>
      </c>
      <c r="M228" s="5">
        <v>1.0</v>
      </c>
      <c r="N228" s="2" t="s">
        <v>46</v>
      </c>
      <c r="O228" s="6">
        <v>50000.0</v>
      </c>
      <c r="P228" s="5">
        <v>50000.0</v>
      </c>
      <c r="R228" s="4">
        <v>0.0</v>
      </c>
      <c r="S228" s="5">
        <v>0.0</v>
      </c>
      <c r="T228" s="5">
        <v>50000.0</v>
      </c>
      <c r="U228" s="6">
        <v>0.0</v>
      </c>
      <c r="V228" s="3" t="s">
        <v>28</v>
      </c>
      <c r="W228" s="7" t="s">
        <v>28</v>
      </c>
    </row>
    <row r="229" ht="12.75" customHeight="1">
      <c r="A229" s="2" t="s">
        <v>573</v>
      </c>
      <c r="B229" s="3">
        <v>45411.765462963</v>
      </c>
      <c r="C229" s="3" t="s">
        <v>22</v>
      </c>
      <c r="D229" s="2" t="s">
        <v>22</v>
      </c>
      <c r="E229" s="2" t="s">
        <v>23</v>
      </c>
      <c r="F229" s="4"/>
      <c r="G229" s="4"/>
      <c r="H229" s="4"/>
      <c r="I229" s="4"/>
      <c r="J229" s="2" t="s">
        <v>24</v>
      </c>
      <c r="K229" s="2" t="s">
        <v>193</v>
      </c>
      <c r="L229" s="2" t="s">
        <v>194</v>
      </c>
      <c r="M229" s="5">
        <v>1.0</v>
      </c>
      <c r="N229" s="2" t="s">
        <v>40</v>
      </c>
      <c r="O229" s="6">
        <v>1150000.0</v>
      </c>
      <c r="P229" s="5">
        <v>1150000.0</v>
      </c>
      <c r="R229" s="4">
        <v>0.0</v>
      </c>
      <c r="S229" s="5">
        <v>0.0</v>
      </c>
      <c r="T229" s="5">
        <v>1150000.0</v>
      </c>
      <c r="U229" s="6">
        <v>0.0</v>
      </c>
      <c r="V229" s="3" t="s">
        <v>88</v>
      </c>
      <c r="W229" s="7" t="s">
        <v>28</v>
      </c>
    </row>
    <row r="230" ht="12.75" customHeight="1">
      <c r="A230" s="2" t="s">
        <v>574</v>
      </c>
      <c r="B230" s="3">
        <v>45411.7672800926</v>
      </c>
      <c r="C230" s="3" t="s">
        <v>575</v>
      </c>
      <c r="D230" s="2" t="s">
        <v>576</v>
      </c>
      <c r="E230" s="2" t="s">
        <v>23</v>
      </c>
      <c r="F230" s="4"/>
      <c r="G230" s="4"/>
      <c r="H230" s="4"/>
      <c r="I230" s="4"/>
      <c r="J230" s="2" t="s">
        <v>62</v>
      </c>
      <c r="K230" s="2" t="s">
        <v>367</v>
      </c>
      <c r="L230" s="2" t="s">
        <v>368</v>
      </c>
      <c r="M230" s="5">
        <v>1.0</v>
      </c>
      <c r="N230" s="2" t="s">
        <v>40</v>
      </c>
      <c r="O230" s="6">
        <v>250000.0</v>
      </c>
      <c r="P230" s="5">
        <v>250000.0</v>
      </c>
      <c r="R230" s="4">
        <v>0.0</v>
      </c>
      <c r="S230" s="5">
        <v>0.0</v>
      </c>
      <c r="T230" s="5">
        <v>250000.0</v>
      </c>
      <c r="U230" s="6">
        <v>0.0</v>
      </c>
      <c r="V230" s="3" t="s">
        <v>28</v>
      </c>
      <c r="W230" s="7" t="s">
        <v>28</v>
      </c>
    </row>
    <row r="231" ht="12.75" customHeight="1">
      <c r="A231" s="2" t="s">
        <v>577</v>
      </c>
      <c r="B231" s="3">
        <v>45411.7678819444</v>
      </c>
      <c r="C231" s="3" t="s">
        <v>22</v>
      </c>
      <c r="D231" s="2" t="s">
        <v>22</v>
      </c>
      <c r="E231" s="2" t="s">
        <v>23</v>
      </c>
      <c r="F231" s="4"/>
      <c r="G231" s="4"/>
      <c r="H231" s="4"/>
      <c r="I231" s="4"/>
      <c r="J231" s="2" t="s">
        <v>24</v>
      </c>
      <c r="K231" s="2" t="s">
        <v>109</v>
      </c>
      <c r="L231" s="2" t="s">
        <v>110</v>
      </c>
      <c r="M231" s="5">
        <v>1.0</v>
      </c>
      <c r="N231" s="2" t="s">
        <v>40</v>
      </c>
      <c r="O231" s="6">
        <v>70000.0</v>
      </c>
      <c r="P231" s="5">
        <v>70000.0</v>
      </c>
      <c r="R231" s="4">
        <v>0.0</v>
      </c>
      <c r="S231" s="5">
        <v>0.0</v>
      </c>
      <c r="T231" s="5">
        <v>70000.0</v>
      </c>
      <c r="U231" s="6">
        <v>0.0</v>
      </c>
      <c r="V231" s="3" t="s">
        <v>28</v>
      </c>
      <c r="W231" s="7" t="s">
        <v>28</v>
      </c>
    </row>
    <row r="232" ht="13.5" customHeight="1">
      <c r="A232" s="2" t="s">
        <v>578</v>
      </c>
      <c r="B232" s="3">
        <v>45412.7386805556</v>
      </c>
      <c r="C232" s="3" t="s">
        <v>546</v>
      </c>
      <c r="D232" s="2" t="s">
        <v>547</v>
      </c>
      <c r="E232" s="2" t="s">
        <v>23</v>
      </c>
      <c r="F232" s="4"/>
      <c r="G232" s="4"/>
      <c r="H232" s="4"/>
      <c r="I232" s="4"/>
      <c r="J232" s="2" t="s">
        <v>62</v>
      </c>
      <c r="K232" s="2" t="s">
        <v>251</v>
      </c>
      <c r="L232" s="2" t="s">
        <v>252</v>
      </c>
      <c r="M232" s="5">
        <v>1.0</v>
      </c>
      <c r="N232" s="2" t="s">
        <v>40</v>
      </c>
      <c r="O232" s="6">
        <v>725000.0</v>
      </c>
      <c r="P232" s="5">
        <v>725000.0</v>
      </c>
      <c r="R232" s="4">
        <v>0.0</v>
      </c>
      <c r="S232" s="5">
        <v>0.0</v>
      </c>
      <c r="T232" s="5">
        <v>725000.0</v>
      </c>
      <c r="U232" s="6">
        <v>0.0</v>
      </c>
      <c r="V232" s="3" t="s">
        <v>579</v>
      </c>
      <c r="W232" s="7" t="s">
        <v>28</v>
      </c>
    </row>
    <row r="233" ht="12.75" customHeight="1">
      <c r="A233" s="2" t="s">
        <v>580</v>
      </c>
      <c r="B233" s="3">
        <v>45412.7418287037</v>
      </c>
      <c r="C233" s="3" t="s">
        <v>581</v>
      </c>
      <c r="D233" s="2" t="s">
        <v>582</v>
      </c>
      <c r="E233" s="2" t="s">
        <v>23</v>
      </c>
      <c r="F233" s="4"/>
      <c r="G233" s="4"/>
      <c r="H233" s="4"/>
      <c r="I233" s="4"/>
      <c r="J233" s="2" t="s">
        <v>24</v>
      </c>
      <c r="K233" s="2" t="s">
        <v>125</v>
      </c>
      <c r="L233" s="2" t="s">
        <v>126</v>
      </c>
      <c r="M233" s="5">
        <v>2.0</v>
      </c>
      <c r="N233" s="2" t="s">
        <v>40</v>
      </c>
      <c r="O233" s="6">
        <v>950000.0</v>
      </c>
      <c r="P233" s="5">
        <v>0.0</v>
      </c>
      <c r="R233" s="4">
        <v>0.0</v>
      </c>
      <c r="S233" s="5">
        <v>4610000.0</v>
      </c>
      <c r="T233" s="5">
        <v>1900000.0</v>
      </c>
      <c r="U233" s="6">
        <v>0.0</v>
      </c>
      <c r="V233" s="3" t="s">
        <v>583</v>
      </c>
      <c r="W233" s="7" t="s">
        <v>28</v>
      </c>
    </row>
    <row r="234" ht="12.75" customHeight="1">
      <c r="A234" s="2" t="s">
        <v>580</v>
      </c>
      <c r="B234" s="3">
        <v>45412.7418287037</v>
      </c>
      <c r="C234" s="3" t="s">
        <v>581</v>
      </c>
      <c r="D234" s="2" t="s">
        <v>582</v>
      </c>
      <c r="E234" s="2" t="s">
        <v>23</v>
      </c>
      <c r="F234" s="4"/>
      <c r="G234" s="4"/>
      <c r="H234" s="4"/>
      <c r="I234" s="4"/>
      <c r="J234" s="2" t="s">
        <v>24</v>
      </c>
      <c r="K234" s="2" t="s">
        <v>123</v>
      </c>
      <c r="L234" s="2" t="s">
        <v>124</v>
      </c>
      <c r="M234" s="5">
        <v>2.0</v>
      </c>
      <c r="N234" s="2" t="s">
        <v>40</v>
      </c>
      <c r="O234" s="6">
        <v>880000.0</v>
      </c>
      <c r="P234" s="5">
        <v>0.0</v>
      </c>
      <c r="R234" s="4">
        <v>0.0</v>
      </c>
      <c r="S234" s="5">
        <v>4610000.0</v>
      </c>
      <c r="T234" s="5">
        <v>1760000.0</v>
      </c>
      <c r="U234" s="6">
        <v>0.0</v>
      </c>
      <c r="V234" s="3" t="s">
        <v>583</v>
      </c>
      <c r="W234" s="7" t="s">
        <v>28</v>
      </c>
    </row>
    <row r="235" ht="12.75" customHeight="1">
      <c r="A235" s="2" t="s">
        <v>580</v>
      </c>
      <c r="B235" s="3">
        <v>45412.7418287037</v>
      </c>
      <c r="C235" s="3" t="s">
        <v>581</v>
      </c>
      <c r="D235" s="2" t="s">
        <v>582</v>
      </c>
      <c r="E235" s="2" t="s">
        <v>23</v>
      </c>
      <c r="F235" s="4"/>
      <c r="G235" s="4"/>
      <c r="H235" s="4"/>
      <c r="I235" s="4"/>
      <c r="J235" s="2" t="s">
        <v>24</v>
      </c>
      <c r="K235" s="2" t="s">
        <v>184</v>
      </c>
      <c r="L235" s="2" t="s">
        <v>185</v>
      </c>
      <c r="M235" s="5">
        <v>1.0</v>
      </c>
      <c r="N235" s="2" t="s">
        <v>40</v>
      </c>
      <c r="O235" s="6">
        <v>950000.0</v>
      </c>
      <c r="P235" s="5">
        <v>0.0</v>
      </c>
      <c r="R235" s="4">
        <v>0.0</v>
      </c>
      <c r="S235" s="5">
        <v>4610000.0</v>
      </c>
      <c r="T235" s="5">
        <v>950000.0</v>
      </c>
      <c r="U235" s="6">
        <v>0.0</v>
      </c>
      <c r="V235" s="3" t="s">
        <v>583</v>
      </c>
      <c r="W235" s="7" t="s">
        <v>28</v>
      </c>
    </row>
    <row r="236" ht="12.75" customHeight="1">
      <c r="A236" s="2" t="s">
        <v>584</v>
      </c>
      <c r="B236" s="3">
        <v>45412.7680787037</v>
      </c>
      <c r="C236" s="3" t="s">
        <v>22</v>
      </c>
      <c r="D236" s="2" t="s">
        <v>22</v>
      </c>
      <c r="E236" s="2" t="s">
        <v>23</v>
      </c>
      <c r="F236" s="4"/>
      <c r="G236" s="4"/>
      <c r="H236" s="4"/>
      <c r="I236" s="4"/>
      <c r="J236" s="2" t="s">
        <v>24</v>
      </c>
      <c r="K236" s="2" t="s">
        <v>138</v>
      </c>
      <c r="L236" s="2" t="s">
        <v>139</v>
      </c>
      <c r="M236" s="5">
        <v>1.0</v>
      </c>
      <c r="N236" s="2" t="s">
        <v>27</v>
      </c>
      <c r="O236" s="6">
        <v>1800000.0</v>
      </c>
      <c r="P236" s="5">
        <v>3200000.0</v>
      </c>
      <c r="R236" s="4">
        <v>0.0</v>
      </c>
      <c r="S236" s="5">
        <v>0.0</v>
      </c>
      <c r="T236" s="5">
        <v>1800000.0</v>
      </c>
      <c r="U236" s="6">
        <v>8.5714285714</v>
      </c>
      <c r="V236" s="3" t="s">
        <v>28</v>
      </c>
      <c r="W236" s="7" t="s">
        <v>28</v>
      </c>
    </row>
    <row r="237" ht="12.75" customHeight="1">
      <c r="A237" s="2" t="s">
        <v>584</v>
      </c>
      <c r="B237" s="3">
        <v>45412.7680787037</v>
      </c>
      <c r="C237" s="3" t="s">
        <v>22</v>
      </c>
      <c r="D237" s="2" t="s">
        <v>22</v>
      </c>
      <c r="E237" s="2" t="s">
        <v>23</v>
      </c>
      <c r="F237" s="4"/>
      <c r="G237" s="4"/>
      <c r="H237" s="4"/>
      <c r="I237" s="4"/>
      <c r="J237" s="2" t="s">
        <v>24</v>
      </c>
      <c r="K237" s="2" t="s">
        <v>585</v>
      </c>
      <c r="L237" s="2" t="s">
        <v>586</v>
      </c>
      <c r="M237" s="5">
        <v>1.0</v>
      </c>
      <c r="N237" s="2" t="s">
        <v>27</v>
      </c>
      <c r="O237" s="6">
        <v>1700000.0</v>
      </c>
      <c r="P237" s="5">
        <v>3200000.0</v>
      </c>
      <c r="R237" s="4">
        <v>0.0</v>
      </c>
      <c r="S237" s="5">
        <v>0.0</v>
      </c>
      <c r="T237" s="5">
        <v>1700000.0</v>
      </c>
      <c r="U237" s="6">
        <v>8.5714285714</v>
      </c>
      <c r="V237" s="3" t="s">
        <v>28</v>
      </c>
      <c r="W237" s="7" t="s">
        <v>28</v>
      </c>
    </row>
    <row r="238" ht="12.75" customHeight="1">
      <c r="A238" s="2" t="s">
        <v>587</v>
      </c>
      <c r="B238" s="3">
        <v>45414.78625</v>
      </c>
      <c r="C238" s="3" t="s">
        <v>443</v>
      </c>
      <c r="D238" s="2" t="s">
        <v>444</v>
      </c>
      <c r="E238" s="2" t="s">
        <v>23</v>
      </c>
      <c r="F238" s="4"/>
      <c r="G238" s="4"/>
      <c r="H238" s="4"/>
      <c r="I238" s="4"/>
      <c r="J238" s="2" t="s">
        <v>62</v>
      </c>
      <c r="K238" s="2" t="s">
        <v>174</v>
      </c>
      <c r="L238" s="2" t="s">
        <v>175</v>
      </c>
      <c r="M238" s="5">
        <v>1.0</v>
      </c>
      <c r="N238" s="2" t="s">
        <v>27</v>
      </c>
      <c r="O238" s="6">
        <v>3625000.0</v>
      </c>
      <c r="P238" s="5">
        <v>4425000.0</v>
      </c>
      <c r="R238" s="4">
        <v>0.0</v>
      </c>
      <c r="S238" s="5">
        <v>0.0</v>
      </c>
      <c r="T238" s="5">
        <v>3625000.0</v>
      </c>
      <c r="U238" s="6">
        <v>0.0</v>
      </c>
      <c r="V238" s="3" t="s">
        <v>588</v>
      </c>
      <c r="W238" s="7" t="s">
        <v>28</v>
      </c>
    </row>
    <row r="239" ht="12.75" customHeight="1">
      <c r="A239" s="2" t="s">
        <v>587</v>
      </c>
      <c r="B239" s="3">
        <v>45414.78625</v>
      </c>
      <c r="C239" s="3" t="s">
        <v>443</v>
      </c>
      <c r="D239" s="2" t="s">
        <v>444</v>
      </c>
      <c r="E239" s="2" t="s">
        <v>23</v>
      </c>
      <c r="F239" s="4"/>
      <c r="G239" s="4"/>
      <c r="H239" s="4"/>
      <c r="I239" s="4"/>
      <c r="J239" s="2" t="s">
        <v>62</v>
      </c>
      <c r="K239" s="2" t="s">
        <v>499</v>
      </c>
      <c r="L239" s="2" t="s">
        <v>500</v>
      </c>
      <c r="M239" s="5">
        <v>1.0</v>
      </c>
      <c r="N239" s="2" t="s">
        <v>40</v>
      </c>
      <c r="O239" s="6">
        <v>800000.0</v>
      </c>
      <c r="P239" s="5">
        <v>4425000.0</v>
      </c>
      <c r="R239" s="4">
        <v>0.0</v>
      </c>
      <c r="S239" s="5">
        <v>0.0</v>
      </c>
      <c r="T239" s="5">
        <v>800000.0</v>
      </c>
      <c r="U239" s="6">
        <v>0.0</v>
      </c>
      <c r="V239" s="3" t="s">
        <v>588</v>
      </c>
      <c r="W239" s="7" t="s">
        <v>28</v>
      </c>
    </row>
    <row r="240" ht="12.75" customHeight="1">
      <c r="A240" s="2" t="s">
        <v>589</v>
      </c>
      <c r="B240" s="3">
        <v>45414.787650463</v>
      </c>
      <c r="C240" s="3" t="s">
        <v>590</v>
      </c>
      <c r="D240" s="2" t="s">
        <v>591</v>
      </c>
      <c r="E240" s="2" t="s">
        <v>23</v>
      </c>
      <c r="F240" s="4"/>
      <c r="G240" s="4"/>
      <c r="H240" s="4"/>
      <c r="I240" s="4"/>
      <c r="J240" s="2" t="s">
        <v>592</v>
      </c>
      <c r="K240" s="2" t="s">
        <v>593</v>
      </c>
      <c r="L240" s="2" t="s">
        <v>594</v>
      </c>
      <c r="M240" s="5">
        <v>1.0</v>
      </c>
      <c r="N240" s="2" t="s">
        <v>27</v>
      </c>
      <c r="O240" s="6">
        <v>2230000.0</v>
      </c>
      <c r="P240" s="5">
        <v>2007000.0</v>
      </c>
      <c r="R240" s="4">
        <v>0.0</v>
      </c>
      <c r="S240" s="5">
        <v>0.0</v>
      </c>
      <c r="T240" s="5">
        <v>2007000.0</v>
      </c>
      <c r="U240" s="6">
        <v>0.0</v>
      </c>
      <c r="V240" s="3" t="s">
        <v>483</v>
      </c>
      <c r="W240" s="7" t="s">
        <v>28</v>
      </c>
    </row>
    <row r="241" ht="12.75" customHeight="1">
      <c r="A241" s="2" t="s">
        <v>595</v>
      </c>
      <c r="B241" s="3">
        <v>45414.7883217593</v>
      </c>
      <c r="C241" s="3" t="s">
        <v>22</v>
      </c>
      <c r="D241" s="2" t="s">
        <v>22</v>
      </c>
      <c r="E241" s="2" t="s">
        <v>23</v>
      </c>
      <c r="F241" s="4"/>
      <c r="G241" s="4"/>
      <c r="H241" s="4"/>
      <c r="I241" s="4"/>
      <c r="J241" s="2" t="s">
        <v>24</v>
      </c>
      <c r="K241" s="2" t="s">
        <v>80</v>
      </c>
      <c r="L241" s="2" t="s">
        <v>81</v>
      </c>
      <c r="M241" s="5">
        <v>1.0</v>
      </c>
      <c r="N241" s="2" t="s">
        <v>40</v>
      </c>
      <c r="O241" s="6">
        <v>165000.0</v>
      </c>
      <c r="P241" s="5">
        <v>165000.0</v>
      </c>
      <c r="R241" s="4">
        <v>0.0</v>
      </c>
      <c r="S241" s="5">
        <v>0.0</v>
      </c>
      <c r="T241" s="5">
        <v>165000.0</v>
      </c>
      <c r="U241" s="6">
        <v>0.0</v>
      </c>
      <c r="V241" s="3" t="s">
        <v>28</v>
      </c>
      <c r="W241" s="7" t="s">
        <v>28</v>
      </c>
    </row>
    <row r="242" ht="12.75" customHeight="1">
      <c r="A242" s="2" t="s">
        <v>596</v>
      </c>
      <c r="B242" s="3">
        <v>45414.7907523148</v>
      </c>
      <c r="C242" s="3" t="s">
        <v>597</v>
      </c>
      <c r="D242" s="2" t="s">
        <v>598</v>
      </c>
      <c r="E242" s="2" t="s">
        <v>23</v>
      </c>
      <c r="F242" s="4"/>
      <c r="G242" s="4"/>
      <c r="H242" s="4"/>
      <c r="I242" s="4"/>
      <c r="J242" s="2" t="s">
        <v>62</v>
      </c>
      <c r="K242" s="2" t="s">
        <v>263</v>
      </c>
      <c r="L242" s="2" t="s">
        <v>264</v>
      </c>
      <c r="M242" s="5">
        <v>1.0</v>
      </c>
      <c r="N242" s="2" t="s">
        <v>40</v>
      </c>
      <c r="O242" s="6">
        <v>175000.0</v>
      </c>
      <c r="P242" s="5">
        <v>0.0</v>
      </c>
      <c r="R242" s="4">
        <v>0.0</v>
      </c>
      <c r="S242" s="5">
        <v>175000.0</v>
      </c>
      <c r="T242" s="5">
        <v>175000.0</v>
      </c>
      <c r="U242" s="6">
        <v>0.0</v>
      </c>
      <c r="V242" s="3" t="s">
        <v>28</v>
      </c>
      <c r="W242" s="7" t="s">
        <v>28</v>
      </c>
    </row>
    <row r="243" ht="12.75" customHeight="1">
      <c r="A243" s="2" t="s">
        <v>599</v>
      </c>
      <c r="B243" s="3">
        <v>45415.8080208333</v>
      </c>
      <c r="C243" s="3" t="s">
        <v>22</v>
      </c>
      <c r="D243" s="2" t="s">
        <v>22</v>
      </c>
      <c r="E243" s="2" t="s">
        <v>23</v>
      </c>
      <c r="F243" s="4"/>
      <c r="G243" s="4"/>
      <c r="H243" s="4"/>
      <c r="I243" s="4"/>
      <c r="J243" s="2" t="s">
        <v>24</v>
      </c>
      <c r="K243" s="2" t="s">
        <v>289</v>
      </c>
      <c r="L243" s="2" t="s">
        <v>290</v>
      </c>
      <c r="M243" s="5">
        <v>1.0</v>
      </c>
      <c r="N243" s="2" t="s">
        <v>40</v>
      </c>
      <c r="O243" s="6">
        <v>650000.0</v>
      </c>
      <c r="P243" s="5">
        <v>630000.0</v>
      </c>
      <c r="R243" s="4">
        <v>0.0</v>
      </c>
      <c r="S243" s="5">
        <v>0.0</v>
      </c>
      <c r="T243" s="5">
        <v>650000.0</v>
      </c>
      <c r="U243" s="6">
        <v>3.0769230769</v>
      </c>
      <c r="V243" s="3" t="s">
        <v>28</v>
      </c>
      <c r="W243" s="7" t="s">
        <v>28</v>
      </c>
    </row>
    <row r="244" ht="12.75" customHeight="1">
      <c r="A244" s="2" t="s">
        <v>600</v>
      </c>
      <c r="B244" s="3">
        <v>45415.8104050926</v>
      </c>
      <c r="C244" s="3" t="s">
        <v>22</v>
      </c>
      <c r="D244" s="2" t="s">
        <v>22</v>
      </c>
      <c r="E244" s="2" t="s">
        <v>23</v>
      </c>
      <c r="F244" s="4"/>
      <c r="G244" s="4"/>
      <c r="H244" s="4"/>
      <c r="I244" s="4"/>
      <c r="J244" s="2" t="s">
        <v>24</v>
      </c>
      <c r="K244" s="2" t="s">
        <v>601</v>
      </c>
      <c r="L244" s="2" t="s">
        <v>602</v>
      </c>
      <c r="M244" s="5">
        <v>1.0</v>
      </c>
      <c r="N244" s="2" t="s">
        <v>40</v>
      </c>
      <c r="O244" s="6">
        <v>325000.0</v>
      </c>
      <c r="P244" s="5">
        <v>325000.0</v>
      </c>
      <c r="R244" s="4">
        <v>0.0</v>
      </c>
      <c r="S244" s="5">
        <v>0.0</v>
      </c>
      <c r="T244" s="5">
        <v>325000.0</v>
      </c>
      <c r="U244" s="6">
        <v>0.0</v>
      </c>
      <c r="V244" s="3" t="s">
        <v>603</v>
      </c>
      <c r="W244" s="7" t="s">
        <v>28</v>
      </c>
    </row>
    <row r="245" ht="13.5" customHeight="1">
      <c r="A245" s="2" t="s">
        <v>604</v>
      </c>
      <c r="B245" s="3">
        <v>45418.7954513889</v>
      </c>
      <c r="C245" s="3" t="s">
        <v>22</v>
      </c>
      <c r="D245" s="2" t="s">
        <v>22</v>
      </c>
      <c r="E245" s="2" t="s">
        <v>23</v>
      </c>
      <c r="F245" s="4"/>
      <c r="G245" s="4"/>
      <c r="H245" s="4"/>
      <c r="I245" s="4"/>
      <c r="J245" s="2" t="s">
        <v>24</v>
      </c>
      <c r="K245" s="2" t="s">
        <v>567</v>
      </c>
      <c r="L245" s="2" t="s">
        <v>568</v>
      </c>
      <c r="M245" s="5">
        <v>1.0</v>
      </c>
      <c r="N245" s="2" t="s">
        <v>40</v>
      </c>
      <c r="O245" s="6">
        <v>2850000.0</v>
      </c>
      <c r="P245" s="5">
        <v>2700000.0</v>
      </c>
      <c r="R245" s="4">
        <v>0.0</v>
      </c>
      <c r="S245" s="5">
        <v>0.0</v>
      </c>
      <c r="T245" s="5">
        <v>2850000.0</v>
      </c>
      <c r="U245" s="6">
        <v>5.2631578947</v>
      </c>
      <c r="V245" s="3" t="s">
        <v>28</v>
      </c>
      <c r="W245" s="7" t="s">
        <v>28</v>
      </c>
    </row>
    <row r="246" ht="12.75" customHeight="1">
      <c r="A246" s="2" t="s">
        <v>605</v>
      </c>
      <c r="B246" s="3">
        <v>45418.7963541667</v>
      </c>
      <c r="C246" s="3" t="s">
        <v>22</v>
      </c>
      <c r="D246" s="2" t="s">
        <v>22</v>
      </c>
      <c r="E246" s="2" t="s">
        <v>23</v>
      </c>
      <c r="F246" s="4"/>
      <c r="G246" s="4"/>
      <c r="H246" s="4"/>
      <c r="I246" s="4"/>
      <c r="J246" s="2" t="s">
        <v>24</v>
      </c>
      <c r="K246" s="2" t="s">
        <v>421</v>
      </c>
      <c r="L246" s="2" t="s">
        <v>422</v>
      </c>
      <c r="M246" s="5">
        <v>1.0</v>
      </c>
      <c r="N246" s="2" t="s">
        <v>40</v>
      </c>
      <c r="O246" s="6">
        <v>150000.0</v>
      </c>
      <c r="P246" s="5">
        <v>150000.0</v>
      </c>
      <c r="R246" s="4">
        <v>0.0</v>
      </c>
      <c r="S246" s="5">
        <v>0.0</v>
      </c>
      <c r="T246" s="5">
        <v>150000.0</v>
      </c>
      <c r="U246" s="6">
        <v>0.0</v>
      </c>
      <c r="V246" s="3" t="s">
        <v>28</v>
      </c>
      <c r="W246" s="7" t="s">
        <v>28</v>
      </c>
    </row>
    <row r="247" ht="12.75" customHeight="1">
      <c r="A247" s="2" t="s">
        <v>606</v>
      </c>
      <c r="B247" s="3">
        <v>45418.7968402778</v>
      </c>
      <c r="C247" s="3" t="s">
        <v>22</v>
      </c>
      <c r="D247" s="2" t="s">
        <v>22</v>
      </c>
      <c r="E247" s="2" t="s">
        <v>23</v>
      </c>
      <c r="F247" s="4"/>
      <c r="G247" s="4"/>
      <c r="H247" s="4"/>
      <c r="I247" s="4"/>
      <c r="J247" s="2" t="s">
        <v>24</v>
      </c>
      <c r="K247" s="2" t="s">
        <v>109</v>
      </c>
      <c r="L247" s="2" t="s">
        <v>110</v>
      </c>
      <c r="M247" s="5">
        <v>1.0</v>
      </c>
      <c r="N247" s="2" t="s">
        <v>40</v>
      </c>
      <c r="O247" s="6">
        <v>70000.0</v>
      </c>
      <c r="P247" s="5">
        <v>70000.0</v>
      </c>
      <c r="R247" s="4">
        <v>0.0</v>
      </c>
      <c r="S247" s="5">
        <v>0.0</v>
      </c>
      <c r="T247" s="5">
        <v>70000.0</v>
      </c>
      <c r="U247" s="6">
        <v>0.0</v>
      </c>
      <c r="V247" s="3" t="s">
        <v>28</v>
      </c>
      <c r="W247" s="7" t="s">
        <v>28</v>
      </c>
    </row>
    <row r="248" ht="12.75" customHeight="1">
      <c r="A248" s="2" t="s">
        <v>607</v>
      </c>
      <c r="B248" s="3">
        <v>45418.7975347222</v>
      </c>
      <c r="C248" s="3" t="s">
        <v>22</v>
      </c>
      <c r="D248" s="2" t="s">
        <v>22</v>
      </c>
      <c r="E248" s="2" t="s">
        <v>23</v>
      </c>
      <c r="F248" s="4"/>
      <c r="G248" s="4"/>
      <c r="H248" s="4"/>
      <c r="I248" s="4"/>
      <c r="J248" s="2" t="s">
        <v>24</v>
      </c>
      <c r="K248" s="2" t="s">
        <v>346</v>
      </c>
      <c r="L248" s="2" t="s">
        <v>347</v>
      </c>
      <c r="M248" s="5">
        <v>1.0</v>
      </c>
      <c r="N248" s="2" t="s">
        <v>40</v>
      </c>
      <c r="O248" s="6">
        <v>1175000.0</v>
      </c>
      <c r="P248" s="5">
        <v>1100000.0</v>
      </c>
      <c r="R248" s="4">
        <v>0.0</v>
      </c>
      <c r="S248" s="5">
        <v>0.0</v>
      </c>
      <c r="T248" s="5">
        <v>1175000.0</v>
      </c>
      <c r="U248" s="6">
        <v>6.3829787234</v>
      </c>
      <c r="V248" s="3" t="s">
        <v>88</v>
      </c>
      <c r="W248" s="7" t="s">
        <v>28</v>
      </c>
    </row>
    <row r="249" ht="12.75" customHeight="1">
      <c r="A249" s="2" t="s">
        <v>608</v>
      </c>
      <c r="B249" s="3">
        <v>45423.6120023148</v>
      </c>
      <c r="C249" s="3" t="s">
        <v>560</v>
      </c>
      <c r="D249" s="2" t="s">
        <v>561</v>
      </c>
      <c r="E249" s="2" t="s">
        <v>609</v>
      </c>
      <c r="F249" s="4"/>
      <c r="G249" s="4"/>
      <c r="H249" s="4"/>
      <c r="I249" s="4"/>
      <c r="J249" s="2" t="s">
        <v>62</v>
      </c>
      <c r="K249" s="2" t="s">
        <v>610</v>
      </c>
      <c r="L249" s="2" t="s">
        <v>611</v>
      </c>
      <c r="M249" s="5">
        <v>5.0</v>
      </c>
      <c r="N249" s="2" t="s">
        <v>40</v>
      </c>
      <c r="O249" s="6">
        <v>1000000.0</v>
      </c>
      <c r="P249" s="5">
        <v>5000000.0</v>
      </c>
      <c r="R249" s="4">
        <v>0.0</v>
      </c>
      <c r="S249" s="5">
        <v>0.0</v>
      </c>
      <c r="T249" s="5">
        <v>5000000.0</v>
      </c>
      <c r="U249" s="6">
        <v>0.0</v>
      </c>
      <c r="V249" s="3" t="s">
        <v>562</v>
      </c>
      <c r="W249" s="7" t="s">
        <v>28</v>
      </c>
    </row>
    <row r="250" ht="12.75" customHeight="1">
      <c r="A250" s="2" t="s">
        <v>612</v>
      </c>
      <c r="B250" s="3">
        <v>45423.6130092593</v>
      </c>
      <c r="C250" s="3" t="s">
        <v>546</v>
      </c>
      <c r="D250" s="2" t="s">
        <v>547</v>
      </c>
      <c r="E250" s="2" t="s">
        <v>609</v>
      </c>
      <c r="F250" s="4"/>
      <c r="G250" s="4"/>
      <c r="H250" s="4"/>
      <c r="I250" s="4"/>
      <c r="J250" s="2" t="s">
        <v>62</v>
      </c>
      <c r="K250" s="2" t="s">
        <v>496</v>
      </c>
      <c r="L250" s="2" t="s">
        <v>497</v>
      </c>
      <c r="M250" s="5">
        <v>1.0</v>
      </c>
      <c r="N250" s="2" t="s">
        <v>40</v>
      </c>
      <c r="O250" s="6">
        <v>550000.0</v>
      </c>
      <c r="P250" s="5">
        <v>804750.0</v>
      </c>
      <c r="R250" s="4">
        <v>0.0</v>
      </c>
      <c r="S250" s="5">
        <v>0.0</v>
      </c>
      <c r="T250" s="5">
        <v>550000.0</v>
      </c>
      <c r="U250" s="6">
        <v>0.0</v>
      </c>
      <c r="V250" s="3" t="s">
        <v>613</v>
      </c>
      <c r="W250" s="7" t="s">
        <v>28</v>
      </c>
    </row>
    <row r="251" ht="12.75" customHeight="1">
      <c r="A251" s="2" t="s">
        <v>612</v>
      </c>
      <c r="B251" s="3">
        <v>45423.6130092593</v>
      </c>
      <c r="C251" s="3" t="s">
        <v>546</v>
      </c>
      <c r="D251" s="2" t="s">
        <v>547</v>
      </c>
      <c r="E251" s="2" t="s">
        <v>609</v>
      </c>
      <c r="F251" s="4"/>
      <c r="G251" s="4"/>
      <c r="H251" s="4"/>
      <c r="I251" s="4"/>
      <c r="J251" s="2" t="s">
        <v>62</v>
      </c>
      <c r="K251" s="2" t="s">
        <v>263</v>
      </c>
      <c r="L251" s="2" t="s">
        <v>264</v>
      </c>
      <c r="M251" s="5">
        <v>1.0</v>
      </c>
      <c r="N251" s="2" t="s">
        <v>40</v>
      </c>
      <c r="O251" s="6">
        <v>175000.0</v>
      </c>
      <c r="P251" s="5">
        <v>804750.0</v>
      </c>
      <c r="R251" s="4">
        <v>0.0</v>
      </c>
      <c r="S251" s="5">
        <v>0.0</v>
      </c>
      <c r="T251" s="5">
        <v>175000.0</v>
      </c>
      <c r="U251" s="6">
        <v>0.0</v>
      </c>
      <c r="V251" s="3" t="s">
        <v>613</v>
      </c>
      <c r="W251" s="7" t="s">
        <v>28</v>
      </c>
    </row>
    <row r="252" ht="12.75" customHeight="1">
      <c r="A252" s="2" t="s">
        <v>614</v>
      </c>
      <c r="B252" s="3">
        <v>45423.6145023148</v>
      </c>
      <c r="C252" s="3" t="s">
        <v>615</v>
      </c>
      <c r="D252" s="2" t="s">
        <v>616</v>
      </c>
      <c r="E252" s="2" t="s">
        <v>609</v>
      </c>
      <c r="F252" s="4"/>
      <c r="G252" s="4"/>
      <c r="H252" s="4"/>
      <c r="I252" s="4"/>
      <c r="J252" s="2" t="s">
        <v>24</v>
      </c>
      <c r="K252" s="2" t="s">
        <v>263</v>
      </c>
      <c r="L252" s="2" t="s">
        <v>264</v>
      </c>
      <c r="M252" s="5">
        <v>1.0</v>
      </c>
      <c r="N252" s="2" t="s">
        <v>40</v>
      </c>
      <c r="O252" s="6">
        <v>175000.0</v>
      </c>
      <c r="P252" s="5">
        <v>0.0</v>
      </c>
      <c r="R252" s="4">
        <v>0.0</v>
      </c>
      <c r="S252" s="5">
        <v>175000.0</v>
      </c>
      <c r="T252" s="5">
        <v>175000.0</v>
      </c>
      <c r="U252" s="6">
        <v>0.0</v>
      </c>
      <c r="V252" s="3" t="s">
        <v>28</v>
      </c>
      <c r="W252" s="7" t="s">
        <v>28</v>
      </c>
    </row>
    <row r="253" ht="12.75" customHeight="1">
      <c r="A253" s="2" t="s">
        <v>617</v>
      </c>
      <c r="B253" s="3">
        <v>45425.6177662037</v>
      </c>
      <c r="C253" s="3" t="s">
        <v>22</v>
      </c>
      <c r="D253" s="2" t="s">
        <v>22</v>
      </c>
      <c r="E253" s="2" t="s">
        <v>609</v>
      </c>
      <c r="F253" s="4"/>
      <c r="G253" s="4"/>
      <c r="H253" s="4"/>
      <c r="I253" s="4"/>
      <c r="J253" s="2" t="s">
        <v>24</v>
      </c>
      <c r="K253" s="2" t="s">
        <v>25</v>
      </c>
      <c r="L253" s="2" t="s">
        <v>26</v>
      </c>
      <c r="M253" s="5">
        <v>1.0</v>
      </c>
      <c r="N253" s="2" t="s">
        <v>27</v>
      </c>
      <c r="O253" s="6">
        <v>6300000.0</v>
      </c>
      <c r="P253" s="5">
        <v>6300000.0</v>
      </c>
      <c r="R253" s="4">
        <v>0.0</v>
      </c>
      <c r="S253" s="5">
        <v>0.0</v>
      </c>
      <c r="T253" s="5">
        <v>6300000.0</v>
      </c>
      <c r="U253" s="6">
        <v>0.0</v>
      </c>
      <c r="V253" s="3" t="s">
        <v>88</v>
      </c>
      <c r="W253" s="7" t="s">
        <v>28</v>
      </c>
    </row>
    <row r="254" ht="12.75" customHeight="1">
      <c r="A254" s="2" t="s">
        <v>618</v>
      </c>
      <c r="B254" s="3">
        <v>45425.6184722222</v>
      </c>
      <c r="C254" s="3" t="s">
        <v>22</v>
      </c>
      <c r="D254" s="2" t="s">
        <v>22</v>
      </c>
      <c r="E254" s="2" t="s">
        <v>609</v>
      </c>
      <c r="F254" s="4"/>
      <c r="G254" s="4"/>
      <c r="H254" s="4"/>
      <c r="I254" s="4"/>
      <c r="J254" s="2" t="s">
        <v>24</v>
      </c>
      <c r="K254" s="2" t="s">
        <v>619</v>
      </c>
      <c r="L254" s="2" t="s">
        <v>620</v>
      </c>
      <c r="M254" s="5">
        <v>1.0</v>
      </c>
      <c r="N254" s="2" t="s">
        <v>27</v>
      </c>
      <c r="O254" s="6">
        <v>3500000.0</v>
      </c>
      <c r="P254" s="5">
        <v>3500000.0</v>
      </c>
      <c r="R254" s="4">
        <v>0.0</v>
      </c>
      <c r="S254" s="5">
        <v>0.0</v>
      </c>
      <c r="T254" s="5">
        <v>3500000.0</v>
      </c>
      <c r="U254" s="6">
        <v>0.0</v>
      </c>
      <c r="V254" s="3" t="s">
        <v>28</v>
      </c>
      <c r="W254" s="7" t="s">
        <v>28</v>
      </c>
    </row>
    <row r="255" ht="12.75" customHeight="1">
      <c r="A255" s="2" t="s">
        <v>621</v>
      </c>
      <c r="B255" s="3">
        <v>45427.6196990741</v>
      </c>
      <c r="C255" s="3" t="s">
        <v>22</v>
      </c>
      <c r="D255" s="2" t="s">
        <v>22</v>
      </c>
      <c r="E255" s="2" t="s">
        <v>609</v>
      </c>
      <c r="F255" s="4"/>
      <c r="G255" s="4"/>
      <c r="H255" s="4"/>
      <c r="I255" s="4"/>
      <c r="J255" s="2" t="s">
        <v>24</v>
      </c>
      <c r="K255" s="2" t="s">
        <v>433</v>
      </c>
      <c r="L255" s="2" t="s">
        <v>434</v>
      </c>
      <c r="M255" s="5">
        <v>2.0</v>
      </c>
      <c r="N255" s="2" t="s">
        <v>40</v>
      </c>
      <c r="O255" s="6">
        <v>150000.0</v>
      </c>
      <c r="P255" s="5">
        <v>300000.0</v>
      </c>
      <c r="R255" s="4">
        <v>0.0</v>
      </c>
      <c r="S255" s="5">
        <v>0.0</v>
      </c>
      <c r="T255" s="5">
        <v>300000.0</v>
      </c>
      <c r="U255" s="6">
        <v>0.0</v>
      </c>
      <c r="V255" s="3" t="s">
        <v>88</v>
      </c>
      <c r="W255" s="7" t="s">
        <v>28</v>
      </c>
    </row>
    <row r="256" ht="12.75" customHeight="1">
      <c r="A256" s="2" t="s">
        <v>622</v>
      </c>
      <c r="B256" s="3">
        <v>45427.6204976852</v>
      </c>
      <c r="C256" s="3" t="s">
        <v>22</v>
      </c>
      <c r="D256" s="2" t="s">
        <v>22</v>
      </c>
      <c r="E256" s="2" t="s">
        <v>609</v>
      </c>
      <c r="F256" s="4"/>
      <c r="G256" s="4"/>
      <c r="H256" s="4"/>
      <c r="I256" s="4"/>
      <c r="J256" s="2" t="s">
        <v>24</v>
      </c>
      <c r="K256" s="2" t="s">
        <v>225</v>
      </c>
      <c r="L256" s="2" t="s">
        <v>226</v>
      </c>
      <c r="M256" s="5">
        <v>1.0</v>
      </c>
      <c r="N256" s="2" t="s">
        <v>40</v>
      </c>
      <c r="O256" s="6">
        <v>100000.0</v>
      </c>
      <c r="P256" s="5">
        <v>100000.0</v>
      </c>
      <c r="R256" s="4">
        <v>0.0</v>
      </c>
      <c r="S256" s="5">
        <v>0.0</v>
      </c>
      <c r="T256" s="5">
        <v>100000.0</v>
      </c>
      <c r="U256" s="6">
        <v>0.0</v>
      </c>
      <c r="V256" s="3" t="s">
        <v>623</v>
      </c>
      <c r="W256" s="7" t="s">
        <v>28</v>
      </c>
    </row>
    <row r="257" ht="13.5" customHeight="1">
      <c r="A257" s="2" t="s">
        <v>624</v>
      </c>
      <c r="B257" s="3">
        <v>45429.6225</v>
      </c>
      <c r="C257" s="3" t="s">
        <v>22</v>
      </c>
      <c r="D257" s="2" t="s">
        <v>22</v>
      </c>
      <c r="E257" s="2" t="s">
        <v>609</v>
      </c>
      <c r="F257" s="4"/>
      <c r="G257" s="4"/>
      <c r="H257" s="4"/>
      <c r="I257" s="4"/>
      <c r="J257" s="2" t="s">
        <v>24</v>
      </c>
      <c r="K257" s="2" t="s">
        <v>470</v>
      </c>
      <c r="L257" s="2" t="s">
        <v>471</v>
      </c>
      <c r="M257" s="5">
        <v>1.0</v>
      </c>
      <c r="N257" s="2" t="s">
        <v>40</v>
      </c>
      <c r="O257" s="6">
        <v>340000.0</v>
      </c>
      <c r="P257" s="5">
        <v>325000.0</v>
      </c>
      <c r="R257" s="4">
        <v>0.0</v>
      </c>
      <c r="S257" s="5">
        <v>0.0</v>
      </c>
      <c r="T257" s="5">
        <v>340000.0</v>
      </c>
      <c r="U257" s="6">
        <v>4.4117647059</v>
      </c>
      <c r="V257" s="3" t="s">
        <v>28</v>
      </c>
      <c r="W257" s="7" t="s">
        <v>28</v>
      </c>
    </row>
    <row r="258" ht="12.75" customHeight="1">
      <c r="A258" s="2" t="s">
        <v>625</v>
      </c>
      <c r="B258" s="3">
        <v>45429.6233796296</v>
      </c>
      <c r="C258" s="3" t="s">
        <v>22</v>
      </c>
      <c r="D258" s="2" t="s">
        <v>22</v>
      </c>
      <c r="E258" s="2" t="s">
        <v>609</v>
      </c>
      <c r="F258" s="4"/>
      <c r="G258" s="4"/>
      <c r="H258" s="4"/>
      <c r="I258" s="4"/>
      <c r="J258" s="2" t="s">
        <v>24</v>
      </c>
      <c r="K258" s="2" t="s">
        <v>421</v>
      </c>
      <c r="L258" s="2" t="s">
        <v>422</v>
      </c>
      <c r="M258" s="5">
        <v>1.0</v>
      </c>
      <c r="N258" s="2" t="s">
        <v>40</v>
      </c>
      <c r="O258" s="6">
        <v>145000.0</v>
      </c>
      <c r="P258" s="5">
        <v>145000.0</v>
      </c>
      <c r="R258" s="4">
        <v>0.0</v>
      </c>
      <c r="S258" s="5">
        <v>0.0</v>
      </c>
      <c r="T258" s="5">
        <v>145000.0</v>
      </c>
      <c r="U258" s="6">
        <v>0.0</v>
      </c>
      <c r="V258" s="3" t="s">
        <v>28</v>
      </c>
      <c r="W258" s="7" t="s">
        <v>28</v>
      </c>
    </row>
    <row r="259" ht="12.75" customHeight="1">
      <c r="A259" s="2" t="s">
        <v>626</v>
      </c>
      <c r="B259" s="3">
        <v>45429.6241319444</v>
      </c>
      <c r="C259" s="3" t="s">
        <v>22</v>
      </c>
      <c r="D259" s="2" t="s">
        <v>22</v>
      </c>
      <c r="E259" s="2" t="s">
        <v>609</v>
      </c>
      <c r="F259" s="4"/>
      <c r="G259" s="4"/>
      <c r="H259" s="4"/>
      <c r="I259" s="4"/>
      <c r="J259" s="2" t="s">
        <v>24</v>
      </c>
      <c r="K259" s="2" t="s">
        <v>109</v>
      </c>
      <c r="L259" s="2" t="s">
        <v>110</v>
      </c>
      <c r="M259" s="5">
        <v>2.0</v>
      </c>
      <c r="N259" s="2" t="s">
        <v>40</v>
      </c>
      <c r="O259" s="6">
        <v>70000.0</v>
      </c>
      <c r="P259" s="5">
        <v>140000.0</v>
      </c>
      <c r="R259" s="4">
        <v>0.0</v>
      </c>
      <c r="S259" s="5">
        <v>0.0</v>
      </c>
      <c r="T259" s="5">
        <v>140000.0</v>
      </c>
      <c r="U259" s="6">
        <v>0.0</v>
      </c>
      <c r="V259" s="3" t="s">
        <v>28</v>
      </c>
      <c r="W259" s="7" t="s">
        <v>28</v>
      </c>
    </row>
    <row r="260" ht="12.75" customHeight="1">
      <c r="A260" s="2" t="s">
        <v>627</v>
      </c>
      <c r="B260" s="3">
        <v>45429.6247569444</v>
      </c>
      <c r="C260" s="3" t="s">
        <v>22</v>
      </c>
      <c r="D260" s="2" t="s">
        <v>22</v>
      </c>
      <c r="E260" s="2" t="s">
        <v>609</v>
      </c>
      <c r="F260" s="4"/>
      <c r="G260" s="4"/>
      <c r="H260" s="4"/>
      <c r="I260" s="4"/>
      <c r="J260" s="2" t="s">
        <v>24</v>
      </c>
      <c r="K260" s="2" t="s">
        <v>263</v>
      </c>
      <c r="L260" s="2" t="s">
        <v>264</v>
      </c>
      <c r="M260" s="5">
        <v>1.0</v>
      </c>
      <c r="N260" s="2" t="s">
        <v>40</v>
      </c>
      <c r="O260" s="6">
        <v>175000.0</v>
      </c>
      <c r="P260" s="5">
        <v>175000.0</v>
      </c>
      <c r="R260" s="4">
        <v>0.0</v>
      </c>
      <c r="S260" s="5">
        <v>0.0</v>
      </c>
      <c r="T260" s="5">
        <v>175000.0</v>
      </c>
      <c r="U260" s="6">
        <v>0.0</v>
      </c>
      <c r="V260" s="3" t="s">
        <v>28</v>
      </c>
      <c r="W260" s="7" t="s">
        <v>28</v>
      </c>
    </row>
    <row r="261" ht="12.75" customHeight="1">
      <c r="A261" s="2" t="s">
        <v>628</v>
      </c>
      <c r="B261" s="3">
        <v>45430.6999305556</v>
      </c>
      <c r="C261" s="3" t="s">
        <v>22</v>
      </c>
      <c r="D261" s="2" t="s">
        <v>22</v>
      </c>
      <c r="E261" s="2" t="s">
        <v>609</v>
      </c>
      <c r="F261" s="4"/>
      <c r="G261" s="4"/>
      <c r="H261" s="4"/>
      <c r="I261" s="4"/>
      <c r="J261" s="2" t="s">
        <v>24</v>
      </c>
      <c r="K261" s="2" t="s">
        <v>629</v>
      </c>
      <c r="L261" s="2" t="s">
        <v>630</v>
      </c>
      <c r="M261" s="5">
        <v>1.0</v>
      </c>
      <c r="N261" s="2" t="s">
        <v>27</v>
      </c>
      <c r="O261" s="6">
        <v>5950000.0</v>
      </c>
      <c r="P261" s="5">
        <v>5600000.0</v>
      </c>
      <c r="R261" s="4">
        <v>0.0</v>
      </c>
      <c r="S261" s="5">
        <v>0.0</v>
      </c>
      <c r="T261" s="5">
        <v>5950000.0</v>
      </c>
      <c r="U261" s="6">
        <v>5.8823529412</v>
      </c>
      <c r="V261" s="3" t="s">
        <v>88</v>
      </c>
      <c r="W261" s="7" t="s">
        <v>28</v>
      </c>
    </row>
    <row r="262" ht="12.75" customHeight="1">
      <c r="A262" s="2" t="s">
        <v>631</v>
      </c>
      <c r="B262" s="3">
        <v>45432.7023726852</v>
      </c>
      <c r="C262" s="3" t="s">
        <v>22</v>
      </c>
      <c r="D262" s="2" t="s">
        <v>22</v>
      </c>
      <c r="E262" s="2" t="s">
        <v>609</v>
      </c>
      <c r="F262" s="4"/>
      <c r="G262" s="4"/>
      <c r="H262" s="4"/>
      <c r="I262" s="4"/>
      <c r="J262" s="2" t="s">
        <v>24</v>
      </c>
      <c r="K262" s="2" t="s">
        <v>567</v>
      </c>
      <c r="L262" s="2" t="s">
        <v>568</v>
      </c>
      <c r="M262" s="5">
        <v>1.0</v>
      </c>
      <c r="N262" s="2" t="s">
        <v>40</v>
      </c>
      <c r="O262" s="6">
        <v>2850000.0</v>
      </c>
      <c r="P262" s="5">
        <v>2800000.0</v>
      </c>
      <c r="R262" s="4">
        <v>0.0</v>
      </c>
      <c r="S262" s="5">
        <v>0.0</v>
      </c>
      <c r="T262" s="5">
        <v>2850000.0</v>
      </c>
      <c r="U262" s="6">
        <v>1.7543859649</v>
      </c>
      <c r="V262" s="3" t="s">
        <v>28</v>
      </c>
      <c r="W262" s="7" t="s">
        <v>28</v>
      </c>
    </row>
    <row r="263" ht="12.75" customHeight="1">
      <c r="A263" s="2" t="s">
        <v>632</v>
      </c>
      <c r="B263" s="3">
        <v>45432.7030092593</v>
      </c>
      <c r="C263" s="3" t="s">
        <v>22</v>
      </c>
      <c r="D263" s="2" t="s">
        <v>22</v>
      </c>
      <c r="E263" s="2" t="s">
        <v>609</v>
      </c>
      <c r="F263" s="4"/>
      <c r="G263" s="4"/>
      <c r="H263" s="4"/>
      <c r="I263" s="4"/>
      <c r="J263" s="2" t="s">
        <v>24</v>
      </c>
      <c r="K263" s="2" t="s">
        <v>458</v>
      </c>
      <c r="L263" s="2" t="s">
        <v>459</v>
      </c>
      <c r="M263" s="5">
        <v>1.0</v>
      </c>
      <c r="N263" s="2" t="s">
        <v>40</v>
      </c>
      <c r="O263" s="6">
        <v>550000.0</v>
      </c>
      <c r="P263" s="5">
        <v>520000.0</v>
      </c>
      <c r="R263" s="4">
        <v>0.0</v>
      </c>
      <c r="S263" s="5">
        <v>0.0</v>
      </c>
      <c r="T263" s="5">
        <v>550000.0</v>
      </c>
      <c r="U263" s="6">
        <v>5.4545454545</v>
      </c>
      <c r="V263" s="3" t="s">
        <v>28</v>
      </c>
      <c r="W263" s="7" t="s">
        <v>28</v>
      </c>
    </row>
    <row r="264" ht="12.75" customHeight="1">
      <c r="A264" s="2" t="s">
        <v>633</v>
      </c>
      <c r="B264" s="3">
        <v>45432.7046875</v>
      </c>
      <c r="C264" s="3" t="s">
        <v>22</v>
      </c>
      <c r="D264" s="2" t="s">
        <v>22</v>
      </c>
      <c r="E264" s="2" t="s">
        <v>609</v>
      </c>
      <c r="F264" s="4"/>
      <c r="G264" s="4"/>
      <c r="H264" s="4"/>
      <c r="I264" s="4"/>
      <c r="J264" s="2" t="s">
        <v>24</v>
      </c>
      <c r="K264" s="2" t="s">
        <v>358</v>
      </c>
      <c r="L264" s="2" t="s">
        <v>359</v>
      </c>
      <c r="M264" s="5">
        <v>1.0</v>
      </c>
      <c r="N264" s="2" t="s">
        <v>40</v>
      </c>
      <c r="O264" s="6">
        <v>1.825E7</v>
      </c>
      <c r="P264" s="5">
        <v>1.75E7</v>
      </c>
      <c r="R264" s="4">
        <v>0.0</v>
      </c>
      <c r="S264" s="5">
        <v>0.0</v>
      </c>
      <c r="T264" s="5">
        <v>1.825E7</v>
      </c>
      <c r="U264" s="6">
        <v>4.1095890411</v>
      </c>
      <c r="V264" s="3" t="s">
        <v>528</v>
      </c>
      <c r="W264" s="7" t="s">
        <v>28</v>
      </c>
    </row>
    <row r="265" ht="12.75" customHeight="1">
      <c r="A265" s="2" t="s">
        <v>634</v>
      </c>
      <c r="B265" s="3">
        <v>45434.7111689815</v>
      </c>
      <c r="C265" s="3" t="s">
        <v>22</v>
      </c>
      <c r="D265" s="2" t="s">
        <v>22</v>
      </c>
      <c r="E265" s="2" t="s">
        <v>609</v>
      </c>
      <c r="F265" s="4"/>
      <c r="G265" s="4"/>
      <c r="H265" s="4"/>
      <c r="I265" s="4"/>
      <c r="J265" s="2" t="s">
        <v>24</v>
      </c>
      <c r="K265" s="2" t="s">
        <v>635</v>
      </c>
      <c r="L265" s="2" t="s">
        <v>636</v>
      </c>
      <c r="M265" s="5">
        <v>1.0</v>
      </c>
      <c r="N265" s="2" t="s">
        <v>27</v>
      </c>
      <c r="O265" s="6">
        <v>2900000.0</v>
      </c>
      <c r="P265" s="5">
        <v>3900000.0</v>
      </c>
      <c r="R265" s="4">
        <v>0.0</v>
      </c>
      <c r="S265" s="5">
        <v>0.0</v>
      </c>
      <c r="T265" s="5">
        <v>2900000.0</v>
      </c>
      <c r="U265" s="6">
        <v>0.0</v>
      </c>
      <c r="V265" s="3" t="s">
        <v>637</v>
      </c>
      <c r="W265" s="7" t="s">
        <v>28</v>
      </c>
    </row>
    <row r="266" ht="12.75" customHeight="1">
      <c r="A266" s="2" t="s">
        <v>634</v>
      </c>
      <c r="B266" s="3">
        <v>45434.7111689815</v>
      </c>
      <c r="C266" s="3" t="s">
        <v>22</v>
      </c>
      <c r="D266" s="2" t="s">
        <v>22</v>
      </c>
      <c r="E266" s="2" t="s">
        <v>609</v>
      </c>
      <c r="F266" s="4"/>
      <c r="G266" s="4"/>
      <c r="H266" s="4"/>
      <c r="I266" s="4"/>
      <c r="J266" s="2" t="s">
        <v>24</v>
      </c>
      <c r="K266" s="2" t="s">
        <v>136</v>
      </c>
      <c r="L266" s="2" t="s">
        <v>137</v>
      </c>
      <c r="M266" s="5">
        <v>1.0</v>
      </c>
      <c r="N266" s="2" t="s">
        <v>27</v>
      </c>
      <c r="O266" s="6">
        <v>1000000.0</v>
      </c>
      <c r="P266" s="5">
        <v>3900000.0</v>
      </c>
      <c r="R266" s="4">
        <v>0.0</v>
      </c>
      <c r="S266" s="5">
        <v>0.0</v>
      </c>
      <c r="T266" s="5">
        <v>1000000.0</v>
      </c>
      <c r="U266" s="6">
        <v>0.0</v>
      </c>
      <c r="V266" s="3" t="s">
        <v>637</v>
      </c>
      <c r="W266" s="7" t="s">
        <v>28</v>
      </c>
    </row>
    <row r="267" ht="12.75" customHeight="1">
      <c r="A267" s="2" t="s">
        <v>638</v>
      </c>
      <c r="B267" s="3">
        <v>45434.7126851852</v>
      </c>
      <c r="C267" s="3" t="s">
        <v>473</v>
      </c>
      <c r="D267" s="2" t="s">
        <v>474</v>
      </c>
      <c r="E267" s="2" t="s">
        <v>609</v>
      </c>
      <c r="F267" s="4"/>
      <c r="G267" s="4"/>
      <c r="H267" s="4"/>
      <c r="I267" s="4"/>
      <c r="J267" s="2" t="s">
        <v>475</v>
      </c>
      <c r="K267" s="2" t="s">
        <v>639</v>
      </c>
      <c r="L267" s="2" t="s">
        <v>640</v>
      </c>
      <c r="M267" s="5">
        <v>5.0</v>
      </c>
      <c r="N267" s="2" t="s">
        <v>40</v>
      </c>
      <c r="O267" s="6">
        <v>250000.0</v>
      </c>
      <c r="P267" s="5">
        <v>0.0</v>
      </c>
      <c r="R267" s="4">
        <v>0.0</v>
      </c>
      <c r="S267" s="5">
        <v>1250000.0</v>
      </c>
      <c r="T267" s="5">
        <v>1250000.0</v>
      </c>
      <c r="U267" s="6">
        <v>0.0</v>
      </c>
      <c r="V267" s="3" t="s">
        <v>28</v>
      </c>
      <c r="W267" s="7" t="s">
        <v>28</v>
      </c>
    </row>
    <row r="268" ht="12.75" customHeight="1">
      <c r="A268" s="2" t="s">
        <v>641</v>
      </c>
      <c r="B268" s="3">
        <v>45434.7149074074</v>
      </c>
      <c r="C268" s="3" t="s">
        <v>642</v>
      </c>
      <c r="D268" s="2" t="s">
        <v>643</v>
      </c>
      <c r="E268" s="2" t="s">
        <v>609</v>
      </c>
      <c r="F268" s="4"/>
      <c r="G268" s="4"/>
      <c r="H268" s="4"/>
      <c r="I268" s="4"/>
      <c r="J268" s="2" t="s">
        <v>24</v>
      </c>
      <c r="K268" s="2" t="s">
        <v>94</v>
      </c>
      <c r="L268" s="2" t="s">
        <v>95</v>
      </c>
      <c r="M268" s="5">
        <v>3.0</v>
      </c>
      <c r="N268" s="2" t="s">
        <v>40</v>
      </c>
      <c r="O268" s="6">
        <v>800000.0</v>
      </c>
      <c r="P268" s="5">
        <v>0.0</v>
      </c>
      <c r="R268" s="4">
        <v>0.0</v>
      </c>
      <c r="S268" s="5">
        <v>3100000.0</v>
      </c>
      <c r="T268" s="5">
        <v>2400000.0</v>
      </c>
      <c r="U268" s="6">
        <v>0.0</v>
      </c>
      <c r="V268" s="3" t="s">
        <v>28</v>
      </c>
      <c r="W268" s="7" t="s">
        <v>28</v>
      </c>
    </row>
    <row r="269" ht="12.75" customHeight="1">
      <c r="A269" s="2" t="s">
        <v>641</v>
      </c>
      <c r="B269" s="3">
        <v>45434.7149074074</v>
      </c>
      <c r="C269" s="3" t="s">
        <v>642</v>
      </c>
      <c r="D269" s="2" t="s">
        <v>643</v>
      </c>
      <c r="E269" s="2" t="s">
        <v>609</v>
      </c>
      <c r="F269" s="4"/>
      <c r="G269" s="4"/>
      <c r="H269" s="4"/>
      <c r="I269" s="4"/>
      <c r="J269" s="2" t="s">
        <v>24</v>
      </c>
      <c r="K269" s="2" t="s">
        <v>398</v>
      </c>
      <c r="L269" s="2" t="s">
        <v>399</v>
      </c>
      <c r="M269" s="5">
        <v>1.0</v>
      </c>
      <c r="N269" s="2" t="s">
        <v>40</v>
      </c>
      <c r="O269" s="6">
        <v>700000.0</v>
      </c>
      <c r="P269" s="5">
        <v>0.0</v>
      </c>
      <c r="R269" s="4">
        <v>0.0</v>
      </c>
      <c r="S269" s="5">
        <v>3100000.0</v>
      </c>
      <c r="T269" s="5">
        <v>700000.0</v>
      </c>
      <c r="U269" s="6">
        <v>0.0</v>
      </c>
      <c r="V269" s="3" t="s">
        <v>28</v>
      </c>
      <c r="W269" s="7" t="s">
        <v>28</v>
      </c>
    </row>
    <row r="270" ht="13.5" customHeight="1">
      <c r="A270" s="2" t="s">
        <v>644</v>
      </c>
      <c r="B270" s="3">
        <v>45436.7187962963</v>
      </c>
      <c r="C270" s="3" t="s">
        <v>22</v>
      </c>
      <c r="D270" s="2" t="s">
        <v>22</v>
      </c>
      <c r="E270" s="2" t="s">
        <v>609</v>
      </c>
      <c r="F270" s="4"/>
      <c r="G270" s="4"/>
      <c r="H270" s="4"/>
      <c r="I270" s="4"/>
      <c r="J270" s="2" t="s">
        <v>24</v>
      </c>
      <c r="K270" s="2" t="s">
        <v>645</v>
      </c>
      <c r="L270" s="2" t="s">
        <v>646</v>
      </c>
      <c r="M270" s="5">
        <v>2.0</v>
      </c>
      <c r="N270" s="2" t="s">
        <v>40</v>
      </c>
      <c r="O270" s="6">
        <v>80000.0</v>
      </c>
      <c r="P270" s="5">
        <v>160000.0</v>
      </c>
      <c r="R270" s="4">
        <v>0.0</v>
      </c>
      <c r="S270" s="5">
        <v>0.0</v>
      </c>
      <c r="T270" s="5">
        <v>160000.0</v>
      </c>
      <c r="U270" s="6">
        <v>0.0</v>
      </c>
      <c r="V270" s="3" t="s">
        <v>28</v>
      </c>
      <c r="W270" s="7" t="s">
        <v>28</v>
      </c>
    </row>
    <row r="271" ht="12.75" customHeight="1">
      <c r="A271" s="2" t="s">
        <v>647</v>
      </c>
      <c r="B271" s="3">
        <v>45436.7193055556</v>
      </c>
      <c r="C271" s="3" t="s">
        <v>22</v>
      </c>
      <c r="D271" s="2" t="s">
        <v>22</v>
      </c>
      <c r="E271" s="2" t="s">
        <v>609</v>
      </c>
      <c r="F271" s="4"/>
      <c r="G271" s="4"/>
      <c r="H271" s="4"/>
      <c r="I271" s="4"/>
      <c r="J271" s="2" t="s">
        <v>24</v>
      </c>
      <c r="K271" s="2" t="s">
        <v>433</v>
      </c>
      <c r="L271" s="2" t="s">
        <v>434</v>
      </c>
      <c r="M271" s="5">
        <v>1.0</v>
      </c>
      <c r="N271" s="2" t="s">
        <v>40</v>
      </c>
      <c r="O271" s="6">
        <v>150000.0</v>
      </c>
      <c r="P271" s="5">
        <v>150000.0</v>
      </c>
      <c r="R271" s="4">
        <v>0.0</v>
      </c>
      <c r="S271" s="5">
        <v>0.0</v>
      </c>
      <c r="T271" s="5">
        <v>150000.0</v>
      </c>
      <c r="U271" s="6">
        <v>0.0</v>
      </c>
      <c r="V271" s="3" t="s">
        <v>28</v>
      </c>
      <c r="W271" s="7" t="s">
        <v>28</v>
      </c>
    </row>
    <row r="272" ht="12.75" customHeight="1">
      <c r="A272" s="2" t="s">
        <v>648</v>
      </c>
      <c r="B272" s="3">
        <v>45436.7201967593</v>
      </c>
      <c r="C272" s="3" t="s">
        <v>48</v>
      </c>
      <c r="D272" s="2" t="s">
        <v>49</v>
      </c>
      <c r="E272" s="2" t="s">
        <v>609</v>
      </c>
      <c r="F272" s="4"/>
      <c r="G272" s="4"/>
      <c r="H272" s="4"/>
      <c r="I272" s="4"/>
      <c r="J272" s="2" t="s">
        <v>24</v>
      </c>
      <c r="K272" s="2" t="s">
        <v>649</v>
      </c>
      <c r="L272" s="2" t="s">
        <v>650</v>
      </c>
      <c r="M272" s="5">
        <v>2.0</v>
      </c>
      <c r="N272" s="2" t="s">
        <v>27</v>
      </c>
      <c r="O272" s="6">
        <v>2300000.0</v>
      </c>
      <c r="P272" s="5">
        <v>0.0</v>
      </c>
      <c r="R272" s="4">
        <v>0.0</v>
      </c>
      <c r="S272" s="5">
        <v>4600000.0</v>
      </c>
      <c r="T272" s="5">
        <v>4600000.0</v>
      </c>
      <c r="U272" s="6">
        <v>0.0</v>
      </c>
      <c r="V272" s="3" t="s">
        <v>28</v>
      </c>
      <c r="W272" s="7" t="s">
        <v>28</v>
      </c>
    </row>
    <row r="273" ht="12.75" customHeight="1">
      <c r="A273" s="2" t="s">
        <v>651</v>
      </c>
      <c r="B273" s="3">
        <v>45437.7259953704</v>
      </c>
      <c r="C273" s="3" t="s">
        <v>652</v>
      </c>
      <c r="D273" s="2" t="s">
        <v>653</v>
      </c>
      <c r="E273" s="2" t="s">
        <v>609</v>
      </c>
      <c r="F273" s="4"/>
      <c r="G273" s="4"/>
      <c r="H273" s="4"/>
      <c r="I273" s="4"/>
      <c r="J273" s="2" t="s">
        <v>62</v>
      </c>
      <c r="K273" s="2" t="s">
        <v>654</v>
      </c>
      <c r="L273" s="2" t="s">
        <v>655</v>
      </c>
      <c r="M273" s="5">
        <v>2.0</v>
      </c>
      <c r="N273" s="2" t="s">
        <v>40</v>
      </c>
      <c r="O273" s="6">
        <v>750000.0</v>
      </c>
      <c r="P273" s="5">
        <v>0.0</v>
      </c>
      <c r="R273" s="4">
        <v>0.0</v>
      </c>
      <c r="S273" s="5">
        <v>1500000.0</v>
      </c>
      <c r="T273" s="5">
        <v>1500000.0</v>
      </c>
      <c r="U273" s="6">
        <v>0.0</v>
      </c>
      <c r="V273" s="3" t="s">
        <v>28</v>
      </c>
      <c r="W273" s="7" t="s">
        <v>28</v>
      </c>
    </row>
    <row r="274" ht="12.75" customHeight="1">
      <c r="A274" s="2" t="s">
        <v>656</v>
      </c>
      <c r="B274" s="3">
        <v>45437.7273726852</v>
      </c>
      <c r="C274" s="3" t="s">
        <v>48</v>
      </c>
      <c r="D274" s="2" t="s">
        <v>49</v>
      </c>
      <c r="E274" s="2" t="s">
        <v>609</v>
      </c>
      <c r="F274" s="4"/>
      <c r="G274" s="4"/>
      <c r="H274" s="4"/>
      <c r="I274" s="4"/>
      <c r="J274" s="2" t="s">
        <v>24</v>
      </c>
      <c r="K274" s="2" t="s">
        <v>649</v>
      </c>
      <c r="L274" s="2" t="s">
        <v>650</v>
      </c>
      <c r="M274" s="5">
        <v>2.0</v>
      </c>
      <c r="N274" s="2" t="s">
        <v>27</v>
      </c>
      <c r="O274" s="6">
        <v>2300000.0</v>
      </c>
      <c r="P274" s="5">
        <v>0.0</v>
      </c>
      <c r="R274" s="4">
        <v>0.0</v>
      </c>
      <c r="S274" s="5">
        <v>1.3855E7</v>
      </c>
      <c r="T274" s="5">
        <v>4600000.0</v>
      </c>
      <c r="U274" s="6">
        <v>0.0</v>
      </c>
      <c r="V274" s="3" t="s">
        <v>28</v>
      </c>
      <c r="W274" s="7" t="s">
        <v>28</v>
      </c>
    </row>
    <row r="275" ht="12.75" customHeight="1">
      <c r="A275" s="2" t="s">
        <v>656</v>
      </c>
      <c r="B275" s="3">
        <v>45437.7273726852</v>
      </c>
      <c r="C275" s="3" t="s">
        <v>48</v>
      </c>
      <c r="D275" s="2" t="s">
        <v>49</v>
      </c>
      <c r="E275" s="2" t="s">
        <v>609</v>
      </c>
      <c r="F275" s="4"/>
      <c r="G275" s="4"/>
      <c r="H275" s="4"/>
      <c r="I275" s="4"/>
      <c r="J275" s="2" t="s">
        <v>24</v>
      </c>
      <c r="K275" s="2" t="s">
        <v>657</v>
      </c>
      <c r="L275" s="2" t="s">
        <v>658</v>
      </c>
      <c r="M275" s="5">
        <v>3.0</v>
      </c>
      <c r="N275" s="2" t="s">
        <v>40</v>
      </c>
      <c r="O275" s="6">
        <v>1650000.0</v>
      </c>
      <c r="P275" s="5">
        <v>0.0</v>
      </c>
      <c r="R275" s="4">
        <v>0.0</v>
      </c>
      <c r="S275" s="5">
        <v>1.3855E7</v>
      </c>
      <c r="T275" s="5">
        <v>4455000.0</v>
      </c>
      <c r="U275" s="6">
        <v>0.0</v>
      </c>
      <c r="V275" s="3" t="s">
        <v>28</v>
      </c>
      <c r="W275" s="7" t="s">
        <v>28</v>
      </c>
    </row>
    <row r="276" ht="12.75" customHeight="1">
      <c r="A276" s="2" t="s">
        <v>656</v>
      </c>
      <c r="B276" s="3">
        <v>45437.7273726852</v>
      </c>
      <c r="C276" s="3" t="s">
        <v>48</v>
      </c>
      <c r="D276" s="2" t="s">
        <v>49</v>
      </c>
      <c r="E276" s="2" t="s">
        <v>609</v>
      </c>
      <c r="F276" s="4"/>
      <c r="G276" s="4"/>
      <c r="H276" s="4"/>
      <c r="I276" s="4"/>
      <c r="J276" s="2" t="s">
        <v>24</v>
      </c>
      <c r="K276" s="2" t="s">
        <v>86</v>
      </c>
      <c r="L276" s="2" t="s">
        <v>87</v>
      </c>
      <c r="M276" s="5">
        <v>2.0</v>
      </c>
      <c r="N276" s="2" t="s">
        <v>40</v>
      </c>
      <c r="O276" s="6">
        <v>2400000.0</v>
      </c>
      <c r="P276" s="5">
        <v>0.0</v>
      </c>
      <c r="R276" s="4">
        <v>0.0</v>
      </c>
      <c r="S276" s="5">
        <v>1.3855E7</v>
      </c>
      <c r="T276" s="5">
        <v>4800000.0</v>
      </c>
      <c r="U276" s="6">
        <v>0.0</v>
      </c>
      <c r="V276" s="3" t="s">
        <v>28</v>
      </c>
      <c r="W276" s="7" t="s">
        <v>28</v>
      </c>
    </row>
    <row r="277" ht="12.75" customHeight="1">
      <c r="A277" s="2" t="s">
        <v>659</v>
      </c>
      <c r="B277" s="3">
        <v>45439.7287615741</v>
      </c>
      <c r="C277" s="3" t="s">
        <v>660</v>
      </c>
      <c r="D277" s="2" t="s">
        <v>661</v>
      </c>
      <c r="E277" s="2" t="s">
        <v>609</v>
      </c>
      <c r="F277" s="4"/>
      <c r="G277" s="4"/>
      <c r="H277" s="4"/>
      <c r="I277" s="4"/>
      <c r="J277" s="2" t="s">
        <v>62</v>
      </c>
      <c r="K277" s="2" t="s">
        <v>662</v>
      </c>
      <c r="L277" s="2" t="s">
        <v>663</v>
      </c>
      <c r="M277" s="5">
        <v>1.0</v>
      </c>
      <c r="N277" s="2" t="s">
        <v>27</v>
      </c>
      <c r="O277" s="6">
        <v>2750000.0</v>
      </c>
      <c r="P277" s="5">
        <v>4800000.0</v>
      </c>
      <c r="R277" s="4">
        <v>0.0</v>
      </c>
      <c r="S277" s="5">
        <v>0.0</v>
      </c>
      <c r="T277" s="5">
        <v>2750000.0</v>
      </c>
      <c r="U277" s="6">
        <v>9.4339622642</v>
      </c>
      <c r="V277" s="3" t="s">
        <v>28</v>
      </c>
      <c r="W277" s="7" t="s">
        <v>28</v>
      </c>
    </row>
    <row r="278" ht="12.75" customHeight="1">
      <c r="A278" s="2" t="s">
        <v>659</v>
      </c>
      <c r="B278" s="3">
        <v>45439.7287615741</v>
      </c>
      <c r="C278" s="3" t="s">
        <v>660</v>
      </c>
      <c r="D278" s="2" t="s">
        <v>661</v>
      </c>
      <c r="E278" s="2" t="s">
        <v>609</v>
      </c>
      <c r="F278" s="4"/>
      <c r="G278" s="4"/>
      <c r="H278" s="4"/>
      <c r="I278" s="4"/>
      <c r="J278" s="2" t="s">
        <v>62</v>
      </c>
      <c r="K278" s="2" t="s">
        <v>664</v>
      </c>
      <c r="L278" s="2" t="s">
        <v>665</v>
      </c>
      <c r="M278" s="5">
        <v>1.0</v>
      </c>
      <c r="N278" s="2" t="s">
        <v>27</v>
      </c>
      <c r="O278" s="6">
        <v>2550000.0</v>
      </c>
      <c r="P278" s="5">
        <v>4800000.0</v>
      </c>
      <c r="R278" s="4">
        <v>0.0</v>
      </c>
      <c r="S278" s="5">
        <v>0.0</v>
      </c>
      <c r="T278" s="5">
        <v>2550000.0</v>
      </c>
      <c r="U278" s="6">
        <v>9.4339622642</v>
      </c>
      <c r="V278" s="3" t="s">
        <v>28</v>
      </c>
      <c r="W278" s="7" t="s">
        <v>28</v>
      </c>
    </row>
    <row r="279" ht="12.75" customHeight="1">
      <c r="A279" s="2" t="s">
        <v>666</v>
      </c>
      <c r="B279" s="3">
        <v>45439.729212963</v>
      </c>
      <c r="C279" s="3" t="s">
        <v>22</v>
      </c>
      <c r="D279" s="2" t="s">
        <v>22</v>
      </c>
      <c r="E279" s="2" t="s">
        <v>609</v>
      </c>
      <c r="F279" s="4"/>
      <c r="G279" s="4"/>
      <c r="H279" s="4"/>
      <c r="I279" s="4"/>
      <c r="J279" s="2" t="s">
        <v>24</v>
      </c>
      <c r="K279" s="2" t="s">
        <v>461</v>
      </c>
      <c r="L279" s="2" t="s">
        <v>462</v>
      </c>
      <c r="M279" s="5">
        <v>1.0</v>
      </c>
      <c r="N279" s="2" t="s">
        <v>40</v>
      </c>
      <c r="O279" s="6">
        <v>235000.0</v>
      </c>
      <c r="P279" s="5">
        <v>230000.0</v>
      </c>
      <c r="R279" s="4">
        <v>0.0</v>
      </c>
      <c r="S279" s="5">
        <v>0.0</v>
      </c>
      <c r="T279" s="5">
        <v>235000.0</v>
      </c>
      <c r="U279" s="6">
        <v>2.1276595745</v>
      </c>
      <c r="V279" s="3" t="s">
        <v>28</v>
      </c>
      <c r="W279" s="7" t="s">
        <v>28</v>
      </c>
    </row>
    <row r="280" ht="12.75" customHeight="1">
      <c r="A280" s="2" t="s">
        <v>667</v>
      </c>
      <c r="B280" s="3">
        <v>45440.7300694444</v>
      </c>
      <c r="C280" s="3" t="s">
        <v>668</v>
      </c>
      <c r="D280" s="2" t="s">
        <v>669</v>
      </c>
      <c r="E280" s="2" t="s">
        <v>609</v>
      </c>
      <c r="F280" s="4"/>
      <c r="G280" s="4"/>
      <c r="H280" s="4"/>
      <c r="I280" s="4"/>
      <c r="J280" s="2" t="s">
        <v>24</v>
      </c>
      <c r="K280" s="2" t="s">
        <v>134</v>
      </c>
      <c r="L280" s="2" t="s">
        <v>135</v>
      </c>
      <c r="M280" s="5">
        <v>1.0</v>
      </c>
      <c r="N280" s="2" t="s">
        <v>27</v>
      </c>
      <c r="O280" s="6">
        <v>2850000.0</v>
      </c>
      <c r="P280" s="5">
        <v>2750000.0</v>
      </c>
      <c r="R280" s="4">
        <v>0.0</v>
      </c>
      <c r="S280" s="5">
        <v>0.0</v>
      </c>
      <c r="T280" s="5">
        <v>2850000.0</v>
      </c>
      <c r="U280" s="6">
        <v>3.5087719298</v>
      </c>
      <c r="V280" s="3" t="s">
        <v>28</v>
      </c>
      <c r="W280" s="7" t="s">
        <v>28</v>
      </c>
    </row>
    <row r="281" ht="12.75" customHeight="1">
      <c r="A281" s="2" t="s">
        <v>670</v>
      </c>
      <c r="B281" s="3">
        <v>45440.7314236111</v>
      </c>
      <c r="C281" s="3" t="s">
        <v>671</v>
      </c>
      <c r="D281" s="2" t="s">
        <v>672</v>
      </c>
      <c r="E281" s="2" t="s">
        <v>609</v>
      </c>
      <c r="F281" s="4"/>
      <c r="G281" s="4"/>
      <c r="H281" s="4"/>
      <c r="I281" s="4"/>
      <c r="J281" s="2" t="s">
        <v>62</v>
      </c>
      <c r="K281" s="2" t="s">
        <v>134</v>
      </c>
      <c r="L281" s="2" t="s">
        <v>135</v>
      </c>
      <c r="M281" s="5">
        <v>1.0</v>
      </c>
      <c r="N281" s="2" t="s">
        <v>27</v>
      </c>
      <c r="O281" s="6">
        <v>2850000.0</v>
      </c>
      <c r="P281" s="5">
        <v>2500000.0</v>
      </c>
      <c r="R281" s="4">
        <v>0.0</v>
      </c>
      <c r="S281" s="5">
        <v>0.0</v>
      </c>
      <c r="T281" s="5">
        <v>2850000.0</v>
      </c>
      <c r="U281" s="6">
        <v>12.2807017544</v>
      </c>
      <c r="V281" s="3" t="s">
        <v>463</v>
      </c>
      <c r="W281" s="7" t="s">
        <v>28</v>
      </c>
    </row>
    <row r="282" ht="13.5" customHeight="1">
      <c r="A282" s="2" t="s">
        <v>673</v>
      </c>
      <c r="B282" s="3">
        <v>45443.7351851852</v>
      </c>
      <c r="C282" s="3" t="s">
        <v>361</v>
      </c>
      <c r="D282" s="2" t="s">
        <v>362</v>
      </c>
      <c r="E282" s="2" t="s">
        <v>609</v>
      </c>
      <c r="F282" s="4"/>
      <c r="G282" s="4"/>
      <c r="H282" s="4"/>
      <c r="I282" s="4"/>
      <c r="J282" s="2" t="s">
        <v>62</v>
      </c>
      <c r="K282" s="2" t="s">
        <v>123</v>
      </c>
      <c r="L282" s="2" t="s">
        <v>124</v>
      </c>
      <c r="M282" s="5">
        <v>5.0</v>
      </c>
      <c r="N282" s="2" t="s">
        <v>40</v>
      </c>
      <c r="O282" s="6">
        <v>800000.0</v>
      </c>
      <c r="P282" s="5">
        <v>4000000.0</v>
      </c>
      <c r="R282" s="4">
        <v>0.0</v>
      </c>
      <c r="S282" s="5">
        <v>0.0</v>
      </c>
      <c r="T282" s="5">
        <v>4000000.0</v>
      </c>
      <c r="U282" s="6">
        <v>0.0</v>
      </c>
      <c r="V282" s="3" t="s">
        <v>674</v>
      </c>
      <c r="W282" s="7" t="s">
        <v>28</v>
      </c>
    </row>
    <row r="283" ht="12.75" customHeight="1">
      <c r="A283" s="2" t="s">
        <v>675</v>
      </c>
      <c r="B283" s="3">
        <v>45443.735787037</v>
      </c>
      <c r="C283" s="3" t="s">
        <v>388</v>
      </c>
      <c r="D283" s="2" t="s">
        <v>389</v>
      </c>
      <c r="E283" s="2" t="s">
        <v>609</v>
      </c>
      <c r="F283" s="4"/>
      <c r="G283" s="4"/>
      <c r="H283" s="4"/>
      <c r="I283" s="4"/>
      <c r="J283" s="2" t="s">
        <v>62</v>
      </c>
      <c r="K283" s="2" t="s">
        <v>676</v>
      </c>
      <c r="L283" s="2" t="s">
        <v>677</v>
      </c>
      <c r="M283" s="5">
        <v>1.0</v>
      </c>
      <c r="N283" s="2" t="s">
        <v>27</v>
      </c>
      <c r="O283" s="6">
        <v>3350000.0</v>
      </c>
      <c r="P283" s="5">
        <v>3250000.0</v>
      </c>
      <c r="R283" s="4">
        <v>0.0</v>
      </c>
      <c r="S283" s="5">
        <v>0.0</v>
      </c>
      <c r="T283" s="5">
        <v>3350000.0</v>
      </c>
      <c r="U283" s="6">
        <v>2.9850746269</v>
      </c>
      <c r="V283" s="3" t="s">
        <v>28</v>
      </c>
      <c r="W283" s="7" t="s">
        <v>28</v>
      </c>
    </row>
    <row r="284" ht="12.75" customHeight="1">
      <c r="A284" s="2" t="s">
        <v>678</v>
      </c>
      <c r="B284" s="3">
        <v>45443.7361574074</v>
      </c>
      <c r="C284" s="3" t="s">
        <v>22</v>
      </c>
      <c r="D284" s="2" t="s">
        <v>22</v>
      </c>
      <c r="E284" s="2" t="s">
        <v>609</v>
      </c>
      <c r="F284" s="4"/>
      <c r="G284" s="4"/>
      <c r="H284" s="4"/>
      <c r="I284" s="4"/>
      <c r="J284" s="2" t="s">
        <v>24</v>
      </c>
      <c r="K284" s="2" t="s">
        <v>109</v>
      </c>
      <c r="L284" s="2" t="s">
        <v>110</v>
      </c>
      <c r="M284" s="5">
        <v>1.0</v>
      </c>
      <c r="N284" s="2" t="s">
        <v>40</v>
      </c>
      <c r="O284" s="6">
        <v>70000.0</v>
      </c>
      <c r="P284" s="5">
        <v>70000.0</v>
      </c>
      <c r="R284" s="4">
        <v>0.0</v>
      </c>
      <c r="S284" s="5">
        <v>0.0</v>
      </c>
      <c r="T284" s="5">
        <v>70000.0</v>
      </c>
      <c r="U284" s="6">
        <v>0.0</v>
      </c>
      <c r="V284" s="3" t="s">
        <v>28</v>
      </c>
      <c r="W284" s="7" t="s">
        <v>28</v>
      </c>
    </row>
    <row r="285" ht="12.75" customHeight="1">
      <c r="A285" s="2" t="s">
        <v>679</v>
      </c>
      <c r="B285" s="3">
        <v>45446.7369097222</v>
      </c>
      <c r="C285" s="3" t="s">
        <v>22</v>
      </c>
      <c r="D285" s="2" t="s">
        <v>22</v>
      </c>
      <c r="E285" s="2" t="s">
        <v>609</v>
      </c>
      <c r="F285" s="4"/>
      <c r="G285" s="4"/>
      <c r="H285" s="4"/>
      <c r="I285" s="4"/>
      <c r="J285" s="2" t="s">
        <v>24</v>
      </c>
      <c r="K285" s="2" t="s">
        <v>680</v>
      </c>
      <c r="L285" s="2" t="s">
        <v>681</v>
      </c>
      <c r="M285" s="5">
        <v>1.0</v>
      </c>
      <c r="N285" s="2" t="s">
        <v>27</v>
      </c>
      <c r="O285" s="6">
        <v>4550000.0</v>
      </c>
      <c r="P285" s="5">
        <v>4300000.0</v>
      </c>
      <c r="R285" s="4">
        <v>0.0</v>
      </c>
      <c r="S285" s="5">
        <v>0.0</v>
      </c>
      <c r="T285" s="5">
        <v>4550000.0</v>
      </c>
      <c r="U285" s="6">
        <v>5.4945054945</v>
      </c>
      <c r="V285" s="3" t="s">
        <v>613</v>
      </c>
      <c r="W285" s="7" t="s">
        <v>28</v>
      </c>
    </row>
    <row r="286" ht="12.75" customHeight="1">
      <c r="A286" s="2" t="s">
        <v>682</v>
      </c>
      <c r="B286" s="3">
        <v>45446.7374768518</v>
      </c>
      <c r="C286" s="3" t="s">
        <v>22</v>
      </c>
      <c r="D286" s="2" t="s">
        <v>22</v>
      </c>
      <c r="E286" s="2" t="s">
        <v>609</v>
      </c>
      <c r="F286" s="4"/>
      <c r="G286" s="4"/>
      <c r="H286" s="4"/>
      <c r="I286" s="4"/>
      <c r="J286" s="2" t="s">
        <v>24</v>
      </c>
      <c r="K286" s="2" t="s">
        <v>268</v>
      </c>
      <c r="L286" s="2" t="s">
        <v>269</v>
      </c>
      <c r="M286" s="5">
        <v>1.0</v>
      </c>
      <c r="N286" s="2" t="s">
        <v>46</v>
      </c>
      <c r="O286" s="6">
        <v>50000.0</v>
      </c>
      <c r="P286" s="5">
        <v>50000.0</v>
      </c>
      <c r="R286" s="4">
        <v>0.0</v>
      </c>
      <c r="S286" s="5">
        <v>0.0</v>
      </c>
      <c r="T286" s="5">
        <v>50000.0</v>
      </c>
      <c r="U286" s="6">
        <v>0.0</v>
      </c>
      <c r="V286" s="3" t="s">
        <v>28</v>
      </c>
      <c r="W286" s="7" t="s">
        <v>28</v>
      </c>
    </row>
    <row r="287" ht="12.75" customHeight="1">
      <c r="A287" s="2" t="s">
        <v>683</v>
      </c>
      <c r="B287" s="3">
        <v>45447.7381712963</v>
      </c>
      <c r="C287" s="3" t="s">
        <v>22</v>
      </c>
      <c r="D287" s="2" t="s">
        <v>22</v>
      </c>
      <c r="E287" s="2" t="s">
        <v>609</v>
      </c>
      <c r="F287" s="4"/>
      <c r="G287" s="4"/>
      <c r="H287" s="4"/>
      <c r="I287" s="4"/>
      <c r="J287" s="2" t="s">
        <v>24</v>
      </c>
      <c r="K287" s="2" t="s">
        <v>71</v>
      </c>
      <c r="L287" s="2" t="s">
        <v>72</v>
      </c>
      <c r="M287" s="5">
        <v>1.0</v>
      </c>
      <c r="N287" s="2" t="s">
        <v>40</v>
      </c>
      <c r="O287" s="6">
        <v>4550000.0</v>
      </c>
      <c r="P287" s="5">
        <v>4500000.0</v>
      </c>
      <c r="R287" s="4">
        <v>0.0</v>
      </c>
      <c r="S287" s="5">
        <v>0.0</v>
      </c>
      <c r="T287" s="5">
        <v>4550000.0</v>
      </c>
      <c r="U287" s="6">
        <v>1.0989010989</v>
      </c>
      <c r="V287" s="3" t="s">
        <v>684</v>
      </c>
      <c r="W287" s="7" t="s">
        <v>28</v>
      </c>
    </row>
    <row r="288" ht="12.75" customHeight="1">
      <c r="A288" s="2" t="s">
        <v>685</v>
      </c>
      <c r="B288" s="3">
        <v>45447.7388078704</v>
      </c>
      <c r="C288" s="3" t="s">
        <v>686</v>
      </c>
      <c r="D288" s="2" t="s">
        <v>687</v>
      </c>
      <c r="E288" s="2" t="s">
        <v>609</v>
      </c>
      <c r="F288" s="4"/>
      <c r="G288" s="4"/>
      <c r="H288" s="4"/>
      <c r="I288" s="4"/>
      <c r="J288" s="2" t="s">
        <v>24</v>
      </c>
      <c r="K288" s="2" t="s">
        <v>645</v>
      </c>
      <c r="L288" s="2" t="s">
        <v>646</v>
      </c>
      <c r="M288" s="5">
        <v>1.0</v>
      </c>
      <c r="N288" s="2" t="s">
        <v>40</v>
      </c>
      <c r="O288" s="6">
        <v>80000.0</v>
      </c>
      <c r="P288" s="5">
        <v>0.0</v>
      </c>
      <c r="R288" s="4">
        <v>0.0</v>
      </c>
      <c r="S288" s="5">
        <v>80000.0</v>
      </c>
      <c r="T288" s="5">
        <v>80000.0</v>
      </c>
      <c r="U288" s="6">
        <v>0.0</v>
      </c>
      <c r="V288" s="3" t="s">
        <v>28</v>
      </c>
      <c r="W288" s="7" t="s">
        <v>28</v>
      </c>
    </row>
    <row r="289" ht="12.75" customHeight="1">
      <c r="A289" s="2" t="s">
        <v>688</v>
      </c>
      <c r="B289" s="3">
        <v>45448.7420717593</v>
      </c>
      <c r="C289" s="3" t="s">
        <v>22</v>
      </c>
      <c r="D289" s="2" t="s">
        <v>22</v>
      </c>
      <c r="E289" s="2" t="s">
        <v>609</v>
      </c>
      <c r="F289" s="4"/>
      <c r="G289" s="4"/>
      <c r="H289" s="4"/>
      <c r="I289" s="4"/>
      <c r="J289" s="2" t="s">
        <v>24</v>
      </c>
      <c r="K289" s="2" t="s">
        <v>385</v>
      </c>
      <c r="L289" s="2" t="s">
        <v>386</v>
      </c>
      <c r="M289" s="5">
        <v>1.0</v>
      </c>
      <c r="N289" s="2" t="s">
        <v>27</v>
      </c>
      <c r="O289" s="6">
        <v>1750000.0</v>
      </c>
      <c r="P289" s="5">
        <v>1650000.0</v>
      </c>
      <c r="R289" s="4">
        <v>0.0</v>
      </c>
      <c r="S289" s="5">
        <v>0.0</v>
      </c>
      <c r="T289" s="5">
        <v>1750000.0</v>
      </c>
      <c r="U289" s="6">
        <v>5.7142857143</v>
      </c>
      <c r="V289" s="3" t="s">
        <v>28</v>
      </c>
      <c r="W289" s="7" t="s">
        <v>28</v>
      </c>
    </row>
    <row r="290" ht="12.75" customHeight="1">
      <c r="A290" s="2" t="s">
        <v>689</v>
      </c>
      <c r="B290" s="3">
        <v>45448.7426967593</v>
      </c>
      <c r="C290" s="3" t="s">
        <v>22</v>
      </c>
      <c r="D290" s="2" t="s">
        <v>22</v>
      </c>
      <c r="E290" s="2" t="s">
        <v>609</v>
      </c>
      <c r="F290" s="4"/>
      <c r="G290" s="4"/>
      <c r="H290" s="4"/>
      <c r="I290" s="4"/>
      <c r="J290" s="2" t="s">
        <v>24</v>
      </c>
      <c r="K290" s="2" t="s">
        <v>100</v>
      </c>
      <c r="L290" s="2" t="s">
        <v>101</v>
      </c>
      <c r="M290" s="5">
        <v>1.0</v>
      </c>
      <c r="N290" s="2" t="s">
        <v>27</v>
      </c>
      <c r="O290" s="6">
        <v>1500000.0</v>
      </c>
      <c r="P290" s="5">
        <v>1400000.0</v>
      </c>
      <c r="R290" s="4">
        <v>0.0</v>
      </c>
      <c r="S290" s="5">
        <v>0.0</v>
      </c>
      <c r="T290" s="5">
        <v>1500000.0</v>
      </c>
      <c r="U290" s="6">
        <v>6.6666666667</v>
      </c>
      <c r="V290" s="3" t="s">
        <v>88</v>
      </c>
      <c r="W290" s="7" t="s">
        <v>28</v>
      </c>
    </row>
    <row r="291" ht="12.75" customHeight="1">
      <c r="A291" s="2" t="s">
        <v>690</v>
      </c>
      <c r="B291" s="3">
        <v>45448.74375</v>
      </c>
      <c r="C291" s="3" t="s">
        <v>691</v>
      </c>
      <c r="D291" s="2" t="s">
        <v>692</v>
      </c>
      <c r="E291" s="2" t="s">
        <v>609</v>
      </c>
      <c r="F291" s="4"/>
      <c r="G291" s="4"/>
      <c r="H291" s="4"/>
      <c r="I291" s="4"/>
      <c r="J291" s="2" t="s">
        <v>24</v>
      </c>
      <c r="K291" s="2" t="s">
        <v>326</v>
      </c>
      <c r="L291" s="2" t="s">
        <v>327</v>
      </c>
      <c r="M291" s="5">
        <v>1.0</v>
      </c>
      <c r="N291" s="2" t="s">
        <v>27</v>
      </c>
      <c r="O291" s="6">
        <v>1875000.0</v>
      </c>
      <c r="P291" s="5">
        <v>1875000.0</v>
      </c>
      <c r="R291" s="4">
        <v>0.0</v>
      </c>
      <c r="S291" s="5">
        <v>0.0</v>
      </c>
      <c r="T291" s="5">
        <v>1875000.0</v>
      </c>
      <c r="U291" s="6">
        <v>0.0</v>
      </c>
      <c r="V291" s="3" t="s">
        <v>613</v>
      </c>
      <c r="W291" s="7" t="s">
        <v>28</v>
      </c>
    </row>
    <row r="292" ht="12.75" customHeight="1">
      <c r="A292" s="2" t="s">
        <v>693</v>
      </c>
      <c r="B292" s="3">
        <v>45449.7441203704</v>
      </c>
      <c r="C292" s="3" t="s">
        <v>22</v>
      </c>
      <c r="D292" s="2" t="s">
        <v>22</v>
      </c>
      <c r="E292" s="2" t="s">
        <v>609</v>
      </c>
      <c r="F292" s="4"/>
      <c r="G292" s="4"/>
      <c r="H292" s="4"/>
      <c r="I292" s="4"/>
      <c r="J292" s="2" t="s">
        <v>24</v>
      </c>
      <c r="K292" s="2" t="s">
        <v>466</v>
      </c>
      <c r="L292" s="2" t="s">
        <v>467</v>
      </c>
      <c r="M292" s="5">
        <v>1.0</v>
      </c>
      <c r="N292" s="2" t="s">
        <v>40</v>
      </c>
      <c r="O292" s="6">
        <v>225000.0</v>
      </c>
      <c r="P292" s="5">
        <v>220000.0</v>
      </c>
      <c r="R292" s="4">
        <v>0.0</v>
      </c>
      <c r="S292" s="5">
        <v>0.0</v>
      </c>
      <c r="T292" s="5">
        <v>225000.0</v>
      </c>
      <c r="U292" s="6">
        <v>2.2222222222</v>
      </c>
      <c r="V292" s="3" t="s">
        <v>28</v>
      </c>
      <c r="W292" s="7" t="s">
        <v>28</v>
      </c>
    </row>
    <row r="293" ht="12.75" customHeight="1">
      <c r="A293" s="2" t="s">
        <v>694</v>
      </c>
      <c r="B293" s="3">
        <v>45450.7446759259</v>
      </c>
      <c r="C293" s="3" t="s">
        <v>22</v>
      </c>
      <c r="D293" s="2" t="s">
        <v>22</v>
      </c>
      <c r="E293" s="2" t="s">
        <v>609</v>
      </c>
      <c r="F293" s="4"/>
      <c r="G293" s="4"/>
      <c r="H293" s="4"/>
      <c r="I293" s="4"/>
      <c r="J293" s="2" t="s">
        <v>24</v>
      </c>
      <c r="K293" s="2" t="s">
        <v>695</v>
      </c>
      <c r="L293" s="2" t="s">
        <v>696</v>
      </c>
      <c r="M293" s="5">
        <v>1.0</v>
      </c>
      <c r="N293" s="2" t="s">
        <v>40</v>
      </c>
      <c r="O293" s="6">
        <v>850000.0</v>
      </c>
      <c r="P293" s="5">
        <v>850000.0</v>
      </c>
      <c r="R293" s="4">
        <v>0.0</v>
      </c>
      <c r="S293" s="5">
        <v>0.0</v>
      </c>
      <c r="T293" s="5">
        <v>850000.0</v>
      </c>
      <c r="U293" s="6">
        <v>0.0</v>
      </c>
      <c r="V293" s="3" t="s">
        <v>28</v>
      </c>
      <c r="W293" s="7" t="s">
        <v>28</v>
      </c>
    </row>
    <row r="294" ht="12.75" customHeight="1">
      <c r="A294" s="2" t="s">
        <v>697</v>
      </c>
      <c r="B294" s="3">
        <v>45450.7455324074</v>
      </c>
      <c r="C294" s="3" t="s">
        <v>698</v>
      </c>
      <c r="D294" s="2" t="s">
        <v>699</v>
      </c>
      <c r="E294" s="2" t="s">
        <v>609</v>
      </c>
      <c r="F294" s="4"/>
      <c r="G294" s="4"/>
      <c r="H294" s="4"/>
      <c r="I294" s="4"/>
      <c r="J294" s="2" t="s">
        <v>62</v>
      </c>
      <c r="K294" s="2" t="s">
        <v>700</v>
      </c>
      <c r="L294" s="2" t="s">
        <v>701</v>
      </c>
      <c r="M294" s="5">
        <v>2.0</v>
      </c>
      <c r="N294" s="2" t="s">
        <v>40</v>
      </c>
      <c r="O294" s="6">
        <v>3300000.0</v>
      </c>
      <c r="P294" s="5">
        <v>6600000.0</v>
      </c>
      <c r="R294" s="4">
        <v>0.0</v>
      </c>
      <c r="S294" s="5">
        <v>0.0</v>
      </c>
      <c r="T294" s="5">
        <v>6600000.0</v>
      </c>
      <c r="U294" s="6">
        <v>0.0</v>
      </c>
      <c r="V294" s="3" t="s">
        <v>562</v>
      </c>
      <c r="W294" s="7" t="s">
        <v>28</v>
      </c>
    </row>
    <row r="295" ht="13.5" customHeight="1">
      <c r="A295" s="2" t="s">
        <v>702</v>
      </c>
      <c r="B295" s="3">
        <v>45453.6923148148</v>
      </c>
      <c r="C295" s="3" t="s">
        <v>22</v>
      </c>
      <c r="D295" s="2" t="s">
        <v>22</v>
      </c>
      <c r="E295" s="2" t="s">
        <v>23</v>
      </c>
      <c r="F295" s="4"/>
      <c r="G295" s="4"/>
      <c r="H295" s="4"/>
      <c r="I295" s="4"/>
      <c r="J295" s="2" t="s">
        <v>24</v>
      </c>
      <c r="K295" s="2" t="s">
        <v>193</v>
      </c>
      <c r="L295" s="2" t="s">
        <v>194</v>
      </c>
      <c r="M295" s="5">
        <v>3.0</v>
      </c>
      <c r="N295" s="2" t="s">
        <v>40</v>
      </c>
      <c r="O295" s="6">
        <v>1100000.0</v>
      </c>
      <c r="P295" s="5">
        <v>3000000.0</v>
      </c>
      <c r="R295" s="4">
        <v>0.0</v>
      </c>
      <c r="S295" s="5">
        <v>0.0</v>
      </c>
      <c r="T295" s="5">
        <v>3300000.0</v>
      </c>
      <c r="U295" s="6">
        <v>9.0909090909</v>
      </c>
      <c r="V295" s="3" t="s">
        <v>195</v>
      </c>
      <c r="W295" s="7" t="s">
        <v>28</v>
      </c>
    </row>
    <row r="296" ht="12.75" customHeight="1">
      <c r="A296" s="2" t="s">
        <v>703</v>
      </c>
      <c r="B296" s="3">
        <v>45453.6936689815</v>
      </c>
      <c r="C296" s="3" t="s">
        <v>22</v>
      </c>
      <c r="D296" s="2" t="s">
        <v>22</v>
      </c>
      <c r="E296" s="2" t="s">
        <v>23</v>
      </c>
      <c r="F296" s="4"/>
      <c r="G296" s="4"/>
      <c r="H296" s="4"/>
      <c r="I296" s="4"/>
      <c r="J296" s="2" t="s">
        <v>24</v>
      </c>
      <c r="K296" s="2" t="s">
        <v>289</v>
      </c>
      <c r="L296" s="2" t="s">
        <v>290</v>
      </c>
      <c r="M296" s="5">
        <v>1.0</v>
      </c>
      <c r="N296" s="2" t="s">
        <v>40</v>
      </c>
      <c r="O296" s="6">
        <v>650000.0</v>
      </c>
      <c r="P296" s="5">
        <v>650000.0</v>
      </c>
      <c r="R296" s="4">
        <v>0.0</v>
      </c>
      <c r="S296" s="5">
        <v>0.0</v>
      </c>
      <c r="T296" s="5">
        <v>650000.0</v>
      </c>
      <c r="U296" s="6">
        <v>0.0</v>
      </c>
      <c r="V296" s="3" t="s">
        <v>28</v>
      </c>
      <c r="W296" s="7" t="s">
        <v>28</v>
      </c>
    </row>
    <row r="297" ht="12.75" customHeight="1">
      <c r="A297" s="2" t="s">
        <v>704</v>
      </c>
      <c r="B297" s="3">
        <v>45453.6944097222</v>
      </c>
      <c r="C297" s="3" t="s">
        <v>22</v>
      </c>
      <c r="D297" s="2" t="s">
        <v>22</v>
      </c>
      <c r="E297" s="2" t="s">
        <v>23</v>
      </c>
      <c r="F297" s="4"/>
      <c r="G297" s="4"/>
      <c r="H297" s="4"/>
      <c r="I297" s="4"/>
      <c r="J297" s="2" t="s">
        <v>24</v>
      </c>
      <c r="K297" s="2" t="s">
        <v>109</v>
      </c>
      <c r="L297" s="2" t="s">
        <v>110</v>
      </c>
      <c r="M297" s="5">
        <v>1.0</v>
      </c>
      <c r="N297" s="2" t="s">
        <v>40</v>
      </c>
      <c r="O297" s="6">
        <v>70000.0</v>
      </c>
      <c r="P297" s="5">
        <v>70000.0</v>
      </c>
      <c r="R297" s="4">
        <v>0.0</v>
      </c>
      <c r="S297" s="5">
        <v>0.0</v>
      </c>
      <c r="T297" s="5">
        <v>70000.0</v>
      </c>
      <c r="U297" s="6">
        <v>0.0</v>
      </c>
      <c r="V297" s="3" t="s">
        <v>28</v>
      </c>
      <c r="W297" s="7" t="s">
        <v>28</v>
      </c>
    </row>
    <row r="298" ht="12.75" customHeight="1">
      <c r="A298" s="2" t="s">
        <v>705</v>
      </c>
      <c r="B298" s="3">
        <v>45454.6655439815</v>
      </c>
      <c r="C298" s="3" t="s">
        <v>22</v>
      </c>
      <c r="D298" s="2" t="s">
        <v>22</v>
      </c>
      <c r="E298" s="2" t="s">
        <v>23</v>
      </c>
      <c r="F298" s="4"/>
      <c r="G298" s="4"/>
      <c r="H298" s="4"/>
      <c r="I298" s="4"/>
      <c r="J298" s="2" t="s">
        <v>24</v>
      </c>
      <c r="K298" s="2" t="s">
        <v>706</v>
      </c>
      <c r="L298" s="2" t="s">
        <v>707</v>
      </c>
      <c r="M298" s="5">
        <v>2.0</v>
      </c>
      <c r="N298" s="2" t="s">
        <v>40</v>
      </c>
      <c r="O298" s="6">
        <v>250000.0</v>
      </c>
      <c r="P298" s="5">
        <v>500000.0</v>
      </c>
      <c r="R298" s="4">
        <v>0.0</v>
      </c>
      <c r="S298" s="5">
        <v>0.0</v>
      </c>
      <c r="T298" s="5">
        <v>500000.0</v>
      </c>
      <c r="U298" s="6">
        <v>0.0</v>
      </c>
      <c r="V298" s="3" t="s">
        <v>708</v>
      </c>
      <c r="W298" s="7" t="s">
        <v>28</v>
      </c>
    </row>
    <row r="299" ht="12.75" customHeight="1">
      <c r="A299" s="2" t="s">
        <v>709</v>
      </c>
      <c r="B299" s="3">
        <v>45454.6668518518</v>
      </c>
      <c r="C299" s="3" t="s">
        <v>22</v>
      </c>
      <c r="D299" s="2" t="s">
        <v>22</v>
      </c>
      <c r="E299" s="2" t="s">
        <v>23</v>
      </c>
      <c r="F299" s="4"/>
      <c r="G299" s="4"/>
      <c r="H299" s="4"/>
      <c r="I299" s="4"/>
      <c r="J299" s="2" t="s">
        <v>24</v>
      </c>
      <c r="K299" s="2" t="s">
        <v>421</v>
      </c>
      <c r="L299" s="2" t="s">
        <v>422</v>
      </c>
      <c r="M299" s="5">
        <v>1.0</v>
      </c>
      <c r="N299" s="2" t="s">
        <v>40</v>
      </c>
      <c r="O299" s="6">
        <v>150000.0</v>
      </c>
      <c r="P299" s="5">
        <v>150000.0</v>
      </c>
      <c r="R299" s="4">
        <v>0.0</v>
      </c>
      <c r="S299" s="5">
        <v>0.0</v>
      </c>
      <c r="T299" s="5">
        <v>150000.0</v>
      </c>
      <c r="U299" s="6">
        <v>0.0</v>
      </c>
      <c r="V299" s="3" t="s">
        <v>463</v>
      </c>
      <c r="W299" s="7" t="s">
        <v>28</v>
      </c>
    </row>
    <row r="300" ht="12.75" customHeight="1">
      <c r="A300" s="2" t="s">
        <v>710</v>
      </c>
      <c r="B300" s="3">
        <v>45454.6675347222</v>
      </c>
      <c r="C300" s="3" t="s">
        <v>22</v>
      </c>
      <c r="D300" s="2" t="s">
        <v>22</v>
      </c>
      <c r="E300" s="2" t="s">
        <v>23</v>
      </c>
      <c r="F300" s="4"/>
      <c r="G300" s="4"/>
      <c r="H300" s="4"/>
      <c r="I300" s="4"/>
      <c r="J300" s="2" t="s">
        <v>24</v>
      </c>
      <c r="K300" s="2" t="s">
        <v>109</v>
      </c>
      <c r="L300" s="2" t="s">
        <v>110</v>
      </c>
      <c r="M300" s="5">
        <v>1.0</v>
      </c>
      <c r="N300" s="2" t="s">
        <v>40</v>
      </c>
      <c r="O300" s="6">
        <v>70000.0</v>
      </c>
      <c r="P300" s="5">
        <v>70000.0</v>
      </c>
      <c r="R300" s="4">
        <v>0.0</v>
      </c>
      <c r="S300" s="5">
        <v>0.0</v>
      </c>
      <c r="T300" s="5">
        <v>70000.0</v>
      </c>
      <c r="U300" s="6">
        <v>0.0</v>
      </c>
      <c r="V300" s="3" t="s">
        <v>88</v>
      </c>
      <c r="W300" s="7" t="s">
        <v>28</v>
      </c>
    </row>
    <row r="301" ht="12.75" customHeight="1">
      <c r="A301" s="2" t="s">
        <v>711</v>
      </c>
      <c r="B301" s="3">
        <v>45455.6585532407</v>
      </c>
      <c r="C301" s="3" t="s">
        <v>22</v>
      </c>
      <c r="D301" s="2" t="s">
        <v>22</v>
      </c>
      <c r="E301" s="2" t="s">
        <v>23</v>
      </c>
      <c r="F301" s="4"/>
      <c r="G301" s="4"/>
      <c r="H301" s="4"/>
      <c r="I301" s="4"/>
      <c r="J301" s="2" t="s">
        <v>24</v>
      </c>
      <c r="K301" s="2" t="s">
        <v>712</v>
      </c>
      <c r="L301" s="2" t="s">
        <v>713</v>
      </c>
      <c r="M301" s="5">
        <v>1.0</v>
      </c>
      <c r="N301" s="2" t="s">
        <v>40</v>
      </c>
      <c r="O301" s="6">
        <v>1300000.0</v>
      </c>
      <c r="P301" s="5">
        <v>1500000.0</v>
      </c>
      <c r="R301" s="4">
        <v>0.0</v>
      </c>
      <c r="S301" s="5">
        <v>0.0</v>
      </c>
      <c r="T301" s="5">
        <v>1300000.0</v>
      </c>
      <c r="U301" s="6">
        <v>8.5365853659</v>
      </c>
      <c r="V301" s="3" t="s">
        <v>28</v>
      </c>
      <c r="W301" s="7" t="s">
        <v>28</v>
      </c>
    </row>
    <row r="302" ht="12.75" customHeight="1">
      <c r="A302" s="2" t="s">
        <v>711</v>
      </c>
      <c r="B302" s="3">
        <v>45455.6585532407</v>
      </c>
      <c r="C302" s="3" t="s">
        <v>22</v>
      </c>
      <c r="D302" s="2" t="s">
        <v>22</v>
      </c>
      <c r="E302" s="2" t="s">
        <v>23</v>
      </c>
      <c r="F302" s="4"/>
      <c r="G302" s="4"/>
      <c r="H302" s="4"/>
      <c r="I302" s="4"/>
      <c r="J302" s="2" t="s">
        <v>24</v>
      </c>
      <c r="K302" s="2" t="s">
        <v>470</v>
      </c>
      <c r="L302" s="2" t="s">
        <v>471</v>
      </c>
      <c r="M302" s="5">
        <v>1.0</v>
      </c>
      <c r="N302" s="2" t="s">
        <v>40</v>
      </c>
      <c r="O302" s="6">
        <v>340000.0</v>
      </c>
      <c r="P302" s="5">
        <v>1500000.0</v>
      </c>
      <c r="R302" s="4">
        <v>0.0</v>
      </c>
      <c r="S302" s="5">
        <v>0.0</v>
      </c>
      <c r="T302" s="5">
        <v>340000.0</v>
      </c>
      <c r="U302" s="6">
        <v>8.5365853659</v>
      </c>
      <c r="V302" s="3" t="s">
        <v>28</v>
      </c>
      <c r="W302" s="7" t="s">
        <v>28</v>
      </c>
    </row>
    <row r="303" ht="12.75" customHeight="1">
      <c r="A303" s="2" t="s">
        <v>714</v>
      </c>
      <c r="B303" s="3">
        <v>45455.6780208333</v>
      </c>
      <c r="C303" s="3" t="s">
        <v>715</v>
      </c>
      <c r="D303" s="2" t="s">
        <v>716</v>
      </c>
      <c r="E303" s="2" t="s">
        <v>23</v>
      </c>
      <c r="F303" s="4"/>
      <c r="G303" s="4"/>
      <c r="H303" s="4"/>
      <c r="I303" s="4"/>
      <c r="J303" s="2" t="s">
        <v>62</v>
      </c>
      <c r="K303" s="2" t="s">
        <v>649</v>
      </c>
      <c r="L303" s="2" t="s">
        <v>650</v>
      </c>
      <c r="M303" s="5">
        <v>2.0</v>
      </c>
      <c r="N303" s="2" t="s">
        <v>27</v>
      </c>
      <c r="O303" s="6">
        <v>2400000.0</v>
      </c>
      <c r="P303" s="5">
        <v>4800000.0</v>
      </c>
      <c r="R303" s="4">
        <v>0.0</v>
      </c>
      <c r="S303" s="5">
        <v>0.0</v>
      </c>
      <c r="T303" s="5">
        <v>4800000.0</v>
      </c>
      <c r="U303" s="6">
        <v>0.0</v>
      </c>
      <c r="V303" s="3" t="s">
        <v>463</v>
      </c>
      <c r="W303" s="7" t="s">
        <v>28</v>
      </c>
    </row>
    <row r="304" ht="12.75" customHeight="1">
      <c r="A304" s="2" t="s">
        <v>717</v>
      </c>
      <c r="B304" s="3">
        <v>45456.6798611111</v>
      </c>
      <c r="C304" s="3" t="s">
        <v>718</v>
      </c>
      <c r="D304" s="2" t="s">
        <v>719</v>
      </c>
      <c r="E304" s="2" t="s">
        <v>23</v>
      </c>
      <c r="F304" s="4"/>
      <c r="G304" s="4"/>
      <c r="H304" s="4"/>
      <c r="I304" s="4"/>
      <c r="J304" s="2" t="s">
        <v>24</v>
      </c>
      <c r="K304" s="2" t="s">
        <v>158</v>
      </c>
      <c r="L304" s="2" t="s">
        <v>159</v>
      </c>
      <c r="M304" s="5">
        <v>1.0</v>
      </c>
      <c r="N304" s="2" t="s">
        <v>27</v>
      </c>
      <c r="O304" s="6">
        <v>4800000.0</v>
      </c>
      <c r="P304" s="5">
        <v>4800000.0</v>
      </c>
      <c r="R304" s="4">
        <v>0.0</v>
      </c>
      <c r="S304" s="5">
        <v>0.0</v>
      </c>
      <c r="T304" s="5">
        <v>4800000.0</v>
      </c>
      <c r="U304" s="6">
        <v>0.0</v>
      </c>
      <c r="V304" s="3" t="s">
        <v>720</v>
      </c>
      <c r="W304" s="7" t="s">
        <v>28</v>
      </c>
    </row>
    <row r="305" ht="12.75" customHeight="1">
      <c r="A305" s="2" t="s">
        <v>721</v>
      </c>
      <c r="B305" s="3">
        <v>45457.6449421296</v>
      </c>
      <c r="C305" s="3" t="s">
        <v>722</v>
      </c>
      <c r="D305" s="2" t="s">
        <v>723</v>
      </c>
      <c r="E305" s="2" t="s">
        <v>23</v>
      </c>
      <c r="F305" s="4"/>
      <c r="G305" s="4"/>
      <c r="H305" s="4"/>
      <c r="I305" s="4"/>
      <c r="J305" s="2" t="s">
        <v>24</v>
      </c>
      <c r="K305" s="2" t="s">
        <v>458</v>
      </c>
      <c r="L305" s="2" t="s">
        <v>459</v>
      </c>
      <c r="M305" s="5">
        <v>3.0</v>
      </c>
      <c r="N305" s="2" t="s">
        <v>40</v>
      </c>
      <c r="O305" s="6">
        <v>550000.0</v>
      </c>
      <c r="P305" s="5">
        <v>1425000.0</v>
      </c>
      <c r="R305" s="4">
        <v>0.0</v>
      </c>
      <c r="S305" s="5">
        <v>0.0</v>
      </c>
      <c r="T305" s="5">
        <v>1650000.0</v>
      </c>
      <c r="U305" s="6">
        <v>13.6363636364</v>
      </c>
      <c r="V305" s="3" t="s">
        <v>28</v>
      </c>
      <c r="W305" s="7" t="s">
        <v>28</v>
      </c>
    </row>
    <row r="306" ht="12.75" customHeight="1">
      <c r="A306" s="2" t="s">
        <v>724</v>
      </c>
      <c r="B306" s="3">
        <v>45467.559375</v>
      </c>
      <c r="C306" s="3" t="s">
        <v>22</v>
      </c>
      <c r="D306" s="2" t="s">
        <v>22</v>
      </c>
      <c r="E306" s="2" t="s">
        <v>23</v>
      </c>
      <c r="F306" s="4"/>
      <c r="G306" s="4"/>
      <c r="H306" s="4"/>
      <c r="I306" s="4"/>
      <c r="J306" s="2" t="s">
        <v>24</v>
      </c>
      <c r="K306" s="2" t="s">
        <v>346</v>
      </c>
      <c r="L306" s="2" t="s">
        <v>347</v>
      </c>
      <c r="M306" s="5">
        <v>1.0</v>
      </c>
      <c r="N306" s="2" t="s">
        <v>40</v>
      </c>
      <c r="O306" s="6">
        <v>1175000.0</v>
      </c>
      <c r="P306" s="5">
        <v>1175000.0</v>
      </c>
      <c r="R306" s="4">
        <v>0.0</v>
      </c>
      <c r="S306" s="5">
        <v>0.0</v>
      </c>
      <c r="T306" s="5">
        <v>1175000.0</v>
      </c>
      <c r="U306" s="6">
        <v>0.0</v>
      </c>
      <c r="V306" s="3" t="s">
        <v>725</v>
      </c>
      <c r="W306" s="7" t="s">
        <v>28</v>
      </c>
    </row>
    <row r="307" ht="13.5" customHeight="1">
      <c r="A307" s="2" t="s">
        <v>726</v>
      </c>
      <c r="B307" s="3">
        <v>45467.5602546296</v>
      </c>
      <c r="C307" s="3" t="s">
        <v>22</v>
      </c>
      <c r="D307" s="2" t="s">
        <v>22</v>
      </c>
      <c r="E307" s="2" t="s">
        <v>23</v>
      </c>
      <c r="F307" s="4"/>
      <c r="G307" s="4"/>
      <c r="H307" s="4"/>
      <c r="I307" s="4"/>
      <c r="J307" s="2" t="s">
        <v>24</v>
      </c>
      <c r="K307" s="2" t="s">
        <v>268</v>
      </c>
      <c r="L307" s="2" t="s">
        <v>269</v>
      </c>
      <c r="M307" s="5">
        <v>1.0</v>
      </c>
      <c r="N307" s="2" t="s">
        <v>46</v>
      </c>
      <c r="O307" s="6">
        <v>50000.0</v>
      </c>
      <c r="P307" s="5">
        <v>50000.0</v>
      </c>
      <c r="R307" s="4">
        <v>0.0</v>
      </c>
      <c r="S307" s="5">
        <v>0.0</v>
      </c>
      <c r="T307" s="5">
        <v>50000.0</v>
      </c>
      <c r="U307" s="6">
        <v>0.0</v>
      </c>
      <c r="V307" s="3" t="s">
        <v>28</v>
      </c>
      <c r="W307" s="7" t="s">
        <v>28</v>
      </c>
    </row>
    <row r="308" ht="12.75" customHeight="1">
      <c r="A308" s="2" t="s">
        <v>727</v>
      </c>
      <c r="B308" s="3">
        <v>45467.5613310185</v>
      </c>
      <c r="C308" s="3" t="s">
        <v>590</v>
      </c>
      <c r="D308" s="2" t="s">
        <v>591</v>
      </c>
      <c r="E308" s="2" t="s">
        <v>23</v>
      </c>
      <c r="F308" s="4"/>
      <c r="G308" s="4"/>
      <c r="H308" s="4"/>
      <c r="I308" s="4"/>
      <c r="J308" s="2" t="s">
        <v>592</v>
      </c>
      <c r="K308" s="2" t="s">
        <v>680</v>
      </c>
      <c r="L308" s="2" t="s">
        <v>681</v>
      </c>
      <c r="M308" s="5">
        <v>1.0</v>
      </c>
      <c r="N308" s="2" t="s">
        <v>27</v>
      </c>
      <c r="O308" s="6">
        <v>4550000.0</v>
      </c>
      <c r="P308" s="5">
        <v>4095000.0</v>
      </c>
      <c r="R308" s="4">
        <v>0.0</v>
      </c>
      <c r="S308" s="5">
        <v>0.0</v>
      </c>
      <c r="T308" s="5">
        <v>4095000.0</v>
      </c>
      <c r="U308" s="6">
        <v>0.0</v>
      </c>
      <c r="V308" s="3" t="s">
        <v>28</v>
      </c>
      <c r="W308" s="7" t="s">
        <v>28</v>
      </c>
    </row>
    <row r="309" ht="12.75" customHeight="1">
      <c r="A309" s="2" t="s">
        <v>728</v>
      </c>
      <c r="B309" s="3">
        <v>45467.5632523148</v>
      </c>
      <c r="C309" s="3" t="s">
        <v>581</v>
      </c>
      <c r="D309" s="2" t="s">
        <v>582</v>
      </c>
      <c r="E309" s="2" t="s">
        <v>23</v>
      </c>
      <c r="F309" s="4"/>
      <c r="G309" s="4"/>
      <c r="H309" s="4"/>
      <c r="I309" s="4"/>
      <c r="J309" s="2" t="s">
        <v>24</v>
      </c>
      <c r="K309" s="2" t="s">
        <v>346</v>
      </c>
      <c r="L309" s="2" t="s">
        <v>347</v>
      </c>
      <c r="M309" s="5">
        <v>2.0</v>
      </c>
      <c r="N309" s="2" t="s">
        <v>40</v>
      </c>
      <c r="O309" s="6">
        <v>1175000.0</v>
      </c>
      <c r="P309" s="5">
        <v>0.0</v>
      </c>
      <c r="R309" s="4">
        <v>0.0</v>
      </c>
      <c r="S309" s="5">
        <v>2350000.0</v>
      </c>
      <c r="T309" s="5">
        <v>2350000.0</v>
      </c>
      <c r="U309" s="6">
        <v>0.0</v>
      </c>
      <c r="V309" s="3" t="s">
        <v>729</v>
      </c>
      <c r="W309" s="7" t="s">
        <v>28</v>
      </c>
    </row>
    <row r="310" ht="12.75" customHeight="1">
      <c r="A310" s="2" t="s">
        <v>730</v>
      </c>
      <c r="B310" s="3">
        <v>45467.5648032407</v>
      </c>
      <c r="C310" s="3" t="s">
        <v>22</v>
      </c>
      <c r="D310" s="2" t="s">
        <v>22</v>
      </c>
      <c r="E310" s="2" t="s">
        <v>23</v>
      </c>
      <c r="F310" s="4"/>
      <c r="G310" s="4"/>
      <c r="H310" s="4"/>
      <c r="I310" s="4"/>
      <c r="J310" s="2" t="s">
        <v>24</v>
      </c>
      <c r="K310" s="2" t="s">
        <v>30</v>
      </c>
      <c r="L310" s="2" t="s">
        <v>31</v>
      </c>
      <c r="M310" s="5">
        <v>1.0</v>
      </c>
      <c r="N310" s="2" t="s">
        <v>27</v>
      </c>
      <c r="O310" s="6">
        <v>4450000.0</v>
      </c>
      <c r="P310" s="5">
        <v>4350000.0</v>
      </c>
      <c r="R310" s="4">
        <v>0.0</v>
      </c>
      <c r="S310" s="5">
        <v>0.0</v>
      </c>
      <c r="T310" s="5">
        <v>4450000.0</v>
      </c>
      <c r="U310" s="6">
        <v>2.2471910112</v>
      </c>
      <c r="V310" s="3" t="s">
        <v>731</v>
      </c>
      <c r="W310" s="7" t="s">
        <v>28</v>
      </c>
    </row>
    <row r="311" ht="12.75" customHeight="1">
      <c r="A311" s="2" t="s">
        <v>732</v>
      </c>
      <c r="B311" s="3">
        <v>45467.5678009259</v>
      </c>
      <c r="C311" s="3" t="s">
        <v>22</v>
      </c>
      <c r="D311" s="2" t="s">
        <v>22</v>
      </c>
      <c r="E311" s="2" t="s">
        <v>23</v>
      </c>
      <c r="F311" s="4"/>
      <c r="G311" s="4"/>
      <c r="H311" s="4"/>
      <c r="I311" s="4"/>
      <c r="J311" s="2" t="s">
        <v>24</v>
      </c>
      <c r="K311" s="2" t="s">
        <v>458</v>
      </c>
      <c r="L311" s="2" t="s">
        <v>459</v>
      </c>
      <c r="M311" s="5">
        <v>2.0</v>
      </c>
      <c r="N311" s="2" t="s">
        <v>40</v>
      </c>
      <c r="O311" s="6">
        <v>550000.0</v>
      </c>
      <c r="P311" s="5">
        <v>1100000.0</v>
      </c>
      <c r="R311" s="4">
        <v>0.0</v>
      </c>
      <c r="S311" s="5">
        <v>0.0</v>
      </c>
      <c r="T311" s="5">
        <v>1100000.0</v>
      </c>
      <c r="U311" s="6">
        <v>0.0</v>
      </c>
      <c r="V311" s="3" t="s">
        <v>733</v>
      </c>
      <c r="W311" s="7" t="s">
        <v>28</v>
      </c>
    </row>
    <row r="312" ht="12.75" customHeight="1">
      <c r="A312" s="2" t="s">
        <v>734</v>
      </c>
      <c r="B312" s="3">
        <v>45467.5696759259</v>
      </c>
      <c r="C312" s="3" t="s">
        <v>686</v>
      </c>
      <c r="D312" s="2" t="s">
        <v>687</v>
      </c>
      <c r="E312" s="2" t="s">
        <v>23</v>
      </c>
      <c r="F312" s="4"/>
      <c r="G312" s="4"/>
      <c r="H312" s="4"/>
      <c r="I312" s="4"/>
      <c r="J312" s="2" t="s">
        <v>24</v>
      </c>
      <c r="K312" s="2" t="s">
        <v>645</v>
      </c>
      <c r="L312" s="2" t="s">
        <v>646</v>
      </c>
      <c r="M312" s="5">
        <v>2.0</v>
      </c>
      <c r="N312" s="2" t="s">
        <v>40</v>
      </c>
      <c r="O312" s="6">
        <v>80000.0</v>
      </c>
      <c r="P312" s="5">
        <v>0.0</v>
      </c>
      <c r="R312" s="4">
        <v>0.0</v>
      </c>
      <c r="S312" s="5">
        <v>160000.0</v>
      </c>
      <c r="T312" s="5">
        <v>160000.0</v>
      </c>
      <c r="U312" s="6">
        <v>0.0</v>
      </c>
      <c r="V312" s="3" t="s">
        <v>28</v>
      </c>
      <c r="W312" s="7" t="s">
        <v>28</v>
      </c>
    </row>
    <row r="313" ht="12.75" customHeight="1">
      <c r="A313" s="2" t="s">
        <v>735</v>
      </c>
      <c r="B313" s="3">
        <v>45468.6953703704</v>
      </c>
      <c r="C313" s="3" t="s">
        <v>642</v>
      </c>
      <c r="D313" s="2" t="s">
        <v>643</v>
      </c>
      <c r="E313" s="2" t="s">
        <v>23</v>
      </c>
      <c r="F313" s="4"/>
      <c r="G313" s="4"/>
      <c r="H313" s="4"/>
      <c r="I313" s="4"/>
      <c r="J313" s="2" t="s">
        <v>24</v>
      </c>
      <c r="K313" s="2" t="s">
        <v>551</v>
      </c>
      <c r="L313" s="2" t="s">
        <v>552</v>
      </c>
      <c r="M313" s="5">
        <v>2.0</v>
      </c>
      <c r="N313" s="2" t="s">
        <v>27</v>
      </c>
      <c r="O313" s="6">
        <v>2860000.0</v>
      </c>
      <c r="P313" s="5">
        <v>0.0</v>
      </c>
      <c r="R313" s="4">
        <v>0.0</v>
      </c>
      <c r="S313" s="5">
        <v>5500000.0</v>
      </c>
      <c r="T313" s="5">
        <v>5720000.0</v>
      </c>
      <c r="U313" s="6">
        <v>3.8461538462</v>
      </c>
      <c r="V313" s="3" t="s">
        <v>28</v>
      </c>
      <c r="W313" s="7" t="s">
        <v>28</v>
      </c>
    </row>
    <row r="314" ht="12.75" customHeight="1">
      <c r="A314" s="2" t="s">
        <v>736</v>
      </c>
      <c r="B314" s="3">
        <v>45468.7100462963</v>
      </c>
      <c r="C314" s="3" t="s">
        <v>737</v>
      </c>
      <c r="D314" s="2" t="s">
        <v>738</v>
      </c>
      <c r="E314" s="2" t="s">
        <v>23</v>
      </c>
      <c r="F314" s="4"/>
      <c r="G314" s="4"/>
      <c r="H314" s="4"/>
      <c r="I314" s="4"/>
      <c r="J314" s="2" t="s">
        <v>62</v>
      </c>
      <c r="K314" s="2" t="s">
        <v>140</v>
      </c>
      <c r="L314" s="2" t="s">
        <v>141</v>
      </c>
      <c r="M314" s="5">
        <v>6.0</v>
      </c>
      <c r="N314" s="2" t="s">
        <v>40</v>
      </c>
      <c r="O314" s="6">
        <v>325000.0</v>
      </c>
      <c r="P314" s="5">
        <v>0.0</v>
      </c>
      <c r="R314" s="4">
        <v>0.0</v>
      </c>
      <c r="S314" s="5">
        <v>1950000.0</v>
      </c>
      <c r="T314" s="5">
        <v>1950000.0</v>
      </c>
      <c r="U314" s="6">
        <v>0.0</v>
      </c>
      <c r="V314" s="3" t="s">
        <v>28</v>
      </c>
      <c r="W314" s="7" t="s">
        <v>28</v>
      </c>
    </row>
    <row r="315" ht="12.75" customHeight="1">
      <c r="A315" s="2" t="s">
        <v>739</v>
      </c>
      <c r="B315" s="3">
        <v>45471.6284722222</v>
      </c>
      <c r="C315" s="3" t="s">
        <v>740</v>
      </c>
      <c r="D315" s="2" t="s">
        <v>741</v>
      </c>
      <c r="E315" s="2" t="s">
        <v>23</v>
      </c>
      <c r="F315" s="4"/>
      <c r="G315" s="4"/>
      <c r="H315" s="4"/>
      <c r="I315" s="4"/>
      <c r="J315" s="2" t="s">
        <v>62</v>
      </c>
      <c r="K315" s="2" t="s">
        <v>742</v>
      </c>
      <c r="L315" s="2" t="s">
        <v>743</v>
      </c>
      <c r="M315" s="5">
        <v>2.0</v>
      </c>
      <c r="N315" s="2" t="s">
        <v>40</v>
      </c>
      <c r="O315" s="6">
        <v>2700000.0</v>
      </c>
      <c r="P315" s="5">
        <v>6300000.0</v>
      </c>
      <c r="R315" s="4">
        <v>0.0</v>
      </c>
      <c r="S315" s="5">
        <v>0.0</v>
      </c>
      <c r="T315" s="5">
        <v>5400000.0</v>
      </c>
      <c r="U315" s="6">
        <v>0.0</v>
      </c>
      <c r="V315" s="3" t="s">
        <v>744</v>
      </c>
      <c r="W315" s="7" t="s">
        <v>28</v>
      </c>
    </row>
    <row r="316" ht="12.75" customHeight="1">
      <c r="A316" s="2" t="s">
        <v>739</v>
      </c>
      <c r="B316" s="3">
        <v>45471.6284722222</v>
      </c>
      <c r="C316" s="3" t="s">
        <v>740</v>
      </c>
      <c r="D316" s="2" t="s">
        <v>741</v>
      </c>
      <c r="E316" s="2" t="s">
        <v>23</v>
      </c>
      <c r="F316" s="4"/>
      <c r="G316" s="4"/>
      <c r="H316" s="4"/>
      <c r="I316" s="4"/>
      <c r="J316" s="2" t="s">
        <v>62</v>
      </c>
      <c r="K316" s="2" t="s">
        <v>745</v>
      </c>
      <c r="L316" s="2" t="s">
        <v>746</v>
      </c>
      <c r="M316" s="5">
        <v>2.0</v>
      </c>
      <c r="N316" s="2" t="s">
        <v>40</v>
      </c>
      <c r="O316" s="6">
        <v>450000.0</v>
      </c>
      <c r="P316" s="5">
        <v>6300000.0</v>
      </c>
      <c r="R316" s="4">
        <v>0.0</v>
      </c>
      <c r="S316" s="5">
        <v>0.0</v>
      </c>
      <c r="T316" s="5">
        <v>900000.0</v>
      </c>
      <c r="U316" s="6">
        <v>0.0</v>
      </c>
      <c r="V316" s="3" t="s">
        <v>744</v>
      </c>
      <c r="W316" s="7" t="s">
        <v>28</v>
      </c>
    </row>
    <row r="317" ht="12.75" customHeight="1">
      <c r="A317" s="2" t="s">
        <v>747</v>
      </c>
      <c r="B317" s="3">
        <v>45471.6360300926</v>
      </c>
      <c r="C317" s="3" t="s">
        <v>748</v>
      </c>
      <c r="D317" s="2" t="s">
        <v>749</v>
      </c>
      <c r="E317" s="2" t="s">
        <v>23</v>
      </c>
      <c r="F317" s="4"/>
      <c r="G317" s="4"/>
      <c r="H317" s="4"/>
      <c r="I317" s="4"/>
      <c r="J317" s="2" t="s">
        <v>750</v>
      </c>
      <c r="K317" s="2" t="s">
        <v>610</v>
      </c>
      <c r="L317" s="2" t="s">
        <v>611</v>
      </c>
      <c r="M317" s="5">
        <v>4.0</v>
      </c>
      <c r="N317" s="2" t="s">
        <v>40</v>
      </c>
      <c r="O317" s="6">
        <v>1100000.0</v>
      </c>
      <c r="P317" s="5">
        <v>4000000.0</v>
      </c>
      <c r="R317" s="4">
        <v>0.0</v>
      </c>
      <c r="S317" s="5">
        <v>0.0</v>
      </c>
      <c r="T317" s="5">
        <v>4400000.0</v>
      </c>
      <c r="U317" s="6">
        <v>9.0909090909</v>
      </c>
      <c r="V317" s="3" t="s">
        <v>613</v>
      </c>
      <c r="W317" s="7" t="s">
        <v>28</v>
      </c>
    </row>
    <row r="318" ht="12.75" customHeight="1">
      <c r="A318" s="2" t="s">
        <v>751</v>
      </c>
      <c r="B318" s="3">
        <v>45471.6425694444</v>
      </c>
      <c r="C318" s="3" t="s">
        <v>48</v>
      </c>
      <c r="D318" s="2" t="s">
        <v>49</v>
      </c>
      <c r="E318" s="2" t="s">
        <v>23</v>
      </c>
      <c r="F318" s="4"/>
      <c r="G318" s="4"/>
      <c r="H318" s="4"/>
      <c r="I318" s="4"/>
      <c r="J318" s="2" t="s">
        <v>24</v>
      </c>
      <c r="K318" s="2" t="s">
        <v>752</v>
      </c>
      <c r="L318" s="2" t="s">
        <v>753</v>
      </c>
      <c r="M318" s="5">
        <v>1.0</v>
      </c>
      <c r="N318" s="2" t="s">
        <v>40</v>
      </c>
      <c r="O318" s="6">
        <v>2.2E7</v>
      </c>
      <c r="P318" s="5">
        <v>0.0</v>
      </c>
      <c r="R318" s="4">
        <v>0.0</v>
      </c>
      <c r="S318" s="5">
        <v>2.475E7</v>
      </c>
      <c r="T318" s="5">
        <v>2.2E7</v>
      </c>
      <c r="U318" s="6">
        <v>0.0</v>
      </c>
      <c r="V318" s="3" t="s">
        <v>28</v>
      </c>
      <c r="W318" s="7" t="s">
        <v>28</v>
      </c>
    </row>
    <row r="319" ht="12.75" customHeight="1">
      <c r="A319" s="2" t="s">
        <v>751</v>
      </c>
      <c r="B319" s="3">
        <v>45471.6425694444</v>
      </c>
      <c r="C319" s="3" t="s">
        <v>48</v>
      </c>
      <c r="D319" s="2" t="s">
        <v>49</v>
      </c>
      <c r="E319" s="2" t="s">
        <v>23</v>
      </c>
      <c r="F319" s="4"/>
      <c r="G319" s="4"/>
      <c r="H319" s="4"/>
      <c r="I319" s="4"/>
      <c r="J319" s="2" t="s">
        <v>24</v>
      </c>
      <c r="K319" s="2" t="s">
        <v>567</v>
      </c>
      <c r="L319" s="2" t="s">
        <v>568</v>
      </c>
      <c r="M319" s="5">
        <v>1.0</v>
      </c>
      <c r="N319" s="2" t="s">
        <v>40</v>
      </c>
      <c r="O319" s="6">
        <v>2600000.0</v>
      </c>
      <c r="P319" s="5">
        <v>0.0</v>
      </c>
      <c r="R319" s="4">
        <v>0.0</v>
      </c>
      <c r="S319" s="5">
        <v>2.475E7</v>
      </c>
      <c r="T319" s="5">
        <v>2600000.0</v>
      </c>
      <c r="U319" s="6">
        <v>0.0</v>
      </c>
      <c r="V319" s="3" t="s">
        <v>28</v>
      </c>
      <c r="W319" s="7" t="s">
        <v>28</v>
      </c>
    </row>
    <row r="320" ht="13.5" customHeight="1">
      <c r="A320" s="2" t="s">
        <v>751</v>
      </c>
      <c r="B320" s="3">
        <v>45471.6425694444</v>
      </c>
      <c r="C320" s="3" t="s">
        <v>48</v>
      </c>
      <c r="D320" s="2" t="s">
        <v>49</v>
      </c>
      <c r="E320" s="2" t="s">
        <v>23</v>
      </c>
      <c r="F320" s="4"/>
      <c r="G320" s="4"/>
      <c r="H320" s="4"/>
      <c r="I320" s="4"/>
      <c r="J320" s="2" t="s">
        <v>24</v>
      </c>
      <c r="K320" s="2" t="s">
        <v>80</v>
      </c>
      <c r="L320" s="2" t="s">
        <v>81</v>
      </c>
      <c r="M320" s="5">
        <v>1.0</v>
      </c>
      <c r="N320" s="2" t="s">
        <v>40</v>
      </c>
      <c r="O320" s="6">
        <v>150000.0</v>
      </c>
      <c r="P320" s="5">
        <v>0.0</v>
      </c>
      <c r="R320" s="4">
        <v>0.0</v>
      </c>
      <c r="S320" s="5">
        <v>2.475E7</v>
      </c>
      <c r="T320" s="5">
        <v>150000.0</v>
      </c>
      <c r="U320" s="6">
        <v>0.0</v>
      </c>
      <c r="V320" s="3" t="s">
        <v>28</v>
      </c>
      <c r="W320" s="7" t="s">
        <v>28</v>
      </c>
    </row>
    <row r="321" ht="12.75" customHeight="1">
      <c r="A321" s="2" t="s">
        <v>754</v>
      </c>
      <c r="B321" s="3">
        <v>45471.698125</v>
      </c>
      <c r="C321" s="3" t="s">
        <v>22</v>
      </c>
      <c r="D321" s="2" t="s">
        <v>22</v>
      </c>
      <c r="E321" s="2" t="s">
        <v>23</v>
      </c>
      <c r="F321" s="4"/>
      <c r="G321" s="4"/>
      <c r="H321" s="4"/>
      <c r="I321" s="4"/>
      <c r="J321" s="2" t="s">
        <v>24</v>
      </c>
      <c r="K321" s="2" t="s">
        <v>268</v>
      </c>
      <c r="L321" s="2" t="s">
        <v>269</v>
      </c>
      <c r="M321" s="5">
        <v>2.0</v>
      </c>
      <c r="N321" s="2" t="s">
        <v>46</v>
      </c>
      <c r="O321" s="6">
        <v>50000.0</v>
      </c>
      <c r="P321" s="5">
        <v>100000.0</v>
      </c>
      <c r="R321" s="4">
        <v>0.0</v>
      </c>
      <c r="S321" s="5">
        <v>0.0</v>
      </c>
      <c r="T321" s="5">
        <v>100000.0</v>
      </c>
      <c r="U321" s="6">
        <v>0.0</v>
      </c>
      <c r="V321" s="3" t="s">
        <v>755</v>
      </c>
      <c r="W321" s="7" t="s">
        <v>28</v>
      </c>
    </row>
    <row r="322" ht="12.75" customHeight="1">
      <c r="A322" s="2" t="s">
        <v>756</v>
      </c>
      <c r="B322" s="3">
        <v>45472.6210416667</v>
      </c>
      <c r="C322" s="3" t="s">
        <v>22</v>
      </c>
      <c r="D322" s="2" t="s">
        <v>22</v>
      </c>
      <c r="E322" s="2" t="s">
        <v>23</v>
      </c>
      <c r="F322" s="4"/>
      <c r="G322" s="4"/>
      <c r="H322" s="4"/>
      <c r="I322" s="4"/>
      <c r="J322" s="2" t="s">
        <v>24</v>
      </c>
      <c r="K322" s="2" t="s">
        <v>757</v>
      </c>
      <c r="L322" s="2" t="s">
        <v>758</v>
      </c>
      <c r="M322" s="5">
        <v>1.0</v>
      </c>
      <c r="N322" s="2" t="s">
        <v>40</v>
      </c>
      <c r="O322" s="6">
        <v>2650000.0</v>
      </c>
      <c r="P322" s="5">
        <v>2400000.0</v>
      </c>
      <c r="R322" s="4">
        <v>0.0</v>
      </c>
      <c r="S322" s="5">
        <v>0.0</v>
      </c>
      <c r="T322" s="5">
        <v>2650000.0</v>
      </c>
      <c r="U322" s="6">
        <v>9.4339622642</v>
      </c>
      <c r="V322" s="3" t="s">
        <v>708</v>
      </c>
      <c r="W322" s="7" t="s">
        <v>28</v>
      </c>
    </row>
    <row r="323" ht="12.75" customHeight="1">
      <c r="A323" s="2" t="s">
        <v>759</v>
      </c>
      <c r="B323" s="3">
        <v>45474.6658333333</v>
      </c>
      <c r="C323" s="3" t="s">
        <v>22</v>
      </c>
      <c r="D323" s="2" t="s">
        <v>22</v>
      </c>
      <c r="E323" s="2" t="s">
        <v>23</v>
      </c>
      <c r="F323" s="4"/>
      <c r="G323" s="4"/>
      <c r="H323" s="4"/>
      <c r="I323" s="4"/>
      <c r="J323" s="2" t="s">
        <v>24</v>
      </c>
      <c r="K323" s="2" t="s">
        <v>706</v>
      </c>
      <c r="L323" s="2" t="s">
        <v>707</v>
      </c>
      <c r="M323" s="5">
        <v>1.0</v>
      </c>
      <c r="N323" s="2" t="s">
        <v>40</v>
      </c>
      <c r="O323" s="6">
        <v>250000.0</v>
      </c>
      <c r="P323" s="5">
        <v>250000.0</v>
      </c>
      <c r="R323" s="4">
        <v>0.0</v>
      </c>
      <c r="S323" s="5">
        <v>0.0</v>
      </c>
      <c r="T323" s="5">
        <v>250000.0</v>
      </c>
      <c r="U323" s="6">
        <v>0.0</v>
      </c>
      <c r="V323" s="3" t="s">
        <v>28</v>
      </c>
      <c r="W323" s="7" t="s">
        <v>28</v>
      </c>
    </row>
    <row r="324" ht="12.75" customHeight="1">
      <c r="A324" s="2" t="s">
        <v>760</v>
      </c>
      <c r="B324" s="3">
        <v>45474.6667592593</v>
      </c>
      <c r="C324" s="3" t="s">
        <v>22</v>
      </c>
      <c r="D324" s="2" t="s">
        <v>22</v>
      </c>
      <c r="E324" s="2" t="s">
        <v>23</v>
      </c>
      <c r="F324" s="4"/>
      <c r="G324" s="4"/>
      <c r="H324" s="4"/>
      <c r="I324" s="4"/>
      <c r="J324" s="2" t="s">
        <v>24</v>
      </c>
      <c r="K324" s="2" t="s">
        <v>706</v>
      </c>
      <c r="L324" s="2" t="s">
        <v>707</v>
      </c>
      <c r="M324" s="5">
        <v>1.0</v>
      </c>
      <c r="N324" s="2" t="s">
        <v>40</v>
      </c>
      <c r="O324" s="6">
        <v>250000.0</v>
      </c>
      <c r="P324" s="5">
        <v>250000.0</v>
      </c>
      <c r="R324" s="4">
        <v>0.0</v>
      </c>
      <c r="S324" s="5">
        <v>0.0</v>
      </c>
      <c r="T324" s="5">
        <v>250000.0</v>
      </c>
      <c r="U324" s="6">
        <v>0.0</v>
      </c>
      <c r="V324" s="3" t="s">
        <v>28</v>
      </c>
      <c r="W324" s="7" t="s">
        <v>28</v>
      </c>
    </row>
    <row r="325" ht="12.75" customHeight="1">
      <c r="A325" s="2" t="s">
        <v>761</v>
      </c>
      <c r="B325" s="3">
        <v>45476.6429050926</v>
      </c>
      <c r="C325" s="3" t="s">
        <v>22</v>
      </c>
      <c r="D325" s="2" t="s">
        <v>22</v>
      </c>
      <c r="E325" s="2" t="s">
        <v>23</v>
      </c>
      <c r="F325" s="4"/>
      <c r="G325" s="4"/>
      <c r="H325" s="4"/>
      <c r="I325" s="4"/>
      <c r="J325" s="2" t="s">
        <v>24</v>
      </c>
      <c r="K325" s="2" t="s">
        <v>762</v>
      </c>
      <c r="L325" s="2" t="s">
        <v>763</v>
      </c>
      <c r="M325" s="5">
        <v>1.0</v>
      </c>
      <c r="N325" s="2" t="s">
        <v>27</v>
      </c>
      <c r="O325" s="6">
        <v>5250000.0</v>
      </c>
      <c r="P325" s="5">
        <v>5000000.0</v>
      </c>
      <c r="R325" s="4">
        <v>0.0</v>
      </c>
      <c r="S325" s="5">
        <v>0.0</v>
      </c>
      <c r="T325" s="5">
        <v>5250000.0</v>
      </c>
      <c r="U325" s="6">
        <v>4.7619047619</v>
      </c>
      <c r="V325" s="3" t="s">
        <v>28</v>
      </c>
      <c r="W325" s="7" t="s">
        <v>28</v>
      </c>
    </row>
    <row r="326" ht="12.75" customHeight="1">
      <c r="A326" s="2" t="s">
        <v>764</v>
      </c>
      <c r="B326" s="3">
        <v>45476.6437847222</v>
      </c>
      <c r="C326" s="3" t="s">
        <v>22</v>
      </c>
      <c r="D326" s="2" t="s">
        <v>22</v>
      </c>
      <c r="E326" s="2" t="s">
        <v>23</v>
      </c>
      <c r="F326" s="4"/>
      <c r="G326" s="4"/>
      <c r="H326" s="4"/>
      <c r="I326" s="4"/>
      <c r="J326" s="2" t="s">
        <v>24</v>
      </c>
      <c r="K326" s="2" t="s">
        <v>762</v>
      </c>
      <c r="L326" s="2" t="s">
        <v>763</v>
      </c>
      <c r="M326" s="5">
        <v>1.0</v>
      </c>
      <c r="N326" s="2" t="s">
        <v>27</v>
      </c>
      <c r="O326" s="6">
        <v>5250000.0</v>
      </c>
      <c r="P326" s="5">
        <v>5000000.0</v>
      </c>
      <c r="R326" s="4">
        <v>0.0</v>
      </c>
      <c r="S326" s="5">
        <v>0.0</v>
      </c>
      <c r="T326" s="5">
        <v>5250000.0</v>
      </c>
      <c r="U326" s="6">
        <v>4.7619047619</v>
      </c>
      <c r="V326" s="3" t="s">
        <v>28</v>
      </c>
      <c r="W326" s="7" t="s">
        <v>28</v>
      </c>
    </row>
    <row r="327" ht="12.75" customHeight="1">
      <c r="A327" s="2" t="s">
        <v>765</v>
      </c>
      <c r="B327" s="3">
        <v>45476.6453472222</v>
      </c>
      <c r="C327" s="3" t="s">
        <v>393</v>
      </c>
      <c r="D327" s="2" t="s">
        <v>394</v>
      </c>
      <c r="E327" s="2" t="s">
        <v>23</v>
      </c>
      <c r="F327" s="4"/>
      <c r="G327" s="4"/>
      <c r="H327" s="4"/>
      <c r="I327" s="4"/>
      <c r="J327" s="2" t="s">
        <v>62</v>
      </c>
      <c r="K327" s="2" t="s">
        <v>268</v>
      </c>
      <c r="L327" s="2" t="s">
        <v>269</v>
      </c>
      <c r="M327" s="5">
        <v>3.0</v>
      </c>
      <c r="N327" s="2" t="s">
        <v>46</v>
      </c>
      <c r="O327" s="6">
        <v>50000.0</v>
      </c>
      <c r="P327" s="5">
        <v>0.0</v>
      </c>
      <c r="R327" s="4">
        <v>0.0</v>
      </c>
      <c r="S327" s="5">
        <v>300000.0</v>
      </c>
      <c r="T327" s="5">
        <v>150000.0</v>
      </c>
      <c r="U327" s="6">
        <v>0.0</v>
      </c>
      <c r="V327" s="3" t="s">
        <v>28</v>
      </c>
      <c r="W327" s="7" t="s">
        <v>28</v>
      </c>
    </row>
    <row r="328" ht="12.75" customHeight="1">
      <c r="A328" s="2" t="s">
        <v>765</v>
      </c>
      <c r="B328" s="3">
        <v>45476.6453472222</v>
      </c>
      <c r="C328" s="3" t="s">
        <v>393</v>
      </c>
      <c r="D328" s="2" t="s">
        <v>394</v>
      </c>
      <c r="E328" s="2" t="s">
        <v>23</v>
      </c>
      <c r="F328" s="4"/>
      <c r="G328" s="4"/>
      <c r="H328" s="4"/>
      <c r="I328" s="4"/>
      <c r="J328" s="2" t="s">
        <v>62</v>
      </c>
      <c r="K328" s="2" t="s">
        <v>446</v>
      </c>
      <c r="L328" s="2" t="s">
        <v>447</v>
      </c>
      <c r="M328" s="5">
        <v>6.0</v>
      </c>
      <c r="N328" s="2" t="s">
        <v>40</v>
      </c>
      <c r="O328" s="6">
        <v>25000.0</v>
      </c>
      <c r="P328" s="5">
        <v>0.0</v>
      </c>
      <c r="R328" s="4">
        <v>0.0</v>
      </c>
      <c r="S328" s="5">
        <v>300000.0</v>
      </c>
      <c r="T328" s="5">
        <v>150000.0</v>
      </c>
      <c r="U328" s="6">
        <v>0.0</v>
      </c>
      <c r="V328" s="3" t="s">
        <v>28</v>
      </c>
      <c r="W328" s="7" t="s">
        <v>28</v>
      </c>
    </row>
    <row r="329" ht="12.75" customHeight="1">
      <c r="A329" s="2" t="s">
        <v>766</v>
      </c>
      <c r="B329" s="3">
        <v>45476.6464351852</v>
      </c>
      <c r="C329" s="3" t="s">
        <v>767</v>
      </c>
      <c r="D329" s="2" t="s">
        <v>768</v>
      </c>
      <c r="E329" s="2" t="s">
        <v>23</v>
      </c>
      <c r="F329" s="4"/>
      <c r="G329" s="4"/>
      <c r="H329" s="4"/>
      <c r="I329" s="4"/>
      <c r="J329" s="2" t="s">
        <v>24</v>
      </c>
      <c r="K329" s="2" t="s">
        <v>769</v>
      </c>
      <c r="L329" s="2" t="s">
        <v>770</v>
      </c>
      <c r="M329" s="5">
        <v>1.0</v>
      </c>
      <c r="N329" s="2" t="s">
        <v>40</v>
      </c>
      <c r="O329" s="6">
        <v>450000.0</v>
      </c>
      <c r="P329" s="5">
        <v>0.0</v>
      </c>
      <c r="R329" s="4">
        <v>0.0</v>
      </c>
      <c r="S329" s="5">
        <v>450000.0</v>
      </c>
      <c r="T329" s="5">
        <v>450000.0</v>
      </c>
      <c r="U329" s="6">
        <v>0.0</v>
      </c>
      <c r="V329" s="3" t="s">
        <v>28</v>
      </c>
      <c r="W329" s="7" t="s">
        <v>28</v>
      </c>
    </row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9">
    <mergeCell ref="Q1:R1"/>
    <mergeCell ref="P2:Q2"/>
    <mergeCell ref="P3:Q3"/>
    <mergeCell ref="P4:Q4"/>
    <mergeCell ref="P5:Q5"/>
    <mergeCell ref="P6:Q6"/>
    <mergeCell ref="P7:Q7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P32:Q32"/>
    <mergeCell ref="P33:Q33"/>
    <mergeCell ref="P34:Q34"/>
    <mergeCell ref="P35:Q35"/>
    <mergeCell ref="P36:Q36"/>
    <mergeCell ref="P37:Q37"/>
    <mergeCell ref="P38:Q38"/>
    <mergeCell ref="P39:Q39"/>
    <mergeCell ref="P40:Q40"/>
    <mergeCell ref="P41:Q41"/>
    <mergeCell ref="P42:Q42"/>
    <mergeCell ref="P43:Q43"/>
    <mergeCell ref="P44:Q44"/>
    <mergeCell ref="P45:Q45"/>
    <mergeCell ref="P46:Q46"/>
    <mergeCell ref="P47:Q47"/>
    <mergeCell ref="P48:Q48"/>
    <mergeCell ref="P49:Q49"/>
    <mergeCell ref="P50:Q50"/>
    <mergeCell ref="P51:Q51"/>
    <mergeCell ref="P52:Q52"/>
    <mergeCell ref="P53:Q53"/>
    <mergeCell ref="P54:Q54"/>
    <mergeCell ref="P55:Q55"/>
    <mergeCell ref="P56:Q56"/>
    <mergeCell ref="P57:Q57"/>
    <mergeCell ref="P58:Q58"/>
    <mergeCell ref="P59:Q59"/>
    <mergeCell ref="P60:Q60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P70:Q70"/>
    <mergeCell ref="P71:Q71"/>
    <mergeCell ref="P72:Q72"/>
    <mergeCell ref="P73:Q73"/>
    <mergeCell ref="P74:Q74"/>
    <mergeCell ref="P75:Q75"/>
    <mergeCell ref="P76:Q76"/>
    <mergeCell ref="P77:Q77"/>
    <mergeCell ref="P78:Q78"/>
    <mergeCell ref="P79:Q79"/>
    <mergeCell ref="P80:Q80"/>
    <mergeCell ref="P81:Q81"/>
    <mergeCell ref="P82:Q82"/>
    <mergeCell ref="P83:Q83"/>
    <mergeCell ref="P84:Q84"/>
    <mergeCell ref="P85:Q85"/>
    <mergeCell ref="P86:Q86"/>
    <mergeCell ref="P87:Q87"/>
    <mergeCell ref="P88:Q88"/>
    <mergeCell ref="P89:Q89"/>
    <mergeCell ref="P90:Q90"/>
    <mergeCell ref="P91:Q91"/>
    <mergeCell ref="P92:Q92"/>
    <mergeCell ref="P93:Q93"/>
    <mergeCell ref="P94:Q94"/>
    <mergeCell ref="P95:Q95"/>
    <mergeCell ref="P96:Q96"/>
    <mergeCell ref="P97:Q97"/>
    <mergeCell ref="P98:Q98"/>
    <mergeCell ref="P99:Q99"/>
    <mergeCell ref="P100:Q100"/>
    <mergeCell ref="P101:Q101"/>
    <mergeCell ref="P102:Q102"/>
    <mergeCell ref="P103:Q103"/>
    <mergeCell ref="P104:Q104"/>
    <mergeCell ref="P105:Q105"/>
    <mergeCell ref="P106:Q106"/>
    <mergeCell ref="P107:Q107"/>
    <mergeCell ref="P108:Q108"/>
    <mergeCell ref="P109:Q109"/>
    <mergeCell ref="P110:Q110"/>
    <mergeCell ref="P111:Q111"/>
    <mergeCell ref="P112:Q112"/>
    <mergeCell ref="P113:Q113"/>
    <mergeCell ref="P114:Q114"/>
    <mergeCell ref="P115:Q115"/>
    <mergeCell ref="P116:Q116"/>
    <mergeCell ref="P117:Q117"/>
    <mergeCell ref="P118:Q118"/>
    <mergeCell ref="P119:Q119"/>
    <mergeCell ref="P120:Q120"/>
    <mergeCell ref="P121:Q121"/>
    <mergeCell ref="P122:Q122"/>
    <mergeCell ref="P123:Q123"/>
    <mergeCell ref="P124:Q124"/>
    <mergeCell ref="P125:Q125"/>
    <mergeCell ref="P126:Q126"/>
    <mergeCell ref="P127:Q127"/>
    <mergeCell ref="P128:Q128"/>
    <mergeCell ref="P129:Q129"/>
    <mergeCell ref="P130:Q130"/>
    <mergeCell ref="P131:Q131"/>
    <mergeCell ref="P132:Q132"/>
    <mergeCell ref="P133:Q133"/>
    <mergeCell ref="P134:Q134"/>
    <mergeCell ref="P135:Q135"/>
    <mergeCell ref="P136:Q136"/>
    <mergeCell ref="P137:Q137"/>
    <mergeCell ref="P138:Q138"/>
    <mergeCell ref="P139:Q139"/>
    <mergeCell ref="P140:Q140"/>
    <mergeCell ref="P141:Q141"/>
    <mergeCell ref="P142:Q142"/>
    <mergeCell ref="P143:Q143"/>
    <mergeCell ref="P144:Q144"/>
    <mergeCell ref="P145:Q145"/>
    <mergeCell ref="P146:Q146"/>
    <mergeCell ref="P147:Q147"/>
    <mergeCell ref="P148:Q148"/>
    <mergeCell ref="P149:Q149"/>
    <mergeCell ref="P150:Q150"/>
    <mergeCell ref="P151:Q151"/>
    <mergeCell ref="P152:Q152"/>
    <mergeCell ref="P153:Q153"/>
    <mergeCell ref="P154:Q154"/>
    <mergeCell ref="P155:Q155"/>
    <mergeCell ref="P156:Q156"/>
    <mergeCell ref="P157:Q157"/>
    <mergeCell ref="P158:Q158"/>
    <mergeCell ref="P159:Q159"/>
    <mergeCell ref="P160:Q160"/>
    <mergeCell ref="P161:Q161"/>
    <mergeCell ref="P162:Q162"/>
    <mergeCell ref="P163:Q163"/>
    <mergeCell ref="P164:Q164"/>
    <mergeCell ref="P165:Q165"/>
    <mergeCell ref="P166:Q166"/>
    <mergeCell ref="P167:Q167"/>
    <mergeCell ref="P168:Q168"/>
    <mergeCell ref="P169:Q169"/>
    <mergeCell ref="P170:Q170"/>
    <mergeCell ref="P171:Q171"/>
    <mergeCell ref="P172:Q172"/>
    <mergeCell ref="P173:Q173"/>
    <mergeCell ref="P174:Q174"/>
    <mergeCell ref="P175:Q175"/>
    <mergeCell ref="P176:Q176"/>
    <mergeCell ref="P177:Q177"/>
    <mergeCell ref="P178:Q178"/>
    <mergeCell ref="P179:Q179"/>
    <mergeCell ref="P180:Q180"/>
    <mergeCell ref="P181:Q181"/>
    <mergeCell ref="P182:Q182"/>
    <mergeCell ref="P183:Q183"/>
    <mergeCell ref="P184:Q184"/>
    <mergeCell ref="P185:Q185"/>
    <mergeCell ref="P186:Q186"/>
    <mergeCell ref="P187:Q187"/>
    <mergeCell ref="P188:Q188"/>
    <mergeCell ref="P189:Q189"/>
    <mergeCell ref="P190:Q190"/>
    <mergeCell ref="P191:Q191"/>
    <mergeCell ref="P192:Q192"/>
    <mergeCell ref="P193:Q193"/>
    <mergeCell ref="P194:Q194"/>
    <mergeCell ref="P195:Q195"/>
    <mergeCell ref="P196:Q196"/>
    <mergeCell ref="P197:Q197"/>
    <mergeCell ref="P198:Q198"/>
    <mergeCell ref="P199:Q199"/>
    <mergeCell ref="P200:Q200"/>
    <mergeCell ref="P201:Q201"/>
    <mergeCell ref="P202:Q202"/>
    <mergeCell ref="P203:Q203"/>
    <mergeCell ref="P204:Q204"/>
    <mergeCell ref="P205:Q205"/>
    <mergeCell ref="P206:Q206"/>
    <mergeCell ref="P207:Q207"/>
    <mergeCell ref="P208:Q208"/>
    <mergeCell ref="P209:Q209"/>
    <mergeCell ref="P210:Q210"/>
    <mergeCell ref="P211:Q211"/>
    <mergeCell ref="P212:Q212"/>
    <mergeCell ref="P213:Q213"/>
    <mergeCell ref="P214:Q214"/>
    <mergeCell ref="P215:Q215"/>
    <mergeCell ref="P216:Q216"/>
    <mergeCell ref="P217:Q217"/>
    <mergeCell ref="P218:Q218"/>
    <mergeCell ref="P219:Q219"/>
    <mergeCell ref="P220:Q220"/>
    <mergeCell ref="P221:Q221"/>
    <mergeCell ref="P222:Q222"/>
    <mergeCell ref="P223:Q223"/>
    <mergeCell ref="P224:Q224"/>
    <mergeCell ref="P225:Q225"/>
    <mergeCell ref="P226:Q226"/>
    <mergeCell ref="P227:Q227"/>
    <mergeCell ref="P228:Q228"/>
    <mergeCell ref="P229:Q229"/>
    <mergeCell ref="P230:Q230"/>
    <mergeCell ref="P231:Q231"/>
    <mergeCell ref="P232:Q232"/>
    <mergeCell ref="P233:Q233"/>
    <mergeCell ref="P234:Q234"/>
    <mergeCell ref="P235:Q235"/>
    <mergeCell ref="P236:Q236"/>
    <mergeCell ref="P237:Q237"/>
    <mergeCell ref="P238:Q238"/>
    <mergeCell ref="P239:Q239"/>
    <mergeCell ref="P240:Q240"/>
    <mergeCell ref="P241:Q241"/>
    <mergeCell ref="P242:Q242"/>
    <mergeCell ref="P243:Q243"/>
    <mergeCell ref="P244:Q244"/>
    <mergeCell ref="P245:Q245"/>
    <mergeCell ref="P295:Q295"/>
    <mergeCell ref="P296:Q296"/>
    <mergeCell ref="P297:Q297"/>
    <mergeCell ref="P298:Q298"/>
    <mergeCell ref="P299:Q299"/>
    <mergeCell ref="P300:Q300"/>
    <mergeCell ref="P301:Q301"/>
    <mergeCell ref="P302:Q302"/>
    <mergeCell ref="P303:Q303"/>
    <mergeCell ref="P304:Q304"/>
    <mergeCell ref="P305:Q305"/>
    <mergeCell ref="P306:Q306"/>
    <mergeCell ref="P307:Q307"/>
    <mergeCell ref="P308:Q308"/>
    <mergeCell ref="P309:Q309"/>
    <mergeCell ref="P310:Q310"/>
    <mergeCell ref="P311:Q311"/>
    <mergeCell ref="P312:Q312"/>
    <mergeCell ref="P313:Q313"/>
    <mergeCell ref="P314:Q314"/>
    <mergeCell ref="P315:Q315"/>
    <mergeCell ref="P323:Q323"/>
    <mergeCell ref="P324:Q324"/>
    <mergeCell ref="P325:Q325"/>
    <mergeCell ref="P326:Q326"/>
    <mergeCell ref="P327:Q327"/>
    <mergeCell ref="P328:Q328"/>
    <mergeCell ref="P329:Q329"/>
    <mergeCell ref="P316:Q316"/>
    <mergeCell ref="P317:Q317"/>
    <mergeCell ref="P318:Q318"/>
    <mergeCell ref="P319:Q319"/>
    <mergeCell ref="P320:Q320"/>
    <mergeCell ref="P321:Q321"/>
    <mergeCell ref="P322:Q322"/>
    <mergeCell ref="P246:Q246"/>
    <mergeCell ref="P247:Q247"/>
    <mergeCell ref="P248:Q248"/>
    <mergeCell ref="P249:Q249"/>
    <mergeCell ref="P250:Q250"/>
    <mergeCell ref="P251:Q251"/>
    <mergeCell ref="P252:Q252"/>
    <mergeCell ref="P253:Q253"/>
    <mergeCell ref="P254:Q254"/>
    <mergeCell ref="P255:Q255"/>
    <mergeCell ref="P256:Q256"/>
    <mergeCell ref="P257:Q257"/>
    <mergeCell ref="P258:Q258"/>
    <mergeCell ref="P259:Q259"/>
    <mergeCell ref="P260:Q260"/>
    <mergeCell ref="P261:Q261"/>
    <mergeCell ref="P262:Q262"/>
    <mergeCell ref="P263:Q263"/>
    <mergeCell ref="P264:Q264"/>
    <mergeCell ref="P265:Q265"/>
    <mergeCell ref="P266:Q266"/>
    <mergeCell ref="P267:Q267"/>
    <mergeCell ref="P268:Q268"/>
    <mergeCell ref="P269:Q269"/>
    <mergeCell ref="P270:Q270"/>
    <mergeCell ref="P271:Q271"/>
    <mergeCell ref="P272:Q272"/>
    <mergeCell ref="P273:Q273"/>
    <mergeCell ref="P274:Q274"/>
    <mergeCell ref="P275:Q275"/>
    <mergeCell ref="P276:Q276"/>
    <mergeCell ref="P277:Q277"/>
    <mergeCell ref="P278:Q278"/>
    <mergeCell ref="P279:Q279"/>
    <mergeCell ref="P280:Q280"/>
    <mergeCell ref="P281:Q281"/>
    <mergeCell ref="P282:Q282"/>
    <mergeCell ref="P283:Q283"/>
    <mergeCell ref="P284:Q284"/>
    <mergeCell ref="P285:Q285"/>
    <mergeCell ref="P286:Q286"/>
    <mergeCell ref="P287:Q287"/>
    <mergeCell ref="P288:Q288"/>
    <mergeCell ref="P289:Q289"/>
    <mergeCell ref="P290:Q290"/>
    <mergeCell ref="P291:Q291"/>
    <mergeCell ref="P292:Q292"/>
    <mergeCell ref="P293:Q293"/>
    <mergeCell ref="P294:Q29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3.29"/>
    <col customWidth="1" min="3" max="3" width="14.29"/>
    <col customWidth="1" min="4" max="4" width="14.57"/>
    <col customWidth="1" min="5" max="5" width="6.29"/>
    <col customWidth="1" min="6" max="6" width="2.86"/>
    <col customWidth="1" min="7" max="7" width="8.57"/>
    <col customWidth="1" min="8" max="8" width="8.29"/>
    <col customWidth="1" min="9" max="9" width="6.71"/>
    <col customWidth="1" min="10" max="10" width="14.0"/>
    <col customWidth="1" min="11" max="11" width="10.14"/>
    <col customWidth="1" min="12" max="12" width="14.57"/>
    <col customWidth="1" min="13" max="13" width="8.29"/>
    <col customWidth="1" min="14" max="14" width="7.14"/>
    <col customWidth="1" min="15" max="15" width="12.29"/>
    <col customWidth="1" min="16" max="16" width="9.57"/>
    <col customWidth="1" min="18" max="18" width="2.14"/>
    <col customWidth="1" min="19" max="20" width="9.57"/>
    <col customWidth="1" min="21" max="21" width="9.29"/>
    <col customWidth="1" min="22" max="22" width="14.29"/>
    <col customWidth="1" min="23" max="23" width="4.86"/>
    <col customWidth="1" min="27" max="27" width="28.86"/>
  </cols>
  <sheetData>
    <row r="1">
      <c r="A1" s="8" t="str">
        <f>IFERROR(__xludf.DUMMYFUNCTION("query(Sheet!A1:W1000)"),"transaksi")</f>
        <v>transaksi</v>
      </c>
      <c r="B1" s="8" t="str">
        <f>IFERROR(__xludf.DUMMYFUNCTION("""COMPUTED_VALUE"""),"tanggal")</f>
        <v>tanggal</v>
      </c>
      <c r="C1" s="8" t="str">
        <f>IFERROR(__xludf.DUMMYFUNCTION("""COMPUTED_VALUE"""),"kode_customer")</f>
        <v>kode_customer</v>
      </c>
      <c r="D1" s="8" t="str">
        <f>IFERROR(__xludf.DUMMYFUNCTION("""COMPUTED_VALUE"""),"customer")</f>
        <v>customer</v>
      </c>
      <c r="E1" s="8" t="str">
        <f>IFERROR(__xludf.DUMMYFUNCTION("""COMPUTED_VALUE"""),"user")</f>
        <v>user</v>
      </c>
      <c r="F1" s="8" t="str">
        <f>IFERROR(__xludf.DUMMYFUNCTION("""COMPUTED_VALUE"""),"cs")</f>
        <v>cs</v>
      </c>
      <c r="G1" s="8" t="str">
        <f>IFERROR(__xludf.DUMMYFUNCTION("""COMPUTED_VALUE"""),"operator")</f>
        <v>operator</v>
      </c>
      <c r="H1" s="8" t="str">
        <f>IFERROR(__xludf.DUMMYFUNCTION("""COMPUTED_VALUE"""),"finishing")</f>
        <v>finishing</v>
      </c>
      <c r="I1" s="8" t="str">
        <f>IFERROR(__xludf.DUMMYFUNCTION("""COMPUTED_VALUE"""),"suport")</f>
        <v>suport</v>
      </c>
      <c r="J1" s="8" t="str">
        <f>IFERROR(__xludf.DUMMYFUNCTION("""COMPUTED_VALUE"""),"alamat")</f>
        <v>alamat</v>
      </c>
      <c r="K1" s="8" t="str">
        <f>IFERROR(__xludf.DUMMYFUNCTION("""COMPUTED_VALUE"""),"kode_item")</f>
        <v>kode_item</v>
      </c>
      <c r="L1" s="8" t="str">
        <f>IFERROR(__xludf.DUMMYFUNCTION("""COMPUTED_VALUE"""),"produk")</f>
        <v>produk</v>
      </c>
      <c r="M1" s="8" t="str">
        <f>IFERROR(__xludf.DUMMYFUNCTION("""COMPUTED_VALUE"""),"quantity")</f>
        <v>quantity</v>
      </c>
      <c r="N1" s="8" t="str">
        <f>IFERROR(__xludf.DUMMYFUNCTION("""COMPUTED_VALUE"""),"satuan")</f>
        <v>satuan</v>
      </c>
      <c r="O1" s="8" t="str">
        <f>IFERROR(__xludf.DUMMYFUNCTION("""COMPUTED_VALUE"""),"harga")</f>
        <v>harga</v>
      </c>
      <c r="P1" s="8" t="str">
        <f>IFERROR(__xludf.DUMMYFUNCTION("""COMPUTED_VALUE"""),"tunai")</f>
        <v>tunai</v>
      </c>
      <c r="Q1" s="8" t="str">
        <f>IFERROR(__xludf.DUMMYFUNCTION("""COMPUTED_VALUE"""),"")</f>
        <v/>
      </c>
      <c r="R1" s="8" t="str">
        <f>IFERROR(__xludf.DUMMYFUNCTION("""COMPUTED_VALUE"""),"")</f>
        <v/>
      </c>
      <c r="S1" s="8" t="str">
        <f>IFERROR(__xludf.DUMMYFUNCTION("""COMPUTED_VALUE"""),"kredit")</f>
        <v>kredit</v>
      </c>
      <c r="T1" s="8" t="str">
        <f>IFERROR(__xludf.DUMMYFUNCTION("""COMPUTED_VALUE"""),"total")</f>
        <v>total</v>
      </c>
      <c r="U1" s="8" t="str">
        <f>IFERROR(__xludf.DUMMYFUNCTION("""COMPUTED_VALUE"""),"potongan")</f>
        <v>potongan</v>
      </c>
      <c r="V1" s="8" t="str">
        <f>IFERROR(__xludf.DUMMYFUNCTION("""COMPUTED_VALUE"""),"ket")</f>
        <v>ket</v>
      </c>
      <c r="W1" s="8" t="str">
        <f>IFERROR(__xludf.DUMMYFUNCTION("""COMPUTED_VALUE"""),"ket2")</f>
        <v>ket2</v>
      </c>
      <c r="X1" s="9" t="s">
        <v>771</v>
      </c>
      <c r="Z1" s="8" t="s">
        <v>771</v>
      </c>
      <c r="AA1" s="10" t="s">
        <v>772</v>
      </c>
    </row>
    <row r="2">
      <c r="A2" s="8" t="str">
        <f>IFERROR(__xludf.DUMMYFUNCTION("""COMPUTED_VALUE"""),"9828/JL/UTM/0124")</f>
        <v>9828/JL/UTM/0124</v>
      </c>
      <c r="B2" s="11">
        <f>IFERROR(__xludf.DUMMYFUNCTION("""COMPUTED_VALUE"""),45294.697118055556)</f>
        <v>45294.69712</v>
      </c>
      <c r="C2" s="8" t="str">
        <f>IFERROR(__xludf.DUMMYFUNCTION("""COMPUTED_VALUE"""),"UMUM")</f>
        <v>UMUM</v>
      </c>
      <c r="D2" s="8" t="str">
        <f>IFERROR(__xludf.DUMMYFUNCTION("""COMPUTED_VALUE"""),"UMUM")</f>
        <v>UMUM</v>
      </c>
      <c r="E2" s="8" t="str">
        <f>IFERROR(__xludf.DUMMYFUNCTION("""COMPUTED_VALUE"""),"JUFRY")</f>
        <v>JUFRY</v>
      </c>
      <c r="F2" s="8"/>
      <c r="G2" s="8"/>
      <c r="H2" s="8"/>
      <c r="I2" s="8"/>
      <c r="J2" s="8" t="str">
        <f>IFERROR(__xludf.DUMMYFUNCTION("""COMPUTED_VALUE"""),"  ")</f>
        <v>  </v>
      </c>
      <c r="K2" s="8" t="str">
        <f>IFERROR(__xludf.DUMMYFUNCTION("""COMPUTED_VALUE"""),"10026")</f>
        <v>10026</v>
      </c>
      <c r="L2" s="8" t="str">
        <f>IFERROR(__xludf.DUMMYFUNCTION("""COMPUTED_VALUE"""),"TIGER BRANKAS TG LK II")</f>
        <v>TIGER BRANKAS TG LK II</v>
      </c>
      <c r="M2" s="12">
        <f>IFERROR(__xludf.DUMMYFUNCTION("""COMPUTED_VALUE"""),1.0)</f>
        <v>1</v>
      </c>
      <c r="N2" s="8" t="str">
        <f>IFERROR(__xludf.DUMMYFUNCTION("""COMPUTED_VALUE"""),"UNIT")</f>
        <v>UNIT</v>
      </c>
      <c r="O2" s="13">
        <f>IFERROR(__xludf.DUMMYFUNCTION("""COMPUTED_VALUE"""),6300000.0)</f>
        <v>6300000</v>
      </c>
      <c r="P2" s="12">
        <f>IFERROR(__xludf.DUMMYFUNCTION("""COMPUTED_VALUE"""),6300000.0)</f>
        <v>6300000</v>
      </c>
      <c r="Q2" s="8"/>
      <c r="R2" s="8">
        <f>IFERROR(__xludf.DUMMYFUNCTION("""COMPUTED_VALUE"""),0.0)</f>
        <v>0</v>
      </c>
      <c r="S2" s="12">
        <f>IFERROR(__xludf.DUMMYFUNCTION("""COMPUTED_VALUE"""),0.0)</f>
        <v>0</v>
      </c>
      <c r="T2" s="12">
        <f>IFERROR(__xludf.DUMMYFUNCTION("""COMPUTED_VALUE"""),6300000.0)</f>
        <v>6300000</v>
      </c>
      <c r="U2" s="13">
        <f>IFERROR(__xludf.DUMMYFUNCTION("""COMPUTED_VALUE"""),0.0)</f>
        <v>0</v>
      </c>
      <c r="V2" s="8"/>
      <c r="W2" s="8"/>
      <c r="X2" s="8">
        <f t="shared" ref="X2:X329" si="1">month(B2)</f>
        <v>1</v>
      </c>
      <c r="Z2" s="8"/>
      <c r="AA2" s="10">
        <v>0.0</v>
      </c>
    </row>
    <row r="3">
      <c r="A3" s="8" t="str">
        <f>IFERROR(__xludf.DUMMYFUNCTION("""COMPUTED_VALUE"""),"9829/JL/UTM/0124")</f>
        <v>9829/JL/UTM/0124</v>
      </c>
      <c r="B3" s="11">
        <f>IFERROR(__xludf.DUMMYFUNCTION("""COMPUTED_VALUE"""),45294.69902777778)</f>
        <v>45294.69903</v>
      </c>
      <c r="C3" s="8" t="str">
        <f>IFERROR(__xludf.DUMMYFUNCTION("""COMPUTED_VALUE"""),"UMUM")</f>
        <v>UMUM</v>
      </c>
      <c r="D3" s="8" t="str">
        <f>IFERROR(__xludf.DUMMYFUNCTION("""COMPUTED_VALUE"""),"UMUM")</f>
        <v>UMUM</v>
      </c>
      <c r="E3" s="8" t="str">
        <f>IFERROR(__xludf.DUMMYFUNCTION("""COMPUTED_VALUE"""),"JUFRY")</f>
        <v>JUFRY</v>
      </c>
      <c r="F3" s="8"/>
      <c r="G3" s="8"/>
      <c r="H3" s="8"/>
      <c r="I3" s="8"/>
      <c r="J3" s="8" t="str">
        <f>IFERROR(__xludf.DUMMYFUNCTION("""COMPUTED_VALUE"""),"  ")</f>
        <v>  </v>
      </c>
      <c r="K3" s="8" t="str">
        <f>IFERROR(__xludf.DUMMYFUNCTION("""COMPUTED_VALUE"""),"40524")</f>
        <v>40524</v>
      </c>
      <c r="L3" s="8" t="str">
        <f>IFERROR(__xludf.DUMMYFUNCTION("""COMPUTED_VALUE"""),"UCHIDA BRANKAS BK-S")</f>
        <v>UCHIDA BRANKAS BK-S</v>
      </c>
      <c r="M3" s="12">
        <f>IFERROR(__xludf.DUMMYFUNCTION("""COMPUTED_VALUE"""),1.0)</f>
        <v>1</v>
      </c>
      <c r="N3" s="8" t="str">
        <f>IFERROR(__xludf.DUMMYFUNCTION("""COMPUTED_VALUE"""),"UNIT")</f>
        <v>UNIT</v>
      </c>
      <c r="O3" s="13">
        <f>IFERROR(__xludf.DUMMYFUNCTION("""COMPUTED_VALUE"""),4450000.0)</f>
        <v>4450000</v>
      </c>
      <c r="P3" s="12">
        <f>IFERROR(__xludf.DUMMYFUNCTION("""COMPUTED_VALUE"""),5850000.0)</f>
        <v>5850000</v>
      </c>
      <c r="Q3" s="8"/>
      <c r="R3" s="8">
        <f>IFERROR(__xludf.DUMMYFUNCTION("""COMPUTED_VALUE"""),0.0)</f>
        <v>0</v>
      </c>
      <c r="S3" s="12">
        <f>IFERROR(__xludf.DUMMYFUNCTION("""COMPUTED_VALUE"""),0.0)</f>
        <v>0</v>
      </c>
      <c r="T3" s="12">
        <f>IFERROR(__xludf.DUMMYFUNCTION("""COMPUTED_VALUE"""),4450000.0)</f>
        <v>4450000</v>
      </c>
      <c r="U3" s="13">
        <f>IFERROR(__xludf.DUMMYFUNCTION("""COMPUTED_VALUE"""),6.4)</f>
        <v>6.4</v>
      </c>
      <c r="V3" s="8" t="str">
        <f>IFERROR(__xludf.DUMMYFUNCTION("""COMPUTED_VALUE"""),"TRANSFER BRI")</f>
        <v>TRANSFER BRI</v>
      </c>
      <c r="W3" s="8"/>
      <c r="X3" s="8">
        <f t="shared" si="1"/>
        <v>1</v>
      </c>
      <c r="Z3" s="8">
        <v>1.0</v>
      </c>
      <c r="AA3" s="10">
        <v>1.61515E8</v>
      </c>
    </row>
    <row r="4">
      <c r="A4" s="8" t="str">
        <f>IFERROR(__xludf.DUMMYFUNCTION("""COMPUTED_VALUE"""),"9829/JL/UTM/0124")</f>
        <v>9829/JL/UTM/0124</v>
      </c>
      <c r="B4" s="11">
        <f>IFERROR(__xludf.DUMMYFUNCTION("""COMPUTED_VALUE"""),45294.69902777778)</f>
        <v>45294.69903</v>
      </c>
      <c r="C4" s="8" t="str">
        <f>IFERROR(__xludf.DUMMYFUNCTION("""COMPUTED_VALUE"""),"UMUM")</f>
        <v>UMUM</v>
      </c>
      <c r="D4" s="8" t="str">
        <f>IFERROR(__xludf.DUMMYFUNCTION("""COMPUTED_VALUE"""),"UMUM")</f>
        <v>UMUM</v>
      </c>
      <c r="E4" s="8" t="str">
        <f>IFERROR(__xludf.DUMMYFUNCTION("""COMPUTED_VALUE"""),"JUFRY")</f>
        <v>JUFRY</v>
      </c>
      <c r="F4" s="8"/>
      <c r="G4" s="8"/>
      <c r="H4" s="8"/>
      <c r="I4" s="8"/>
      <c r="J4" s="8" t="str">
        <f>IFERROR(__xludf.DUMMYFUNCTION("""COMPUTED_VALUE"""),"  ")</f>
        <v>  </v>
      </c>
      <c r="K4" s="8" t="str">
        <f>IFERROR(__xludf.DUMMYFUNCTION("""COMPUTED_VALUE"""),"40210")</f>
        <v>40210</v>
      </c>
      <c r="L4" s="8" t="str">
        <f>IFERROR(__xludf.DUMMYFUNCTION("""COMPUTED_VALUE"""),"SECURE FINGERPRINT IDENTIFICATION SYSTEM EAZY")</f>
        <v>SECURE FINGERPRINT IDENTIFICATION SYSTEM EAZY</v>
      </c>
      <c r="M4" s="12">
        <f>IFERROR(__xludf.DUMMYFUNCTION("""COMPUTED_VALUE"""),1.0)</f>
        <v>1</v>
      </c>
      <c r="N4" s="8" t="str">
        <f>IFERROR(__xludf.DUMMYFUNCTION("""COMPUTED_VALUE"""),"UNIT")</f>
        <v>UNIT</v>
      </c>
      <c r="O4" s="13">
        <f>IFERROR(__xludf.DUMMYFUNCTION("""COMPUTED_VALUE"""),1800000.0)</f>
        <v>1800000</v>
      </c>
      <c r="P4" s="12">
        <f>IFERROR(__xludf.DUMMYFUNCTION("""COMPUTED_VALUE"""),5850000.0)</f>
        <v>5850000</v>
      </c>
      <c r="Q4" s="8"/>
      <c r="R4" s="8">
        <f>IFERROR(__xludf.DUMMYFUNCTION("""COMPUTED_VALUE"""),0.0)</f>
        <v>0</v>
      </c>
      <c r="S4" s="12">
        <f>IFERROR(__xludf.DUMMYFUNCTION("""COMPUTED_VALUE"""),0.0)</f>
        <v>0</v>
      </c>
      <c r="T4" s="12">
        <f>IFERROR(__xludf.DUMMYFUNCTION("""COMPUTED_VALUE"""),1800000.0)</f>
        <v>1800000</v>
      </c>
      <c r="U4" s="13">
        <f>IFERROR(__xludf.DUMMYFUNCTION("""COMPUTED_VALUE"""),6.4)</f>
        <v>6.4</v>
      </c>
      <c r="V4" s="8" t="str">
        <f>IFERROR(__xludf.DUMMYFUNCTION("""COMPUTED_VALUE"""),"TRANSFER BRI")</f>
        <v>TRANSFER BRI</v>
      </c>
      <c r="W4" s="8"/>
      <c r="X4" s="8">
        <f t="shared" si="1"/>
        <v>1</v>
      </c>
      <c r="Z4" s="8">
        <v>2.0</v>
      </c>
      <c r="AA4" s="10">
        <v>1.68811418E8</v>
      </c>
    </row>
    <row r="5">
      <c r="A5" s="8" t="str">
        <f>IFERROR(__xludf.DUMMYFUNCTION("""COMPUTED_VALUE"""),"9830/JL/UTM/0124")</f>
        <v>9830/JL/UTM/0124</v>
      </c>
      <c r="B5" s="11">
        <f>IFERROR(__xludf.DUMMYFUNCTION("""COMPUTED_VALUE"""),45294.70034722222)</f>
        <v>45294.70035</v>
      </c>
      <c r="C5" s="8" t="str">
        <f>IFERROR(__xludf.DUMMYFUNCTION("""COMPUTED_VALUE"""),"UMUM")</f>
        <v>UMUM</v>
      </c>
      <c r="D5" s="8" t="str">
        <f>IFERROR(__xludf.DUMMYFUNCTION("""COMPUTED_VALUE"""),"UMUM")</f>
        <v>UMUM</v>
      </c>
      <c r="E5" s="8" t="str">
        <f>IFERROR(__xludf.DUMMYFUNCTION("""COMPUTED_VALUE"""),"JUFRY")</f>
        <v>JUFRY</v>
      </c>
      <c r="F5" s="8"/>
      <c r="G5" s="8"/>
      <c r="H5" s="8"/>
      <c r="I5" s="8"/>
      <c r="J5" s="8" t="str">
        <f>IFERROR(__xludf.DUMMYFUNCTION("""COMPUTED_VALUE"""),"  ")</f>
        <v>  </v>
      </c>
      <c r="K5" s="8" t="str">
        <f>IFERROR(__xludf.DUMMYFUNCTION("""COMPUTED_VALUE"""),"706271")</f>
        <v>706271</v>
      </c>
      <c r="L5" s="8" t="str">
        <f>IFERROR(__xludf.DUMMYFUNCTION("""COMPUTED_VALUE"""),"AKTIV VINO MEJA 1/2 BIRO MTB 120")</f>
        <v>AKTIV VINO MEJA 1/2 BIRO MTB 120</v>
      </c>
      <c r="M5" s="12">
        <f>IFERROR(__xludf.DUMMYFUNCTION("""COMPUTED_VALUE"""),2.0)</f>
        <v>2</v>
      </c>
      <c r="N5" s="8" t="str">
        <f>IFERROR(__xludf.DUMMYFUNCTION("""COMPUTED_VALUE"""),"UNIT")</f>
        <v>UNIT</v>
      </c>
      <c r="O5" s="13">
        <f>IFERROR(__xludf.DUMMYFUNCTION("""COMPUTED_VALUE"""),1100000.0)</f>
        <v>1100000</v>
      </c>
      <c r="P5" s="12">
        <f>IFERROR(__xludf.DUMMYFUNCTION("""COMPUTED_VALUE"""),4400000.0)</f>
        <v>4400000</v>
      </c>
      <c r="Q5" s="8"/>
      <c r="R5" s="8">
        <f>IFERROR(__xludf.DUMMYFUNCTION("""COMPUTED_VALUE"""),0.0)</f>
        <v>0</v>
      </c>
      <c r="S5" s="12">
        <f>IFERROR(__xludf.DUMMYFUNCTION("""COMPUTED_VALUE"""),0.0)</f>
        <v>0</v>
      </c>
      <c r="T5" s="12">
        <f>IFERROR(__xludf.DUMMYFUNCTION("""COMPUTED_VALUE"""),2200000.0)</f>
        <v>2200000</v>
      </c>
      <c r="U5" s="13">
        <f>IFERROR(__xludf.DUMMYFUNCTION("""COMPUTED_VALUE"""),0.0)</f>
        <v>0</v>
      </c>
      <c r="V5" s="8" t="str">
        <f>IFERROR(__xludf.DUMMYFUNCTION("""COMPUTED_VALUE"""),"TRANSFER BRI")</f>
        <v>TRANSFER BRI</v>
      </c>
      <c r="W5" s="8"/>
      <c r="X5" s="8">
        <f t="shared" si="1"/>
        <v>1</v>
      </c>
      <c r="Z5" s="8">
        <v>3.0</v>
      </c>
      <c r="AA5" s="10">
        <v>9.7255E7</v>
      </c>
    </row>
    <row r="6">
      <c r="A6" s="8" t="str">
        <f>IFERROR(__xludf.DUMMYFUNCTION("""COMPUTED_VALUE"""),"9830/JL/UTM/0124")</f>
        <v>9830/JL/UTM/0124</v>
      </c>
      <c r="B6" s="11">
        <f>IFERROR(__xludf.DUMMYFUNCTION("""COMPUTED_VALUE"""),45294.70034722222)</f>
        <v>45294.70035</v>
      </c>
      <c r="C6" s="8" t="str">
        <f>IFERROR(__xludf.DUMMYFUNCTION("""COMPUTED_VALUE"""),"UMUM")</f>
        <v>UMUM</v>
      </c>
      <c r="D6" s="8" t="str">
        <f>IFERROR(__xludf.DUMMYFUNCTION("""COMPUTED_VALUE"""),"UMUM")</f>
        <v>UMUM</v>
      </c>
      <c r="E6" s="8" t="str">
        <f>IFERROR(__xludf.DUMMYFUNCTION("""COMPUTED_VALUE"""),"JUFRY")</f>
        <v>JUFRY</v>
      </c>
      <c r="F6" s="8"/>
      <c r="G6" s="8"/>
      <c r="H6" s="8"/>
      <c r="I6" s="8"/>
      <c r="J6" s="8" t="str">
        <f>IFERROR(__xludf.DUMMYFUNCTION("""COMPUTED_VALUE"""),"  ")</f>
        <v>  </v>
      </c>
      <c r="K6" s="8" t="str">
        <f>IFERROR(__xludf.DUMMYFUNCTION("""COMPUTED_VALUE"""),"706280")</f>
        <v>706280</v>
      </c>
      <c r="L6" s="8" t="str">
        <f>IFERROR(__xludf.DUMMYFUNCTION("""COMPUTED_VALUE"""),"INCO KURSI STAF MALTA I")</f>
        <v>INCO KURSI STAF MALTA I</v>
      </c>
      <c r="M6" s="12">
        <f>IFERROR(__xludf.DUMMYFUNCTION("""COMPUTED_VALUE"""),2.0)</f>
        <v>2</v>
      </c>
      <c r="N6" s="8" t="str">
        <f>IFERROR(__xludf.DUMMYFUNCTION("""COMPUTED_VALUE"""),"BH")</f>
        <v>BH</v>
      </c>
      <c r="O6" s="13">
        <f>IFERROR(__xludf.DUMMYFUNCTION("""COMPUTED_VALUE"""),1100000.0)</f>
        <v>1100000</v>
      </c>
      <c r="P6" s="12">
        <f>IFERROR(__xludf.DUMMYFUNCTION("""COMPUTED_VALUE"""),4400000.0)</f>
        <v>4400000</v>
      </c>
      <c r="Q6" s="8"/>
      <c r="R6" s="8">
        <f>IFERROR(__xludf.DUMMYFUNCTION("""COMPUTED_VALUE"""),0.0)</f>
        <v>0</v>
      </c>
      <c r="S6" s="12">
        <f>IFERROR(__xludf.DUMMYFUNCTION("""COMPUTED_VALUE"""),0.0)</f>
        <v>0</v>
      </c>
      <c r="T6" s="12">
        <f>IFERROR(__xludf.DUMMYFUNCTION("""COMPUTED_VALUE"""),2200000.0)</f>
        <v>2200000</v>
      </c>
      <c r="U6" s="13">
        <f>IFERROR(__xludf.DUMMYFUNCTION("""COMPUTED_VALUE"""),0.0)</f>
        <v>0</v>
      </c>
      <c r="V6" s="8" t="str">
        <f>IFERROR(__xludf.DUMMYFUNCTION("""COMPUTED_VALUE"""),"TRANSFER BRI")</f>
        <v>TRANSFER BRI</v>
      </c>
      <c r="W6" s="8"/>
      <c r="X6" s="8">
        <f t="shared" si="1"/>
        <v>1</v>
      </c>
      <c r="Z6" s="8">
        <v>4.0</v>
      </c>
      <c r="AA6" s="10">
        <v>1.54045E8</v>
      </c>
    </row>
    <row r="7">
      <c r="A7" s="8" t="str">
        <f>IFERROR(__xludf.DUMMYFUNCTION("""COMPUTED_VALUE"""),"9831/JL/UTM/0124")</f>
        <v>9831/JL/UTM/0124</v>
      </c>
      <c r="B7" s="11">
        <f>IFERROR(__xludf.DUMMYFUNCTION("""COMPUTED_VALUE"""),45294.70174768519)</f>
        <v>45294.70175</v>
      </c>
      <c r="C7" s="8" t="str">
        <f>IFERROR(__xludf.DUMMYFUNCTION("""COMPUTED_VALUE"""),"UMUM")</f>
        <v>UMUM</v>
      </c>
      <c r="D7" s="8" t="str">
        <f>IFERROR(__xludf.DUMMYFUNCTION("""COMPUTED_VALUE"""),"UMUM")</f>
        <v>UMUM</v>
      </c>
      <c r="E7" s="8" t="str">
        <f>IFERROR(__xludf.DUMMYFUNCTION("""COMPUTED_VALUE"""),"JUFRY")</f>
        <v>JUFRY</v>
      </c>
      <c r="F7" s="8"/>
      <c r="G7" s="8"/>
      <c r="H7" s="8"/>
      <c r="I7" s="8"/>
      <c r="J7" s="8" t="str">
        <f>IFERROR(__xludf.DUMMYFUNCTION("""COMPUTED_VALUE"""),"  ")</f>
        <v>  </v>
      </c>
      <c r="K7" s="8" t="str">
        <f>IFERROR(__xludf.DUMMYFUNCTION("""COMPUTED_VALUE"""),"706187")</f>
        <v>706187</v>
      </c>
      <c r="L7" s="8" t="str">
        <f>IFERROR(__xludf.DUMMYFUNCTION("""COMPUTED_VALUE"""),"KINGCO WHITE BOARD 50 X 70 CM")</f>
        <v>KINGCO WHITE BOARD 50 X 70 CM</v>
      </c>
      <c r="M7" s="12">
        <f>IFERROR(__xludf.DUMMYFUNCTION("""COMPUTED_VALUE"""),1.0)</f>
        <v>1</v>
      </c>
      <c r="N7" s="8" t="str">
        <f>IFERROR(__xludf.DUMMYFUNCTION("""COMPUTED_VALUE"""),"BH")</f>
        <v>BH</v>
      </c>
      <c r="O7" s="13">
        <f>IFERROR(__xludf.DUMMYFUNCTION("""COMPUTED_VALUE"""),80000.0)</f>
        <v>80000</v>
      </c>
      <c r="P7" s="12">
        <f>IFERROR(__xludf.DUMMYFUNCTION("""COMPUTED_VALUE"""),165000.0)</f>
        <v>165000</v>
      </c>
      <c r="Q7" s="8"/>
      <c r="R7" s="8">
        <f>IFERROR(__xludf.DUMMYFUNCTION("""COMPUTED_VALUE"""),0.0)</f>
        <v>0</v>
      </c>
      <c r="S7" s="12">
        <f>IFERROR(__xludf.DUMMYFUNCTION("""COMPUTED_VALUE"""),0.0)</f>
        <v>0</v>
      </c>
      <c r="T7" s="12">
        <f>IFERROR(__xludf.DUMMYFUNCTION("""COMPUTED_VALUE"""),80000.0)</f>
        <v>80000</v>
      </c>
      <c r="U7" s="13">
        <f>IFERROR(__xludf.DUMMYFUNCTION("""COMPUTED_VALUE"""),0.0)</f>
        <v>0</v>
      </c>
      <c r="V7" s="8"/>
      <c r="W7" s="8"/>
      <c r="X7" s="8">
        <f t="shared" si="1"/>
        <v>1</v>
      </c>
      <c r="Z7" s="8">
        <v>5.0</v>
      </c>
      <c r="AA7" s="10">
        <v>1.03662E8</v>
      </c>
    </row>
    <row r="8">
      <c r="A8" s="8" t="str">
        <f>IFERROR(__xludf.DUMMYFUNCTION("""COMPUTED_VALUE"""),"9831/JL/UTM/0124")</f>
        <v>9831/JL/UTM/0124</v>
      </c>
      <c r="B8" s="11">
        <f>IFERROR(__xludf.DUMMYFUNCTION("""COMPUTED_VALUE"""),45294.70174768519)</f>
        <v>45294.70175</v>
      </c>
      <c r="C8" s="8" t="str">
        <f>IFERROR(__xludf.DUMMYFUNCTION("""COMPUTED_VALUE"""),"UMUM")</f>
        <v>UMUM</v>
      </c>
      <c r="D8" s="8" t="str">
        <f>IFERROR(__xludf.DUMMYFUNCTION("""COMPUTED_VALUE"""),"UMUM")</f>
        <v>UMUM</v>
      </c>
      <c r="E8" s="8" t="str">
        <f>IFERROR(__xludf.DUMMYFUNCTION("""COMPUTED_VALUE"""),"JUFRY")</f>
        <v>JUFRY</v>
      </c>
      <c r="F8" s="8"/>
      <c r="G8" s="8"/>
      <c r="H8" s="8"/>
      <c r="I8" s="8"/>
      <c r="J8" s="8" t="str">
        <f>IFERROR(__xludf.DUMMYFUNCTION("""COMPUTED_VALUE"""),"  ")</f>
        <v>  </v>
      </c>
      <c r="K8" s="8" t="str">
        <f>IFERROR(__xludf.DUMMYFUNCTION("""COMPUTED_VALUE"""),"10094")</f>
        <v>10094</v>
      </c>
      <c r="L8" s="8" t="str">
        <f>IFERROR(__xludf.DUMMYFUNCTION("""COMPUTED_VALUE"""),"AMANO PITA EX 3200/6100")</f>
        <v>AMANO PITA EX 3200/6100</v>
      </c>
      <c r="M8" s="12">
        <f>IFERROR(__xludf.DUMMYFUNCTION("""COMPUTED_VALUE"""),1.0)</f>
        <v>1</v>
      </c>
      <c r="N8" s="8" t="str">
        <f>IFERROR(__xludf.DUMMYFUNCTION("""COMPUTED_VALUE"""),"PCS")</f>
        <v>PCS</v>
      </c>
      <c r="O8" s="13">
        <f>IFERROR(__xludf.DUMMYFUNCTION("""COMPUTED_VALUE"""),85000.0)</f>
        <v>85000</v>
      </c>
      <c r="P8" s="12">
        <f>IFERROR(__xludf.DUMMYFUNCTION("""COMPUTED_VALUE"""),165000.0)</f>
        <v>165000</v>
      </c>
      <c r="Q8" s="8"/>
      <c r="R8" s="8">
        <f>IFERROR(__xludf.DUMMYFUNCTION("""COMPUTED_VALUE"""),0.0)</f>
        <v>0</v>
      </c>
      <c r="S8" s="12">
        <f>IFERROR(__xludf.DUMMYFUNCTION("""COMPUTED_VALUE"""),0.0)</f>
        <v>0</v>
      </c>
      <c r="T8" s="12">
        <f>IFERROR(__xludf.DUMMYFUNCTION("""COMPUTED_VALUE"""),85000.0)</f>
        <v>85000</v>
      </c>
      <c r="U8" s="13">
        <f>IFERROR(__xludf.DUMMYFUNCTION("""COMPUTED_VALUE"""),0.0)</f>
        <v>0</v>
      </c>
      <c r="V8" s="8"/>
      <c r="W8" s="8"/>
      <c r="X8" s="8">
        <f t="shared" si="1"/>
        <v>1</v>
      </c>
      <c r="Z8" s="8">
        <v>6.0</v>
      </c>
      <c r="AA8" s="10">
        <v>9.891E7</v>
      </c>
    </row>
    <row r="9">
      <c r="A9" s="8" t="str">
        <f>IFERROR(__xludf.DUMMYFUNCTION("""COMPUTED_VALUE"""),"9832/JL/UTM/0124")</f>
        <v>9832/JL/UTM/0124</v>
      </c>
      <c r="B9" s="11">
        <f>IFERROR(__xludf.DUMMYFUNCTION("""COMPUTED_VALUE"""),45294.70245370371)</f>
        <v>45294.70245</v>
      </c>
      <c r="C9" s="8" t="str">
        <f>IFERROR(__xludf.DUMMYFUNCTION("""COMPUTED_VALUE"""),"044")</f>
        <v>044</v>
      </c>
      <c r="D9" s="8" t="str">
        <f>IFERROR(__xludf.DUMMYFUNCTION("""COMPUTED_VALUE"""),"BANK SULTENG KC PALU")</f>
        <v>BANK SULTENG KC PALU</v>
      </c>
      <c r="E9" s="8" t="str">
        <f>IFERROR(__xludf.DUMMYFUNCTION("""COMPUTED_VALUE"""),"JUFRY")</f>
        <v>JUFRY</v>
      </c>
      <c r="F9" s="8"/>
      <c r="G9" s="8"/>
      <c r="H9" s="8"/>
      <c r="I9" s="8"/>
      <c r="J9" s="8" t="str">
        <f>IFERROR(__xludf.DUMMYFUNCTION("""COMPUTED_VALUE"""),"  ")</f>
        <v>  </v>
      </c>
      <c r="K9" s="8" t="str">
        <f>IFERROR(__xludf.DUMMYFUNCTION("""COMPUTED_VALUE"""),"606063")</f>
        <v>606063</v>
      </c>
      <c r="L9" s="8" t="str">
        <f>IFERROR(__xludf.DUMMYFUNCTION("""COMPUTED_VALUE"""),"Topas Safe Deposit FD 300")</f>
        <v>Topas Safe Deposit FD 300</v>
      </c>
      <c r="M9" s="12">
        <f>IFERROR(__xludf.DUMMYFUNCTION("""COMPUTED_VALUE"""),1.0)</f>
        <v>1</v>
      </c>
      <c r="N9" s="8" t="str">
        <f>IFERROR(__xludf.DUMMYFUNCTION("""COMPUTED_VALUE"""),"BH")</f>
        <v>BH</v>
      </c>
      <c r="O9" s="13">
        <f>IFERROR(__xludf.DUMMYFUNCTION("""COMPUTED_VALUE"""),1350000.0)</f>
        <v>1350000</v>
      </c>
      <c r="P9" s="12">
        <f>IFERROR(__xludf.DUMMYFUNCTION("""COMPUTED_VALUE"""),0.0)</f>
        <v>0</v>
      </c>
      <c r="Q9" s="8"/>
      <c r="R9" s="8">
        <f>IFERROR(__xludf.DUMMYFUNCTION("""COMPUTED_VALUE"""),0.0)</f>
        <v>0</v>
      </c>
      <c r="S9" s="12">
        <f>IFERROR(__xludf.DUMMYFUNCTION("""COMPUTED_VALUE"""),1350000.0)</f>
        <v>1350000</v>
      </c>
      <c r="T9" s="12">
        <f>IFERROR(__xludf.DUMMYFUNCTION("""COMPUTED_VALUE"""),1350000.0)</f>
        <v>1350000</v>
      </c>
      <c r="U9" s="13">
        <f>IFERROR(__xludf.DUMMYFUNCTION("""COMPUTED_VALUE"""),0.0)</f>
        <v>0</v>
      </c>
      <c r="V9" s="8" t="str">
        <f>IFERROR(__xludf.DUMMYFUNCTION("""COMPUTED_VALUE"""),"DEV.UMUM")</f>
        <v>DEV.UMUM</v>
      </c>
      <c r="W9" s="8"/>
      <c r="X9" s="8">
        <f t="shared" si="1"/>
        <v>1</v>
      </c>
      <c r="Z9" s="8">
        <v>7.0</v>
      </c>
      <c r="AA9" s="10">
        <v>1.175E7</v>
      </c>
    </row>
    <row r="10">
      <c r="A10" s="8" t="str">
        <f>IFERROR(__xludf.DUMMYFUNCTION("""COMPUTED_VALUE"""),"9833/JL/UTM/0124")</f>
        <v>9833/JL/UTM/0124</v>
      </c>
      <c r="B10" s="11">
        <f>IFERROR(__xludf.DUMMYFUNCTION("""COMPUTED_VALUE"""),45295.70680555556)</f>
        <v>45295.70681</v>
      </c>
      <c r="C10" s="8" t="str">
        <f>IFERROR(__xludf.DUMMYFUNCTION("""COMPUTED_VALUE"""),"UMUM")</f>
        <v>UMUM</v>
      </c>
      <c r="D10" s="8" t="str">
        <f>IFERROR(__xludf.DUMMYFUNCTION("""COMPUTED_VALUE"""),"UMUM")</f>
        <v>UMUM</v>
      </c>
      <c r="E10" s="8" t="str">
        <f>IFERROR(__xludf.DUMMYFUNCTION("""COMPUTED_VALUE"""),"JUFRY")</f>
        <v>JUFRY</v>
      </c>
      <c r="F10" s="8"/>
      <c r="G10" s="8"/>
      <c r="H10" s="8"/>
      <c r="I10" s="8"/>
      <c r="J10" s="8" t="str">
        <f>IFERROR(__xludf.DUMMYFUNCTION("""COMPUTED_VALUE"""),"  ")</f>
        <v>  </v>
      </c>
      <c r="K10" s="8" t="str">
        <f>IFERROR(__xludf.DUMMYFUNCTION("""COMPUTED_VALUE"""),"40620")</f>
        <v>40620</v>
      </c>
      <c r="L10" s="8" t="str">
        <f>IFERROR(__xludf.DUMMYFUNCTION("""COMPUTED_VALUE"""),"EMPORIUM LEMARI KOMBINASI EC-142")</f>
        <v>EMPORIUM LEMARI KOMBINASI EC-142</v>
      </c>
      <c r="M10" s="12">
        <f>IFERROR(__xludf.DUMMYFUNCTION("""COMPUTED_VALUE"""),1.0)</f>
        <v>1</v>
      </c>
      <c r="N10" s="8" t="str">
        <f>IFERROR(__xludf.DUMMYFUNCTION("""COMPUTED_VALUE"""),"UNIT")</f>
        <v>UNIT</v>
      </c>
      <c r="O10" s="13">
        <f>IFERROR(__xludf.DUMMYFUNCTION("""COMPUTED_VALUE"""),3000000.0)</f>
        <v>3000000</v>
      </c>
      <c r="P10" s="12">
        <f>IFERROR(__xludf.DUMMYFUNCTION("""COMPUTED_VALUE"""),3000000.0)</f>
        <v>3000000</v>
      </c>
      <c r="Q10" s="8"/>
      <c r="R10" s="8">
        <f>IFERROR(__xludf.DUMMYFUNCTION("""COMPUTED_VALUE"""),0.0)</f>
        <v>0</v>
      </c>
      <c r="S10" s="12">
        <f>IFERROR(__xludf.DUMMYFUNCTION("""COMPUTED_VALUE"""),0.0)</f>
        <v>0</v>
      </c>
      <c r="T10" s="12">
        <f>IFERROR(__xludf.DUMMYFUNCTION("""COMPUTED_VALUE"""),3000000.0)</f>
        <v>3000000</v>
      </c>
      <c r="U10" s="13">
        <f>IFERROR(__xludf.DUMMYFUNCTION("""COMPUTED_VALUE"""),0.0)</f>
        <v>0</v>
      </c>
      <c r="V10" s="8"/>
      <c r="W10" s="8"/>
      <c r="X10" s="8">
        <f t="shared" si="1"/>
        <v>1</v>
      </c>
      <c r="Z10" s="8" t="s">
        <v>773</v>
      </c>
      <c r="AA10" s="10">
        <v>7.95948418E8</v>
      </c>
    </row>
    <row r="11">
      <c r="A11" s="8" t="str">
        <f>IFERROR(__xludf.DUMMYFUNCTION("""COMPUTED_VALUE"""),"9834/JL/UTM/0124")</f>
        <v>9834/JL/UTM/0124</v>
      </c>
      <c r="B11" s="11">
        <f>IFERROR(__xludf.DUMMYFUNCTION("""COMPUTED_VALUE"""),45295.70818287037)</f>
        <v>45295.70818</v>
      </c>
      <c r="C11" s="8" t="str">
        <f>IFERROR(__xludf.DUMMYFUNCTION("""COMPUTED_VALUE"""),"UMUM")</f>
        <v>UMUM</v>
      </c>
      <c r="D11" s="8" t="str">
        <f>IFERROR(__xludf.DUMMYFUNCTION("""COMPUTED_VALUE"""),"UMUM")</f>
        <v>UMUM</v>
      </c>
      <c r="E11" s="8" t="str">
        <f>IFERROR(__xludf.DUMMYFUNCTION("""COMPUTED_VALUE"""),"JUFRY")</f>
        <v>JUFRY</v>
      </c>
      <c r="F11" s="8"/>
      <c r="G11" s="8"/>
      <c r="H11" s="8"/>
      <c r="I11" s="8"/>
      <c r="J11" s="8" t="str">
        <f>IFERROR(__xludf.DUMMYFUNCTION("""COMPUTED_VALUE"""),"  ")</f>
        <v>  </v>
      </c>
      <c r="K11" s="8" t="str">
        <f>IFERROR(__xludf.DUMMYFUNCTION("""COMPUTED_VALUE"""),"40023")</f>
        <v>40023</v>
      </c>
      <c r="L11" s="8" t="str">
        <f>IFERROR(__xludf.DUMMYFUNCTION("""COMPUTED_VALUE"""),"ELEMEN PEMANAS PRESS TANGAN 30 CM")</f>
        <v>ELEMEN PEMANAS PRESS TANGAN 30 CM</v>
      </c>
      <c r="M11" s="12">
        <f>IFERROR(__xludf.DUMMYFUNCTION("""COMPUTED_VALUE"""),2.0)</f>
        <v>2</v>
      </c>
      <c r="N11" s="8" t="str">
        <f>IFERROR(__xludf.DUMMYFUNCTION("""COMPUTED_VALUE"""),"BH")</f>
        <v>BH</v>
      </c>
      <c r="O11" s="13">
        <f>IFERROR(__xludf.DUMMYFUNCTION("""COMPUTED_VALUE"""),25000.0)</f>
        <v>25000</v>
      </c>
      <c r="P11" s="12">
        <f>IFERROR(__xludf.DUMMYFUNCTION("""COMPUTED_VALUE"""),50000.0)</f>
        <v>50000</v>
      </c>
      <c r="Q11" s="8"/>
      <c r="R11" s="8">
        <f>IFERROR(__xludf.DUMMYFUNCTION("""COMPUTED_VALUE"""),0.0)</f>
        <v>0</v>
      </c>
      <c r="S11" s="12">
        <f>IFERROR(__xludf.DUMMYFUNCTION("""COMPUTED_VALUE"""),0.0)</f>
        <v>0</v>
      </c>
      <c r="T11" s="12">
        <f>IFERROR(__xludf.DUMMYFUNCTION("""COMPUTED_VALUE"""),50000.0)</f>
        <v>50000</v>
      </c>
      <c r="U11" s="13">
        <f>IFERROR(__xludf.DUMMYFUNCTION("""COMPUTED_VALUE"""),0.0)</f>
        <v>0</v>
      </c>
      <c r="V11" s="8"/>
      <c r="W11" s="8"/>
      <c r="X11" s="8">
        <f t="shared" si="1"/>
        <v>1</v>
      </c>
      <c r="AA11" s="10"/>
    </row>
    <row r="12">
      <c r="A12" s="8" t="str">
        <f>IFERROR(__xludf.DUMMYFUNCTION("""COMPUTED_VALUE"""),"9835/JL/UTM/0124")</f>
        <v>9835/JL/UTM/0124</v>
      </c>
      <c r="B12" s="11">
        <f>IFERROR(__xludf.DUMMYFUNCTION("""COMPUTED_VALUE"""),45296.69207175926)</f>
        <v>45296.69207</v>
      </c>
      <c r="C12" s="8" t="str">
        <f>IFERROR(__xludf.DUMMYFUNCTION("""COMPUTED_VALUE"""),"PL0912")</f>
        <v>PL0912</v>
      </c>
      <c r="D12" s="8" t="str">
        <f>IFERROR(__xludf.DUMMYFUNCTION("""COMPUTED_VALUE"""),"CV. LEO BANGUNAN PERDANA")</f>
        <v>CV. LEO BANGUNAN PERDANA</v>
      </c>
      <c r="E12" s="8" t="str">
        <f>IFERROR(__xludf.DUMMYFUNCTION("""COMPUTED_VALUE"""),"JUFRY")</f>
        <v>JUFRY</v>
      </c>
      <c r="F12" s="8"/>
      <c r="G12" s="8"/>
      <c r="H12" s="8"/>
      <c r="I12" s="8"/>
      <c r="J12" s="8" t="str">
        <f>IFERROR(__xludf.DUMMYFUNCTION("""COMPUTED_VALUE"""),"PALU  ")</f>
        <v>PALU  </v>
      </c>
      <c r="K12" s="8" t="str">
        <f>IFERROR(__xludf.DUMMYFUNCTION("""COMPUTED_VALUE"""),"20049")</f>
        <v>20049</v>
      </c>
      <c r="L12" s="8" t="str">
        <f>IFERROR(__xludf.DUMMYFUNCTION("""COMPUTED_VALUE"""),"LION FILING CABINET 4 LACI L44")</f>
        <v>LION FILING CABINET 4 LACI L44</v>
      </c>
      <c r="M12" s="12">
        <f>IFERROR(__xludf.DUMMYFUNCTION("""COMPUTED_VALUE"""),1.0)</f>
        <v>1</v>
      </c>
      <c r="N12" s="8" t="str">
        <f>IFERROR(__xludf.DUMMYFUNCTION("""COMPUTED_VALUE"""),"UNIT")</f>
        <v>UNIT</v>
      </c>
      <c r="O12" s="13">
        <f>IFERROR(__xludf.DUMMYFUNCTION("""COMPUTED_VALUE"""),3885000.0)</f>
        <v>3885000</v>
      </c>
      <c r="P12" s="12">
        <f>IFERROR(__xludf.DUMMYFUNCTION("""COMPUTED_VALUE"""),3500000.0)</f>
        <v>3500000</v>
      </c>
      <c r="Q12" s="8"/>
      <c r="R12" s="8">
        <f>IFERROR(__xludf.DUMMYFUNCTION("""COMPUTED_VALUE"""),0.0)</f>
        <v>0</v>
      </c>
      <c r="S12" s="12">
        <f>IFERROR(__xludf.DUMMYFUNCTION("""COMPUTED_VALUE"""),0.0)</f>
        <v>0</v>
      </c>
      <c r="T12" s="12">
        <f>IFERROR(__xludf.DUMMYFUNCTION("""COMPUTED_VALUE"""),3885000.0)</f>
        <v>3885000</v>
      </c>
      <c r="U12" s="13">
        <f>IFERROR(__xludf.DUMMYFUNCTION("""COMPUTED_VALUE"""),9.9099099099)</f>
        <v>9.90990991</v>
      </c>
      <c r="V12" s="8"/>
      <c r="W12" s="8"/>
      <c r="X12" s="8">
        <f t="shared" si="1"/>
        <v>1</v>
      </c>
      <c r="AA12" s="10"/>
    </row>
    <row r="13">
      <c r="A13" s="8" t="str">
        <f>IFERROR(__xludf.DUMMYFUNCTION("""COMPUTED_VALUE"""),"9836/JL/UTM/0124")</f>
        <v>9836/JL/UTM/0124</v>
      </c>
      <c r="B13" s="11">
        <f>IFERROR(__xludf.DUMMYFUNCTION("""COMPUTED_VALUE"""),45296.69420138889)</f>
        <v>45296.6942</v>
      </c>
      <c r="C13" s="8" t="str">
        <f>IFERROR(__xludf.DUMMYFUNCTION("""COMPUTED_VALUE"""),"PL0695")</f>
        <v>PL0695</v>
      </c>
      <c r="D13" s="8" t="str">
        <f>IFERROR(__xludf.DUMMYFUNCTION("""COMPUTED_VALUE"""),"AN-NUR BUUTS")</f>
        <v>AN-NUR BUUTS</v>
      </c>
      <c r="E13" s="8" t="str">
        <f>IFERROR(__xludf.DUMMYFUNCTION("""COMPUTED_VALUE"""),"JUFRY")</f>
        <v>JUFRY</v>
      </c>
      <c r="F13" s="8"/>
      <c r="G13" s="8"/>
      <c r="H13" s="8"/>
      <c r="I13" s="8"/>
      <c r="J13" s="8" t="str">
        <f>IFERROR(__xludf.DUMMYFUNCTION("""COMPUTED_VALUE"""),"  ")</f>
        <v>  </v>
      </c>
      <c r="K13" s="8" t="str">
        <f>IFERROR(__xludf.DUMMYFUNCTION("""COMPUTED_VALUE"""),"706268")</f>
        <v>706268</v>
      </c>
      <c r="L13" s="8" t="str">
        <f>IFERROR(__xludf.DUMMYFUNCTION("""COMPUTED_VALUE"""),"V-TEC WB 120 X 240 STAND D/F NON MAGNET")</f>
        <v>V-TEC WB 120 X 240 STAND D/F NON MAGNET</v>
      </c>
      <c r="M13" s="12">
        <f>IFERROR(__xludf.DUMMYFUNCTION("""COMPUTED_VALUE"""),1.0)</f>
        <v>1</v>
      </c>
      <c r="N13" s="8" t="str">
        <f>IFERROR(__xludf.DUMMYFUNCTION("""COMPUTED_VALUE"""),"BH")</f>
        <v>BH</v>
      </c>
      <c r="O13" s="13">
        <f>IFERROR(__xludf.DUMMYFUNCTION("""COMPUTED_VALUE"""),2800000.0)</f>
        <v>2800000</v>
      </c>
      <c r="P13" s="12">
        <f>IFERROR(__xludf.DUMMYFUNCTION("""COMPUTED_VALUE"""),2650000.0)</f>
        <v>2650000</v>
      </c>
      <c r="Q13" s="8"/>
      <c r="R13" s="8">
        <f>IFERROR(__xludf.DUMMYFUNCTION("""COMPUTED_VALUE"""),0.0)</f>
        <v>0</v>
      </c>
      <c r="S13" s="12">
        <f>IFERROR(__xludf.DUMMYFUNCTION("""COMPUTED_VALUE"""),0.0)</f>
        <v>0</v>
      </c>
      <c r="T13" s="12">
        <f>IFERROR(__xludf.DUMMYFUNCTION("""COMPUTED_VALUE"""),2800000.0)</f>
        <v>2800000</v>
      </c>
      <c r="U13" s="13">
        <f>IFERROR(__xludf.DUMMYFUNCTION("""COMPUTED_VALUE"""),5.3571428571)</f>
        <v>5.357142857</v>
      </c>
      <c r="V13" s="8"/>
      <c r="W13" s="8"/>
      <c r="X13" s="8">
        <f t="shared" si="1"/>
        <v>1</v>
      </c>
      <c r="AA13" s="10"/>
    </row>
    <row r="14">
      <c r="A14" s="8" t="str">
        <f>IFERROR(__xludf.DUMMYFUNCTION("""COMPUTED_VALUE"""),"9837/JL/UTM/0124")</f>
        <v>9837/JL/UTM/0124</v>
      </c>
      <c r="B14" s="11">
        <f>IFERROR(__xludf.DUMMYFUNCTION("""COMPUTED_VALUE"""),45296.69496527778)</f>
        <v>45296.69497</v>
      </c>
      <c r="C14" s="8" t="str">
        <f>IFERROR(__xludf.DUMMYFUNCTION("""COMPUTED_VALUE"""),"UMUM")</f>
        <v>UMUM</v>
      </c>
      <c r="D14" s="8" t="str">
        <f>IFERROR(__xludf.DUMMYFUNCTION("""COMPUTED_VALUE"""),"UMUM")</f>
        <v>UMUM</v>
      </c>
      <c r="E14" s="8" t="str">
        <f>IFERROR(__xludf.DUMMYFUNCTION("""COMPUTED_VALUE"""),"JUFRY")</f>
        <v>JUFRY</v>
      </c>
      <c r="F14" s="8"/>
      <c r="G14" s="8"/>
      <c r="H14" s="8"/>
      <c r="I14" s="8"/>
      <c r="J14" s="8" t="str">
        <f>IFERROR(__xludf.DUMMYFUNCTION("""COMPUTED_VALUE"""),"  ")</f>
        <v>  </v>
      </c>
      <c r="K14" s="8" t="str">
        <f>IFERROR(__xludf.DUMMYFUNCTION("""COMPUTED_VALUE"""),"606062")</f>
        <v>606062</v>
      </c>
      <c r="L14" s="8" t="str">
        <f>IFERROR(__xludf.DUMMYFUNCTION("""COMPUTED_VALUE"""),"Uchida Brankast HS 36K")</f>
        <v>Uchida Brankast HS 36K</v>
      </c>
      <c r="M14" s="12">
        <f>IFERROR(__xludf.DUMMYFUNCTION("""COMPUTED_VALUE"""),1.0)</f>
        <v>1</v>
      </c>
      <c r="N14" s="8" t="str">
        <f>IFERROR(__xludf.DUMMYFUNCTION("""COMPUTED_VALUE"""),"BH")</f>
        <v>BH</v>
      </c>
      <c r="O14" s="13">
        <f>IFERROR(__xludf.DUMMYFUNCTION("""COMPUTED_VALUE"""),4300000.0)</f>
        <v>4300000</v>
      </c>
      <c r="P14" s="12">
        <f>IFERROR(__xludf.DUMMYFUNCTION("""COMPUTED_VALUE"""),4300000.0)</f>
        <v>4300000</v>
      </c>
      <c r="Q14" s="8"/>
      <c r="R14" s="8">
        <f>IFERROR(__xludf.DUMMYFUNCTION("""COMPUTED_VALUE"""),0.0)</f>
        <v>0</v>
      </c>
      <c r="S14" s="12">
        <f>IFERROR(__xludf.DUMMYFUNCTION("""COMPUTED_VALUE"""),0.0)</f>
        <v>0</v>
      </c>
      <c r="T14" s="12">
        <f>IFERROR(__xludf.DUMMYFUNCTION("""COMPUTED_VALUE"""),4300000.0)</f>
        <v>4300000</v>
      </c>
      <c r="U14" s="13">
        <f>IFERROR(__xludf.DUMMYFUNCTION("""COMPUTED_VALUE"""),0.0)</f>
        <v>0</v>
      </c>
      <c r="V14" s="8"/>
      <c r="W14" s="8"/>
      <c r="X14" s="8">
        <f t="shared" si="1"/>
        <v>1</v>
      </c>
      <c r="AA14" s="10"/>
    </row>
    <row r="15">
      <c r="A15" s="8" t="str">
        <f>IFERROR(__xludf.DUMMYFUNCTION("""COMPUTED_VALUE"""),"9838/JL/UTM/0124")</f>
        <v>9838/JL/UTM/0124</v>
      </c>
      <c r="B15" s="11">
        <f>IFERROR(__xludf.DUMMYFUNCTION("""COMPUTED_VALUE"""),45296.696111111116)</f>
        <v>45296.69611</v>
      </c>
      <c r="C15" s="8" t="str">
        <f>IFERROR(__xludf.DUMMYFUNCTION("""COMPUTED_VALUE"""),"UMUM")</f>
        <v>UMUM</v>
      </c>
      <c r="D15" s="8" t="str">
        <f>IFERROR(__xludf.DUMMYFUNCTION("""COMPUTED_VALUE"""),"UMUM")</f>
        <v>UMUM</v>
      </c>
      <c r="E15" s="8" t="str">
        <f>IFERROR(__xludf.DUMMYFUNCTION("""COMPUTED_VALUE"""),"JUFRY")</f>
        <v>JUFRY</v>
      </c>
      <c r="F15" s="8"/>
      <c r="G15" s="8"/>
      <c r="H15" s="8"/>
      <c r="I15" s="8"/>
      <c r="J15" s="8" t="str">
        <f>IFERROR(__xludf.DUMMYFUNCTION("""COMPUTED_VALUE"""),"  ")</f>
        <v>  </v>
      </c>
      <c r="K15" s="8" t="str">
        <f>IFERROR(__xludf.DUMMYFUNCTION("""COMPUTED_VALUE"""),"40018")</f>
        <v>40018</v>
      </c>
      <c r="L15" s="8" t="str">
        <f>IFERROR(__xludf.DUMMYFUNCTION("""COMPUTED_VALUE"""),"SECURE PAPER SHREDDER EzSS 6315 A")</f>
        <v>SECURE PAPER SHREDDER EzSS 6315 A</v>
      </c>
      <c r="M15" s="12">
        <f>IFERROR(__xludf.DUMMYFUNCTION("""COMPUTED_VALUE"""),1.0)</f>
        <v>1</v>
      </c>
      <c r="N15" s="8" t="str">
        <f>IFERROR(__xludf.DUMMYFUNCTION("""COMPUTED_VALUE"""),"PCS")</f>
        <v>PCS</v>
      </c>
      <c r="O15" s="13">
        <f>IFERROR(__xludf.DUMMYFUNCTION("""COMPUTED_VALUE"""),1650000.0)</f>
        <v>1650000</v>
      </c>
      <c r="P15" s="12">
        <f>IFERROR(__xludf.DUMMYFUNCTION("""COMPUTED_VALUE"""),1650000.0)</f>
        <v>1650000</v>
      </c>
      <c r="Q15" s="8"/>
      <c r="R15" s="8">
        <f>IFERROR(__xludf.DUMMYFUNCTION("""COMPUTED_VALUE"""),0.0)</f>
        <v>0</v>
      </c>
      <c r="S15" s="12">
        <f>IFERROR(__xludf.DUMMYFUNCTION("""COMPUTED_VALUE"""),0.0)</f>
        <v>0</v>
      </c>
      <c r="T15" s="12">
        <f>IFERROR(__xludf.DUMMYFUNCTION("""COMPUTED_VALUE"""),1650000.0)</f>
        <v>1650000</v>
      </c>
      <c r="U15" s="13">
        <f>IFERROR(__xludf.DUMMYFUNCTION("""COMPUTED_VALUE"""),0.0)</f>
        <v>0</v>
      </c>
      <c r="V15" s="8"/>
      <c r="W15" s="8"/>
      <c r="X15" s="8">
        <f t="shared" si="1"/>
        <v>1</v>
      </c>
      <c r="AA15" s="10"/>
    </row>
    <row r="16">
      <c r="A16" s="8" t="str">
        <f>IFERROR(__xludf.DUMMYFUNCTION("""COMPUTED_VALUE"""),"9839/JL/UTM/0124")</f>
        <v>9839/JL/UTM/0124</v>
      </c>
      <c r="B16" s="11">
        <f>IFERROR(__xludf.DUMMYFUNCTION("""COMPUTED_VALUE"""),45299.63178240741)</f>
        <v>45299.63178</v>
      </c>
      <c r="C16" s="8" t="str">
        <f>IFERROR(__xludf.DUMMYFUNCTION("""COMPUTED_VALUE"""),"UMUM")</f>
        <v>UMUM</v>
      </c>
      <c r="D16" s="8" t="str">
        <f>IFERROR(__xludf.DUMMYFUNCTION("""COMPUTED_VALUE"""),"UMUM")</f>
        <v>UMUM</v>
      </c>
      <c r="E16" s="8" t="str">
        <f>IFERROR(__xludf.DUMMYFUNCTION("""COMPUTED_VALUE"""),"JUFRY")</f>
        <v>JUFRY</v>
      </c>
      <c r="F16" s="8"/>
      <c r="G16" s="8"/>
      <c r="H16" s="8"/>
      <c r="I16" s="8"/>
      <c r="J16" s="8" t="str">
        <f>IFERROR(__xludf.DUMMYFUNCTION("""COMPUTED_VALUE"""),"  ")</f>
        <v>  </v>
      </c>
      <c r="K16" s="8" t="str">
        <f>IFERROR(__xludf.DUMMYFUNCTION("""COMPUTED_VALUE"""),"20372")</f>
        <v>20372</v>
      </c>
      <c r="L16" s="8" t="str">
        <f>IFERROR(__xludf.DUMMYFUNCTION("""COMPUTED_VALUE"""),"SECURE INSTAN MESIN LAMINATING")</f>
        <v>SECURE INSTAN MESIN LAMINATING</v>
      </c>
      <c r="M16" s="12">
        <f>IFERROR(__xludf.DUMMYFUNCTION("""COMPUTED_VALUE"""),1.0)</f>
        <v>1</v>
      </c>
      <c r="N16" s="8" t="str">
        <f>IFERROR(__xludf.DUMMYFUNCTION("""COMPUTED_VALUE"""),"BH")</f>
        <v>BH</v>
      </c>
      <c r="O16" s="13">
        <f>IFERROR(__xludf.DUMMYFUNCTION("""COMPUTED_VALUE"""),950000.0)</f>
        <v>950000</v>
      </c>
      <c r="P16" s="12">
        <f>IFERROR(__xludf.DUMMYFUNCTION("""COMPUTED_VALUE"""),950000.0)</f>
        <v>950000</v>
      </c>
      <c r="Q16" s="8"/>
      <c r="R16" s="8">
        <f>IFERROR(__xludf.DUMMYFUNCTION("""COMPUTED_VALUE"""),0.0)</f>
        <v>0</v>
      </c>
      <c r="S16" s="12">
        <f>IFERROR(__xludf.DUMMYFUNCTION("""COMPUTED_VALUE"""),0.0)</f>
        <v>0</v>
      </c>
      <c r="T16" s="12">
        <f>IFERROR(__xludf.DUMMYFUNCTION("""COMPUTED_VALUE"""),950000.0)</f>
        <v>950000</v>
      </c>
      <c r="U16" s="13">
        <f>IFERROR(__xludf.DUMMYFUNCTION("""COMPUTED_VALUE"""),0.0)</f>
        <v>0</v>
      </c>
      <c r="V16" s="8"/>
      <c r="W16" s="8"/>
      <c r="X16" s="8">
        <f t="shared" si="1"/>
        <v>1</v>
      </c>
      <c r="AA16" s="10"/>
    </row>
    <row r="17">
      <c r="A17" s="8" t="str">
        <f>IFERROR(__xludf.DUMMYFUNCTION("""COMPUTED_VALUE"""),"9840/JL/UTM/0124")</f>
        <v>9840/JL/UTM/0124</v>
      </c>
      <c r="B17" s="11">
        <f>IFERROR(__xludf.DUMMYFUNCTION("""COMPUTED_VALUE"""),45299.63265046296)</f>
        <v>45299.63265</v>
      </c>
      <c r="C17" s="8" t="str">
        <f>IFERROR(__xludf.DUMMYFUNCTION("""COMPUTED_VALUE"""),"UMUM")</f>
        <v>UMUM</v>
      </c>
      <c r="D17" s="8" t="str">
        <f>IFERROR(__xludf.DUMMYFUNCTION("""COMPUTED_VALUE"""),"UMUM")</f>
        <v>UMUM</v>
      </c>
      <c r="E17" s="8" t="str">
        <f>IFERROR(__xludf.DUMMYFUNCTION("""COMPUTED_VALUE"""),"JUFRY")</f>
        <v>JUFRY</v>
      </c>
      <c r="F17" s="8"/>
      <c r="G17" s="8"/>
      <c r="H17" s="8"/>
      <c r="I17" s="8"/>
      <c r="J17" s="8" t="str">
        <f>IFERROR(__xludf.DUMMYFUNCTION("""COMPUTED_VALUE"""),"  ")</f>
        <v>  </v>
      </c>
      <c r="K17" s="8" t="str">
        <f>IFERROR(__xludf.DUMMYFUNCTION("""COMPUTED_VALUE"""),"40556")</f>
        <v>40556</v>
      </c>
      <c r="L17" s="8" t="str">
        <f>IFERROR(__xludf.DUMMYFUNCTION("""COMPUTED_VALUE"""),"OCEAN CITY MONEY DETECTOR OCI-2820")</f>
        <v>OCEAN CITY MONEY DETECTOR OCI-2820</v>
      </c>
      <c r="M17" s="12">
        <f>IFERROR(__xludf.DUMMYFUNCTION("""COMPUTED_VALUE"""),1.0)</f>
        <v>1</v>
      </c>
      <c r="N17" s="8" t="str">
        <f>IFERROR(__xludf.DUMMYFUNCTION("""COMPUTED_VALUE"""),"BH")</f>
        <v>BH</v>
      </c>
      <c r="O17" s="13">
        <f>IFERROR(__xludf.DUMMYFUNCTION("""COMPUTED_VALUE"""),165000.0)</f>
        <v>165000</v>
      </c>
      <c r="P17" s="12">
        <f>IFERROR(__xludf.DUMMYFUNCTION("""COMPUTED_VALUE"""),165000.0)</f>
        <v>165000</v>
      </c>
      <c r="Q17" s="8"/>
      <c r="R17" s="8">
        <f>IFERROR(__xludf.DUMMYFUNCTION("""COMPUTED_VALUE"""),0.0)</f>
        <v>0</v>
      </c>
      <c r="S17" s="12">
        <f>IFERROR(__xludf.DUMMYFUNCTION("""COMPUTED_VALUE"""),0.0)</f>
        <v>0</v>
      </c>
      <c r="T17" s="12">
        <f>IFERROR(__xludf.DUMMYFUNCTION("""COMPUTED_VALUE"""),165000.0)</f>
        <v>165000</v>
      </c>
      <c r="U17" s="13">
        <f>IFERROR(__xludf.DUMMYFUNCTION("""COMPUTED_VALUE"""),0.0)</f>
        <v>0</v>
      </c>
      <c r="V17" s="8"/>
      <c r="W17" s="8"/>
      <c r="X17" s="8">
        <f t="shared" si="1"/>
        <v>1</v>
      </c>
      <c r="AA17" s="10"/>
    </row>
    <row r="18">
      <c r="A18" s="8" t="str">
        <f>IFERROR(__xludf.DUMMYFUNCTION("""COMPUTED_VALUE"""),"9841/JL/UTM/0124")</f>
        <v>9841/JL/UTM/0124</v>
      </c>
      <c r="B18" s="11">
        <f>IFERROR(__xludf.DUMMYFUNCTION("""COMPUTED_VALUE"""),45299.63327546296)</f>
        <v>45299.63328</v>
      </c>
      <c r="C18" s="8" t="str">
        <f>IFERROR(__xludf.DUMMYFUNCTION("""COMPUTED_VALUE"""),"UMUM")</f>
        <v>UMUM</v>
      </c>
      <c r="D18" s="8" t="str">
        <f>IFERROR(__xludf.DUMMYFUNCTION("""COMPUTED_VALUE"""),"UMUM")</f>
        <v>UMUM</v>
      </c>
      <c r="E18" s="8" t="str">
        <f>IFERROR(__xludf.DUMMYFUNCTION("""COMPUTED_VALUE"""),"JUFRY")</f>
        <v>JUFRY</v>
      </c>
      <c r="F18" s="8"/>
      <c r="G18" s="8"/>
      <c r="H18" s="8"/>
      <c r="I18" s="8"/>
      <c r="J18" s="8" t="str">
        <f>IFERROR(__xludf.DUMMYFUNCTION("""COMPUTED_VALUE"""),"  ")</f>
        <v>  </v>
      </c>
      <c r="K18" s="8" t="str">
        <f>IFERROR(__xludf.DUMMYFUNCTION("""COMPUTED_VALUE"""),"606071")</f>
        <v>606071</v>
      </c>
      <c r="L18" s="8" t="str">
        <f>IFERROR(__xludf.DUMMYFUNCTION("""COMPUTED_VALUE"""),"KINGCO WHITEBOARD 90X120")</f>
        <v>KINGCO WHITEBOARD 90X120</v>
      </c>
      <c r="M18" s="12">
        <f>IFERROR(__xludf.DUMMYFUNCTION("""COMPUTED_VALUE"""),1.0)</f>
        <v>1</v>
      </c>
      <c r="N18" s="8" t="str">
        <f>IFERROR(__xludf.DUMMYFUNCTION("""COMPUTED_VALUE"""),"BH")</f>
        <v>BH</v>
      </c>
      <c r="O18" s="13">
        <f>IFERROR(__xludf.DUMMYFUNCTION("""COMPUTED_VALUE"""),250000.0)</f>
        <v>250000</v>
      </c>
      <c r="P18" s="12">
        <f>IFERROR(__xludf.DUMMYFUNCTION("""COMPUTED_VALUE"""),240000.0)</f>
        <v>240000</v>
      </c>
      <c r="Q18" s="8"/>
      <c r="R18" s="8">
        <f>IFERROR(__xludf.DUMMYFUNCTION("""COMPUTED_VALUE"""),0.0)</f>
        <v>0</v>
      </c>
      <c r="S18" s="12">
        <f>IFERROR(__xludf.DUMMYFUNCTION("""COMPUTED_VALUE"""),0.0)</f>
        <v>0</v>
      </c>
      <c r="T18" s="12">
        <f>IFERROR(__xludf.DUMMYFUNCTION("""COMPUTED_VALUE"""),250000.0)</f>
        <v>250000</v>
      </c>
      <c r="U18" s="13">
        <f>IFERROR(__xludf.DUMMYFUNCTION("""COMPUTED_VALUE"""),4.0)</f>
        <v>4</v>
      </c>
      <c r="V18" s="8"/>
      <c r="W18" s="8"/>
      <c r="X18" s="8">
        <f t="shared" si="1"/>
        <v>1</v>
      </c>
      <c r="AA18" s="10"/>
    </row>
    <row r="19">
      <c r="A19" s="8" t="str">
        <f>IFERROR(__xludf.DUMMYFUNCTION("""COMPUTED_VALUE"""),"9842/JL/UTM/0124")</f>
        <v>9842/JL/UTM/0124</v>
      </c>
      <c r="B19" s="11">
        <f>IFERROR(__xludf.DUMMYFUNCTION("""COMPUTED_VALUE"""),45299.668761574074)</f>
        <v>45299.66876</v>
      </c>
      <c r="C19" s="8" t="str">
        <f>IFERROR(__xludf.DUMMYFUNCTION("""COMPUTED_VALUE"""),"UMUM")</f>
        <v>UMUM</v>
      </c>
      <c r="D19" s="8" t="str">
        <f>IFERROR(__xludf.DUMMYFUNCTION("""COMPUTED_VALUE"""),"UMUM")</f>
        <v>UMUM</v>
      </c>
      <c r="E19" s="8" t="str">
        <f>IFERROR(__xludf.DUMMYFUNCTION("""COMPUTED_VALUE"""),"JUFRY")</f>
        <v>JUFRY</v>
      </c>
      <c r="F19" s="8"/>
      <c r="G19" s="8"/>
      <c r="H19" s="8"/>
      <c r="I19" s="8"/>
      <c r="J19" s="8" t="str">
        <f>IFERROR(__xludf.DUMMYFUNCTION("""COMPUTED_VALUE"""),"  ")</f>
        <v>  </v>
      </c>
      <c r="K19" s="8" t="str">
        <f>IFERROR(__xludf.DUMMYFUNCTION("""COMPUTED_VALUE"""),"706274")</f>
        <v>706274</v>
      </c>
      <c r="L19" s="8" t="str">
        <f>IFERROR(__xludf.DUMMYFUNCTION("""COMPUTED_VALUE"""),"SECURE PAPER SHREDDER AUTO60")</f>
        <v>SECURE PAPER SHREDDER AUTO60</v>
      </c>
      <c r="M19" s="12">
        <f>IFERROR(__xludf.DUMMYFUNCTION("""COMPUTED_VALUE"""),1.0)</f>
        <v>1</v>
      </c>
      <c r="N19" s="8" t="str">
        <f>IFERROR(__xludf.DUMMYFUNCTION("""COMPUTED_VALUE"""),"BH")</f>
        <v>BH</v>
      </c>
      <c r="O19" s="13">
        <f>IFERROR(__xludf.DUMMYFUNCTION("""COMPUTED_VALUE"""),2750000.0)</f>
        <v>2750000</v>
      </c>
      <c r="P19" s="12">
        <f>IFERROR(__xludf.DUMMYFUNCTION("""COMPUTED_VALUE"""),2600000.0)</f>
        <v>2600000</v>
      </c>
      <c r="Q19" s="8"/>
      <c r="R19" s="8">
        <f>IFERROR(__xludf.DUMMYFUNCTION("""COMPUTED_VALUE"""),0.0)</f>
        <v>0</v>
      </c>
      <c r="S19" s="12">
        <f>IFERROR(__xludf.DUMMYFUNCTION("""COMPUTED_VALUE"""),0.0)</f>
        <v>0</v>
      </c>
      <c r="T19" s="12">
        <f>IFERROR(__xludf.DUMMYFUNCTION("""COMPUTED_VALUE"""),2750000.0)</f>
        <v>2750000</v>
      </c>
      <c r="U19" s="13">
        <f>IFERROR(__xludf.DUMMYFUNCTION("""COMPUTED_VALUE"""),5.4545454545)</f>
        <v>5.454545455</v>
      </c>
      <c r="V19" s="8" t="str">
        <f>IFERROR(__xludf.DUMMYFUNCTION("""COMPUTED_VALUE"""),"QRIS")</f>
        <v>QRIS</v>
      </c>
      <c r="W19" s="8"/>
      <c r="X19" s="8">
        <f t="shared" si="1"/>
        <v>1</v>
      </c>
      <c r="AA19" s="10"/>
    </row>
    <row r="20">
      <c r="A20" s="8" t="str">
        <f>IFERROR(__xludf.DUMMYFUNCTION("""COMPUTED_VALUE"""),"9843/JL/UTM/0124")</f>
        <v>9843/JL/UTM/0124</v>
      </c>
      <c r="B20" s="11">
        <f>IFERROR(__xludf.DUMMYFUNCTION("""COMPUTED_VALUE"""),45300.69184027778)</f>
        <v>45300.69184</v>
      </c>
      <c r="C20" s="8" t="str">
        <f>IFERROR(__xludf.DUMMYFUNCTION("""COMPUTED_VALUE"""),"PL0769")</f>
        <v>PL0769</v>
      </c>
      <c r="D20" s="8" t="str">
        <f>IFERROR(__xludf.DUMMYFUNCTION("""COMPUTED_VALUE"""),"RONNY.B")</f>
        <v>RONNY.B</v>
      </c>
      <c r="E20" s="8" t="str">
        <f>IFERROR(__xludf.DUMMYFUNCTION("""COMPUTED_VALUE"""),"JUFRY")</f>
        <v>JUFRY</v>
      </c>
      <c r="F20" s="8"/>
      <c r="G20" s="8"/>
      <c r="H20" s="8"/>
      <c r="I20" s="8"/>
      <c r="J20" s="8" t="str">
        <f>IFERROR(__xludf.DUMMYFUNCTION("""COMPUTED_VALUE"""),"METRO REGENCY  ")</f>
        <v>METRO REGENCY  </v>
      </c>
      <c r="K20" s="8" t="str">
        <f>IFERROR(__xludf.DUMMYFUNCTION("""COMPUTED_VALUE"""),"40210")</f>
        <v>40210</v>
      </c>
      <c r="L20" s="8" t="str">
        <f>IFERROR(__xludf.DUMMYFUNCTION("""COMPUTED_VALUE"""),"SECURE FINGERPRINT IDENTIFICATION SYSTEM EAZY")</f>
        <v>SECURE FINGERPRINT IDENTIFICATION SYSTEM EAZY</v>
      </c>
      <c r="M20" s="12">
        <f>IFERROR(__xludf.DUMMYFUNCTION("""COMPUTED_VALUE"""),1.0)</f>
        <v>1</v>
      </c>
      <c r="N20" s="8" t="str">
        <f>IFERROR(__xludf.DUMMYFUNCTION("""COMPUTED_VALUE"""),"UNIT")</f>
        <v>UNIT</v>
      </c>
      <c r="O20" s="13">
        <f>IFERROR(__xludf.DUMMYFUNCTION("""COMPUTED_VALUE"""),1800000.0)</f>
        <v>1800000</v>
      </c>
      <c r="P20" s="12">
        <f>IFERROR(__xludf.DUMMYFUNCTION("""COMPUTED_VALUE"""),1620000.0)</f>
        <v>1620000</v>
      </c>
      <c r="Q20" s="8"/>
      <c r="R20" s="8">
        <f>IFERROR(__xludf.DUMMYFUNCTION("""COMPUTED_VALUE"""),0.0)</f>
        <v>0</v>
      </c>
      <c r="S20" s="12">
        <f>IFERROR(__xludf.DUMMYFUNCTION("""COMPUTED_VALUE"""),0.0)</f>
        <v>0</v>
      </c>
      <c r="T20" s="12">
        <f>IFERROR(__xludf.DUMMYFUNCTION("""COMPUTED_VALUE"""),1620000.0)</f>
        <v>1620000</v>
      </c>
      <c r="U20" s="13">
        <f>IFERROR(__xludf.DUMMYFUNCTION("""COMPUTED_VALUE"""),0.0)</f>
        <v>0</v>
      </c>
      <c r="V20" s="8"/>
      <c r="W20" s="8"/>
      <c r="X20" s="8">
        <f t="shared" si="1"/>
        <v>1</v>
      </c>
      <c r="AA20" s="10"/>
    </row>
    <row r="21">
      <c r="A21" s="8" t="str">
        <f>IFERROR(__xludf.DUMMYFUNCTION("""COMPUTED_VALUE"""),"9844/JL/UTM/0124")</f>
        <v>9844/JL/UTM/0124</v>
      </c>
      <c r="B21" s="11">
        <f>IFERROR(__xludf.DUMMYFUNCTION("""COMPUTED_VALUE"""),45300.692870370374)</f>
        <v>45300.69287</v>
      </c>
      <c r="C21" s="8" t="str">
        <f>IFERROR(__xludf.DUMMYFUNCTION("""COMPUTED_VALUE"""),"UMUM")</f>
        <v>UMUM</v>
      </c>
      <c r="D21" s="8" t="str">
        <f>IFERROR(__xludf.DUMMYFUNCTION("""COMPUTED_VALUE"""),"UMUM")</f>
        <v>UMUM</v>
      </c>
      <c r="E21" s="8" t="str">
        <f>IFERROR(__xludf.DUMMYFUNCTION("""COMPUTED_VALUE"""),"JUFRY")</f>
        <v>JUFRY</v>
      </c>
      <c r="F21" s="8"/>
      <c r="G21" s="8"/>
      <c r="H21" s="8"/>
      <c r="I21" s="8"/>
      <c r="J21" s="8" t="str">
        <f>IFERROR(__xludf.DUMMYFUNCTION("""COMPUTED_VALUE"""),"  ")</f>
        <v>  </v>
      </c>
      <c r="K21" s="8" t="str">
        <f>IFERROR(__xludf.DUMMYFUNCTION("""COMPUTED_VALUE"""),"40331")</f>
        <v>40331</v>
      </c>
      <c r="L21" s="8" t="str">
        <f>IFERROR(__xludf.DUMMYFUNCTION("""COMPUTED_VALUE"""),"V-TEC CASH BOX VT-869")</f>
        <v>V-TEC CASH BOX VT-869</v>
      </c>
      <c r="M21" s="12">
        <f>IFERROR(__xludf.DUMMYFUNCTION("""COMPUTED_VALUE"""),1.0)</f>
        <v>1</v>
      </c>
      <c r="N21" s="8" t="str">
        <f>IFERROR(__xludf.DUMMYFUNCTION("""COMPUTED_VALUE"""),"BH")</f>
        <v>BH</v>
      </c>
      <c r="O21" s="13">
        <f>IFERROR(__xludf.DUMMYFUNCTION("""COMPUTED_VALUE"""),800000.0)</f>
        <v>800000</v>
      </c>
      <c r="P21" s="12">
        <f>IFERROR(__xludf.DUMMYFUNCTION("""COMPUTED_VALUE"""),800000.0)</f>
        <v>800000</v>
      </c>
      <c r="Q21" s="8"/>
      <c r="R21" s="8">
        <f>IFERROR(__xludf.DUMMYFUNCTION("""COMPUTED_VALUE"""),0.0)</f>
        <v>0</v>
      </c>
      <c r="S21" s="12">
        <f>IFERROR(__xludf.DUMMYFUNCTION("""COMPUTED_VALUE"""),0.0)</f>
        <v>0</v>
      </c>
      <c r="T21" s="12">
        <f>IFERROR(__xludf.DUMMYFUNCTION("""COMPUTED_VALUE"""),800000.0)</f>
        <v>800000</v>
      </c>
      <c r="U21" s="13">
        <f>IFERROR(__xludf.DUMMYFUNCTION("""COMPUTED_VALUE"""),0.0)</f>
        <v>0</v>
      </c>
      <c r="V21" s="8"/>
      <c r="W21" s="8"/>
      <c r="X21" s="8">
        <f t="shared" si="1"/>
        <v>1</v>
      </c>
      <c r="AA21" s="10"/>
    </row>
    <row r="22">
      <c r="A22" s="8" t="str">
        <f>IFERROR(__xludf.DUMMYFUNCTION("""COMPUTED_VALUE"""),"9845/JL/UTM/0124")</f>
        <v>9845/JL/UTM/0124</v>
      </c>
      <c r="B22" s="11">
        <f>IFERROR(__xludf.DUMMYFUNCTION("""COMPUTED_VALUE"""),45300.6935300926)</f>
        <v>45300.69353</v>
      </c>
      <c r="C22" s="8" t="str">
        <f>IFERROR(__xludf.DUMMYFUNCTION("""COMPUTED_VALUE"""),"UMUM")</f>
        <v>UMUM</v>
      </c>
      <c r="D22" s="8" t="str">
        <f>IFERROR(__xludf.DUMMYFUNCTION("""COMPUTED_VALUE"""),"UMUM")</f>
        <v>UMUM</v>
      </c>
      <c r="E22" s="8" t="str">
        <f>IFERROR(__xludf.DUMMYFUNCTION("""COMPUTED_VALUE"""),"JUFRY")</f>
        <v>JUFRY</v>
      </c>
      <c r="F22" s="8"/>
      <c r="G22" s="8"/>
      <c r="H22" s="8"/>
      <c r="I22" s="8"/>
      <c r="J22" s="8" t="str">
        <f>IFERROR(__xludf.DUMMYFUNCTION("""COMPUTED_VALUE"""),"  ")</f>
        <v>  </v>
      </c>
      <c r="K22" s="8" t="str">
        <f>IFERROR(__xludf.DUMMYFUNCTION("""COMPUTED_VALUE"""),"10094")</f>
        <v>10094</v>
      </c>
      <c r="L22" s="8" t="str">
        <f>IFERROR(__xludf.DUMMYFUNCTION("""COMPUTED_VALUE"""),"AMANO PITA EX 3200/6100")</f>
        <v>AMANO PITA EX 3200/6100</v>
      </c>
      <c r="M22" s="12">
        <f>IFERROR(__xludf.DUMMYFUNCTION("""COMPUTED_VALUE"""),1.0)</f>
        <v>1</v>
      </c>
      <c r="N22" s="8" t="str">
        <f>IFERROR(__xludf.DUMMYFUNCTION("""COMPUTED_VALUE"""),"PCS")</f>
        <v>PCS</v>
      </c>
      <c r="O22" s="13">
        <f>IFERROR(__xludf.DUMMYFUNCTION("""COMPUTED_VALUE"""),85000.0)</f>
        <v>85000</v>
      </c>
      <c r="P22" s="12">
        <f>IFERROR(__xludf.DUMMYFUNCTION("""COMPUTED_VALUE"""),85000.0)</f>
        <v>85000</v>
      </c>
      <c r="Q22" s="8"/>
      <c r="R22" s="8">
        <f>IFERROR(__xludf.DUMMYFUNCTION("""COMPUTED_VALUE"""),0.0)</f>
        <v>0</v>
      </c>
      <c r="S22" s="12">
        <f>IFERROR(__xludf.DUMMYFUNCTION("""COMPUTED_VALUE"""),0.0)</f>
        <v>0</v>
      </c>
      <c r="T22" s="12">
        <f>IFERROR(__xludf.DUMMYFUNCTION("""COMPUTED_VALUE"""),85000.0)</f>
        <v>85000</v>
      </c>
      <c r="U22" s="13">
        <f>IFERROR(__xludf.DUMMYFUNCTION("""COMPUTED_VALUE"""),0.0)</f>
        <v>0</v>
      </c>
      <c r="V22" s="8"/>
      <c r="W22" s="8"/>
      <c r="X22" s="8">
        <f t="shared" si="1"/>
        <v>1</v>
      </c>
      <c r="AA22" s="10"/>
    </row>
    <row r="23">
      <c r="A23" s="8" t="str">
        <f>IFERROR(__xludf.DUMMYFUNCTION("""COMPUTED_VALUE"""),"9846/JL/UTM/0124")</f>
        <v>9846/JL/UTM/0124</v>
      </c>
      <c r="B23" s="11">
        <f>IFERROR(__xludf.DUMMYFUNCTION("""COMPUTED_VALUE"""),45300.69474537037)</f>
        <v>45300.69475</v>
      </c>
      <c r="C23" s="8" t="str">
        <f>IFERROR(__xludf.DUMMYFUNCTION("""COMPUTED_VALUE"""),"775")</f>
        <v>775</v>
      </c>
      <c r="D23" s="8" t="str">
        <f>IFERROR(__xludf.DUMMYFUNCTION("""COMPUTED_VALUE"""),"PT. SURYA MADISTRINDO")</f>
        <v>PT. SURYA MADISTRINDO</v>
      </c>
      <c r="E23" s="8" t="str">
        <f>IFERROR(__xludf.DUMMYFUNCTION("""COMPUTED_VALUE"""),"JUFRY")</f>
        <v>JUFRY</v>
      </c>
      <c r="F23" s="8"/>
      <c r="G23" s="8"/>
      <c r="H23" s="8"/>
      <c r="I23" s="8"/>
      <c r="J23" s="8" t="str">
        <f>IFERROR(__xludf.DUMMYFUNCTION("""COMPUTED_VALUE"""),"  ")</f>
        <v>  </v>
      </c>
      <c r="K23" s="8" t="str">
        <f>IFERROR(__xludf.DUMMYFUNCTION("""COMPUTED_VALUE"""),"706254")</f>
        <v>706254</v>
      </c>
      <c r="L23" s="8" t="str">
        <f>IFERROR(__xludf.DUMMYFUNCTION("""COMPUTED_VALUE"""),"VTEC W. BOARD STAND NON MAGNET D/F 90 X 120")</f>
        <v>VTEC W. BOARD STAND NON MAGNET D/F 90 X 120</v>
      </c>
      <c r="M23" s="12">
        <f>IFERROR(__xludf.DUMMYFUNCTION("""COMPUTED_VALUE"""),3.0)</f>
        <v>3</v>
      </c>
      <c r="N23" s="8" t="str">
        <f>IFERROR(__xludf.DUMMYFUNCTION("""COMPUTED_VALUE"""),"UNIT")</f>
        <v>UNIT</v>
      </c>
      <c r="O23" s="13">
        <f>IFERROR(__xludf.DUMMYFUNCTION("""COMPUTED_VALUE"""),1500000.0)</f>
        <v>1500000</v>
      </c>
      <c r="P23" s="12">
        <f>IFERROR(__xludf.DUMMYFUNCTION("""COMPUTED_VALUE"""),0.0)</f>
        <v>0</v>
      </c>
      <c r="Q23" s="8"/>
      <c r="R23" s="8">
        <f>IFERROR(__xludf.DUMMYFUNCTION("""COMPUTED_VALUE"""),0.0)</f>
        <v>0</v>
      </c>
      <c r="S23" s="12">
        <f>IFERROR(__xludf.DUMMYFUNCTION("""COMPUTED_VALUE"""),3900000.0)</f>
        <v>3900000</v>
      </c>
      <c r="T23" s="12">
        <f>IFERROR(__xludf.DUMMYFUNCTION("""COMPUTED_VALUE"""),4500000.0)</f>
        <v>4500000</v>
      </c>
      <c r="U23" s="13">
        <f>IFERROR(__xludf.DUMMYFUNCTION("""COMPUTED_VALUE"""),13.3333333333)</f>
        <v>13.33333333</v>
      </c>
      <c r="V23" s="8"/>
      <c r="W23" s="8"/>
      <c r="X23" s="8">
        <f t="shared" si="1"/>
        <v>1</v>
      </c>
      <c r="AA23" s="10"/>
    </row>
    <row r="24">
      <c r="A24" s="8" t="str">
        <f>IFERROR(__xludf.DUMMYFUNCTION("""COMPUTED_VALUE"""),"9847/JL/UTM/0124")</f>
        <v>9847/JL/UTM/0124</v>
      </c>
      <c r="B24" s="11">
        <f>IFERROR(__xludf.DUMMYFUNCTION("""COMPUTED_VALUE"""),45303.689247685186)</f>
        <v>45303.68925</v>
      </c>
      <c r="C24" s="8" t="str">
        <f>IFERROR(__xludf.DUMMYFUNCTION("""COMPUTED_VALUE"""),"UMUM")</f>
        <v>UMUM</v>
      </c>
      <c r="D24" s="8" t="str">
        <f>IFERROR(__xludf.DUMMYFUNCTION("""COMPUTED_VALUE"""),"UMUM")</f>
        <v>UMUM</v>
      </c>
      <c r="E24" s="8" t="str">
        <f>IFERROR(__xludf.DUMMYFUNCTION("""COMPUTED_VALUE"""),"JUFRY")</f>
        <v>JUFRY</v>
      </c>
      <c r="F24" s="8"/>
      <c r="G24" s="8"/>
      <c r="H24" s="8"/>
      <c r="I24" s="8"/>
      <c r="J24" s="8" t="str">
        <f>IFERROR(__xludf.DUMMYFUNCTION("""COMPUTED_VALUE"""),"  ")</f>
        <v>  </v>
      </c>
      <c r="K24" s="8" t="str">
        <f>IFERROR(__xludf.DUMMYFUNCTION("""COMPUTED_VALUE"""),"606063")</f>
        <v>606063</v>
      </c>
      <c r="L24" s="8" t="str">
        <f>IFERROR(__xludf.DUMMYFUNCTION("""COMPUTED_VALUE"""),"Topas Safe Deposit FD 300")</f>
        <v>Topas Safe Deposit FD 300</v>
      </c>
      <c r="M24" s="12">
        <f>IFERROR(__xludf.DUMMYFUNCTION("""COMPUTED_VALUE"""),1.0)</f>
        <v>1</v>
      </c>
      <c r="N24" s="8" t="str">
        <f>IFERROR(__xludf.DUMMYFUNCTION("""COMPUTED_VALUE"""),"BH")</f>
        <v>BH</v>
      </c>
      <c r="O24" s="13">
        <f>IFERROR(__xludf.DUMMYFUNCTION("""COMPUTED_VALUE"""),1350000.0)</f>
        <v>1350000</v>
      </c>
      <c r="P24" s="12">
        <f>IFERROR(__xludf.DUMMYFUNCTION("""COMPUTED_VALUE"""),1250000.0)</f>
        <v>1250000</v>
      </c>
      <c r="Q24" s="8"/>
      <c r="R24" s="8">
        <f>IFERROR(__xludf.DUMMYFUNCTION("""COMPUTED_VALUE"""),0.0)</f>
        <v>0</v>
      </c>
      <c r="S24" s="12">
        <f>IFERROR(__xludf.DUMMYFUNCTION("""COMPUTED_VALUE"""),0.0)</f>
        <v>0</v>
      </c>
      <c r="T24" s="12">
        <f>IFERROR(__xludf.DUMMYFUNCTION("""COMPUTED_VALUE"""),1350000.0)</f>
        <v>1350000</v>
      </c>
      <c r="U24" s="13">
        <f>IFERROR(__xludf.DUMMYFUNCTION("""COMPUTED_VALUE"""),7.4074074074)</f>
        <v>7.407407407</v>
      </c>
      <c r="V24" s="8" t="str">
        <f>IFERROR(__xludf.DUMMYFUNCTION("""COMPUTED_VALUE"""),"TRANSFER BCA")</f>
        <v>TRANSFER BCA</v>
      </c>
      <c r="W24" s="8"/>
      <c r="X24" s="8">
        <f t="shared" si="1"/>
        <v>1</v>
      </c>
      <c r="AA24" s="10"/>
    </row>
    <row r="25">
      <c r="A25" s="8" t="str">
        <f>IFERROR(__xludf.DUMMYFUNCTION("""COMPUTED_VALUE"""),"9848/JL/UTM/0124")</f>
        <v>9848/JL/UTM/0124</v>
      </c>
      <c r="B25" s="11">
        <f>IFERROR(__xludf.DUMMYFUNCTION("""COMPUTED_VALUE"""),45303.69)</f>
        <v>45303.69</v>
      </c>
      <c r="C25" s="8" t="str">
        <f>IFERROR(__xludf.DUMMYFUNCTION("""COMPUTED_VALUE"""),"UMUM")</f>
        <v>UMUM</v>
      </c>
      <c r="D25" s="8" t="str">
        <f>IFERROR(__xludf.DUMMYFUNCTION("""COMPUTED_VALUE"""),"UMUM")</f>
        <v>UMUM</v>
      </c>
      <c r="E25" s="8" t="str">
        <f>IFERROR(__xludf.DUMMYFUNCTION("""COMPUTED_VALUE"""),"JUFRY")</f>
        <v>JUFRY</v>
      </c>
      <c r="F25" s="8"/>
      <c r="G25" s="8"/>
      <c r="H25" s="8"/>
      <c r="I25" s="8"/>
      <c r="J25" s="8" t="str">
        <f>IFERROR(__xludf.DUMMYFUNCTION("""COMPUTED_VALUE"""),"  ")</f>
        <v>  </v>
      </c>
      <c r="K25" s="8" t="str">
        <f>IFERROR(__xludf.DUMMYFUNCTION("""COMPUTED_VALUE"""),"706188")</f>
        <v>706188</v>
      </c>
      <c r="L25" s="8" t="str">
        <f>IFERROR(__xludf.DUMMYFUNCTION("""COMPUTED_VALUE"""),"AZ IMPULSE SEALER 200i")</f>
        <v>AZ IMPULSE SEALER 200i</v>
      </c>
      <c r="M25" s="12">
        <f>IFERROR(__xludf.DUMMYFUNCTION("""COMPUTED_VALUE"""),1.0)</f>
        <v>1</v>
      </c>
      <c r="N25" s="8" t="str">
        <f>IFERROR(__xludf.DUMMYFUNCTION("""COMPUTED_VALUE"""),"BH")</f>
        <v>BH</v>
      </c>
      <c r="O25" s="13">
        <f>IFERROR(__xludf.DUMMYFUNCTION("""COMPUTED_VALUE"""),235000.0)</f>
        <v>235000</v>
      </c>
      <c r="P25" s="12">
        <f>IFERROR(__xludf.DUMMYFUNCTION("""COMPUTED_VALUE"""),235000.0)</f>
        <v>235000</v>
      </c>
      <c r="Q25" s="8"/>
      <c r="R25" s="8">
        <f>IFERROR(__xludf.DUMMYFUNCTION("""COMPUTED_VALUE"""),0.0)</f>
        <v>0</v>
      </c>
      <c r="S25" s="12">
        <f>IFERROR(__xludf.DUMMYFUNCTION("""COMPUTED_VALUE"""),0.0)</f>
        <v>0</v>
      </c>
      <c r="T25" s="12">
        <f>IFERROR(__xludf.DUMMYFUNCTION("""COMPUTED_VALUE"""),235000.0)</f>
        <v>235000</v>
      </c>
      <c r="U25" s="13">
        <f>IFERROR(__xludf.DUMMYFUNCTION("""COMPUTED_VALUE"""),0.0)</f>
        <v>0</v>
      </c>
      <c r="V25" s="8" t="str">
        <f>IFERROR(__xludf.DUMMYFUNCTION("""COMPUTED_VALUE"""),"QRIS")</f>
        <v>QRIS</v>
      </c>
      <c r="W25" s="8"/>
      <c r="X25" s="8">
        <f t="shared" si="1"/>
        <v>1</v>
      </c>
      <c r="AA25" s="10"/>
    </row>
    <row r="26">
      <c r="A26" s="8" t="str">
        <f>IFERROR(__xludf.DUMMYFUNCTION("""COMPUTED_VALUE"""),"9849/JL/UTM/0124")</f>
        <v>9849/JL/UTM/0124</v>
      </c>
      <c r="B26" s="11">
        <f>IFERROR(__xludf.DUMMYFUNCTION("""COMPUTED_VALUE"""),45303.69064814815)</f>
        <v>45303.69065</v>
      </c>
      <c r="C26" s="8" t="str">
        <f>IFERROR(__xludf.DUMMYFUNCTION("""COMPUTED_VALUE"""),"UMUM")</f>
        <v>UMUM</v>
      </c>
      <c r="D26" s="8" t="str">
        <f>IFERROR(__xludf.DUMMYFUNCTION("""COMPUTED_VALUE"""),"UMUM")</f>
        <v>UMUM</v>
      </c>
      <c r="E26" s="8" t="str">
        <f>IFERROR(__xludf.DUMMYFUNCTION("""COMPUTED_VALUE"""),"JUFRY")</f>
        <v>JUFRY</v>
      </c>
      <c r="F26" s="8"/>
      <c r="G26" s="8"/>
      <c r="H26" s="8"/>
      <c r="I26" s="8"/>
      <c r="J26" s="8" t="str">
        <f>IFERROR(__xludf.DUMMYFUNCTION("""COMPUTED_VALUE"""),"  ")</f>
        <v>  </v>
      </c>
      <c r="K26" s="8" t="str">
        <f>IFERROR(__xludf.DUMMYFUNCTION("""COMPUTED_VALUE"""),"706188")</f>
        <v>706188</v>
      </c>
      <c r="L26" s="8" t="str">
        <f>IFERROR(__xludf.DUMMYFUNCTION("""COMPUTED_VALUE"""),"AZ IMPULSE SEALER 200i")</f>
        <v>AZ IMPULSE SEALER 200i</v>
      </c>
      <c r="M26" s="12">
        <f>IFERROR(__xludf.DUMMYFUNCTION("""COMPUTED_VALUE"""),1.0)</f>
        <v>1</v>
      </c>
      <c r="N26" s="8" t="str">
        <f>IFERROR(__xludf.DUMMYFUNCTION("""COMPUTED_VALUE"""),"BH")</f>
        <v>BH</v>
      </c>
      <c r="O26" s="13">
        <f>IFERROR(__xludf.DUMMYFUNCTION("""COMPUTED_VALUE"""),235000.0)</f>
        <v>235000</v>
      </c>
      <c r="P26" s="12">
        <f>IFERROR(__xludf.DUMMYFUNCTION("""COMPUTED_VALUE"""),225000.0)</f>
        <v>225000</v>
      </c>
      <c r="Q26" s="8"/>
      <c r="R26" s="8">
        <f>IFERROR(__xludf.DUMMYFUNCTION("""COMPUTED_VALUE"""),0.0)</f>
        <v>0</v>
      </c>
      <c r="S26" s="12">
        <f>IFERROR(__xludf.DUMMYFUNCTION("""COMPUTED_VALUE"""),0.0)</f>
        <v>0</v>
      </c>
      <c r="T26" s="12">
        <f>IFERROR(__xludf.DUMMYFUNCTION("""COMPUTED_VALUE"""),235000.0)</f>
        <v>235000</v>
      </c>
      <c r="U26" s="13">
        <f>IFERROR(__xludf.DUMMYFUNCTION("""COMPUTED_VALUE"""),4.2553191489)</f>
        <v>4.255319149</v>
      </c>
      <c r="V26" s="8"/>
      <c r="W26" s="8"/>
      <c r="X26" s="8">
        <f t="shared" si="1"/>
        <v>1</v>
      </c>
      <c r="AA26" s="10"/>
    </row>
    <row r="27">
      <c r="A27" s="8" t="str">
        <f>IFERROR(__xludf.DUMMYFUNCTION("""COMPUTED_VALUE"""),"9850/JL/UTM/0124")</f>
        <v>9850/JL/UTM/0124</v>
      </c>
      <c r="B27" s="11">
        <f>IFERROR(__xludf.DUMMYFUNCTION("""COMPUTED_VALUE"""),45303.69125)</f>
        <v>45303.69125</v>
      </c>
      <c r="C27" s="8" t="str">
        <f>IFERROR(__xludf.DUMMYFUNCTION("""COMPUTED_VALUE"""),"UMUM")</f>
        <v>UMUM</v>
      </c>
      <c r="D27" s="8" t="str">
        <f>IFERROR(__xludf.DUMMYFUNCTION("""COMPUTED_VALUE"""),"UMUM")</f>
        <v>UMUM</v>
      </c>
      <c r="E27" s="8" t="str">
        <f>IFERROR(__xludf.DUMMYFUNCTION("""COMPUTED_VALUE"""),"JUFRY")</f>
        <v>JUFRY</v>
      </c>
      <c r="F27" s="8"/>
      <c r="G27" s="8"/>
      <c r="H27" s="8"/>
      <c r="I27" s="8"/>
      <c r="J27" s="8" t="str">
        <f>IFERROR(__xludf.DUMMYFUNCTION("""COMPUTED_VALUE"""),"  ")</f>
        <v>  </v>
      </c>
      <c r="K27" s="8" t="str">
        <f>IFERROR(__xludf.DUMMYFUNCTION("""COMPUTED_VALUE"""),"706116")</f>
        <v>706116</v>
      </c>
      <c r="L27" s="8" t="str">
        <f>IFERROR(__xludf.DUMMYFUNCTION("""COMPUTED_VALUE"""),"JOYKO MSN LEBEL HARGA MX5500")</f>
        <v>JOYKO MSN LEBEL HARGA MX5500</v>
      </c>
      <c r="M27" s="12">
        <f>IFERROR(__xludf.DUMMYFUNCTION("""COMPUTED_VALUE"""),1.0)</f>
        <v>1</v>
      </c>
      <c r="N27" s="8" t="str">
        <f>IFERROR(__xludf.DUMMYFUNCTION("""COMPUTED_VALUE"""),"BH")</f>
        <v>BH</v>
      </c>
      <c r="O27" s="13">
        <f>IFERROR(__xludf.DUMMYFUNCTION("""COMPUTED_VALUE"""),70000.0)</f>
        <v>70000</v>
      </c>
      <c r="P27" s="12">
        <f>IFERROR(__xludf.DUMMYFUNCTION("""COMPUTED_VALUE"""),70000.0)</f>
        <v>70000</v>
      </c>
      <c r="Q27" s="8"/>
      <c r="R27" s="8">
        <f>IFERROR(__xludf.DUMMYFUNCTION("""COMPUTED_VALUE"""),0.0)</f>
        <v>0</v>
      </c>
      <c r="S27" s="12">
        <f>IFERROR(__xludf.DUMMYFUNCTION("""COMPUTED_VALUE"""),0.0)</f>
        <v>0</v>
      </c>
      <c r="T27" s="12">
        <f>IFERROR(__xludf.DUMMYFUNCTION("""COMPUTED_VALUE"""),70000.0)</f>
        <v>70000</v>
      </c>
      <c r="U27" s="13">
        <f>IFERROR(__xludf.DUMMYFUNCTION("""COMPUTED_VALUE"""),0.0)</f>
        <v>0</v>
      </c>
      <c r="V27" s="8"/>
      <c r="W27" s="8"/>
      <c r="X27" s="8">
        <f t="shared" si="1"/>
        <v>1</v>
      </c>
      <c r="AA27" s="10"/>
    </row>
    <row r="28">
      <c r="A28" s="8" t="str">
        <f>IFERROR(__xludf.DUMMYFUNCTION("""COMPUTED_VALUE"""),"9851/JL/UTM/0124")</f>
        <v>9851/JL/UTM/0124</v>
      </c>
      <c r="B28" s="11">
        <f>IFERROR(__xludf.DUMMYFUNCTION("""COMPUTED_VALUE"""),45306.6650462963)</f>
        <v>45306.66505</v>
      </c>
      <c r="C28" s="8" t="str">
        <f>IFERROR(__xludf.DUMMYFUNCTION("""COMPUTED_VALUE"""),"UMUM")</f>
        <v>UMUM</v>
      </c>
      <c r="D28" s="8" t="str">
        <f>IFERROR(__xludf.DUMMYFUNCTION("""COMPUTED_VALUE"""),"UMUM")</f>
        <v>UMUM</v>
      </c>
      <c r="E28" s="8" t="str">
        <f>IFERROR(__xludf.DUMMYFUNCTION("""COMPUTED_VALUE"""),"JUFRY")</f>
        <v>JUFRY</v>
      </c>
      <c r="F28" s="8"/>
      <c r="G28" s="8"/>
      <c r="H28" s="8"/>
      <c r="I28" s="8"/>
      <c r="J28" s="8" t="str">
        <f>IFERROR(__xludf.DUMMYFUNCTION("""COMPUTED_VALUE"""),"  ")</f>
        <v>  </v>
      </c>
      <c r="K28" s="8" t="str">
        <f>IFERROR(__xludf.DUMMYFUNCTION("""COMPUTED_VALUE"""),"606071")</f>
        <v>606071</v>
      </c>
      <c r="L28" s="8" t="str">
        <f>IFERROR(__xludf.DUMMYFUNCTION("""COMPUTED_VALUE"""),"KINGCO WHITEBOARD 90X120")</f>
        <v>KINGCO WHITEBOARD 90X120</v>
      </c>
      <c r="M28" s="12">
        <f>IFERROR(__xludf.DUMMYFUNCTION("""COMPUTED_VALUE"""),1.0)</f>
        <v>1</v>
      </c>
      <c r="N28" s="8" t="str">
        <f>IFERROR(__xludf.DUMMYFUNCTION("""COMPUTED_VALUE"""),"BH")</f>
        <v>BH</v>
      </c>
      <c r="O28" s="13">
        <f>IFERROR(__xludf.DUMMYFUNCTION("""COMPUTED_VALUE"""),250000.0)</f>
        <v>250000</v>
      </c>
      <c r="P28" s="12">
        <f>IFERROR(__xludf.DUMMYFUNCTION("""COMPUTED_VALUE"""),240000.0)</f>
        <v>240000</v>
      </c>
      <c r="Q28" s="8"/>
      <c r="R28" s="8">
        <f>IFERROR(__xludf.DUMMYFUNCTION("""COMPUTED_VALUE"""),0.0)</f>
        <v>0</v>
      </c>
      <c r="S28" s="12">
        <f>IFERROR(__xludf.DUMMYFUNCTION("""COMPUTED_VALUE"""),0.0)</f>
        <v>0</v>
      </c>
      <c r="T28" s="12">
        <f>IFERROR(__xludf.DUMMYFUNCTION("""COMPUTED_VALUE"""),250000.0)</f>
        <v>250000</v>
      </c>
      <c r="U28" s="13">
        <f>IFERROR(__xludf.DUMMYFUNCTION("""COMPUTED_VALUE"""),4.0)</f>
        <v>4</v>
      </c>
      <c r="V28" s="8"/>
      <c r="W28" s="8"/>
      <c r="X28" s="8">
        <f t="shared" si="1"/>
        <v>1</v>
      </c>
      <c r="AA28" s="10"/>
    </row>
    <row r="29">
      <c r="A29" s="8" t="str">
        <f>IFERROR(__xludf.DUMMYFUNCTION("""COMPUTED_VALUE"""),"9852/JL/UTM/0124")</f>
        <v>9852/JL/UTM/0124</v>
      </c>
      <c r="B29" s="11">
        <f>IFERROR(__xludf.DUMMYFUNCTION("""COMPUTED_VALUE"""),45306.665613425925)</f>
        <v>45306.66561</v>
      </c>
      <c r="C29" s="8" t="str">
        <f>IFERROR(__xludf.DUMMYFUNCTION("""COMPUTED_VALUE"""),"UMUM")</f>
        <v>UMUM</v>
      </c>
      <c r="D29" s="8" t="str">
        <f>IFERROR(__xludf.DUMMYFUNCTION("""COMPUTED_VALUE"""),"UMUM")</f>
        <v>UMUM</v>
      </c>
      <c r="E29" s="8" t="str">
        <f>IFERROR(__xludf.DUMMYFUNCTION("""COMPUTED_VALUE"""),"JUFRY")</f>
        <v>JUFRY</v>
      </c>
      <c r="F29" s="8"/>
      <c r="G29" s="8"/>
      <c r="H29" s="8"/>
      <c r="I29" s="8"/>
      <c r="J29" s="8" t="str">
        <f>IFERROR(__xludf.DUMMYFUNCTION("""COMPUTED_VALUE"""),"  ")</f>
        <v>  </v>
      </c>
      <c r="K29" s="8" t="str">
        <f>IFERROR(__xludf.DUMMYFUNCTION("""COMPUTED_VALUE"""),"606071")</f>
        <v>606071</v>
      </c>
      <c r="L29" s="8" t="str">
        <f>IFERROR(__xludf.DUMMYFUNCTION("""COMPUTED_VALUE"""),"KINGCO WHITEBOARD 90X120")</f>
        <v>KINGCO WHITEBOARD 90X120</v>
      </c>
      <c r="M29" s="12">
        <f>IFERROR(__xludf.DUMMYFUNCTION("""COMPUTED_VALUE"""),1.0)</f>
        <v>1</v>
      </c>
      <c r="N29" s="8" t="str">
        <f>IFERROR(__xludf.DUMMYFUNCTION("""COMPUTED_VALUE"""),"BH")</f>
        <v>BH</v>
      </c>
      <c r="O29" s="13">
        <f>IFERROR(__xludf.DUMMYFUNCTION("""COMPUTED_VALUE"""),250000.0)</f>
        <v>250000</v>
      </c>
      <c r="P29" s="12">
        <f>IFERROR(__xludf.DUMMYFUNCTION("""COMPUTED_VALUE"""),250000.0)</f>
        <v>250000</v>
      </c>
      <c r="Q29" s="8"/>
      <c r="R29" s="8">
        <f>IFERROR(__xludf.DUMMYFUNCTION("""COMPUTED_VALUE"""),0.0)</f>
        <v>0</v>
      </c>
      <c r="S29" s="12">
        <f>IFERROR(__xludf.DUMMYFUNCTION("""COMPUTED_VALUE"""),0.0)</f>
        <v>0</v>
      </c>
      <c r="T29" s="12">
        <f>IFERROR(__xludf.DUMMYFUNCTION("""COMPUTED_VALUE"""),250000.0)</f>
        <v>250000</v>
      </c>
      <c r="U29" s="13">
        <f>IFERROR(__xludf.DUMMYFUNCTION("""COMPUTED_VALUE"""),0.0)</f>
        <v>0</v>
      </c>
      <c r="V29" s="8"/>
      <c r="W29" s="8"/>
      <c r="X29" s="8">
        <f t="shared" si="1"/>
        <v>1</v>
      </c>
      <c r="AA29" s="10"/>
    </row>
    <row r="30">
      <c r="A30" s="8" t="str">
        <f>IFERROR(__xludf.DUMMYFUNCTION("""COMPUTED_VALUE"""),"9853/JL/UTM/0124")</f>
        <v>9853/JL/UTM/0124</v>
      </c>
      <c r="B30" s="11">
        <f>IFERROR(__xludf.DUMMYFUNCTION("""COMPUTED_VALUE"""),45306.66626157408)</f>
        <v>45306.66626</v>
      </c>
      <c r="C30" s="8" t="str">
        <f>IFERROR(__xludf.DUMMYFUNCTION("""COMPUTED_VALUE"""),"UMUM")</f>
        <v>UMUM</v>
      </c>
      <c r="D30" s="8" t="str">
        <f>IFERROR(__xludf.DUMMYFUNCTION("""COMPUTED_VALUE"""),"UMUM")</f>
        <v>UMUM</v>
      </c>
      <c r="E30" s="8" t="str">
        <f>IFERROR(__xludf.DUMMYFUNCTION("""COMPUTED_VALUE"""),"JUFRY")</f>
        <v>JUFRY</v>
      </c>
      <c r="F30" s="8"/>
      <c r="G30" s="8"/>
      <c r="H30" s="8"/>
      <c r="I30" s="8"/>
      <c r="J30" s="8" t="str">
        <f>IFERROR(__xludf.DUMMYFUNCTION("""COMPUTED_VALUE"""),"  ")</f>
        <v>  </v>
      </c>
      <c r="K30" s="8" t="str">
        <f>IFERROR(__xludf.DUMMYFUNCTION("""COMPUTED_VALUE"""),"606071")</f>
        <v>606071</v>
      </c>
      <c r="L30" s="8" t="str">
        <f>IFERROR(__xludf.DUMMYFUNCTION("""COMPUTED_VALUE"""),"KINGCO WHITEBOARD 90X120")</f>
        <v>KINGCO WHITEBOARD 90X120</v>
      </c>
      <c r="M30" s="12">
        <f>IFERROR(__xludf.DUMMYFUNCTION("""COMPUTED_VALUE"""),1.0)</f>
        <v>1</v>
      </c>
      <c r="N30" s="8" t="str">
        <f>IFERROR(__xludf.DUMMYFUNCTION("""COMPUTED_VALUE"""),"BH")</f>
        <v>BH</v>
      </c>
      <c r="O30" s="13">
        <f>IFERROR(__xludf.DUMMYFUNCTION("""COMPUTED_VALUE"""),250000.0)</f>
        <v>250000</v>
      </c>
      <c r="P30" s="12">
        <f>IFERROR(__xludf.DUMMYFUNCTION("""COMPUTED_VALUE"""),250000.0)</f>
        <v>250000</v>
      </c>
      <c r="Q30" s="8"/>
      <c r="R30" s="8">
        <f>IFERROR(__xludf.DUMMYFUNCTION("""COMPUTED_VALUE"""),0.0)</f>
        <v>0</v>
      </c>
      <c r="S30" s="12">
        <f>IFERROR(__xludf.DUMMYFUNCTION("""COMPUTED_VALUE"""),0.0)</f>
        <v>0</v>
      </c>
      <c r="T30" s="12">
        <f>IFERROR(__xludf.DUMMYFUNCTION("""COMPUTED_VALUE"""),250000.0)</f>
        <v>250000</v>
      </c>
      <c r="U30" s="13">
        <f>IFERROR(__xludf.DUMMYFUNCTION("""COMPUTED_VALUE"""),0.0)</f>
        <v>0</v>
      </c>
      <c r="V30" s="8" t="str">
        <f>IFERROR(__xludf.DUMMYFUNCTION("""COMPUTED_VALUE"""),"QRIS")</f>
        <v>QRIS</v>
      </c>
      <c r="W30" s="8"/>
      <c r="X30" s="8">
        <f t="shared" si="1"/>
        <v>1</v>
      </c>
      <c r="AA30" s="10"/>
    </row>
    <row r="31">
      <c r="A31" s="8" t="str">
        <f>IFERROR(__xludf.DUMMYFUNCTION("""COMPUTED_VALUE"""),"9854/JL/UTM/0124")</f>
        <v>9854/JL/UTM/0124</v>
      </c>
      <c r="B31" s="11">
        <f>IFERROR(__xludf.DUMMYFUNCTION("""COMPUTED_VALUE"""),45307.68328703704)</f>
        <v>45307.68329</v>
      </c>
      <c r="C31" s="8" t="str">
        <f>IFERROR(__xludf.DUMMYFUNCTION("""COMPUTED_VALUE"""),"PL0913")</f>
        <v>PL0913</v>
      </c>
      <c r="D31" s="8" t="str">
        <f>IFERROR(__xludf.DUMMYFUNCTION("""COMPUTED_VALUE"""),"SMA SARJO")</f>
        <v>SMA SARJO</v>
      </c>
      <c r="E31" s="8" t="str">
        <f>IFERROR(__xludf.DUMMYFUNCTION("""COMPUTED_VALUE"""),"JUFRY")</f>
        <v>JUFRY</v>
      </c>
      <c r="F31" s="8"/>
      <c r="G31" s="8"/>
      <c r="H31" s="8"/>
      <c r="I31" s="8"/>
      <c r="J31" s="8" t="str">
        <f>IFERROR(__xludf.DUMMYFUNCTION("""COMPUTED_VALUE"""),"PASANGKAYU  ")</f>
        <v>PASANGKAYU  </v>
      </c>
      <c r="K31" s="8" t="str">
        <f>IFERROR(__xludf.DUMMYFUNCTION("""COMPUTED_VALUE"""),"706287")</f>
        <v>706287</v>
      </c>
      <c r="L31" s="8" t="str">
        <f>IFERROR(__xludf.DUMMYFUNCTION("""COMPUTED_VALUE"""),"AVERY RAK BUKU METAL HBS 002")</f>
        <v>AVERY RAK BUKU METAL HBS 002</v>
      </c>
      <c r="M31" s="12">
        <f>IFERROR(__xludf.DUMMYFUNCTION("""COMPUTED_VALUE"""),2.0)</f>
        <v>2</v>
      </c>
      <c r="N31" s="8" t="str">
        <f>IFERROR(__xludf.DUMMYFUNCTION("""COMPUTED_VALUE"""),"UNIT")</f>
        <v>UNIT</v>
      </c>
      <c r="O31" s="13">
        <f>IFERROR(__xludf.DUMMYFUNCTION("""COMPUTED_VALUE"""),2750000.0)</f>
        <v>2750000</v>
      </c>
      <c r="P31" s="12">
        <f>IFERROR(__xludf.DUMMYFUNCTION("""COMPUTED_VALUE"""),5000000.0)</f>
        <v>5000000</v>
      </c>
      <c r="Q31" s="8"/>
      <c r="R31" s="8">
        <f>IFERROR(__xludf.DUMMYFUNCTION("""COMPUTED_VALUE"""),0.0)</f>
        <v>0</v>
      </c>
      <c r="S31" s="12">
        <f>IFERROR(__xludf.DUMMYFUNCTION("""COMPUTED_VALUE"""),0.0)</f>
        <v>0</v>
      </c>
      <c r="T31" s="12">
        <f>IFERROR(__xludf.DUMMYFUNCTION("""COMPUTED_VALUE"""),5500000.0)</f>
        <v>5500000</v>
      </c>
      <c r="U31" s="13">
        <f>IFERROR(__xludf.DUMMYFUNCTION("""COMPUTED_VALUE"""),9.0909090909)</f>
        <v>9.090909091</v>
      </c>
      <c r="V31" s="8" t="str">
        <f>IFERROR(__xludf.DUMMYFUNCTION("""COMPUTED_VALUE"""),"TRANSFER BRI")</f>
        <v>TRANSFER BRI</v>
      </c>
      <c r="W31" s="8"/>
      <c r="X31" s="8">
        <f t="shared" si="1"/>
        <v>1</v>
      </c>
      <c r="AA31" s="10"/>
    </row>
    <row r="32">
      <c r="A32" s="8" t="str">
        <f>IFERROR(__xludf.DUMMYFUNCTION("""COMPUTED_VALUE"""),"9855/JL/UTM/0124")</f>
        <v>9855/JL/UTM/0124</v>
      </c>
      <c r="B32" s="11">
        <f>IFERROR(__xludf.DUMMYFUNCTION("""COMPUTED_VALUE"""),45307.68574074074)</f>
        <v>45307.68574</v>
      </c>
      <c r="C32" s="8" t="str">
        <f>IFERROR(__xludf.DUMMYFUNCTION("""COMPUTED_VALUE"""),"262")</f>
        <v>262</v>
      </c>
      <c r="D32" s="8" t="str">
        <f>IFERROR(__xludf.DUMMYFUNCTION("""COMPUTED_VALUE"""),"TRAKINDO")</f>
        <v>TRAKINDO</v>
      </c>
      <c r="E32" s="8" t="str">
        <f>IFERROR(__xludf.DUMMYFUNCTION("""COMPUTED_VALUE"""),"JUFRY")</f>
        <v>JUFRY</v>
      </c>
      <c r="F32" s="8"/>
      <c r="G32" s="8"/>
      <c r="H32" s="8"/>
      <c r="I32" s="8"/>
      <c r="J32" s="8" t="str">
        <f>IFERROR(__xludf.DUMMYFUNCTION("""COMPUTED_VALUE"""),"  ")</f>
        <v>  </v>
      </c>
      <c r="K32" s="8" t="str">
        <f>IFERROR(__xludf.DUMMYFUNCTION("""COMPUTED_VALUE"""),"706227")</f>
        <v>706227</v>
      </c>
      <c r="L32" s="8" t="str">
        <f>IFERROR(__xludf.DUMMYFUNCTION("""COMPUTED_VALUE"""),"INCO JAVICO I  KURSI STAF")</f>
        <v>INCO JAVICO I  KURSI STAF</v>
      </c>
      <c r="M32" s="12">
        <f>IFERROR(__xludf.DUMMYFUNCTION("""COMPUTED_VALUE"""),6.0)</f>
        <v>6</v>
      </c>
      <c r="N32" s="8" t="str">
        <f>IFERROR(__xludf.DUMMYFUNCTION("""COMPUTED_VALUE"""),"BH")</f>
        <v>BH</v>
      </c>
      <c r="O32" s="13">
        <f>IFERROR(__xludf.DUMMYFUNCTION("""COMPUTED_VALUE"""),880000.0)</f>
        <v>880000</v>
      </c>
      <c r="P32" s="12">
        <f>IFERROR(__xludf.DUMMYFUNCTION("""COMPUTED_VALUE"""),0.0)</f>
        <v>0</v>
      </c>
      <c r="Q32" s="8"/>
      <c r="R32" s="8">
        <f>IFERROR(__xludf.DUMMYFUNCTION("""COMPUTED_VALUE"""),0.0)</f>
        <v>0</v>
      </c>
      <c r="S32" s="12">
        <f>IFERROR(__xludf.DUMMYFUNCTION("""COMPUTED_VALUE"""),1.153E7)</f>
        <v>11530000</v>
      </c>
      <c r="T32" s="12">
        <f>IFERROR(__xludf.DUMMYFUNCTION("""COMPUTED_VALUE"""),5280000.0)</f>
        <v>5280000</v>
      </c>
      <c r="U32" s="13">
        <f>IFERROR(__xludf.DUMMYFUNCTION("""COMPUTED_VALUE"""),0.0)</f>
        <v>0</v>
      </c>
      <c r="V32" s="8"/>
      <c r="W32" s="8"/>
      <c r="X32" s="8">
        <f t="shared" si="1"/>
        <v>1</v>
      </c>
      <c r="AA32" s="10"/>
    </row>
    <row r="33">
      <c r="A33" s="8" t="str">
        <f>IFERROR(__xludf.DUMMYFUNCTION("""COMPUTED_VALUE"""),"9855/JL/UTM/0124")</f>
        <v>9855/JL/UTM/0124</v>
      </c>
      <c r="B33" s="11">
        <f>IFERROR(__xludf.DUMMYFUNCTION("""COMPUTED_VALUE"""),45307.68574074074)</f>
        <v>45307.68574</v>
      </c>
      <c r="C33" s="8" t="str">
        <f>IFERROR(__xludf.DUMMYFUNCTION("""COMPUTED_VALUE"""),"262")</f>
        <v>262</v>
      </c>
      <c r="D33" s="8" t="str">
        <f>IFERROR(__xludf.DUMMYFUNCTION("""COMPUTED_VALUE"""),"TRAKINDO")</f>
        <v>TRAKINDO</v>
      </c>
      <c r="E33" s="8" t="str">
        <f>IFERROR(__xludf.DUMMYFUNCTION("""COMPUTED_VALUE"""),"JUFRY")</f>
        <v>JUFRY</v>
      </c>
      <c r="F33" s="8"/>
      <c r="G33" s="8"/>
      <c r="H33" s="8"/>
      <c r="I33" s="8"/>
      <c r="J33" s="8" t="str">
        <f>IFERROR(__xludf.DUMMYFUNCTION("""COMPUTED_VALUE"""),"  ")</f>
        <v>  </v>
      </c>
      <c r="K33" s="8" t="str">
        <f>IFERROR(__xludf.DUMMYFUNCTION("""COMPUTED_VALUE"""),"706279")</f>
        <v>706279</v>
      </c>
      <c r="L33" s="8" t="str">
        <f>IFERROR(__xludf.DUMMYFUNCTION("""COMPUTED_VALUE"""),"INCO KURSI STAF CASOVA I")</f>
        <v>INCO KURSI STAF CASOVA I</v>
      </c>
      <c r="M33" s="12">
        <f>IFERROR(__xludf.DUMMYFUNCTION("""COMPUTED_VALUE"""),4.0)</f>
        <v>4</v>
      </c>
      <c r="N33" s="8" t="str">
        <f>IFERROR(__xludf.DUMMYFUNCTION("""COMPUTED_VALUE"""),"BH")</f>
        <v>BH</v>
      </c>
      <c r="O33" s="13">
        <f>IFERROR(__xludf.DUMMYFUNCTION("""COMPUTED_VALUE"""),950000.0)</f>
        <v>950000</v>
      </c>
      <c r="P33" s="12">
        <f>IFERROR(__xludf.DUMMYFUNCTION("""COMPUTED_VALUE"""),0.0)</f>
        <v>0</v>
      </c>
      <c r="Q33" s="8"/>
      <c r="R33" s="8">
        <f>IFERROR(__xludf.DUMMYFUNCTION("""COMPUTED_VALUE"""),0.0)</f>
        <v>0</v>
      </c>
      <c r="S33" s="12">
        <f>IFERROR(__xludf.DUMMYFUNCTION("""COMPUTED_VALUE"""),1.153E7)</f>
        <v>11530000</v>
      </c>
      <c r="T33" s="12">
        <f>IFERROR(__xludf.DUMMYFUNCTION("""COMPUTED_VALUE"""),3800000.0)</f>
        <v>3800000</v>
      </c>
      <c r="U33" s="13">
        <f>IFERROR(__xludf.DUMMYFUNCTION("""COMPUTED_VALUE"""),0.0)</f>
        <v>0</v>
      </c>
      <c r="V33" s="8"/>
      <c r="W33" s="8"/>
      <c r="X33" s="8">
        <f t="shared" si="1"/>
        <v>1</v>
      </c>
      <c r="AA33" s="10"/>
    </row>
    <row r="34">
      <c r="A34" s="8" t="str">
        <f>IFERROR(__xludf.DUMMYFUNCTION("""COMPUTED_VALUE"""),"9855/JL/UTM/0124")</f>
        <v>9855/JL/UTM/0124</v>
      </c>
      <c r="B34" s="11">
        <f>IFERROR(__xludf.DUMMYFUNCTION("""COMPUTED_VALUE"""),45307.68574074074)</f>
        <v>45307.68574</v>
      </c>
      <c r="C34" s="8" t="str">
        <f>IFERROR(__xludf.DUMMYFUNCTION("""COMPUTED_VALUE"""),"262")</f>
        <v>262</v>
      </c>
      <c r="D34" s="8" t="str">
        <f>IFERROR(__xludf.DUMMYFUNCTION("""COMPUTED_VALUE"""),"TRAKINDO")</f>
        <v>TRAKINDO</v>
      </c>
      <c r="E34" s="8" t="str">
        <f>IFERROR(__xludf.DUMMYFUNCTION("""COMPUTED_VALUE"""),"JUFRY")</f>
        <v>JUFRY</v>
      </c>
      <c r="F34" s="8"/>
      <c r="G34" s="8"/>
      <c r="H34" s="8"/>
      <c r="I34" s="8"/>
      <c r="J34" s="8" t="str">
        <f>IFERROR(__xludf.DUMMYFUNCTION("""COMPUTED_VALUE"""),"  ")</f>
        <v>  </v>
      </c>
      <c r="K34" s="8" t="str">
        <f>IFERROR(__xludf.DUMMYFUNCTION("""COMPUTED_VALUE"""),"40417")</f>
        <v>40417</v>
      </c>
      <c r="L34" s="8" t="str">
        <f>IFERROR(__xludf.DUMMYFUNCTION("""COMPUTED_VALUE"""),"KURSI TUNGGU 4 SEAT (STAINLESS) KT-04")</f>
        <v>KURSI TUNGGU 4 SEAT (STAINLESS) KT-04</v>
      </c>
      <c r="M34" s="12">
        <f>IFERROR(__xludf.DUMMYFUNCTION("""COMPUTED_VALUE"""),1.0)</f>
        <v>1</v>
      </c>
      <c r="N34" s="8" t="str">
        <f>IFERROR(__xludf.DUMMYFUNCTION("""COMPUTED_VALUE"""),"UNIT")</f>
        <v>UNIT</v>
      </c>
      <c r="O34" s="13">
        <f>IFERROR(__xludf.DUMMYFUNCTION("""COMPUTED_VALUE"""),1500000.0)</f>
        <v>1500000</v>
      </c>
      <c r="P34" s="12">
        <f>IFERROR(__xludf.DUMMYFUNCTION("""COMPUTED_VALUE"""),0.0)</f>
        <v>0</v>
      </c>
      <c r="Q34" s="8"/>
      <c r="R34" s="8">
        <f>IFERROR(__xludf.DUMMYFUNCTION("""COMPUTED_VALUE"""),0.0)</f>
        <v>0</v>
      </c>
      <c r="S34" s="12">
        <f>IFERROR(__xludf.DUMMYFUNCTION("""COMPUTED_VALUE"""),1.153E7)</f>
        <v>11530000</v>
      </c>
      <c r="T34" s="12">
        <f>IFERROR(__xludf.DUMMYFUNCTION("""COMPUTED_VALUE"""),1500000.0)</f>
        <v>1500000</v>
      </c>
      <c r="U34" s="13">
        <f>IFERROR(__xludf.DUMMYFUNCTION("""COMPUTED_VALUE"""),0.0)</f>
        <v>0</v>
      </c>
      <c r="V34" s="8"/>
      <c r="W34" s="8"/>
      <c r="X34" s="8">
        <f t="shared" si="1"/>
        <v>1</v>
      </c>
      <c r="AA34" s="10"/>
    </row>
    <row r="35">
      <c r="A35" s="8" t="str">
        <f>IFERROR(__xludf.DUMMYFUNCTION("""COMPUTED_VALUE"""),"9855/JL/UTM/0124")</f>
        <v>9855/JL/UTM/0124</v>
      </c>
      <c r="B35" s="11">
        <f>IFERROR(__xludf.DUMMYFUNCTION("""COMPUTED_VALUE"""),45307.68574074074)</f>
        <v>45307.68574</v>
      </c>
      <c r="C35" s="8" t="str">
        <f>IFERROR(__xludf.DUMMYFUNCTION("""COMPUTED_VALUE"""),"262")</f>
        <v>262</v>
      </c>
      <c r="D35" s="8" t="str">
        <f>IFERROR(__xludf.DUMMYFUNCTION("""COMPUTED_VALUE"""),"TRAKINDO")</f>
        <v>TRAKINDO</v>
      </c>
      <c r="E35" s="8" t="str">
        <f>IFERROR(__xludf.DUMMYFUNCTION("""COMPUTED_VALUE"""),"JUFRY")</f>
        <v>JUFRY</v>
      </c>
      <c r="F35" s="8"/>
      <c r="G35" s="8"/>
      <c r="H35" s="8"/>
      <c r="I35" s="8"/>
      <c r="J35" s="8" t="str">
        <f>IFERROR(__xludf.DUMMYFUNCTION("""COMPUTED_VALUE"""),"  ")</f>
        <v>  </v>
      </c>
      <c r="K35" s="8" t="str">
        <f>IFERROR(__xludf.DUMMYFUNCTION("""COMPUTED_VALUE"""),"40499")</f>
        <v>40499</v>
      </c>
      <c r="L35" s="8" t="str">
        <f>IFERROR(__xludf.DUMMYFUNCTION("""COMPUTED_VALUE"""),"AKTIV MEJA RAPAT GALANT MKO 120")</f>
        <v>AKTIV MEJA RAPAT GALANT MKO 120</v>
      </c>
      <c r="M35" s="12">
        <f>IFERROR(__xludf.DUMMYFUNCTION("""COMPUTED_VALUE"""),1.0)</f>
        <v>1</v>
      </c>
      <c r="N35" s="8" t="str">
        <f>IFERROR(__xludf.DUMMYFUNCTION("""COMPUTED_VALUE"""),"UNIT")</f>
        <v>UNIT</v>
      </c>
      <c r="O35" s="13">
        <f>IFERROR(__xludf.DUMMYFUNCTION("""COMPUTED_VALUE"""),950000.0)</f>
        <v>950000</v>
      </c>
      <c r="P35" s="12">
        <f>IFERROR(__xludf.DUMMYFUNCTION("""COMPUTED_VALUE"""),0.0)</f>
        <v>0</v>
      </c>
      <c r="Q35" s="8"/>
      <c r="R35" s="8">
        <f>IFERROR(__xludf.DUMMYFUNCTION("""COMPUTED_VALUE"""),0.0)</f>
        <v>0</v>
      </c>
      <c r="S35" s="12">
        <f>IFERROR(__xludf.DUMMYFUNCTION("""COMPUTED_VALUE"""),1.153E7)</f>
        <v>11530000</v>
      </c>
      <c r="T35" s="12">
        <f>IFERROR(__xludf.DUMMYFUNCTION("""COMPUTED_VALUE"""),950000.0)</f>
        <v>950000</v>
      </c>
      <c r="U35" s="13">
        <f>IFERROR(__xludf.DUMMYFUNCTION("""COMPUTED_VALUE"""),0.0)</f>
        <v>0</v>
      </c>
      <c r="V35" s="8"/>
      <c r="W35" s="8"/>
      <c r="X35" s="8">
        <f t="shared" si="1"/>
        <v>1</v>
      </c>
      <c r="AA35" s="10"/>
    </row>
    <row r="36">
      <c r="A36" s="8" t="str">
        <f>IFERROR(__xludf.DUMMYFUNCTION("""COMPUTED_VALUE"""),"9856/JL/UTM/0124")</f>
        <v>9856/JL/UTM/0124</v>
      </c>
      <c r="B36" s="11">
        <f>IFERROR(__xludf.DUMMYFUNCTION("""COMPUTED_VALUE"""),45308.67173611111)</f>
        <v>45308.67174</v>
      </c>
      <c r="C36" s="8" t="str">
        <f>IFERROR(__xludf.DUMMYFUNCTION("""COMPUTED_VALUE"""),"PL0914")</f>
        <v>PL0914</v>
      </c>
      <c r="D36" s="8" t="str">
        <f>IFERROR(__xludf.DUMMYFUNCTION("""COMPUTED_VALUE"""),"BPR MODERN EXPRESS")</f>
        <v>BPR MODERN EXPRESS</v>
      </c>
      <c r="E36" s="8" t="str">
        <f>IFERROR(__xludf.DUMMYFUNCTION("""COMPUTED_VALUE"""),"JUFRY")</f>
        <v>JUFRY</v>
      </c>
      <c r="F36" s="8"/>
      <c r="G36" s="8"/>
      <c r="H36" s="8"/>
      <c r="I36" s="8"/>
      <c r="J36" s="8" t="str">
        <f>IFERROR(__xludf.DUMMYFUNCTION("""COMPUTED_VALUE"""),"PALU  ")</f>
        <v>PALU  </v>
      </c>
      <c r="K36" s="8" t="str">
        <f>IFERROR(__xludf.DUMMYFUNCTION("""COMPUTED_VALUE"""),"706082")</f>
        <v>706082</v>
      </c>
      <c r="L36" s="8" t="str">
        <f>IFERROR(__xludf.DUMMYFUNCTION("""COMPUTED_VALUE"""),"INTAGSTAR FC A18 INT LEMARI ARSIP 2 PINTU AYUN")</f>
        <v>INTAGSTAR FC A18 INT LEMARI ARSIP 2 PINTU AYUN</v>
      </c>
      <c r="M36" s="12">
        <f>IFERROR(__xludf.DUMMYFUNCTION("""COMPUTED_VALUE"""),1.0)</f>
        <v>1</v>
      </c>
      <c r="N36" s="8" t="str">
        <f>IFERROR(__xludf.DUMMYFUNCTION("""COMPUTED_VALUE"""),"UNIT")</f>
        <v>UNIT</v>
      </c>
      <c r="O36" s="13">
        <f>IFERROR(__xludf.DUMMYFUNCTION("""COMPUTED_VALUE"""),2600000.0)</f>
        <v>2600000</v>
      </c>
      <c r="P36" s="12">
        <f>IFERROR(__xludf.DUMMYFUNCTION("""COMPUTED_VALUE"""),8300000.0)</f>
        <v>8300000</v>
      </c>
      <c r="Q36" s="8"/>
      <c r="R36" s="8">
        <f>IFERROR(__xludf.DUMMYFUNCTION("""COMPUTED_VALUE"""),0.0)</f>
        <v>0</v>
      </c>
      <c r="S36" s="12">
        <f>IFERROR(__xludf.DUMMYFUNCTION("""COMPUTED_VALUE"""),0.0)</f>
        <v>0</v>
      </c>
      <c r="T36" s="12">
        <f>IFERROR(__xludf.DUMMYFUNCTION("""COMPUTED_VALUE"""),2600000.0)</f>
        <v>2600000</v>
      </c>
      <c r="U36" s="13">
        <f>IFERROR(__xludf.DUMMYFUNCTION("""COMPUTED_VALUE"""),0.0)</f>
        <v>0</v>
      </c>
      <c r="V36" s="8"/>
      <c r="W36" s="8"/>
      <c r="X36" s="8">
        <f t="shared" si="1"/>
        <v>1</v>
      </c>
      <c r="AA36" s="10"/>
    </row>
    <row r="37">
      <c r="A37" s="8" t="str">
        <f>IFERROR(__xludf.DUMMYFUNCTION("""COMPUTED_VALUE"""),"9856/JL/UTM/0124")</f>
        <v>9856/JL/UTM/0124</v>
      </c>
      <c r="B37" s="11">
        <f>IFERROR(__xludf.DUMMYFUNCTION("""COMPUTED_VALUE"""),45308.67173611111)</f>
        <v>45308.67174</v>
      </c>
      <c r="C37" s="8" t="str">
        <f>IFERROR(__xludf.DUMMYFUNCTION("""COMPUTED_VALUE"""),"PL0914")</f>
        <v>PL0914</v>
      </c>
      <c r="D37" s="8" t="str">
        <f>IFERROR(__xludf.DUMMYFUNCTION("""COMPUTED_VALUE"""),"BPR MODERN EXPRESS")</f>
        <v>BPR MODERN EXPRESS</v>
      </c>
      <c r="E37" s="8" t="str">
        <f>IFERROR(__xludf.DUMMYFUNCTION("""COMPUTED_VALUE"""),"JUFRY")</f>
        <v>JUFRY</v>
      </c>
      <c r="F37" s="8"/>
      <c r="G37" s="8"/>
      <c r="H37" s="8"/>
      <c r="I37" s="8"/>
      <c r="J37" s="8" t="str">
        <f>IFERROR(__xludf.DUMMYFUNCTION("""COMPUTED_VALUE"""),"PALU  ")</f>
        <v>PALU  </v>
      </c>
      <c r="K37" s="8" t="str">
        <f>IFERROR(__xludf.DUMMYFUNCTION("""COMPUTED_VALUE"""),"40400")</f>
        <v>40400</v>
      </c>
      <c r="L37" s="8" t="str">
        <f>IFERROR(__xludf.DUMMYFUNCTION("""COMPUTED_VALUE"""),"AKTIV MEJA 1/2 BIRO GALANT MTO 120")</f>
        <v>AKTIV MEJA 1/2 BIRO GALANT MTO 120</v>
      </c>
      <c r="M37" s="12">
        <f>IFERROR(__xludf.DUMMYFUNCTION("""COMPUTED_VALUE"""),1.0)</f>
        <v>1</v>
      </c>
      <c r="N37" s="8" t="str">
        <f>IFERROR(__xludf.DUMMYFUNCTION("""COMPUTED_VALUE"""),"UNIT")</f>
        <v>UNIT</v>
      </c>
      <c r="O37" s="13">
        <f>IFERROR(__xludf.DUMMYFUNCTION("""COMPUTED_VALUE"""),1000000.0)</f>
        <v>1000000</v>
      </c>
      <c r="P37" s="12">
        <f>IFERROR(__xludf.DUMMYFUNCTION("""COMPUTED_VALUE"""),8300000.0)</f>
        <v>8300000</v>
      </c>
      <c r="Q37" s="8"/>
      <c r="R37" s="8">
        <f>IFERROR(__xludf.DUMMYFUNCTION("""COMPUTED_VALUE"""),0.0)</f>
        <v>0</v>
      </c>
      <c r="S37" s="12">
        <f>IFERROR(__xludf.DUMMYFUNCTION("""COMPUTED_VALUE"""),0.0)</f>
        <v>0</v>
      </c>
      <c r="T37" s="12">
        <f>IFERROR(__xludf.DUMMYFUNCTION("""COMPUTED_VALUE"""),1000000.0)</f>
        <v>1000000</v>
      </c>
      <c r="U37" s="13">
        <f>IFERROR(__xludf.DUMMYFUNCTION("""COMPUTED_VALUE"""),0.0)</f>
        <v>0</v>
      </c>
      <c r="V37" s="8"/>
      <c r="W37" s="8"/>
      <c r="X37" s="8">
        <f t="shared" si="1"/>
        <v>1</v>
      </c>
      <c r="AA37" s="10"/>
    </row>
    <row r="38">
      <c r="A38" s="8" t="str">
        <f>IFERROR(__xludf.DUMMYFUNCTION("""COMPUTED_VALUE"""),"9856/JL/UTM/0124")</f>
        <v>9856/JL/UTM/0124</v>
      </c>
      <c r="B38" s="11">
        <f>IFERROR(__xludf.DUMMYFUNCTION("""COMPUTED_VALUE"""),45308.67173611111)</f>
        <v>45308.67174</v>
      </c>
      <c r="C38" s="8" t="str">
        <f>IFERROR(__xludf.DUMMYFUNCTION("""COMPUTED_VALUE"""),"PL0914")</f>
        <v>PL0914</v>
      </c>
      <c r="D38" s="8" t="str">
        <f>IFERROR(__xludf.DUMMYFUNCTION("""COMPUTED_VALUE"""),"BPR MODERN EXPRESS")</f>
        <v>BPR MODERN EXPRESS</v>
      </c>
      <c r="E38" s="8" t="str">
        <f>IFERROR(__xludf.DUMMYFUNCTION("""COMPUTED_VALUE"""),"JUFRY")</f>
        <v>JUFRY</v>
      </c>
      <c r="F38" s="8"/>
      <c r="G38" s="8"/>
      <c r="H38" s="8"/>
      <c r="I38" s="8"/>
      <c r="J38" s="8" t="str">
        <f>IFERROR(__xludf.DUMMYFUNCTION("""COMPUTED_VALUE"""),"PALU  ")</f>
        <v>PALU  </v>
      </c>
      <c r="K38" s="8" t="str">
        <f>IFERROR(__xludf.DUMMYFUNCTION("""COMPUTED_VALUE"""),"40555")</f>
        <v>40555</v>
      </c>
      <c r="L38" s="8" t="str">
        <f>IFERROR(__xludf.DUMMYFUNCTION("""COMPUTED_VALUE"""),"AKTIV MEJA 1 BIRO GALANT MTO 161")</f>
        <v>AKTIV MEJA 1 BIRO GALANT MTO 161</v>
      </c>
      <c r="M38" s="12">
        <f>IFERROR(__xludf.DUMMYFUNCTION("""COMPUTED_VALUE"""),1.0)</f>
        <v>1</v>
      </c>
      <c r="N38" s="8" t="str">
        <f>IFERROR(__xludf.DUMMYFUNCTION("""COMPUTED_VALUE"""),"UNIT")</f>
        <v>UNIT</v>
      </c>
      <c r="O38" s="13">
        <f>IFERROR(__xludf.DUMMYFUNCTION("""COMPUTED_VALUE"""),1700000.0)</f>
        <v>1700000</v>
      </c>
      <c r="P38" s="12">
        <f>IFERROR(__xludf.DUMMYFUNCTION("""COMPUTED_VALUE"""),8300000.0)</f>
        <v>8300000</v>
      </c>
      <c r="Q38" s="8"/>
      <c r="R38" s="8">
        <f>IFERROR(__xludf.DUMMYFUNCTION("""COMPUTED_VALUE"""),0.0)</f>
        <v>0</v>
      </c>
      <c r="S38" s="12">
        <f>IFERROR(__xludf.DUMMYFUNCTION("""COMPUTED_VALUE"""),0.0)</f>
        <v>0</v>
      </c>
      <c r="T38" s="12">
        <f>IFERROR(__xludf.DUMMYFUNCTION("""COMPUTED_VALUE"""),1700000.0)</f>
        <v>1700000</v>
      </c>
      <c r="U38" s="13">
        <f>IFERROR(__xludf.DUMMYFUNCTION("""COMPUTED_VALUE"""),0.0)</f>
        <v>0</v>
      </c>
      <c r="V38" s="8"/>
      <c r="W38" s="8"/>
      <c r="X38" s="8">
        <f t="shared" si="1"/>
        <v>1</v>
      </c>
      <c r="AA38" s="10"/>
    </row>
    <row r="39">
      <c r="A39" s="8" t="str">
        <f>IFERROR(__xludf.DUMMYFUNCTION("""COMPUTED_VALUE"""),"9856/JL/UTM/0124")</f>
        <v>9856/JL/UTM/0124</v>
      </c>
      <c r="B39" s="11">
        <f>IFERROR(__xludf.DUMMYFUNCTION("""COMPUTED_VALUE"""),45308.67173611111)</f>
        <v>45308.67174</v>
      </c>
      <c r="C39" s="8" t="str">
        <f>IFERROR(__xludf.DUMMYFUNCTION("""COMPUTED_VALUE"""),"PL0914")</f>
        <v>PL0914</v>
      </c>
      <c r="D39" s="8" t="str">
        <f>IFERROR(__xludf.DUMMYFUNCTION("""COMPUTED_VALUE"""),"BPR MODERN EXPRESS")</f>
        <v>BPR MODERN EXPRESS</v>
      </c>
      <c r="E39" s="8" t="str">
        <f>IFERROR(__xludf.DUMMYFUNCTION("""COMPUTED_VALUE"""),"JUFRY")</f>
        <v>JUFRY</v>
      </c>
      <c r="F39" s="8"/>
      <c r="G39" s="8"/>
      <c r="H39" s="8"/>
      <c r="I39" s="8"/>
      <c r="J39" s="8" t="str">
        <f>IFERROR(__xludf.DUMMYFUNCTION("""COMPUTED_VALUE"""),"PALU  ")</f>
        <v>PALU  </v>
      </c>
      <c r="K39" s="8" t="str">
        <f>IFERROR(__xludf.DUMMYFUNCTION("""COMPUTED_VALUE"""),"706272")</f>
        <v>706272</v>
      </c>
      <c r="L39" s="8" t="str">
        <f>IFERROR(__xludf.DUMMYFUNCTION("""COMPUTED_VALUE"""),"BROTHER KURSI SUSUN BR-700 CTB")</f>
        <v>BROTHER KURSI SUSUN BR-700 CTB</v>
      </c>
      <c r="M39" s="12">
        <f>IFERROR(__xludf.DUMMYFUNCTION("""COMPUTED_VALUE"""),10.0)</f>
        <v>10</v>
      </c>
      <c r="N39" s="8" t="str">
        <f>IFERROR(__xludf.DUMMYFUNCTION("""COMPUTED_VALUE"""),"BH")</f>
        <v>BH</v>
      </c>
      <c r="O39" s="13">
        <f>IFERROR(__xludf.DUMMYFUNCTION("""COMPUTED_VALUE"""),300000.0)</f>
        <v>300000</v>
      </c>
      <c r="P39" s="12">
        <f>IFERROR(__xludf.DUMMYFUNCTION("""COMPUTED_VALUE"""),8300000.0)</f>
        <v>8300000</v>
      </c>
      <c r="Q39" s="8"/>
      <c r="R39" s="8">
        <f>IFERROR(__xludf.DUMMYFUNCTION("""COMPUTED_VALUE"""),0.0)</f>
        <v>0</v>
      </c>
      <c r="S39" s="12">
        <f>IFERROR(__xludf.DUMMYFUNCTION("""COMPUTED_VALUE"""),0.0)</f>
        <v>0</v>
      </c>
      <c r="T39" s="12">
        <f>IFERROR(__xludf.DUMMYFUNCTION("""COMPUTED_VALUE"""),3000000.0)</f>
        <v>3000000</v>
      </c>
      <c r="U39" s="13">
        <f>IFERROR(__xludf.DUMMYFUNCTION("""COMPUTED_VALUE"""),0.0)</f>
        <v>0</v>
      </c>
      <c r="V39" s="8"/>
      <c r="W39" s="8"/>
      <c r="X39" s="8">
        <f t="shared" si="1"/>
        <v>1</v>
      </c>
      <c r="AA39" s="10"/>
    </row>
    <row r="40">
      <c r="A40" s="8" t="str">
        <f>IFERROR(__xludf.DUMMYFUNCTION("""COMPUTED_VALUE"""),"9857/JL/UTM/0124")</f>
        <v>9857/JL/UTM/0124</v>
      </c>
      <c r="B40" s="11">
        <f>IFERROR(__xludf.DUMMYFUNCTION("""COMPUTED_VALUE"""),45308.67238425926)</f>
        <v>45308.67238</v>
      </c>
      <c r="C40" s="8" t="str">
        <f>IFERROR(__xludf.DUMMYFUNCTION("""COMPUTED_VALUE"""),"712")</f>
        <v>712</v>
      </c>
      <c r="D40" s="8" t="str">
        <f>IFERROR(__xludf.DUMMYFUNCTION("""COMPUTED_VALUE"""),"BPBD")</f>
        <v>BPBD</v>
      </c>
      <c r="E40" s="8" t="str">
        <f>IFERROR(__xludf.DUMMYFUNCTION("""COMPUTED_VALUE"""),"JUFRY")</f>
        <v>JUFRY</v>
      </c>
      <c r="F40" s="8"/>
      <c r="G40" s="8"/>
      <c r="H40" s="8"/>
      <c r="I40" s="8"/>
      <c r="J40" s="8" t="str">
        <f>IFERROR(__xludf.DUMMYFUNCTION("""COMPUTED_VALUE"""),"  ")</f>
        <v>  </v>
      </c>
      <c r="K40" s="8" t="str">
        <f>IFERROR(__xludf.DUMMYFUNCTION("""COMPUTED_VALUE"""),"706124")</f>
        <v>706124</v>
      </c>
      <c r="L40" s="8" t="str">
        <f>IFERROR(__xludf.DUMMYFUNCTION("""COMPUTED_VALUE"""),"INTAGSTAR LEMARI PINTU PLAT + KACA AYUN FC 06 INT")</f>
        <v>INTAGSTAR LEMARI PINTU PLAT + KACA AYUN FC 06 INT</v>
      </c>
      <c r="M40" s="12">
        <f>IFERROR(__xludf.DUMMYFUNCTION("""COMPUTED_VALUE"""),1.0)</f>
        <v>1</v>
      </c>
      <c r="N40" s="8" t="str">
        <f>IFERROR(__xludf.DUMMYFUNCTION("""COMPUTED_VALUE"""),"UNIT")</f>
        <v>UNIT</v>
      </c>
      <c r="O40" s="13">
        <f>IFERROR(__xludf.DUMMYFUNCTION("""COMPUTED_VALUE"""),3000000.0)</f>
        <v>3000000</v>
      </c>
      <c r="P40" s="12">
        <f>IFERROR(__xludf.DUMMYFUNCTION("""COMPUTED_VALUE"""),3000000.0)</f>
        <v>3000000</v>
      </c>
      <c r="Q40" s="8"/>
      <c r="R40" s="8">
        <f>IFERROR(__xludf.DUMMYFUNCTION("""COMPUTED_VALUE"""),0.0)</f>
        <v>0</v>
      </c>
      <c r="S40" s="12">
        <f>IFERROR(__xludf.DUMMYFUNCTION("""COMPUTED_VALUE"""),0.0)</f>
        <v>0</v>
      </c>
      <c r="T40" s="12">
        <f>IFERROR(__xludf.DUMMYFUNCTION("""COMPUTED_VALUE"""),3000000.0)</f>
        <v>3000000</v>
      </c>
      <c r="U40" s="13">
        <f>IFERROR(__xludf.DUMMYFUNCTION("""COMPUTED_VALUE"""),0.0)</f>
        <v>0</v>
      </c>
      <c r="V40" s="8"/>
      <c r="W40" s="8"/>
      <c r="X40" s="8">
        <f t="shared" si="1"/>
        <v>1</v>
      </c>
      <c r="AA40" s="10"/>
    </row>
    <row r="41">
      <c r="A41" s="8" t="str">
        <f>IFERROR(__xludf.DUMMYFUNCTION("""COMPUTED_VALUE"""),"9858/JL/UTM/0124")</f>
        <v>9858/JL/UTM/0124</v>
      </c>
      <c r="B41" s="11">
        <f>IFERROR(__xludf.DUMMYFUNCTION("""COMPUTED_VALUE"""),45308.67363425926)</f>
        <v>45308.67363</v>
      </c>
      <c r="C41" s="8" t="str">
        <f>IFERROR(__xludf.DUMMYFUNCTION("""COMPUTED_VALUE"""),"196")</f>
        <v>196</v>
      </c>
      <c r="D41" s="8" t="str">
        <f>IFERROR(__xludf.DUMMYFUNCTION("""COMPUTED_VALUE"""),"KSP. SINAR KASIH")</f>
        <v>KSP. SINAR KASIH</v>
      </c>
      <c r="E41" s="8" t="str">
        <f>IFERROR(__xludf.DUMMYFUNCTION("""COMPUTED_VALUE"""),"JUFRY")</f>
        <v>JUFRY</v>
      </c>
      <c r="F41" s="8"/>
      <c r="G41" s="8"/>
      <c r="H41" s="8"/>
      <c r="I41" s="8"/>
      <c r="J41" s="8" t="str">
        <f>IFERROR(__xludf.DUMMYFUNCTION("""COMPUTED_VALUE"""),"  ")</f>
        <v>  </v>
      </c>
      <c r="K41" s="8" t="str">
        <f>IFERROR(__xludf.DUMMYFUNCTION("""COMPUTED_VALUE"""),"20054")</f>
        <v>20054</v>
      </c>
      <c r="L41" s="8" t="str">
        <f>IFERROR(__xludf.DUMMYFUNCTION("""COMPUTED_VALUE"""),"BROTHER FILING CABINET 4 LACI B104")</f>
        <v>BROTHER FILING CABINET 4 LACI B104</v>
      </c>
      <c r="M41" s="12">
        <f>IFERROR(__xludf.DUMMYFUNCTION("""COMPUTED_VALUE"""),2.0)</f>
        <v>2</v>
      </c>
      <c r="N41" s="8" t="str">
        <f>IFERROR(__xludf.DUMMYFUNCTION("""COMPUTED_VALUE"""),"UNIT")</f>
        <v>UNIT</v>
      </c>
      <c r="O41" s="13">
        <f>IFERROR(__xludf.DUMMYFUNCTION("""COMPUTED_VALUE"""),2690000.0)</f>
        <v>2690000</v>
      </c>
      <c r="P41" s="12">
        <f>IFERROR(__xludf.DUMMYFUNCTION("""COMPUTED_VALUE"""),5000000.0)</f>
        <v>5000000</v>
      </c>
      <c r="Q41" s="8"/>
      <c r="R41" s="8">
        <f>IFERROR(__xludf.DUMMYFUNCTION("""COMPUTED_VALUE"""),0.0)</f>
        <v>0</v>
      </c>
      <c r="S41" s="12">
        <f>IFERROR(__xludf.DUMMYFUNCTION("""COMPUTED_VALUE"""),0.0)</f>
        <v>0</v>
      </c>
      <c r="T41" s="12">
        <f>IFERROR(__xludf.DUMMYFUNCTION("""COMPUTED_VALUE"""),5380000.0)</f>
        <v>5380000</v>
      </c>
      <c r="U41" s="13">
        <f>IFERROR(__xludf.DUMMYFUNCTION("""COMPUTED_VALUE"""),7.063197026)</f>
        <v>7.063197026</v>
      </c>
      <c r="V41" s="8" t="str">
        <f>IFERROR(__xludf.DUMMYFUNCTION("""COMPUTED_VALUE"""),"TRANSFER BRI")</f>
        <v>TRANSFER BRI</v>
      </c>
      <c r="W41" s="8"/>
      <c r="X41" s="8">
        <f t="shared" si="1"/>
        <v>1</v>
      </c>
      <c r="AA41" s="10"/>
    </row>
    <row r="42">
      <c r="A42" s="8" t="str">
        <f>IFERROR(__xludf.DUMMYFUNCTION("""COMPUTED_VALUE"""),"9859/JL/UTM/0124")</f>
        <v>9859/JL/UTM/0124</v>
      </c>
      <c r="B42" s="11">
        <f>IFERROR(__xludf.DUMMYFUNCTION("""COMPUTED_VALUE"""),45310.695856481485)</f>
        <v>45310.69586</v>
      </c>
      <c r="C42" s="8" t="str">
        <f>IFERROR(__xludf.DUMMYFUNCTION("""COMPUTED_VALUE"""),"PL0698")</f>
        <v>PL0698</v>
      </c>
      <c r="D42" s="8" t="str">
        <f>IFERROR(__xludf.DUMMYFUNCTION("""COMPUTED_VALUE"""),"YAYASAN ALFAHMI")</f>
        <v>YAYASAN ALFAHMI</v>
      </c>
      <c r="E42" s="8" t="str">
        <f>IFERROR(__xludf.DUMMYFUNCTION("""COMPUTED_VALUE"""),"JUFRY")</f>
        <v>JUFRY</v>
      </c>
      <c r="F42" s="8"/>
      <c r="G42" s="8"/>
      <c r="H42" s="8"/>
      <c r="I42" s="8"/>
      <c r="J42" s="8" t="str">
        <f>IFERROR(__xludf.DUMMYFUNCTION("""COMPUTED_VALUE"""),"  ")</f>
        <v>  </v>
      </c>
      <c r="K42" s="8" t="str">
        <f>IFERROR(__xludf.DUMMYFUNCTION("""COMPUTED_VALUE"""),"706183")</f>
        <v>706183</v>
      </c>
      <c r="L42" s="8" t="str">
        <f>IFERROR(__xludf.DUMMYFUNCTION("""COMPUTED_VALUE"""),"EMPORIUM LOKER 15 PINTU EL-15")</f>
        <v>EMPORIUM LOKER 15 PINTU EL-15</v>
      </c>
      <c r="M42" s="12">
        <f>IFERROR(__xludf.DUMMYFUNCTION("""COMPUTED_VALUE"""),1.0)</f>
        <v>1</v>
      </c>
      <c r="N42" s="8" t="str">
        <f>IFERROR(__xludf.DUMMYFUNCTION("""COMPUTED_VALUE"""),"UNIT")</f>
        <v>UNIT</v>
      </c>
      <c r="O42" s="13">
        <f>IFERROR(__xludf.DUMMYFUNCTION("""COMPUTED_VALUE"""),2900000.0)</f>
        <v>2900000</v>
      </c>
      <c r="P42" s="12">
        <f>IFERROR(__xludf.DUMMYFUNCTION("""COMPUTED_VALUE"""),5900000.0)</f>
        <v>5900000</v>
      </c>
      <c r="Q42" s="8"/>
      <c r="R42" s="8">
        <f>IFERROR(__xludf.DUMMYFUNCTION("""COMPUTED_VALUE"""),0.0)</f>
        <v>0</v>
      </c>
      <c r="S42" s="12">
        <f>IFERROR(__xludf.DUMMYFUNCTION("""COMPUTED_VALUE"""),0.0)</f>
        <v>0</v>
      </c>
      <c r="T42" s="12">
        <f>IFERROR(__xludf.DUMMYFUNCTION("""COMPUTED_VALUE"""),2900000.0)</f>
        <v>2900000</v>
      </c>
      <c r="U42" s="13">
        <f>IFERROR(__xludf.DUMMYFUNCTION("""COMPUTED_VALUE"""),0.0)</f>
        <v>0</v>
      </c>
      <c r="V42" s="8"/>
      <c r="W42" s="8"/>
      <c r="X42" s="8">
        <f t="shared" si="1"/>
        <v>1</v>
      </c>
      <c r="AA42" s="10"/>
    </row>
    <row r="43">
      <c r="A43" s="8" t="str">
        <f>IFERROR(__xludf.DUMMYFUNCTION("""COMPUTED_VALUE"""),"9859/JL/UTM/0124")</f>
        <v>9859/JL/UTM/0124</v>
      </c>
      <c r="B43" s="11">
        <f>IFERROR(__xludf.DUMMYFUNCTION("""COMPUTED_VALUE"""),45310.695856481485)</f>
        <v>45310.69586</v>
      </c>
      <c r="C43" s="8" t="str">
        <f>IFERROR(__xludf.DUMMYFUNCTION("""COMPUTED_VALUE"""),"PL0698")</f>
        <v>PL0698</v>
      </c>
      <c r="D43" s="8" t="str">
        <f>IFERROR(__xludf.DUMMYFUNCTION("""COMPUTED_VALUE"""),"YAYASAN ALFAHMI")</f>
        <v>YAYASAN ALFAHMI</v>
      </c>
      <c r="E43" s="8" t="str">
        <f>IFERROR(__xludf.DUMMYFUNCTION("""COMPUTED_VALUE"""),"JUFRY")</f>
        <v>JUFRY</v>
      </c>
      <c r="F43" s="8"/>
      <c r="G43" s="8"/>
      <c r="H43" s="8"/>
      <c r="I43" s="8"/>
      <c r="J43" s="8" t="str">
        <f>IFERROR(__xludf.DUMMYFUNCTION("""COMPUTED_VALUE"""),"  ")</f>
        <v>  </v>
      </c>
      <c r="K43" s="8" t="str">
        <f>IFERROR(__xludf.DUMMYFUNCTION("""COMPUTED_VALUE"""),"40400")</f>
        <v>40400</v>
      </c>
      <c r="L43" s="8" t="str">
        <f>IFERROR(__xludf.DUMMYFUNCTION("""COMPUTED_VALUE"""),"AKTIV MEJA 1/2 BIRO GALANT MTO 120")</f>
        <v>AKTIV MEJA 1/2 BIRO GALANT MTO 120</v>
      </c>
      <c r="M43" s="12">
        <f>IFERROR(__xludf.DUMMYFUNCTION("""COMPUTED_VALUE"""),3.0)</f>
        <v>3</v>
      </c>
      <c r="N43" s="8" t="str">
        <f>IFERROR(__xludf.DUMMYFUNCTION("""COMPUTED_VALUE"""),"UNIT")</f>
        <v>UNIT</v>
      </c>
      <c r="O43" s="13">
        <f>IFERROR(__xludf.DUMMYFUNCTION("""COMPUTED_VALUE"""),1000000.0)</f>
        <v>1000000</v>
      </c>
      <c r="P43" s="12">
        <f>IFERROR(__xludf.DUMMYFUNCTION("""COMPUTED_VALUE"""),5900000.0)</f>
        <v>5900000</v>
      </c>
      <c r="Q43" s="8"/>
      <c r="R43" s="8">
        <f>IFERROR(__xludf.DUMMYFUNCTION("""COMPUTED_VALUE"""),0.0)</f>
        <v>0</v>
      </c>
      <c r="S43" s="12">
        <f>IFERROR(__xludf.DUMMYFUNCTION("""COMPUTED_VALUE"""),0.0)</f>
        <v>0</v>
      </c>
      <c r="T43" s="12">
        <f>IFERROR(__xludf.DUMMYFUNCTION("""COMPUTED_VALUE"""),3000000.0)</f>
        <v>3000000</v>
      </c>
      <c r="U43" s="13">
        <f>IFERROR(__xludf.DUMMYFUNCTION("""COMPUTED_VALUE"""),0.0)</f>
        <v>0</v>
      </c>
      <c r="V43" s="8"/>
      <c r="W43" s="8"/>
      <c r="X43" s="8">
        <f t="shared" si="1"/>
        <v>1</v>
      </c>
      <c r="AA43" s="10"/>
    </row>
    <row r="44">
      <c r="A44" s="8" t="str">
        <f>IFERROR(__xludf.DUMMYFUNCTION("""COMPUTED_VALUE"""),"9860/JL/UTM/0124")</f>
        <v>9860/JL/UTM/0124</v>
      </c>
      <c r="B44" s="11">
        <f>IFERROR(__xludf.DUMMYFUNCTION("""COMPUTED_VALUE"""),45310.69681712963)</f>
        <v>45310.69682</v>
      </c>
      <c r="C44" s="8" t="str">
        <f>IFERROR(__xludf.DUMMYFUNCTION("""COMPUTED_VALUE"""),"UMUM")</f>
        <v>UMUM</v>
      </c>
      <c r="D44" s="8" t="str">
        <f>IFERROR(__xludf.DUMMYFUNCTION("""COMPUTED_VALUE"""),"UMUM")</f>
        <v>UMUM</v>
      </c>
      <c r="E44" s="8" t="str">
        <f>IFERROR(__xludf.DUMMYFUNCTION("""COMPUTED_VALUE"""),"JUFRY")</f>
        <v>JUFRY</v>
      </c>
      <c r="F44" s="8"/>
      <c r="G44" s="8"/>
      <c r="H44" s="8"/>
      <c r="I44" s="8"/>
      <c r="J44" s="8" t="str">
        <f>IFERROR(__xludf.DUMMYFUNCTION("""COMPUTED_VALUE"""),"  ")</f>
        <v>  </v>
      </c>
      <c r="K44" s="8" t="str">
        <f>IFERROR(__xludf.DUMMYFUNCTION("""COMPUTED_VALUE"""),"10025")</f>
        <v>10025</v>
      </c>
      <c r="L44" s="8" t="str">
        <f>IFERROR(__xludf.DUMMYFUNCTION("""COMPUTED_VALUE"""),"TIGER BRANKAS TG LK I")</f>
        <v>TIGER BRANKAS TG LK I</v>
      </c>
      <c r="M44" s="12">
        <f>IFERROR(__xludf.DUMMYFUNCTION("""COMPUTED_VALUE"""),1.0)</f>
        <v>1</v>
      </c>
      <c r="N44" s="8" t="str">
        <f>IFERROR(__xludf.DUMMYFUNCTION("""COMPUTED_VALUE"""),"UNIT")</f>
        <v>UNIT</v>
      </c>
      <c r="O44" s="13">
        <f>IFERROR(__xludf.DUMMYFUNCTION("""COMPUTED_VALUE"""),4800000.0)</f>
        <v>4800000</v>
      </c>
      <c r="P44" s="12">
        <f>IFERROR(__xludf.DUMMYFUNCTION("""COMPUTED_VALUE"""),4400000.0)</f>
        <v>4400000</v>
      </c>
      <c r="Q44" s="8"/>
      <c r="R44" s="8">
        <f>IFERROR(__xludf.DUMMYFUNCTION("""COMPUTED_VALUE"""),0.0)</f>
        <v>0</v>
      </c>
      <c r="S44" s="12">
        <f>IFERROR(__xludf.DUMMYFUNCTION("""COMPUTED_VALUE"""),0.0)</f>
        <v>0</v>
      </c>
      <c r="T44" s="12">
        <f>IFERROR(__xludf.DUMMYFUNCTION("""COMPUTED_VALUE"""),4800000.0)</f>
        <v>4800000</v>
      </c>
      <c r="U44" s="13">
        <f>IFERROR(__xludf.DUMMYFUNCTION("""COMPUTED_VALUE"""),8.3333333333)</f>
        <v>8.333333333</v>
      </c>
      <c r="V44" s="8"/>
      <c r="W44" s="8"/>
      <c r="X44" s="8">
        <f t="shared" si="1"/>
        <v>1</v>
      </c>
      <c r="AA44" s="10"/>
    </row>
    <row r="45">
      <c r="A45" s="8" t="str">
        <f>IFERROR(__xludf.DUMMYFUNCTION("""COMPUTED_VALUE"""),"9861/JL/UTM/0124")</f>
        <v>9861/JL/UTM/0124</v>
      </c>
      <c r="B45" s="11">
        <f>IFERROR(__xludf.DUMMYFUNCTION("""COMPUTED_VALUE"""),45310.69766203704)</f>
        <v>45310.69766</v>
      </c>
      <c r="C45" s="8" t="str">
        <f>IFERROR(__xludf.DUMMYFUNCTION("""COMPUTED_VALUE"""),"UMUM")</f>
        <v>UMUM</v>
      </c>
      <c r="D45" s="8" t="str">
        <f>IFERROR(__xludf.DUMMYFUNCTION("""COMPUTED_VALUE"""),"UMUM")</f>
        <v>UMUM</v>
      </c>
      <c r="E45" s="8" t="str">
        <f>IFERROR(__xludf.DUMMYFUNCTION("""COMPUTED_VALUE"""),"JUFRY")</f>
        <v>JUFRY</v>
      </c>
      <c r="F45" s="8"/>
      <c r="G45" s="8"/>
      <c r="H45" s="8"/>
      <c r="I45" s="8"/>
      <c r="J45" s="8" t="str">
        <f>IFERROR(__xludf.DUMMYFUNCTION("""COMPUTED_VALUE"""),"  ")</f>
        <v>  </v>
      </c>
      <c r="K45" s="8" t="str">
        <f>IFERROR(__xludf.DUMMYFUNCTION("""COMPUTED_VALUE"""),"40503")</f>
        <v>40503</v>
      </c>
      <c r="L45" s="8" t="str">
        <f>IFERROR(__xludf.DUMMYFUNCTION("""COMPUTED_VALUE"""),"AJP WHITEBOARD 60X90")</f>
        <v>AJP WHITEBOARD 60X90</v>
      </c>
      <c r="M45" s="12">
        <f>IFERROR(__xludf.DUMMYFUNCTION("""COMPUTED_VALUE"""),1.0)</f>
        <v>1</v>
      </c>
      <c r="N45" s="8" t="str">
        <f>IFERROR(__xludf.DUMMYFUNCTION("""COMPUTED_VALUE"""),"BH")</f>
        <v>BH</v>
      </c>
      <c r="O45" s="13">
        <f>IFERROR(__xludf.DUMMYFUNCTION("""COMPUTED_VALUE"""),150000.0)</f>
        <v>150000</v>
      </c>
      <c r="P45" s="12">
        <f>IFERROR(__xludf.DUMMYFUNCTION("""COMPUTED_VALUE"""),150000.0)</f>
        <v>150000</v>
      </c>
      <c r="Q45" s="8"/>
      <c r="R45" s="8">
        <f>IFERROR(__xludf.DUMMYFUNCTION("""COMPUTED_VALUE"""),0.0)</f>
        <v>0</v>
      </c>
      <c r="S45" s="12">
        <f>IFERROR(__xludf.DUMMYFUNCTION("""COMPUTED_VALUE"""),0.0)</f>
        <v>0</v>
      </c>
      <c r="T45" s="12">
        <f>IFERROR(__xludf.DUMMYFUNCTION("""COMPUTED_VALUE"""),150000.0)</f>
        <v>150000</v>
      </c>
      <c r="U45" s="13">
        <f>IFERROR(__xludf.DUMMYFUNCTION("""COMPUTED_VALUE"""),0.0)</f>
        <v>0</v>
      </c>
      <c r="V45" s="8" t="str">
        <f>IFERROR(__xludf.DUMMYFUNCTION("""COMPUTED_VALUE"""),"QRIS TGL 18-01-24")</f>
        <v>QRIS TGL 18-01-24</v>
      </c>
      <c r="W45" s="8"/>
      <c r="X45" s="8">
        <f t="shared" si="1"/>
        <v>1</v>
      </c>
      <c r="AA45" s="10"/>
    </row>
    <row r="46">
      <c r="A46" s="8" t="str">
        <f>IFERROR(__xludf.DUMMYFUNCTION("""COMPUTED_VALUE"""),"9862/JL/UTM/0124")</f>
        <v>9862/JL/UTM/0124</v>
      </c>
      <c r="B46" s="11">
        <f>IFERROR(__xludf.DUMMYFUNCTION("""COMPUTED_VALUE"""),45311.67024305556)</f>
        <v>45311.67024</v>
      </c>
      <c r="C46" s="8" t="str">
        <f>IFERROR(__xludf.DUMMYFUNCTION("""COMPUTED_VALUE"""),"PL0914")</f>
        <v>PL0914</v>
      </c>
      <c r="D46" s="8" t="str">
        <f>IFERROR(__xludf.DUMMYFUNCTION("""COMPUTED_VALUE"""),"BPR MODERN EXPRESS")</f>
        <v>BPR MODERN EXPRESS</v>
      </c>
      <c r="E46" s="8" t="str">
        <f>IFERROR(__xludf.DUMMYFUNCTION("""COMPUTED_VALUE"""),"JUFRY")</f>
        <v>JUFRY</v>
      </c>
      <c r="F46" s="8"/>
      <c r="G46" s="8"/>
      <c r="H46" s="8"/>
      <c r="I46" s="8"/>
      <c r="J46" s="8" t="str">
        <f>IFERROR(__xludf.DUMMYFUNCTION("""COMPUTED_VALUE"""),"PALU  ")</f>
        <v>PALU  </v>
      </c>
      <c r="K46" s="8" t="str">
        <f>IFERROR(__xludf.DUMMYFUNCTION("""COMPUTED_VALUE"""),"40555")</f>
        <v>40555</v>
      </c>
      <c r="L46" s="8" t="str">
        <f>IFERROR(__xludf.DUMMYFUNCTION("""COMPUTED_VALUE"""),"AKTIV MEJA 1 BIRO GALANT MTO 161")</f>
        <v>AKTIV MEJA 1 BIRO GALANT MTO 161</v>
      </c>
      <c r="M46" s="12">
        <f>IFERROR(__xludf.DUMMYFUNCTION("""COMPUTED_VALUE"""),1.0)</f>
        <v>1</v>
      </c>
      <c r="N46" s="8" t="str">
        <f>IFERROR(__xludf.DUMMYFUNCTION("""COMPUTED_VALUE"""),"UNIT")</f>
        <v>UNIT</v>
      </c>
      <c r="O46" s="13">
        <f>IFERROR(__xludf.DUMMYFUNCTION("""COMPUTED_VALUE"""),1800000.0)</f>
        <v>1800000</v>
      </c>
      <c r="P46" s="12">
        <f>IFERROR(__xludf.DUMMYFUNCTION("""COMPUTED_VALUE"""),1700000.0)</f>
        <v>1700000</v>
      </c>
      <c r="Q46" s="8"/>
      <c r="R46" s="8">
        <f>IFERROR(__xludf.DUMMYFUNCTION("""COMPUTED_VALUE"""),0.0)</f>
        <v>0</v>
      </c>
      <c r="S46" s="12">
        <f>IFERROR(__xludf.DUMMYFUNCTION("""COMPUTED_VALUE"""),0.0)</f>
        <v>0</v>
      </c>
      <c r="T46" s="12">
        <f>IFERROR(__xludf.DUMMYFUNCTION("""COMPUTED_VALUE"""),1800000.0)</f>
        <v>1800000</v>
      </c>
      <c r="U46" s="13">
        <f>IFERROR(__xludf.DUMMYFUNCTION("""COMPUTED_VALUE"""),5.5555555556)</f>
        <v>5.555555556</v>
      </c>
      <c r="V46" s="8"/>
      <c r="W46" s="8"/>
      <c r="X46" s="8">
        <f t="shared" si="1"/>
        <v>1</v>
      </c>
      <c r="AA46" s="10"/>
    </row>
    <row r="47">
      <c r="A47" s="8" t="str">
        <f>IFERROR(__xludf.DUMMYFUNCTION("""COMPUTED_VALUE"""),"9863/JL/UTM/0124")</f>
        <v>9863/JL/UTM/0124</v>
      </c>
      <c r="B47" s="11">
        <f>IFERROR(__xludf.DUMMYFUNCTION("""COMPUTED_VALUE"""),45311.67101851852)</f>
        <v>45311.67102</v>
      </c>
      <c r="C47" s="8" t="str">
        <f>IFERROR(__xludf.DUMMYFUNCTION("""COMPUTED_VALUE"""),"UMUM")</f>
        <v>UMUM</v>
      </c>
      <c r="D47" s="8" t="str">
        <f>IFERROR(__xludf.DUMMYFUNCTION("""COMPUTED_VALUE"""),"UMUM")</f>
        <v>UMUM</v>
      </c>
      <c r="E47" s="8" t="str">
        <f>IFERROR(__xludf.DUMMYFUNCTION("""COMPUTED_VALUE"""),"JUFRY")</f>
        <v>JUFRY</v>
      </c>
      <c r="F47" s="8"/>
      <c r="G47" s="8"/>
      <c r="H47" s="8"/>
      <c r="I47" s="8"/>
      <c r="J47" s="8" t="str">
        <f>IFERROR(__xludf.DUMMYFUNCTION("""COMPUTED_VALUE"""),"  ")</f>
        <v>  </v>
      </c>
      <c r="K47" s="8" t="str">
        <f>IFERROR(__xludf.DUMMYFUNCTION("""COMPUTED_VALUE"""),"606063")</f>
        <v>606063</v>
      </c>
      <c r="L47" s="8" t="str">
        <f>IFERROR(__xludf.DUMMYFUNCTION("""COMPUTED_VALUE"""),"Topas Safe Deposit FD 300")</f>
        <v>Topas Safe Deposit FD 300</v>
      </c>
      <c r="M47" s="12">
        <f>IFERROR(__xludf.DUMMYFUNCTION("""COMPUTED_VALUE"""),1.0)</f>
        <v>1</v>
      </c>
      <c r="N47" s="8" t="str">
        <f>IFERROR(__xludf.DUMMYFUNCTION("""COMPUTED_VALUE"""),"BH")</f>
        <v>BH</v>
      </c>
      <c r="O47" s="13">
        <f>IFERROR(__xludf.DUMMYFUNCTION("""COMPUTED_VALUE"""),1350000.0)</f>
        <v>1350000</v>
      </c>
      <c r="P47" s="12">
        <f>IFERROR(__xludf.DUMMYFUNCTION("""COMPUTED_VALUE"""),1350000.0)</f>
        <v>1350000</v>
      </c>
      <c r="Q47" s="8"/>
      <c r="R47" s="8">
        <f>IFERROR(__xludf.DUMMYFUNCTION("""COMPUTED_VALUE"""),0.0)</f>
        <v>0</v>
      </c>
      <c r="S47" s="12">
        <f>IFERROR(__xludf.DUMMYFUNCTION("""COMPUTED_VALUE"""),0.0)</f>
        <v>0</v>
      </c>
      <c r="T47" s="12">
        <f>IFERROR(__xludf.DUMMYFUNCTION("""COMPUTED_VALUE"""),1350000.0)</f>
        <v>1350000</v>
      </c>
      <c r="U47" s="13">
        <f>IFERROR(__xludf.DUMMYFUNCTION("""COMPUTED_VALUE"""),0.0)</f>
        <v>0</v>
      </c>
      <c r="V47" s="8"/>
      <c r="W47" s="8"/>
      <c r="X47" s="8">
        <f t="shared" si="1"/>
        <v>1</v>
      </c>
      <c r="AA47" s="10"/>
    </row>
    <row r="48">
      <c r="A48" s="8" t="str">
        <f>IFERROR(__xludf.DUMMYFUNCTION("""COMPUTED_VALUE"""),"9864/JL/UTM/0124")</f>
        <v>9864/JL/UTM/0124</v>
      </c>
      <c r="B48" s="11">
        <f>IFERROR(__xludf.DUMMYFUNCTION("""COMPUTED_VALUE"""),45313.67560185185)</f>
        <v>45313.6756</v>
      </c>
      <c r="C48" s="8" t="str">
        <f>IFERROR(__xludf.DUMMYFUNCTION("""COMPUTED_VALUE"""),"UMUM")</f>
        <v>UMUM</v>
      </c>
      <c r="D48" s="8" t="str">
        <f>IFERROR(__xludf.DUMMYFUNCTION("""COMPUTED_VALUE"""),"UMUM")</f>
        <v>UMUM</v>
      </c>
      <c r="E48" s="8" t="str">
        <f>IFERROR(__xludf.DUMMYFUNCTION("""COMPUTED_VALUE"""),"JUFRY")</f>
        <v>JUFRY</v>
      </c>
      <c r="F48" s="8"/>
      <c r="G48" s="8"/>
      <c r="H48" s="8"/>
      <c r="I48" s="8"/>
      <c r="J48" s="8" t="str">
        <f>IFERROR(__xludf.DUMMYFUNCTION("""COMPUTED_VALUE"""),"  ")</f>
        <v>  </v>
      </c>
      <c r="K48" s="8" t="str">
        <f>IFERROR(__xludf.DUMMYFUNCTION("""COMPUTED_VALUE"""),"706268")</f>
        <v>706268</v>
      </c>
      <c r="L48" s="8" t="str">
        <f>IFERROR(__xludf.DUMMYFUNCTION("""COMPUTED_VALUE"""),"V-TEC WB 120 X 240 STAND D/F NON MAGNET")</f>
        <v>V-TEC WB 120 X 240 STAND D/F NON MAGNET</v>
      </c>
      <c r="M48" s="12">
        <f>IFERROR(__xludf.DUMMYFUNCTION("""COMPUTED_VALUE"""),1.0)</f>
        <v>1</v>
      </c>
      <c r="N48" s="8" t="str">
        <f>IFERROR(__xludf.DUMMYFUNCTION("""COMPUTED_VALUE"""),"BH")</f>
        <v>BH</v>
      </c>
      <c r="O48" s="13">
        <f>IFERROR(__xludf.DUMMYFUNCTION("""COMPUTED_VALUE"""),2800000.0)</f>
        <v>2800000</v>
      </c>
      <c r="P48" s="12">
        <f>IFERROR(__xludf.DUMMYFUNCTION("""COMPUTED_VALUE"""),2800000.0)</f>
        <v>2800000</v>
      </c>
      <c r="Q48" s="8"/>
      <c r="R48" s="8">
        <f>IFERROR(__xludf.DUMMYFUNCTION("""COMPUTED_VALUE"""),0.0)</f>
        <v>0</v>
      </c>
      <c r="S48" s="12">
        <f>IFERROR(__xludf.DUMMYFUNCTION("""COMPUTED_VALUE"""),0.0)</f>
        <v>0</v>
      </c>
      <c r="T48" s="12">
        <f>IFERROR(__xludf.DUMMYFUNCTION("""COMPUTED_VALUE"""),2800000.0)</f>
        <v>2800000</v>
      </c>
      <c r="U48" s="13">
        <f>IFERROR(__xludf.DUMMYFUNCTION("""COMPUTED_VALUE"""),0.0)</f>
        <v>0</v>
      </c>
      <c r="V48" s="8" t="str">
        <f>IFERROR(__xludf.DUMMYFUNCTION("""COMPUTED_VALUE"""),"QRIS")</f>
        <v>QRIS</v>
      </c>
      <c r="W48" s="8"/>
      <c r="X48" s="8">
        <f t="shared" si="1"/>
        <v>1</v>
      </c>
      <c r="AA48" s="10"/>
    </row>
    <row r="49">
      <c r="A49" s="8" t="str">
        <f>IFERROR(__xludf.DUMMYFUNCTION("""COMPUTED_VALUE"""),"9865/JL/UTM/0124")</f>
        <v>9865/JL/UTM/0124</v>
      </c>
      <c r="B49" s="11">
        <f>IFERROR(__xludf.DUMMYFUNCTION("""COMPUTED_VALUE"""),45313.677152777775)</f>
        <v>45313.67715</v>
      </c>
      <c r="C49" s="8" t="str">
        <f>IFERROR(__xludf.DUMMYFUNCTION("""COMPUTED_VALUE"""),"UMUM")</f>
        <v>UMUM</v>
      </c>
      <c r="D49" s="8" t="str">
        <f>IFERROR(__xludf.DUMMYFUNCTION("""COMPUTED_VALUE"""),"UMUM")</f>
        <v>UMUM</v>
      </c>
      <c r="E49" s="8" t="str">
        <f>IFERROR(__xludf.DUMMYFUNCTION("""COMPUTED_VALUE"""),"JUFRY")</f>
        <v>JUFRY</v>
      </c>
      <c r="F49" s="8"/>
      <c r="G49" s="8"/>
      <c r="H49" s="8"/>
      <c r="I49" s="8"/>
      <c r="J49" s="8" t="str">
        <f>IFERROR(__xludf.DUMMYFUNCTION("""COMPUTED_VALUE"""),"  ")</f>
        <v>  </v>
      </c>
      <c r="K49" s="8" t="str">
        <f>IFERROR(__xludf.DUMMYFUNCTION("""COMPUTED_VALUE"""),"40209")</f>
        <v>40209</v>
      </c>
      <c r="L49" s="8" t="str">
        <f>IFERROR(__xludf.DUMMYFUNCTION("""COMPUTED_VALUE"""),"YUNGUANG KEY BOX ISI 60")</f>
        <v>YUNGUANG KEY BOX ISI 60</v>
      </c>
      <c r="M49" s="12">
        <f>IFERROR(__xludf.DUMMYFUNCTION("""COMPUTED_VALUE"""),1.0)</f>
        <v>1</v>
      </c>
      <c r="N49" s="8" t="str">
        <f>IFERROR(__xludf.DUMMYFUNCTION("""COMPUTED_VALUE"""),"BH")</f>
        <v>BH</v>
      </c>
      <c r="O49" s="13">
        <f>IFERROR(__xludf.DUMMYFUNCTION("""COMPUTED_VALUE"""),735000.0)</f>
        <v>735000</v>
      </c>
      <c r="P49" s="12">
        <f>IFERROR(__xludf.DUMMYFUNCTION("""COMPUTED_VALUE"""),950000.0)</f>
        <v>950000</v>
      </c>
      <c r="Q49" s="8"/>
      <c r="R49" s="8">
        <f>IFERROR(__xludf.DUMMYFUNCTION("""COMPUTED_VALUE"""),0.0)</f>
        <v>0</v>
      </c>
      <c r="S49" s="12">
        <f>IFERROR(__xludf.DUMMYFUNCTION("""COMPUTED_VALUE"""),0.0)</f>
        <v>0</v>
      </c>
      <c r="T49" s="12">
        <f>IFERROR(__xludf.DUMMYFUNCTION("""COMPUTED_VALUE"""),735000.0)</f>
        <v>735000</v>
      </c>
      <c r="U49" s="13">
        <f>IFERROR(__xludf.DUMMYFUNCTION("""COMPUTED_VALUE"""),5.9405940594)</f>
        <v>5.940594059</v>
      </c>
      <c r="V49" s="8"/>
      <c r="W49" s="8"/>
      <c r="X49" s="8">
        <f t="shared" si="1"/>
        <v>1</v>
      </c>
      <c r="AA49" s="10"/>
    </row>
    <row r="50">
      <c r="A50" s="8" t="str">
        <f>IFERROR(__xludf.DUMMYFUNCTION("""COMPUTED_VALUE"""),"9865/JL/UTM/0124")</f>
        <v>9865/JL/UTM/0124</v>
      </c>
      <c r="B50" s="11">
        <f>IFERROR(__xludf.DUMMYFUNCTION("""COMPUTED_VALUE"""),45313.677152777775)</f>
        <v>45313.67715</v>
      </c>
      <c r="C50" s="8" t="str">
        <f>IFERROR(__xludf.DUMMYFUNCTION("""COMPUTED_VALUE"""),"UMUM")</f>
        <v>UMUM</v>
      </c>
      <c r="D50" s="8" t="str">
        <f>IFERROR(__xludf.DUMMYFUNCTION("""COMPUTED_VALUE"""),"UMUM")</f>
        <v>UMUM</v>
      </c>
      <c r="E50" s="8" t="str">
        <f>IFERROR(__xludf.DUMMYFUNCTION("""COMPUTED_VALUE"""),"JUFRY")</f>
        <v>JUFRY</v>
      </c>
      <c r="F50" s="8"/>
      <c r="G50" s="8"/>
      <c r="H50" s="8"/>
      <c r="I50" s="8"/>
      <c r="J50" s="8" t="str">
        <f>IFERROR(__xludf.DUMMYFUNCTION("""COMPUTED_VALUE"""),"  ")</f>
        <v>  </v>
      </c>
      <c r="K50" s="8" t="str">
        <f>IFERROR(__xludf.DUMMYFUNCTION("""COMPUTED_VALUE"""),"706282")</f>
        <v>706282</v>
      </c>
      <c r="L50" s="8" t="str">
        <f>IFERROR(__xludf.DUMMYFUNCTION("""COMPUTED_VALUE"""),"MASPION KEY BOX MC 12")</f>
        <v>MASPION KEY BOX MC 12</v>
      </c>
      <c r="M50" s="12">
        <f>IFERROR(__xludf.DUMMYFUNCTION("""COMPUTED_VALUE"""),1.0)</f>
        <v>1</v>
      </c>
      <c r="N50" s="8" t="str">
        <f>IFERROR(__xludf.DUMMYFUNCTION("""COMPUTED_VALUE"""),"BH")</f>
        <v>BH</v>
      </c>
      <c r="O50" s="13">
        <f>IFERROR(__xludf.DUMMYFUNCTION("""COMPUTED_VALUE"""),275000.0)</f>
        <v>275000</v>
      </c>
      <c r="P50" s="12">
        <f>IFERROR(__xludf.DUMMYFUNCTION("""COMPUTED_VALUE"""),950000.0)</f>
        <v>950000</v>
      </c>
      <c r="Q50" s="8"/>
      <c r="R50" s="8">
        <f>IFERROR(__xludf.DUMMYFUNCTION("""COMPUTED_VALUE"""),0.0)</f>
        <v>0</v>
      </c>
      <c r="S50" s="12">
        <f>IFERROR(__xludf.DUMMYFUNCTION("""COMPUTED_VALUE"""),0.0)</f>
        <v>0</v>
      </c>
      <c r="T50" s="12">
        <f>IFERROR(__xludf.DUMMYFUNCTION("""COMPUTED_VALUE"""),275000.0)</f>
        <v>275000</v>
      </c>
      <c r="U50" s="13">
        <f>IFERROR(__xludf.DUMMYFUNCTION("""COMPUTED_VALUE"""),5.9405940594)</f>
        <v>5.940594059</v>
      </c>
      <c r="V50" s="8"/>
      <c r="W50" s="8"/>
      <c r="X50" s="8">
        <f t="shared" si="1"/>
        <v>1</v>
      </c>
      <c r="AA50" s="10"/>
    </row>
    <row r="51">
      <c r="A51" s="8" t="str">
        <f>IFERROR(__xludf.DUMMYFUNCTION("""COMPUTED_VALUE"""),"9866/JL/UTM/0124")</f>
        <v>9866/JL/UTM/0124</v>
      </c>
      <c r="B51" s="11">
        <f>IFERROR(__xludf.DUMMYFUNCTION("""COMPUTED_VALUE"""),45313.69873842593)</f>
        <v>45313.69874</v>
      </c>
      <c r="C51" s="8" t="str">
        <f>IFERROR(__xludf.DUMMYFUNCTION("""COMPUTED_VALUE"""),"UMUM")</f>
        <v>UMUM</v>
      </c>
      <c r="D51" s="8" t="str">
        <f>IFERROR(__xludf.DUMMYFUNCTION("""COMPUTED_VALUE"""),"UMUM")</f>
        <v>UMUM</v>
      </c>
      <c r="E51" s="8" t="str">
        <f>IFERROR(__xludf.DUMMYFUNCTION("""COMPUTED_VALUE"""),"JUFRY")</f>
        <v>JUFRY</v>
      </c>
      <c r="F51" s="8"/>
      <c r="G51" s="8"/>
      <c r="H51" s="8"/>
      <c r="I51" s="8"/>
      <c r="J51" s="8" t="str">
        <f>IFERROR(__xludf.DUMMYFUNCTION("""COMPUTED_VALUE"""),"  ")</f>
        <v>  </v>
      </c>
      <c r="K51" s="8" t="str">
        <f>IFERROR(__xludf.DUMMYFUNCTION("""COMPUTED_VALUE"""),"10026")</f>
        <v>10026</v>
      </c>
      <c r="L51" s="8" t="str">
        <f>IFERROR(__xludf.DUMMYFUNCTION("""COMPUTED_VALUE"""),"TIGER BRANKAS TG LK II")</f>
        <v>TIGER BRANKAS TG LK II</v>
      </c>
      <c r="M51" s="12">
        <f>IFERROR(__xludf.DUMMYFUNCTION("""COMPUTED_VALUE"""),1.0)</f>
        <v>1</v>
      </c>
      <c r="N51" s="8" t="str">
        <f>IFERROR(__xludf.DUMMYFUNCTION("""COMPUTED_VALUE"""),"UNIT")</f>
        <v>UNIT</v>
      </c>
      <c r="O51" s="13">
        <f>IFERROR(__xludf.DUMMYFUNCTION("""COMPUTED_VALUE"""),6350000.0)</f>
        <v>6350000</v>
      </c>
      <c r="P51" s="12">
        <f>IFERROR(__xludf.DUMMYFUNCTION("""COMPUTED_VALUE"""),6150000.0)</f>
        <v>6150000</v>
      </c>
      <c r="Q51" s="8"/>
      <c r="R51" s="8">
        <f>IFERROR(__xludf.DUMMYFUNCTION("""COMPUTED_VALUE"""),0.0)</f>
        <v>0</v>
      </c>
      <c r="S51" s="12">
        <f>IFERROR(__xludf.DUMMYFUNCTION("""COMPUTED_VALUE"""),0.0)</f>
        <v>0</v>
      </c>
      <c r="T51" s="12">
        <f>IFERROR(__xludf.DUMMYFUNCTION("""COMPUTED_VALUE"""),6350000.0)</f>
        <v>6350000</v>
      </c>
      <c r="U51" s="13">
        <f>IFERROR(__xludf.DUMMYFUNCTION("""COMPUTED_VALUE"""),3.1496062992)</f>
        <v>3.149606299</v>
      </c>
      <c r="V51" s="8"/>
      <c r="W51" s="8"/>
      <c r="X51" s="8">
        <f t="shared" si="1"/>
        <v>1</v>
      </c>
      <c r="AA51" s="10"/>
    </row>
    <row r="52">
      <c r="A52" s="8" t="str">
        <f>IFERROR(__xludf.DUMMYFUNCTION("""COMPUTED_VALUE"""),"9867/JL/UTM/0124")</f>
        <v>9867/JL/UTM/0124</v>
      </c>
      <c r="B52" s="11">
        <f>IFERROR(__xludf.DUMMYFUNCTION("""COMPUTED_VALUE"""),45314.675833333335)</f>
        <v>45314.67583</v>
      </c>
      <c r="C52" s="8" t="str">
        <f>IFERROR(__xludf.DUMMYFUNCTION("""COMPUTED_VALUE"""),"PL0695")</f>
        <v>PL0695</v>
      </c>
      <c r="D52" s="8" t="str">
        <f>IFERROR(__xludf.DUMMYFUNCTION("""COMPUTED_VALUE"""),"AN-NUR BUUTS")</f>
        <v>AN-NUR BUUTS</v>
      </c>
      <c r="E52" s="8" t="str">
        <f>IFERROR(__xludf.DUMMYFUNCTION("""COMPUTED_VALUE"""),"JUFRY")</f>
        <v>JUFRY</v>
      </c>
      <c r="F52" s="8"/>
      <c r="G52" s="8"/>
      <c r="H52" s="8"/>
      <c r="I52" s="8"/>
      <c r="J52" s="8" t="str">
        <f>IFERROR(__xludf.DUMMYFUNCTION("""COMPUTED_VALUE"""),"  ")</f>
        <v>  </v>
      </c>
      <c r="K52" s="8" t="str">
        <f>IFERROR(__xludf.DUMMYFUNCTION("""COMPUTED_VALUE"""),"20058")</f>
        <v>20058</v>
      </c>
      <c r="L52" s="8" t="str">
        <f>IFERROR(__xludf.DUMMYFUNCTION("""COMPUTED_VALUE"""),"BROTHER LEMARI ARSIP PINTU KACA B304")</f>
        <v>BROTHER LEMARI ARSIP PINTU KACA B304</v>
      </c>
      <c r="M52" s="12">
        <f>IFERROR(__xludf.DUMMYFUNCTION("""COMPUTED_VALUE"""),1.0)</f>
        <v>1</v>
      </c>
      <c r="N52" s="8" t="str">
        <f>IFERROR(__xludf.DUMMYFUNCTION("""COMPUTED_VALUE"""),"UNIT")</f>
        <v>UNIT</v>
      </c>
      <c r="O52" s="13">
        <f>IFERROR(__xludf.DUMMYFUNCTION("""COMPUTED_VALUE"""),3625000.0)</f>
        <v>3625000</v>
      </c>
      <c r="P52" s="12">
        <f>IFERROR(__xludf.DUMMYFUNCTION("""COMPUTED_VALUE"""),1.09E7)</f>
        <v>10900000</v>
      </c>
      <c r="Q52" s="8"/>
      <c r="R52" s="8">
        <f>IFERROR(__xludf.DUMMYFUNCTION("""COMPUTED_VALUE"""),0.0)</f>
        <v>0</v>
      </c>
      <c r="S52" s="12">
        <f>IFERROR(__xludf.DUMMYFUNCTION("""COMPUTED_VALUE"""),0.0)</f>
        <v>0</v>
      </c>
      <c r="T52" s="12">
        <f>IFERROR(__xludf.DUMMYFUNCTION("""COMPUTED_VALUE"""),3625000.0)</f>
        <v>3625000</v>
      </c>
      <c r="U52" s="13">
        <f>IFERROR(__xludf.DUMMYFUNCTION("""COMPUTED_VALUE"""),6.2365591398)</f>
        <v>6.23655914</v>
      </c>
      <c r="V52" s="8" t="str">
        <f>IFERROR(__xludf.DUMMYFUNCTION("""COMPUTED_VALUE"""),"EDC MANDIRI")</f>
        <v>EDC MANDIRI</v>
      </c>
      <c r="W52" s="8"/>
      <c r="X52" s="8">
        <f t="shared" si="1"/>
        <v>1</v>
      </c>
      <c r="AA52" s="10"/>
    </row>
    <row r="53">
      <c r="A53" s="8" t="str">
        <f>IFERROR(__xludf.DUMMYFUNCTION("""COMPUTED_VALUE"""),"9867/JL/UTM/0124")</f>
        <v>9867/JL/UTM/0124</v>
      </c>
      <c r="B53" s="11">
        <f>IFERROR(__xludf.DUMMYFUNCTION("""COMPUTED_VALUE"""),45314.675833333335)</f>
        <v>45314.67583</v>
      </c>
      <c r="C53" s="8" t="str">
        <f>IFERROR(__xludf.DUMMYFUNCTION("""COMPUTED_VALUE"""),"PL0695")</f>
        <v>PL0695</v>
      </c>
      <c r="D53" s="8" t="str">
        <f>IFERROR(__xludf.DUMMYFUNCTION("""COMPUTED_VALUE"""),"AN-NUR BUUTS")</f>
        <v>AN-NUR BUUTS</v>
      </c>
      <c r="E53" s="8" t="str">
        <f>IFERROR(__xludf.DUMMYFUNCTION("""COMPUTED_VALUE"""),"JUFRY")</f>
        <v>JUFRY</v>
      </c>
      <c r="F53" s="8"/>
      <c r="G53" s="8"/>
      <c r="H53" s="8"/>
      <c r="I53" s="8"/>
      <c r="J53" s="8" t="str">
        <f>IFERROR(__xludf.DUMMYFUNCTION("""COMPUTED_VALUE"""),"  ")</f>
        <v>  </v>
      </c>
      <c r="K53" s="8" t="str">
        <f>IFERROR(__xludf.DUMMYFUNCTION("""COMPUTED_VALUE"""),"706281")</f>
        <v>706281</v>
      </c>
      <c r="L53" s="8" t="str">
        <f>IFERROR(__xludf.DUMMYFUNCTION("""COMPUTED_VALUE"""),"VTEC WB NON MAGNET D/F 120 X 180")</f>
        <v>VTEC WB NON MAGNET D/F 120 X 180</v>
      </c>
      <c r="M53" s="12">
        <f>IFERROR(__xludf.DUMMYFUNCTION("""COMPUTED_VALUE"""),2.0)</f>
        <v>2</v>
      </c>
      <c r="N53" s="8" t="str">
        <f>IFERROR(__xludf.DUMMYFUNCTION("""COMPUTED_VALUE"""),"BH")</f>
        <v>BH</v>
      </c>
      <c r="O53" s="13">
        <f>IFERROR(__xludf.DUMMYFUNCTION("""COMPUTED_VALUE"""),2250000.0)</f>
        <v>2250000</v>
      </c>
      <c r="P53" s="12">
        <f>IFERROR(__xludf.DUMMYFUNCTION("""COMPUTED_VALUE"""),1.09E7)</f>
        <v>10900000</v>
      </c>
      <c r="Q53" s="8"/>
      <c r="R53" s="8">
        <f>IFERROR(__xludf.DUMMYFUNCTION("""COMPUTED_VALUE"""),0.0)</f>
        <v>0</v>
      </c>
      <c r="S53" s="12">
        <f>IFERROR(__xludf.DUMMYFUNCTION("""COMPUTED_VALUE"""),0.0)</f>
        <v>0</v>
      </c>
      <c r="T53" s="12">
        <f>IFERROR(__xludf.DUMMYFUNCTION("""COMPUTED_VALUE"""),4500000.0)</f>
        <v>4500000</v>
      </c>
      <c r="U53" s="13">
        <f>IFERROR(__xludf.DUMMYFUNCTION("""COMPUTED_VALUE"""),6.2365591398)</f>
        <v>6.23655914</v>
      </c>
      <c r="V53" s="8" t="str">
        <f>IFERROR(__xludf.DUMMYFUNCTION("""COMPUTED_VALUE"""),"EDC MANDIRI")</f>
        <v>EDC MANDIRI</v>
      </c>
      <c r="W53" s="8"/>
      <c r="X53" s="8">
        <f t="shared" si="1"/>
        <v>1</v>
      </c>
      <c r="AA53" s="10"/>
    </row>
    <row r="54">
      <c r="A54" s="8" t="str">
        <f>IFERROR(__xludf.DUMMYFUNCTION("""COMPUTED_VALUE"""),"9867/JL/UTM/0124")</f>
        <v>9867/JL/UTM/0124</v>
      </c>
      <c r="B54" s="11">
        <f>IFERROR(__xludf.DUMMYFUNCTION("""COMPUTED_VALUE"""),45314.675833333335)</f>
        <v>45314.67583</v>
      </c>
      <c r="C54" s="8" t="str">
        <f>IFERROR(__xludf.DUMMYFUNCTION("""COMPUTED_VALUE"""),"PL0695")</f>
        <v>PL0695</v>
      </c>
      <c r="D54" s="8" t="str">
        <f>IFERROR(__xludf.DUMMYFUNCTION("""COMPUTED_VALUE"""),"AN-NUR BUUTS")</f>
        <v>AN-NUR BUUTS</v>
      </c>
      <c r="E54" s="8" t="str">
        <f>IFERROR(__xludf.DUMMYFUNCTION("""COMPUTED_VALUE"""),"JUFRY")</f>
        <v>JUFRY</v>
      </c>
      <c r="F54" s="8"/>
      <c r="G54" s="8"/>
      <c r="H54" s="8"/>
      <c r="I54" s="8"/>
      <c r="J54" s="8" t="str">
        <f>IFERROR(__xludf.DUMMYFUNCTION("""COMPUTED_VALUE"""),"  ")</f>
        <v>  </v>
      </c>
      <c r="K54" s="8" t="str">
        <f>IFERROR(__xludf.DUMMYFUNCTION("""COMPUTED_VALUE"""),"706253")</f>
        <v>706253</v>
      </c>
      <c r="L54" s="8" t="str">
        <f>IFERROR(__xludf.DUMMYFUNCTION("""COMPUTED_VALUE"""),"VTEC W. BOARD STAND NON MAGNET D/F 90 X 180")</f>
        <v>VTEC W. BOARD STAND NON MAGNET D/F 90 X 180</v>
      </c>
      <c r="M54" s="12">
        <f>IFERROR(__xludf.DUMMYFUNCTION("""COMPUTED_VALUE"""),2.0)</f>
        <v>2</v>
      </c>
      <c r="N54" s="8" t="str">
        <f>IFERROR(__xludf.DUMMYFUNCTION("""COMPUTED_VALUE"""),"UNIT")</f>
        <v>UNIT</v>
      </c>
      <c r="O54" s="13">
        <f>IFERROR(__xludf.DUMMYFUNCTION("""COMPUTED_VALUE"""),1750000.0)</f>
        <v>1750000</v>
      </c>
      <c r="P54" s="12">
        <f>IFERROR(__xludf.DUMMYFUNCTION("""COMPUTED_VALUE"""),1.09E7)</f>
        <v>10900000</v>
      </c>
      <c r="Q54" s="8"/>
      <c r="R54" s="8">
        <f>IFERROR(__xludf.DUMMYFUNCTION("""COMPUTED_VALUE"""),0.0)</f>
        <v>0</v>
      </c>
      <c r="S54" s="12">
        <f>IFERROR(__xludf.DUMMYFUNCTION("""COMPUTED_VALUE"""),0.0)</f>
        <v>0</v>
      </c>
      <c r="T54" s="12">
        <f>IFERROR(__xludf.DUMMYFUNCTION("""COMPUTED_VALUE"""),3500000.0)</f>
        <v>3500000</v>
      </c>
      <c r="U54" s="13">
        <f>IFERROR(__xludf.DUMMYFUNCTION("""COMPUTED_VALUE"""),6.2365591398)</f>
        <v>6.23655914</v>
      </c>
      <c r="V54" s="8" t="str">
        <f>IFERROR(__xludf.DUMMYFUNCTION("""COMPUTED_VALUE"""),"EDC MANDIRI")</f>
        <v>EDC MANDIRI</v>
      </c>
      <c r="W54" s="8"/>
      <c r="X54" s="8">
        <f t="shared" si="1"/>
        <v>1</v>
      </c>
      <c r="AA54" s="10"/>
    </row>
    <row r="55">
      <c r="A55" s="8" t="str">
        <f>IFERROR(__xludf.DUMMYFUNCTION("""COMPUTED_VALUE"""),"9868/JL/UTM/0124")</f>
        <v>9868/JL/UTM/0124</v>
      </c>
      <c r="B55" s="11">
        <f>IFERROR(__xludf.DUMMYFUNCTION("""COMPUTED_VALUE"""),45314.67710648148)</f>
        <v>45314.67711</v>
      </c>
      <c r="C55" s="8" t="str">
        <f>IFERROR(__xludf.DUMMYFUNCTION("""COMPUTED_VALUE"""),"PL0910")</f>
        <v>PL0910</v>
      </c>
      <c r="D55" s="8" t="str">
        <f>IFERROR(__xludf.DUMMYFUNCTION("""COMPUTED_VALUE"""),"TINUS")</f>
        <v>TINUS</v>
      </c>
      <c r="E55" s="8" t="str">
        <f>IFERROR(__xludf.DUMMYFUNCTION("""COMPUTED_VALUE"""),"JUFRY")</f>
        <v>JUFRY</v>
      </c>
      <c r="F55" s="8"/>
      <c r="G55" s="8"/>
      <c r="H55" s="8"/>
      <c r="I55" s="8"/>
      <c r="J55" s="8" t="str">
        <f>IFERROR(__xludf.DUMMYFUNCTION("""COMPUTED_VALUE"""),"PALU  ")</f>
        <v>PALU  </v>
      </c>
      <c r="K55" s="8" t="str">
        <f>IFERROR(__xludf.DUMMYFUNCTION("""COMPUTED_VALUE"""),"706288")</f>
        <v>706288</v>
      </c>
      <c r="L55" s="8" t="str">
        <f>IFERROR(__xludf.DUMMYFUNCTION("""COMPUTED_VALUE"""),"BROTHER KURSI BR 206 AH")</f>
        <v>BROTHER KURSI BR 206 AH</v>
      </c>
      <c r="M55" s="12">
        <f>IFERROR(__xludf.DUMMYFUNCTION("""COMPUTED_VALUE"""),13.0)</f>
        <v>13</v>
      </c>
      <c r="N55" s="8" t="str">
        <f>IFERROR(__xludf.DUMMYFUNCTION("""COMPUTED_VALUE"""),"BH")</f>
        <v>BH</v>
      </c>
      <c r="O55" s="13">
        <f>IFERROR(__xludf.DUMMYFUNCTION("""COMPUTED_VALUE"""),850000.0)</f>
        <v>850000</v>
      </c>
      <c r="P55" s="12">
        <f>IFERROR(__xludf.DUMMYFUNCTION("""COMPUTED_VALUE"""),1.105E7)</f>
        <v>11050000</v>
      </c>
      <c r="Q55" s="8"/>
      <c r="R55" s="8">
        <f>IFERROR(__xludf.DUMMYFUNCTION("""COMPUTED_VALUE"""),0.0)</f>
        <v>0</v>
      </c>
      <c r="S55" s="12">
        <f>IFERROR(__xludf.DUMMYFUNCTION("""COMPUTED_VALUE"""),0.0)</f>
        <v>0</v>
      </c>
      <c r="T55" s="12">
        <f>IFERROR(__xludf.DUMMYFUNCTION("""COMPUTED_VALUE"""),1.105E7)</f>
        <v>11050000</v>
      </c>
      <c r="U55" s="13">
        <f>IFERROR(__xludf.DUMMYFUNCTION("""COMPUTED_VALUE"""),0.0)</f>
        <v>0</v>
      </c>
      <c r="V55" s="8" t="str">
        <f>IFERROR(__xludf.DUMMYFUNCTION("""COMPUTED_VALUE"""),"TRANSFER BRI")</f>
        <v>TRANSFER BRI</v>
      </c>
      <c r="W55" s="8"/>
      <c r="X55" s="8">
        <f t="shared" si="1"/>
        <v>1</v>
      </c>
      <c r="AA55" s="10"/>
    </row>
    <row r="56">
      <c r="A56" s="8" t="str">
        <f>IFERROR(__xludf.DUMMYFUNCTION("""COMPUTED_VALUE"""),"9869/JL/UTM/0124")</f>
        <v>9869/JL/UTM/0124</v>
      </c>
      <c r="B56" s="11">
        <f>IFERROR(__xludf.DUMMYFUNCTION("""COMPUTED_VALUE"""),45315.68528935185)</f>
        <v>45315.68529</v>
      </c>
      <c r="C56" s="8" t="str">
        <f>IFERROR(__xludf.DUMMYFUNCTION("""COMPUTED_VALUE"""),"UMUM")</f>
        <v>UMUM</v>
      </c>
      <c r="D56" s="8" t="str">
        <f>IFERROR(__xludf.DUMMYFUNCTION("""COMPUTED_VALUE"""),"UMUM")</f>
        <v>UMUM</v>
      </c>
      <c r="E56" s="8" t="str">
        <f>IFERROR(__xludf.DUMMYFUNCTION("""COMPUTED_VALUE"""),"JUFRY")</f>
        <v>JUFRY</v>
      </c>
      <c r="F56" s="8"/>
      <c r="G56" s="8"/>
      <c r="H56" s="8"/>
      <c r="I56" s="8"/>
      <c r="J56" s="8" t="str">
        <f>IFERROR(__xludf.DUMMYFUNCTION("""COMPUTED_VALUE"""),"  ")</f>
        <v>  </v>
      </c>
      <c r="K56" s="8" t="str">
        <f>IFERROR(__xludf.DUMMYFUNCTION("""COMPUTED_VALUE"""),"40210")</f>
        <v>40210</v>
      </c>
      <c r="L56" s="8" t="str">
        <f>IFERROR(__xludf.DUMMYFUNCTION("""COMPUTED_VALUE"""),"SECURE FINGERPRINT IDENTIFICATION SYSTEM EAZY")</f>
        <v>SECURE FINGERPRINT IDENTIFICATION SYSTEM EAZY</v>
      </c>
      <c r="M56" s="12">
        <f>IFERROR(__xludf.DUMMYFUNCTION("""COMPUTED_VALUE"""),1.0)</f>
        <v>1</v>
      </c>
      <c r="N56" s="8" t="str">
        <f>IFERROR(__xludf.DUMMYFUNCTION("""COMPUTED_VALUE"""),"UNIT")</f>
        <v>UNIT</v>
      </c>
      <c r="O56" s="13">
        <f>IFERROR(__xludf.DUMMYFUNCTION("""COMPUTED_VALUE"""),800000.0)</f>
        <v>800000</v>
      </c>
      <c r="P56" s="12">
        <f>IFERROR(__xludf.DUMMYFUNCTION("""COMPUTED_VALUE"""),800000.0)</f>
        <v>800000</v>
      </c>
      <c r="Q56" s="8"/>
      <c r="R56" s="8">
        <f>IFERROR(__xludf.DUMMYFUNCTION("""COMPUTED_VALUE"""),0.0)</f>
        <v>0</v>
      </c>
      <c r="S56" s="12">
        <f>IFERROR(__xludf.DUMMYFUNCTION("""COMPUTED_VALUE"""),0.0)</f>
        <v>0</v>
      </c>
      <c r="T56" s="12">
        <f>IFERROR(__xludf.DUMMYFUNCTION("""COMPUTED_VALUE"""),800000.0)</f>
        <v>800000</v>
      </c>
      <c r="U56" s="13">
        <f>IFERROR(__xludf.DUMMYFUNCTION("""COMPUTED_VALUE"""),0.0)</f>
        <v>0</v>
      </c>
      <c r="V56" s="8"/>
      <c r="W56" s="8"/>
      <c r="X56" s="8">
        <f t="shared" si="1"/>
        <v>1</v>
      </c>
      <c r="AA56" s="10"/>
    </row>
    <row r="57">
      <c r="A57" s="8" t="str">
        <f>IFERROR(__xludf.DUMMYFUNCTION("""COMPUTED_VALUE"""),"9870/JL/UTM/0124")</f>
        <v>9870/JL/UTM/0124</v>
      </c>
      <c r="B57" s="11">
        <f>IFERROR(__xludf.DUMMYFUNCTION("""COMPUTED_VALUE"""),45315.68693287037)</f>
        <v>45315.68693</v>
      </c>
      <c r="C57" s="8" t="str">
        <f>IFERROR(__xludf.DUMMYFUNCTION("""COMPUTED_VALUE"""),"PL0880")</f>
        <v>PL0880</v>
      </c>
      <c r="D57" s="8" t="str">
        <f>IFERROR(__xludf.DUMMYFUNCTION("""COMPUTED_VALUE"""),"PT. MIDI UTAMA INDONESIA")</f>
        <v>PT. MIDI UTAMA INDONESIA</v>
      </c>
      <c r="E57" s="8" t="str">
        <f>IFERROR(__xludf.DUMMYFUNCTION("""COMPUTED_VALUE"""),"JUFRY")</f>
        <v>JUFRY</v>
      </c>
      <c r="F57" s="8"/>
      <c r="G57" s="8"/>
      <c r="H57" s="8"/>
      <c r="I57" s="8"/>
      <c r="J57" s="8" t="str">
        <f>IFERROR(__xludf.DUMMYFUNCTION("""COMPUTED_VALUE"""),"PALU  ")</f>
        <v>PALU  </v>
      </c>
      <c r="K57" s="8" t="str">
        <f>IFERROR(__xludf.DUMMYFUNCTION("""COMPUTED_VALUE"""),"20050")</f>
        <v>20050</v>
      </c>
      <c r="L57" s="8" t="str">
        <f>IFERROR(__xludf.DUMMYFUNCTION("""COMPUTED_VALUE"""),"LION FILING CABINET 3 LACI L43")</f>
        <v>LION FILING CABINET 3 LACI L43</v>
      </c>
      <c r="M57" s="12">
        <f>IFERROR(__xludf.DUMMYFUNCTION("""COMPUTED_VALUE"""),3.0)</f>
        <v>3</v>
      </c>
      <c r="N57" s="8" t="str">
        <f>IFERROR(__xludf.DUMMYFUNCTION("""COMPUTED_VALUE"""),"UNIT")</f>
        <v>UNIT</v>
      </c>
      <c r="O57" s="13">
        <f>IFERROR(__xludf.DUMMYFUNCTION("""COMPUTED_VALUE"""),3100000.0)</f>
        <v>3100000</v>
      </c>
      <c r="P57" s="12">
        <f>IFERROR(__xludf.DUMMYFUNCTION("""COMPUTED_VALUE"""),0.0)</f>
        <v>0</v>
      </c>
      <c r="Q57" s="8"/>
      <c r="R57" s="8">
        <f>IFERROR(__xludf.DUMMYFUNCTION("""COMPUTED_VALUE"""),0.0)</f>
        <v>0</v>
      </c>
      <c r="S57" s="12">
        <f>IFERROR(__xludf.DUMMYFUNCTION("""COMPUTED_VALUE"""),9000000.0)</f>
        <v>9000000</v>
      </c>
      <c r="T57" s="12">
        <f>IFERROR(__xludf.DUMMYFUNCTION("""COMPUTED_VALUE"""),9300000.0)</f>
        <v>9300000</v>
      </c>
      <c r="U57" s="13">
        <f>IFERROR(__xludf.DUMMYFUNCTION("""COMPUTED_VALUE"""),3.2258064516)</f>
        <v>3.225806452</v>
      </c>
      <c r="V57" s="8"/>
      <c r="W57" s="8"/>
      <c r="X57" s="8">
        <f t="shared" si="1"/>
        <v>1</v>
      </c>
      <c r="AA57" s="10"/>
    </row>
    <row r="58">
      <c r="A58" s="8" t="str">
        <f>IFERROR(__xludf.DUMMYFUNCTION("""COMPUTED_VALUE"""),"9871/JL/UTM/0124")</f>
        <v>9871/JL/UTM/0124</v>
      </c>
      <c r="B58" s="11">
        <f>IFERROR(__xludf.DUMMYFUNCTION("""COMPUTED_VALUE"""),45315.71674768519)</f>
        <v>45315.71675</v>
      </c>
      <c r="C58" s="8" t="str">
        <f>IFERROR(__xludf.DUMMYFUNCTION("""COMPUTED_VALUE"""),"UMUM")</f>
        <v>UMUM</v>
      </c>
      <c r="D58" s="8" t="str">
        <f>IFERROR(__xludf.DUMMYFUNCTION("""COMPUTED_VALUE"""),"UMUM")</f>
        <v>UMUM</v>
      </c>
      <c r="E58" s="8" t="str">
        <f>IFERROR(__xludf.DUMMYFUNCTION("""COMPUTED_VALUE"""),"JUFRY")</f>
        <v>JUFRY</v>
      </c>
      <c r="F58" s="8"/>
      <c r="G58" s="8"/>
      <c r="H58" s="8"/>
      <c r="I58" s="8"/>
      <c r="J58" s="8" t="str">
        <f>IFERROR(__xludf.DUMMYFUNCTION("""COMPUTED_VALUE"""),"  ")</f>
        <v>  </v>
      </c>
      <c r="K58" s="8" t="str">
        <f>IFERROR(__xludf.DUMMYFUNCTION("""COMPUTED_VALUE"""),"706093")</f>
        <v>706093</v>
      </c>
      <c r="L58" s="8" t="str">
        <f>IFERROR(__xludf.DUMMYFUNCTION("""COMPUTED_VALUE"""),"TOPAS SAFETY BOX FD250")</f>
        <v>TOPAS SAFETY BOX FD250</v>
      </c>
      <c r="M58" s="12">
        <f>IFERROR(__xludf.DUMMYFUNCTION("""COMPUTED_VALUE"""),1.0)</f>
        <v>1</v>
      </c>
      <c r="N58" s="8" t="str">
        <f>IFERROR(__xludf.DUMMYFUNCTION("""COMPUTED_VALUE"""),"BH")</f>
        <v>BH</v>
      </c>
      <c r="O58" s="13">
        <f>IFERROR(__xludf.DUMMYFUNCTION("""COMPUTED_VALUE"""),1200000.0)</f>
        <v>1200000</v>
      </c>
      <c r="P58" s="12">
        <f>IFERROR(__xludf.DUMMYFUNCTION("""COMPUTED_VALUE"""),1200000.0)</f>
        <v>1200000</v>
      </c>
      <c r="Q58" s="8"/>
      <c r="R58" s="8">
        <f>IFERROR(__xludf.DUMMYFUNCTION("""COMPUTED_VALUE"""),0.0)</f>
        <v>0</v>
      </c>
      <c r="S58" s="12">
        <f>IFERROR(__xludf.DUMMYFUNCTION("""COMPUTED_VALUE"""),0.0)</f>
        <v>0</v>
      </c>
      <c r="T58" s="12">
        <f>IFERROR(__xludf.DUMMYFUNCTION("""COMPUTED_VALUE"""),1200000.0)</f>
        <v>1200000</v>
      </c>
      <c r="U58" s="13">
        <f>IFERROR(__xludf.DUMMYFUNCTION("""COMPUTED_VALUE"""),0.0)</f>
        <v>0</v>
      </c>
      <c r="V58" s="8" t="str">
        <f>IFERROR(__xludf.DUMMYFUNCTION("""COMPUTED_VALUE"""),"EDC BCA")</f>
        <v>EDC BCA</v>
      </c>
      <c r="W58" s="8"/>
      <c r="X58" s="8">
        <f t="shared" si="1"/>
        <v>1</v>
      </c>
      <c r="AA58" s="10"/>
    </row>
    <row r="59">
      <c r="A59" s="8" t="str">
        <f>IFERROR(__xludf.DUMMYFUNCTION("""COMPUTED_VALUE"""),"9872/JL/UTM/0124")</f>
        <v>9872/JL/UTM/0124</v>
      </c>
      <c r="B59" s="11">
        <f>IFERROR(__xludf.DUMMYFUNCTION("""COMPUTED_VALUE"""),45316.645000000004)</f>
        <v>45316.645</v>
      </c>
      <c r="C59" s="8" t="str">
        <f>IFERROR(__xludf.DUMMYFUNCTION("""COMPUTED_VALUE"""),"PL0763")</f>
        <v>PL0763</v>
      </c>
      <c r="D59" s="8" t="str">
        <f>IFERROR(__xludf.DUMMYFUNCTION("""COMPUTED_VALUE"""),"HAMKA (POLDA)")</f>
        <v>HAMKA (POLDA)</v>
      </c>
      <c r="E59" s="8" t="str">
        <f>IFERROR(__xludf.DUMMYFUNCTION("""COMPUTED_VALUE"""),"JUFRY")</f>
        <v>JUFRY</v>
      </c>
      <c r="F59" s="8"/>
      <c r="G59" s="8"/>
      <c r="H59" s="8"/>
      <c r="I59" s="8"/>
      <c r="J59" s="8" t="str">
        <f>IFERROR(__xludf.DUMMYFUNCTION("""COMPUTED_VALUE"""),"PALU  ")</f>
        <v>PALU  </v>
      </c>
      <c r="K59" s="8" t="str">
        <f>IFERROR(__xludf.DUMMYFUNCTION("""COMPUTED_VALUE"""),"606075")</f>
        <v>606075</v>
      </c>
      <c r="L59" s="8" t="str">
        <f>IFERROR(__xludf.DUMMYFUNCTION("""COMPUTED_VALUE"""),"HIKVISION DVR 8 CHANNEL")</f>
        <v>HIKVISION DVR 8 CHANNEL</v>
      </c>
      <c r="M59" s="12">
        <f>IFERROR(__xludf.DUMMYFUNCTION("""COMPUTED_VALUE"""),1.0)</f>
        <v>1</v>
      </c>
      <c r="N59" s="8" t="str">
        <f>IFERROR(__xludf.DUMMYFUNCTION("""COMPUTED_VALUE"""),"BH")</f>
        <v>BH</v>
      </c>
      <c r="O59" s="13">
        <f>IFERROR(__xludf.DUMMYFUNCTION("""COMPUTED_VALUE"""),3350000.0)</f>
        <v>3350000</v>
      </c>
      <c r="P59" s="12">
        <f>IFERROR(__xludf.DUMMYFUNCTION("""COMPUTED_VALUE"""),0.0)</f>
        <v>0</v>
      </c>
      <c r="Q59" s="8"/>
      <c r="R59" s="8">
        <f>IFERROR(__xludf.DUMMYFUNCTION("""COMPUTED_VALUE"""),0.0)</f>
        <v>0</v>
      </c>
      <c r="S59" s="12">
        <f>IFERROR(__xludf.DUMMYFUNCTION("""COMPUTED_VALUE"""),1.093E7)</f>
        <v>10930000</v>
      </c>
      <c r="T59" s="12">
        <f>IFERROR(__xludf.DUMMYFUNCTION("""COMPUTED_VALUE"""),3350000.0)</f>
        <v>3350000</v>
      </c>
      <c r="U59" s="13">
        <f>IFERROR(__xludf.DUMMYFUNCTION("""COMPUTED_VALUE"""),0.0)</f>
        <v>0</v>
      </c>
      <c r="V59" s="8"/>
      <c r="W59" s="8"/>
      <c r="X59" s="8">
        <f t="shared" si="1"/>
        <v>1</v>
      </c>
      <c r="AA59" s="10"/>
    </row>
    <row r="60">
      <c r="A60" s="8" t="str">
        <f>IFERROR(__xludf.DUMMYFUNCTION("""COMPUTED_VALUE"""),"9872/JL/UTM/0124")</f>
        <v>9872/JL/UTM/0124</v>
      </c>
      <c r="B60" s="11">
        <f>IFERROR(__xludf.DUMMYFUNCTION("""COMPUTED_VALUE"""),45316.645000000004)</f>
        <v>45316.645</v>
      </c>
      <c r="C60" s="8" t="str">
        <f>IFERROR(__xludf.DUMMYFUNCTION("""COMPUTED_VALUE"""),"PL0763")</f>
        <v>PL0763</v>
      </c>
      <c r="D60" s="8" t="str">
        <f>IFERROR(__xludf.DUMMYFUNCTION("""COMPUTED_VALUE"""),"HAMKA (POLDA)")</f>
        <v>HAMKA (POLDA)</v>
      </c>
      <c r="E60" s="8" t="str">
        <f>IFERROR(__xludf.DUMMYFUNCTION("""COMPUTED_VALUE"""),"JUFRY")</f>
        <v>JUFRY</v>
      </c>
      <c r="F60" s="8"/>
      <c r="G60" s="8"/>
      <c r="H60" s="8"/>
      <c r="I60" s="8"/>
      <c r="J60" s="8" t="str">
        <f>IFERROR(__xludf.DUMMYFUNCTION("""COMPUTED_VALUE"""),"PALU  ")</f>
        <v>PALU  </v>
      </c>
      <c r="K60" s="8" t="str">
        <f>IFERROR(__xludf.DUMMYFUNCTION("""COMPUTED_VALUE"""),"706148")</f>
        <v>706148</v>
      </c>
      <c r="L60" s="8" t="str">
        <f>IFERROR(__xludf.DUMMYFUNCTION("""COMPUTED_VALUE"""),"HARDISK 2 TERA")</f>
        <v>HARDISK 2 TERA</v>
      </c>
      <c r="M60" s="12">
        <f>IFERROR(__xludf.DUMMYFUNCTION("""COMPUTED_VALUE"""),1.0)</f>
        <v>1</v>
      </c>
      <c r="N60" s="8" t="str">
        <f>IFERROR(__xludf.DUMMYFUNCTION("""COMPUTED_VALUE"""),"BH")</f>
        <v>BH</v>
      </c>
      <c r="O60" s="13">
        <f>IFERROR(__xludf.DUMMYFUNCTION("""COMPUTED_VALUE"""),1500000.0)</f>
        <v>1500000</v>
      </c>
      <c r="P60" s="12">
        <f>IFERROR(__xludf.DUMMYFUNCTION("""COMPUTED_VALUE"""),0.0)</f>
        <v>0</v>
      </c>
      <c r="Q60" s="8"/>
      <c r="R60" s="8">
        <f>IFERROR(__xludf.DUMMYFUNCTION("""COMPUTED_VALUE"""),0.0)</f>
        <v>0</v>
      </c>
      <c r="S60" s="12">
        <f>IFERROR(__xludf.DUMMYFUNCTION("""COMPUTED_VALUE"""),1.093E7)</f>
        <v>10930000</v>
      </c>
      <c r="T60" s="12">
        <f>IFERROR(__xludf.DUMMYFUNCTION("""COMPUTED_VALUE"""),1500000.0)</f>
        <v>1500000</v>
      </c>
      <c r="U60" s="13">
        <f>IFERROR(__xludf.DUMMYFUNCTION("""COMPUTED_VALUE"""),0.0)</f>
        <v>0</v>
      </c>
      <c r="V60" s="8"/>
      <c r="W60" s="8"/>
      <c r="X60" s="8">
        <f t="shared" si="1"/>
        <v>1</v>
      </c>
      <c r="AA60" s="10"/>
    </row>
    <row r="61">
      <c r="A61" s="8" t="str">
        <f>IFERROR(__xludf.DUMMYFUNCTION("""COMPUTED_VALUE"""),"9872/JL/UTM/0124")</f>
        <v>9872/JL/UTM/0124</v>
      </c>
      <c r="B61" s="11">
        <f>IFERROR(__xludf.DUMMYFUNCTION("""COMPUTED_VALUE"""),45316.645000000004)</f>
        <v>45316.645</v>
      </c>
      <c r="C61" s="8" t="str">
        <f>IFERROR(__xludf.DUMMYFUNCTION("""COMPUTED_VALUE"""),"PL0763")</f>
        <v>PL0763</v>
      </c>
      <c r="D61" s="8" t="str">
        <f>IFERROR(__xludf.DUMMYFUNCTION("""COMPUTED_VALUE"""),"HAMKA (POLDA)")</f>
        <v>HAMKA (POLDA)</v>
      </c>
      <c r="E61" s="8" t="str">
        <f>IFERROR(__xludf.DUMMYFUNCTION("""COMPUTED_VALUE"""),"JUFRY")</f>
        <v>JUFRY</v>
      </c>
      <c r="F61" s="8"/>
      <c r="G61" s="8"/>
      <c r="H61" s="8"/>
      <c r="I61" s="8"/>
      <c r="J61" s="8" t="str">
        <f>IFERROR(__xludf.DUMMYFUNCTION("""COMPUTED_VALUE"""),"PALU  ")</f>
        <v>PALU  </v>
      </c>
      <c r="K61" s="8" t="str">
        <f>IFERROR(__xludf.DUMMYFUNCTION("""COMPUTED_VALUE"""),"706087")</f>
        <v>706087</v>
      </c>
      <c r="L61" s="8" t="str">
        <f>IFERROR(__xludf.DUMMYFUNCTION("""COMPUTED_VALUE"""),"HIKVISION CAMERA 2CE 5 MP")</f>
        <v>HIKVISION CAMERA 2CE 5 MP</v>
      </c>
      <c r="M61" s="12">
        <f>IFERROR(__xludf.DUMMYFUNCTION("""COMPUTED_VALUE"""),3.0)</f>
        <v>3</v>
      </c>
      <c r="N61" s="8" t="str">
        <f>IFERROR(__xludf.DUMMYFUNCTION("""COMPUTED_VALUE"""),"BH")</f>
        <v>BH</v>
      </c>
      <c r="O61" s="13">
        <f>IFERROR(__xludf.DUMMYFUNCTION("""COMPUTED_VALUE"""),645000.0)</f>
        <v>645000</v>
      </c>
      <c r="P61" s="12">
        <f>IFERROR(__xludf.DUMMYFUNCTION("""COMPUTED_VALUE"""),0.0)</f>
        <v>0</v>
      </c>
      <c r="Q61" s="8"/>
      <c r="R61" s="8">
        <f>IFERROR(__xludf.DUMMYFUNCTION("""COMPUTED_VALUE"""),0.0)</f>
        <v>0</v>
      </c>
      <c r="S61" s="12">
        <f>IFERROR(__xludf.DUMMYFUNCTION("""COMPUTED_VALUE"""),1.093E7)</f>
        <v>10930000</v>
      </c>
      <c r="T61" s="12">
        <f>IFERROR(__xludf.DUMMYFUNCTION("""COMPUTED_VALUE"""),1935000.0)</f>
        <v>1935000</v>
      </c>
      <c r="U61" s="13">
        <f>IFERROR(__xludf.DUMMYFUNCTION("""COMPUTED_VALUE"""),0.0)</f>
        <v>0</v>
      </c>
      <c r="V61" s="8"/>
      <c r="W61" s="8"/>
      <c r="X61" s="8">
        <f t="shared" si="1"/>
        <v>1</v>
      </c>
      <c r="AA61" s="10"/>
    </row>
    <row r="62">
      <c r="A62" s="8" t="str">
        <f>IFERROR(__xludf.DUMMYFUNCTION("""COMPUTED_VALUE"""),"9872/JL/UTM/0124")</f>
        <v>9872/JL/UTM/0124</v>
      </c>
      <c r="B62" s="11">
        <f>IFERROR(__xludf.DUMMYFUNCTION("""COMPUTED_VALUE"""),45316.645000000004)</f>
        <v>45316.645</v>
      </c>
      <c r="C62" s="8" t="str">
        <f>IFERROR(__xludf.DUMMYFUNCTION("""COMPUTED_VALUE"""),"PL0763")</f>
        <v>PL0763</v>
      </c>
      <c r="D62" s="8" t="str">
        <f>IFERROR(__xludf.DUMMYFUNCTION("""COMPUTED_VALUE"""),"HAMKA (POLDA)")</f>
        <v>HAMKA (POLDA)</v>
      </c>
      <c r="E62" s="8" t="str">
        <f>IFERROR(__xludf.DUMMYFUNCTION("""COMPUTED_VALUE"""),"JUFRY")</f>
        <v>JUFRY</v>
      </c>
      <c r="F62" s="8"/>
      <c r="G62" s="8"/>
      <c r="H62" s="8"/>
      <c r="I62" s="8"/>
      <c r="J62" s="8" t="str">
        <f>IFERROR(__xludf.DUMMYFUNCTION("""COMPUTED_VALUE"""),"PALU  ")</f>
        <v>PALU  </v>
      </c>
      <c r="K62" s="8" t="str">
        <f>IFERROR(__xludf.DUMMYFUNCTION("""COMPUTED_VALUE"""),"706190")</f>
        <v>706190</v>
      </c>
      <c r="L62" s="8" t="str">
        <f>IFERROR(__xludf.DUMMYFUNCTION("""COMPUTED_VALUE"""),"HIKVISION KAMERA CCTV OUT DOOR 5 MP")</f>
        <v>HIKVISION KAMERA CCTV OUT DOOR 5 MP</v>
      </c>
      <c r="M62" s="12">
        <f>IFERROR(__xludf.DUMMYFUNCTION("""COMPUTED_VALUE"""),1.0)</f>
        <v>1</v>
      </c>
      <c r="N62" s="8" t="str">
        <f>IFERROR(__xludf.DUMMYFUNCTION("""COMPUTED_VALUE"""),"BH")</f>
        <v>BH</v>
      </c>
      <c r="O62" s="13">
        <f>IFERROR(__xludf.DUMMYFUNCTION("""COMPUTED_VALUE"""),650000.0)</f>
        <v>650000</v>
      </c>
      <c r="P62" s="12">
        <f>IFERROR(__xludf.DUMMYFUNCTION("""COMPUTED_VALUE"""),0.0)</f>
        <v>0</v>
      </c>
      <c r="Q62" s="8"/>
      <c r="R62" s="8">
        <f>IFERROR(__xludf.DUMMYFUNCTION("""COMPUTED_VALUE"""),0.0)</f>
        <v>0</v>
      </c>
      <c r="S62" s="12">
        <f>IFERROR(__xludf.DUMMYFUNCTION("""COMPUTED_VALUE"""),1.093E7)</f>
        <v>10930000</v>
      </c>
      <c r="T62" s="12">
        <f>IFERROR(__xludf.DUMMYFUNCTION("""COMPUTED_VALUE"""),650000.0)</f>
        <v>650000</v>
      </c>
      <c r="U62" s="13">
        <f>IFERROR(__xludf.DUMMYFUNCTION("""COMPUTED_VALUE"""),0.0)</f>
        <v>0</v>
      </c>
      <c r="V62" s="8"/>
      <c r="W62" s="8"/>
      <c r="X62" s="8">
        <f t="shared" si="1"/>
        <v>1</v>
      </c>
      <c r="AA62" s="10"/>
    </row>
    <row r="63">
      <c r="A63" s="8" t="str">
        <f>IFERROR(__xludf.DUMMYFUNCTION("""COMPUTED_VALUE"""),"9872/JL/UTM/0124")</f>
        <v>9872/JL/UTM/0124</v>
      </c>
      <c r="B63" s="11">
        <f>IFERROR(__xludf.DUMMYFUNCTION("""COMPUTED_VALUE"""),45316.645000000004)</f>
        <v>45316.645</v>
      </c>
      <c r="C63" s="8" t="str">
        <f>IFERROR(__xludf.DUMMYFUNCTION("""COMPUTED_VALUE"""),"PL0763")</f>
        <v>PL0763</v>
      </c>
      <c r="D63" s="8" t="str">
        <f>IFERROR(__xludf.DUMMYFUNCTION("""COMPUTED_VALUE"""),"HAMKA (POLDA)")</f>
        <v>HAMKA (POLDA)</v>
      </c>
      <c r="E63" s="8" t="str">
        <f>IFERROR(__xludf.DUMMYFUNCTION("""COMPUTED_VALUE"""),"JUFRY")</f>
        <v>JUFRY</v>
      </c>
      <c r="F63" s="8"/>
      <c r="G63" s="8"/>
      <c r="H63" s="8"/>
      <c r="I63" s="8"/>
      <c r="J63" s="8" t="str">
        <f>IFERROR(__xludf.DUMMYFUNCTION("""COMPUTED_VALUE"""),"PALU  ")</f>
        <v>PALU  </v>
      </c>
      <c r="K63" s="8" t="str">
        <f>IFERROR(__xludf.DUMMYFUNCTION("""COMPUTED_VALUE"""),"706126")</f>
        <v>706126</v>
      </c>
      <c r="L63" s="8" t="str">
        <f>IFERROR(__xludf.DUMMYFUNCTION("""COMPUTED_VALUE"""),"kabel CCTV RG 6+POWER")</f>
        <v>kabel CCTV RG 6+POWER</v>
      </c>
      <c r="M63" s="12">
        <f>IFERROR(__xludf.DUMMYFUNCTION("""COMPUTED_VALUE"""),215.0)</f>
        <v>215</v>
      </c>
      <c r="N63" s="8" t="str">
        <f>IFERROR(__xludf.DUMMYFUNCTION("""COMPUTED_VALUE"""),"METER")</f>
        <v>METER</v>
      </c>
      <c r="O63" s="13">
        <f>IFERROR(__xludf.DUMMYFUNCTION("""COMPUTED_VALUE"""),5000.0)</f>
        <v>5000</v>
      </c>
      <c r="P63" s="12">
        <f>IFERROR(__xludf.DUMMYFUNCTION("""COMPUTED_VALUE"""),0.0)</f>
        <v>0</v>
      </c>
      <c r="Q63" s="8"/>
      <c r="R63" s="8">
        <f>IFERROR(__xludf.DUMMYFUNCTION("""COMPUTED_VALUE"""),0.0)</f>
        <v>0</v>
      </c>
      <c r="S63" s="12">
        <f>IFERROR(__xludf.DUMMYFUNCTION("""COMPUTED_VALUE"""),1.093E7)</f>
        <v>10930000</v>
      </c>
      <c r="T63" s="12">
        <f>IFERROR(__xludf.DUMMYFUNCTION("""COMPUTED_VALUE"""),1075000.0)</f>
        <v>1075000</v>
      </c>
      <c r="U63" s="13">
        <f>IFERROR(__xludf.DUMMYFUNCTION("""COMPUTED_VALUE"""),0.0)</f>
        <v>0</v>
      </c>
      <c r="V63" s="8"/>
      <c r="W63" s="8"/>
      <c r="X63" s="8">
        <f t="shared" si="1"/>
        <v>1</v>
      </c>
      <c r="AA63" s="10"/>
    </row>
    <row r="64">
      <c r="A64" s="8" t="str">
        <f>IFERROR(__xludf.DUMMYFUNCTION("""COMPUTED_VALUE"""),"9872/JL/UTM/0124")</f>
        <v>9872/JL/UTM/0124</v>
      </c>
      <c r="B64" s="11">
        <f>IFERROR(__xludf.DUMMYFUNCTION("""COMPUTED_VALUE"""),45316.645000000004)</f>
        <v>45316.645</v>
      </c>
      <c r="C64" s="8" t="str">
        <f>IFERROR(__xludf.DUMMYFUNCTION("""COMPUTED_VALUE"""),"PL0763")</f>
        <v>PL0763</v>
      </c>
      <c r="D64" s="8" t="str">
        <f>IFERROR(__xludf.DUMMYFUNCTION("""COMPUTED_VALUE"""),"HAMKA (POLDA)")</f>
        <v>HAMKA (POLDA)</v>
      </c>
      <c r="E64" s="8" t="str">
        <f>IFERROR(__xludf.DUMMYFUNCTION("""COMPUTED_VALUE"""),"JUFRY")</f>
        <v>JUFRY</v>
      </c>
      <c r="F64" s="8"/>
      <c r="G64" s="8"/>
      <c r="H64" s="8"/>
      <c r="I64" s="8"/>
      <c r="J64" s="8" t="str">
        <f>IFERROR(__xludf.DUMMYFUNCTION("""COMPUTED_VALUE"""),"PALU  ")</f>
        <v>PALU  </v>
      </c>
      <c r="K64" s="8" t="str">
        <f>IFERROR(__xludf.DUMMYFUNCTION("""COMPUTED_VALUE"""),"706143")</f>
        <v>706143</v>
      </c>
      <c r="L64" s="8" t="str">
        <f>IFERROR(__xludf.DUMMYFUNCTION("""COMPUTED_VALUE"""),"konektor BNC")</f>
        <v>konektor BNC</v>
      </c>
      <c r="M64" s="12">
        <f>IFERROR(__xludf.DUMMYFUNCTION("""COMPUTED_VALUE"""),8.0)</f>
        <v>8</v>
      </c>
      <c r="N64" s="8" t="str">
        <f>IFERROR(__xludf.DUMMYFUNCTION("""COMPUTED_VALUE"""),"BH")</f>
        <v>BH</v>
      </c>
      <c r="O64" s="13">
        <f>IFERROR(__xludf.DUMMYFUNCTION("""COMPUTED_VALUE"""),15000.0)</f>
        <v>15000</v>
      </c>
      <c r="P64" s="12">
        <f>IFERROR(__xludf.DUMMYFUNCTION("""COMPUTED_VALUE"""),0.0)</f>
        <v>0</v>
      </c>
      <c r="Q64" s="8"/>
      <c r="R64" s="8">
        <f>IFERROR(__xludf.DUMMYFUNCTION("""COMPUTED_VALUE"""),0.0)</f>
        <v>0</v>
      </c>
      <c r="S64" s="12">
        <f>IFERROR(__xludf.DUMMYFUNCTION("""COMPUTED_VALUE"""),1.093E7)</f>
        <v>10930000</v>
      </c>
      <c r="T64" s="12">
        <f>IFERROR(__xludf.DUMMYFUNCTION("""COMPUTED_VALUE"""),120000.0)</f>
        <v>120000</v>
      </c>
      <c r="U64" s="13">
        <f>IFERROR(__xludf.DUMMYFUNCTION("""COMPUTED_VALUE"""),0.0)</f>
        <v>0</v>
      </c>
      <c r="V64" s="8"/>
      <c r="W64" s="8"/>
      <c r="X64" s="8">
        <f t="shared" si="1"/>
        <v>1</v>
      </c>
      <c r="AA64" s="10"/>
    </row>
    <row r="65">
      <c r="A65" s="8" t="str">
        <f>IFERROR(__xludf.DUMMYFUNCTION("""COMPUTED_VALUE"""),"9872/JL/UTM/0124")</f>
        <v>9872/JL/UTM/0124</v>
      </c>
      <c r="B65" s="11">
        <f>IFERROR(__xludf.DUMMYFUNCTION("""COMPUTED_VALUE"""),45316.645000000004)</f>
        <v>45316.645</v>
      </c>
      <c r="C65" s="8" t="str">
        <f>IFERROR(__xludf.DUMMYFUNCTION("""COMPUTED_VALUE"""),"PL0763")</f>
        <v>PL0763</v>
      </c>
      <c r="D65" s="8" t="str">
        <f>IFERROR(__xludf.DUMMYFUNCTION("""COMPUTED_VALUE"""),"HAMKA (POLDA)")</f>
        <v>HAMKA (POLDA)</v>
      </c>
      <c r="E65" s="8" t="str">
        <f>IFERROR(__xludf.DUMMYFUNCTION("""COMPUTED_VALUE"""),"JUFRY")</f>
        <v>JUFRY</v>
      </c>
      <c r="F65" s="8"/>
      <c r="G65" s="8"/>
      <c r="H65" s="8"/>
      <c r="I65" s="8"/>
      <c r="J65" s="8" t="str">
        <f>IFERROR(__xludf.DUMMYFUNCTION("""COMPUTED_VALUE"""),"PALU  ")</f>
        <v>PALU  </v>
      </c>
      <c r="K65" s="8" t="str">
        <f>IFERROR(__xludf.DUMMYFUNCTION("""COMPUTED_VALUE"""),"706243")</f>
        <v>706243</v>
      </c>
      <c r="L65" s="8" t="str">
        <f>IFERROR(__xludf.DUMMYFUNCTION("""COMPUTED_VALUE"""),"KONEKTOR DC MALE")</f>
        <v>KONEKTOR DC MALE</v>
      </c>
      <c r="M65" s="12">
        <f>IFERROR(__xludf.DUMMYFUNCTION("""COMPUTED_VALUE"""),4.0)</f>
        <v>4</v>
      </c>
      <c r="N65" s="8" t="str">
        <f>IFERROR(__xludf.DUMMYFUNCTION("""COMPUTED_VALUE"""),"BH")</f>
        <v>BH</v>
      </c>
      <c r="O65" s="13">
        <f>IFERROR(__xludf.DUMMYFUNCTION("""COMPUTED_VALUE"""),5000.0)</f>
        <v>5000</v>
      </c>
      <c r="P65" s="12">
        <f>IFERROR(__xludf.DUMMYFUNCTION("""COMPUTED_VALUE"""),0.0)</f>
        <v>0</v>
      </c>
      <c r="Q65" s="8"/>
      <c r="R65" s="8">
        <f>IFERROR(__xludf.DUMMYFUNCTION("""COMPUTED_VALUE"""),0.0)</f>
        <v>0</v>
      </c>
      <c r="S65" s="12">
        <f>IFERROR(__xludf.DUMMYFUNCTION("""COMPUTED_VALUE"""),1.093E7)</f>
        <v>10930000</v>
      </c>
      <c r="T65" s="12">
        <f>IFERROR(__xludf.DUMMYFUNCTION("""COMPUTED_VALUE"""),20000.0)</f>
        <v>20000</v>
      </c>
      <c r="U65" s="13">
        <f>IFERROR(__xludf.DUMMYFUNCTION("""COMPUTED_VALUE"""),0.0)</f>
        <v>0</v>
      </c>
      <c r="V65" s="8"/>
      <c r="W65" s="8"/>
      <c r="X65" s="8">
        <f t="shared" si="1"/>
        <v>1</v>
      </c>
      <c r="AA65" s="10"/>
    </row>
    <row r="66">
      <c r="A66" s="8" t="str">
        <f>IFERROR(__xludf.DUMMYFUNCTION("""COMPUTED_VALUE"""),"9872/JL/UTM/0124")</f>
        <v>9872/JL/UTM/0124</v>
      </c>
      <c r="B66" s="11">
        <f>IFERROR(__xludf.DUMMYFUNCTION("""COMPUTED_VALUE"""),45316.645000000004)</f>
        <v>45316.645</v>
      </c>
      <c r="C66" s="8" t="str">
        <f>IFERROR(__xludf.DUMMYFUNCTION("""COMPUTED_VALUE"""),"PL0763")</f>
        <v>PL0763</v>
      </c>
      <c r="D66" s="8" t="str">
        <f>IFERROR(__xludf.DUMMYFUNCTION("""COMPUTED_VALUE"""),"HAMKA (POLDA)")</f>
        <v>HAMKA (POLDA)</v>
      </c>
      <c r="E66" s="8" t="str">
        <f>IFERROR(__xludf.DUMMYFUNCTION("""COMPUTED_VALUE"""),"JUFRY")</f>
        <v>JUFRY</v>
      </c>
      <c r="F66" s="8"/>
      <c r="G66" s="8"/>
      <c r="H66" s="8"/>
      <c r="I66" s="8"/>
      <c r="J66" s="8" t="str">
        <f>IFERROR(__xludf.DUMMYFUNCTION("""COMPUTED_VALUE"""),"PALU  ")</f>
        <v>PALU  </v>
      </c>
      <c r="K66" s="8" t="str">
        <f>IFERROR(__xludf.DUMMYFUNCTION("""COMPUTED_VALUE"""),"706142")</f>
        <v>706142</v>
      </c>
      <c r="L66" s="8" t="str">
        <f>IFERROR(__xludf.DUMMYFUNCTION("""COMPUTED_VALUE"""),"power suplay")</f>
        <v>power suplay</v>
      </c>
      <c r="M66" s="12">
        <f>IFERROR(__xludf.DUMMYFUNCTION("""COMPUTED_VALUE"""),1.0)</f>
        <v>1</v>
      </c>
      <c r="N66" s="8" t="str">
        <f>IFERROR(__xludf.DUMMYFUNCTION("""COMPUTED_VALUE"""),"BH")</f>
        <v>BH</v>
      </c>
      <c r="O66" s="13">
        <f>IFERROR(__xludf.DUMMYFUNCTION("""COMPUTED_VALUE"""),200000.0)</f>
        <v>200000</v>
      </c>
      <c r="P66" s="12">
        <f>IFERROR(__xludf.DUMMYFUNCTION("""COMPUTED_VALUE"""),0.0)</f>
        <v>0</v>
      </c>
      <c r="Q66" s="8"/>
      <c r="R66" s="8">
        <f>IFERROR(__xludf.DUMMYFUNCTION("""COMPUTED_VALUE"""),0.0)</f>
        <v>0</v>
      </c>
      <c r="S66" s="12">
        <f>IFERROR(__xludf.DUMMYFUNCTION("""COMPUTED_VALUE"""),1.093E7)</f>
        <v>10930000</v>
      </c>
      <c r="T66" s="12">
        <f>IFERROR(__xludf.DUMMYFUNCTION("""COMPUTED_VALUE"""),200000.0)</f>
        <v>200000</v>
      </c>
      <c r="U66" s="13">
        <f>IFERROR(__xludf.DUMMYFUNCTION("""COMPUTED_VALUE"""),0.0)</f>
        <v>0</v>
      </c>
      <c r="V66" s="8"/>
      <c r="W66" s="8"/>
      <c r="X66" s="8">
        <f t="shared" si="1"/>
        <v>1</v>
      </c>
      <c r="AA66" s="10"/>
    </row>
    <row r="67">
      <c r="A67" s="8" t="str">
        <f>IFERROR(__xludf.DUMMYFUNCTION("""COMPUTED_VALUE"""),"9872/JL/UTM/0124")</f>
        <v>9872/JL/UTM/0124</v>
      </c>
      <c r="B67" s="11">
        <f>IFERROR(__xludf.DUMMYFUNCTION("""COMPUTED_VALUE"""),45316.645000000004)</f>
        <v>45316.645</v>
      </c>
      <c r="C67" s="8" t="str">
        <f>IFERROR(__xludf.DUMMYFUNCTION("""COMPUTED_VALUE"""),"PL0763")</f>
        <v>PL0763</v>
      </c>
      <c r="D67" s="8" t="str">
        <f>IFERROR(__xludf.DUMMYFUNCTION("""COMPUTED_VALUE"""),"HAMKA (POLDA)")</f>
        <v>HAMKA (POLDA)</v>
      </c>
      <c r="E67" s="8" t="str">
        <f>IFERROR(__xludf.DUMMYFUNCTION("""COMPUTED_VALUE"""),"JUFRY")</f>
        <v>JUFRY</v>
      </c>
      <c r="F67" s="8"/>
      <c r="G67" s="8"/>
      <c r="H67" s="8"/>
      <c r="I67" s="8"/>
      <c r="J67" s="8" t="str">
        <f>IFERROR(__xludf.DUMMYFUNCTION("""COMPUTED_VALUE"""),"PALU  ")</f>
        <v>PALU  </v>
      </c>
      <c r="K67" s="8" t="str">
        <f>IFERROR(__xludf.DUMMYFUNCTION("""COMPUTED_VALUE"""),"706289")</f>
        <v>706289</v>
      </c>
      <c r="L67" s="8" t="str">
        <f>IFERROR(__xludf.DUMMYFUNCTION("""COMPUTED_VALUE"""),"KABEL HARDISK SATA")</f>
        <v>KABEL HARDISK SATA</v>
      </c>
      <c r="M67" s="12">
        <f>IFERROR(__xludf.DUMMYFUNCTION("""COMPUTED_VALUE"""),1.0)</f>
        <v>1</v>
      </c>
      <c r="N67" s="8" t="str">
        <f>IFERROR(__xludf.DUMMYFUNCTION("""COMPUTED_VALUE"""),"BH")</f>
        <v>BH</v>
      </c>
      <c r="O67" s="13">
        <f>IFERROR(__xludf.DUMMYFUNCTION("""COMPUTED_VALUE"""),35000.0)</f>
        <v>35000</v>
      </c>
      <c r="P67" s="12">
        <f>IFERROR(__xludf.DUMMYFUNCTION("""COMPUTED_VALUE"""),0.0)</f>
        <v>0</v>
      </c>
      <c r="Q67" s="8"/>
      <c r="R67" s="8">
        <f>IFERROR(__xludf.DUMMYFUNCTION("""COMPUTED_VALUE"""),0.0)</f>
        <v>0</v>
      </c>
      <c r="S67" s="12">
        <f>IFERROR(__xludf.DUMMYFUNCTION("""COMPUTED_VALUE"""),1.093E7)</f>
        <v>10930000</v>
      </c>
      <c r="T67" s="12">
        <f>IFERROR(__xludf.DUMMYFUNCTION("""COMPUTED_VALUE"""),35000.0)</f>
        <v>35000</v>
      </c>
      <c r="U67" s="13">
        <f>IFERROR(__xludf.DUMMYFUNCTION("""COMPUTED_VALUE"""),0.0)</f>
        <v>0</v>
      </c>
      <c r="V67" s="8"/>
      <c r="W67" s="8"/>
      <c r="X67" s="8">
        <f t="shared" si="1"/>
        <v>1</v>
      </c>
      <c r="AA67" s="10"/>
    </row>
    <row r="68">
      <c r="A68" s="8" t="str">
        <f>IFERROR(__xludf.DUMMYFUNCTION("""COMPUTED_VALUE"""),"9872/JL/UTM/0124")</f>
        <v>9872/JL/UTM/0124</v>
      </c>
      <c r="B68" s="11">
        <f>IFERROR(__xludf.DUMMYFUNCTION("""COMPUTED_VALUE"""),45316.645000000004)</f>
        <v>45316.645</v>
      </c>
      <c r="C68" s="8" t="str">
        <f>IFERROR(__xludf.DUMMYFUNCTION("""COMPUTED_VALUE"""),"PL0763")</f>
        <v>PL0763</v>
      </c>
      <c r="D68" s="8" t="str">
        <f>IFERROR(__xludf.DUMMYFUNCTION("""COMPUTED_VALUE"""),"HAMKA (POLDA)")</f>
        <v>HAMKA (POLDA)</v>
      </c>
      <c r="E68" s="8" t="str">
        <f>IFERROR(__xludf.DUMMYFUNCTION("""COMPUTED_VALUE"""),"JUFRY")</f>
        <v>JUFRY</v>
      </c>
      <c r="F68" s="8"/>
      <c r="G68" s="8"/>
      <c r="H68" s="8"/>
      <c r="I68" s="8"/>
      <c r="J68" s="8" t="str">
        <f>IFERROR(__xludf.DUMMYFUNCTION("""COMPUTED_VALUE"""),"PALU  ")</f>
        <v>PALU  </v>
      </c>
      <c r="K68" s="8" t="str">
        <f>IFERROR(__xludf.DUMMYFUNCTION("""COMPUTED_VALUE"""),"706164")</f>
        <v>706164</v>
      </c>
      <c r="L68" s="8" t="str">
        <f>IFERROR(__xludf.DUMMYFUNCTION("""COMPUTED_VALUE"""),"KABEL HDMI")</f>
        <v>KABEL HDMI</v>
      </c>
      <c r="M68" s="12">
        <f>IFERROR(__xludf.DUMMYFUNCTION("""COMPUTED_VALUE"""),1.0)</f>
        <v>1</v>
      </c>
      <c r="N68" s="8" t="str">
        <f>IFERROR(__xludf.DUMMYFUNCTION("""COMPUTED_VALUE"""),"BH")</f>
        <v>BH</v>
      </c>
      <c r="O68" s="13">
        <f>IFERROR(__xludf.DUMMYFUNCTION("""COMPUTED_VALUE"""),65000.0)</f>
        <v>65000</v>
      </c>
      <c r="P68" s="12">
        <f>IFERROR(__xludf.DUMMYFUNCTION("""COMPUTED_VALUE"""),0.0)</f>
        <v>0</v>
      </c>
      <c r="Q68" s="8"/>
      <c r="R68" s="8">
        <f>IFERROR(__xludf.DUMMYFUNCTION("""COMPUTED_VALUE"""),0.0)</f>
        <v>0</v>
      </c>
      <c r="S68" s="12">
        <f>IFERROR(__xludf.DUMMYFUNCTION("""COMPUTED_VALUE"""),1.093E7)</f>
        <v>10930000</v>
      </c>
      <c r="T68" s="12">
        <f>IFERROR(__xludf.DUMMYFUNCTION("""COMPUTED_VALUE"""),65000.0)</f>
        <v>65000</v>
      </c>
      <c r="U68" s="13">
        <f>IFERROR(__xludf.DUMMYFUNCTION("""COMPUTED_VALUE"""),0.0)</f>
        <v>0</v>
      </c>
      <c r="V68" s="8"/>
      <c r="W68" s="8"/>
      <c r="X68" s="8">
        <f t="shared" si="1"/>
        <v>1</v>
      </c>
      <c r="AA68" s="10"/>
    </row>
    <row r="69">
      <c r="A69" s="8" t="str">
        <f>IFERROR(__xludf.DUMMYFUNCTION("""COMPUTED_VALUE"""),"9872/JL/UTM/0124")</f>
        <v>9872/JL/UTM/0124</v>
      </c>
      <c r="B69" s="11">
        <f>IFERROR(__xludf.DUMMYFUNCTION("""COMPUTED_VALUE"""),45316.645000000004)</f>
        <v>45316.645</v>
      </c>
      <c r="C69" s="8" t="str">
        <f>IFERROR(__xludf.DUMMYFUNCTION("""COMPUTED_VALUE"""),"PL0763")</f>
        <v>PL0763</v>
      </c>
      <c r="D69" s="8" t="str">
        <f>IFERROR(__xludf.DUMMYFUNCTION("""COMPUTED_VALUE"""),"HAMKA (POLDA)")</f>
        <v>HAMKA (POLDA)</v>
      </c>
      <c r="E69" s="8" t="str">
        <f>IFERROR(__xludf.DUMMYFUNCTION("""COMPUTED_VALUE"""),"JUFRY")</f>
        <v>JUFRY</v>
      </c>
      <c r="F69" s="8"/>
      <c r="G69" s="8"/>
      <c r="H69" s="8"/>
      <c r="I69" s="8"/>
      <c r="J69" s="8" t="str">
        <f>IFERROR(__xludf.DUMMYFUNCTION("""COMPUTED_VALUE"""),"PALU  ")</f>
        <v>PALU  </v>
      </c>
      <c r="K69" s="8" t="str">
        <f>IFERROR(__xludf.DUMMYFUNCTION("""COMPUTED_VALUE"""),"706240")</f>
        <v>706240</v>
      </c>
      <c r="L69" s="8" t="str">
        <f>IFERROR(__xludf.DUMMYFUNCTION("""COMPUTED_VALUE"""),"BELDEN KABEL LAN CAT 5 ORY")</f>
        <v>BELDEN KABEL LAN CAT 5 ORY</v>
      </c>
      <c r="M69" s="12">
        <f>IFERROR(__xludf.DUMMYFUNCTION("""COMPUTED_VALUE"""),12.0)</f>
        <v>12</v>
      </c>
      <c r="N69" s="8" t="str">
        <f>IFERROR(__xludf.DUMMYFUNCTION("""COMPUTED_VALUE"""),"BH")</f>
        <v>BH</v>
      </c>
      <c r="O69" s="13">
        <f>IFERROR(__xludf.DUMMYFUNCTION("""COMPUTED_VALUE"""),15000.0)</f>
        <v>15000</v>
      </c>
      <c r="P69" s="12">
        <f>IFERROR(__xludf.DUMMYFUNCTION("""COMPUTED_VALUE"""),0.0)</f>
        <v>0</v>
      </c>
      <c r="Q69" s="8"/>
      <c r="R69" s="8">
        <f>IFERROR(__xludf.DUMMYFUNCTION("""COMPUTED_VALUE"""),0.0)</f>
        <v>0</v>
      </c>
      <c r="S69" s="12">
        <f>IFERROR(__xludf.DUMMYFUNCTION("""COMPUTED_VALUE"""),1.093E7)</f>
        <v>10930000</v>
      </c>
      <c r="T69" s="12">
        <f>IFERROR(__xludf.DUMMYFUNCTION("""COMPUTED_VALUE"""),180000.0)</f>
        <v>180000</v>
      </c>
      <c r="U69" s="13">
        <f>IFERROR(__xludf.DUMMYFUNCTION("""COMPUTED_VALUE"""),0.0)</f>
        <v>0</v>
      </c>
      <c r="V69" s="8"/>
      <c r="W69" s="8"/>
      <c r="X69" s="8">
        <f t="shared" si="1"/>
        <v>1</v>
      </c>
      <c r="AA69" s="10"/>
    </row>
    <row r="70">
      <c r="A70" s="8" t="str">
        <f>IFERROR(__xludf.DUMMYFUNCTION("""COMPUTED_VALUE"""),"9872/JL/UTM/0124")</f>
        <v>9872/JL/UTM/0124</v>
      </c>
      <c r="B70" s="11">
        <f>IFERROR(__xludf.DUMMYFUNCTION("""COMPUTED_VALUE"""),45316.645000000004)</f>
        <v>45316.645</v>
      </c>
      <c r="C70" s="8" t="str">
        <f>IFERROR(__xludf.DUMMYFUNCTION("""COMPUTED_VALUE"""),"PL0763")</f>
        <v>PL0763</v>
      </c>
      <c r="D70" s="8" t="str">
        <f>IFERROR(__xludf.DUMMYFUNCTION("""COMPUTED_VALUE"""),"HAMKA (POLDA)")</f>
        <v>HAMKA (POLDA)</v>
      </c>
      <c r="E70" s="8" t="str">
        <f>IFERROR(__xludf.DUMMYFUNCTION("""COMPUTED_VALUE"""),"JUFRY")</f>
        <v>JUFRY</v>
      </c>
      <c r="F70" s="8"/>
      <c r="G70" s="8"/>
      <c r="H70" s="8"/>
      <c r="I70" s="8"/>
      <c r="J70" s="8" t="str">
        <f>IFERROR(__xludf.DUMMYFUNCTION("""COMPUTED_VALUE"""),"PALU  ")</f>
        <v>PALU  </v>
      </c>
      <c r="K70" s="8" t="str">
        <f>IFERROR(__xludf.DUMMYFUNCTION("""COMPUTED_VALUE"""),"40493")</f>
        <v>40493</v>
      </c>
      <c r="L70" s="8" t="str">
        <f>IFERROR(__xludf.DUMMYFUNCTION("""COMPUTED_VALUE"""),"JASA INSTALASI &amp; PROGRAM PABX / CCTV")</f>
        <v>JASA INSTALASI &amp; PROGRAM PABX / CCTV</v>
      </c>
      <c r="M70" s="12">
        <f>IFERROR(__xludf.DUMMYFUNCTION("""COMPUTED_VALUE"""),4.0)</f>
        <v>4</v>
      </c>
      <c r="N70" s="8" t="str">
        <f>IFERROR(__xludf.DUMMYFUNCTION("""COMPUTED_VALUE"""),"JASA")</f>
        <v>JASA</v>
      </c>
      <c r="O70" s="13">
        <f>IFERROR(__xludf.DUMMYFUNCTION("""COMPUTED_VALUE"""),350000.0)</f>
        <v>350000</v>
      </c>
      <c r="P70" s="12">
        <f>IFERROR(__xludf.DUMMYFUNCTION("""COMPUTED_VALUE"""),0.0)</f>
        <v>0</v>
      </c>
      <c r="Q70" s="8"/>
      <c r="R70" s="8">
        <f>IFERROR(__xludf.DUMMYFUNCTION("""COMPUTED_VALUE"""),0.0)</f>
        <v>0</v>
      </c>
      <c r="S70" s="12">
        <f>IFERROR(__xludf.DUMMYFUNCTION("""COMPUTED_VALUE"""),1.093E7)</f>
        <v>10930000</v>
      </c>
      <c r="T70" s="12">
        <f>IFERROR(__xludf.DUMMYFUNCTION("""COMPUTED_VALUE"""),1400000.0)</f>
        <v>1400000</v>
      </c>
      <c r="U70" s="13">
        <f>IFERROR(__xludf.DUMMYFUNCTION("""COMPUTED_VALUE"""),0.0)</f>
        <v>0</v>
      </c>
      <c r="V70" s="8"/>
      <c r="W70" s="8"/>
      <c r="X70" s="8">
        <f t="shared" si="1"/>
        <v>1</v>
      </c>
      <c r="AA70" s="10"/>
    </row>
    <row r="71">
      <c r="A71" s="8" t="str">
        <f>IFERROR(__xludf.DUMMYFUNCTION("""COMPUTED_VALUE"""),"9872/JL/UTM/0124")</f>
        <v>9872/JL/UTM/0124</v>
      </c>
      <c r="B71" s="11">
        <f>IFERROR(__xludf.DUMMYFUNCTION("""COMPUTED_VALUE"""),45316.645000000004)</f>
        <v>45316.645</v>
      </c>
      <c r="C71" s="8" t="str">
        <f>IFERROR(__xludf.DUMMYFUNCTION("""COMPUTED_VALUE"""),"PL0763")</f>
        <v>PL0763</v>
      </c>
      <c r="D71" s="8" t="str">
        <f>IFERROR(__xludf.DUMMYFUNCTION("""COMPUTED_VALUE"""),"HAMKA (POLDA)")</f>
        <v>HAMKA (POLDA)</v>
      </c>
      <c r="E71" s="8" t="str">
        <f>IFERROR(__xludf.DUMMYFUNCTION("""COMPUTED_VALUE"""),"JUFRY")</f>
        <v>JUFRY</v>
      </c>
      <c r="F71" s="8"/>
      <c r="G71" s="8"/>
      <c r="H71" s="8"/>
      <c r="I71" s="8"/>
      <c r="J71" s="8" t="str">
        <f>IFERROR(__xludf.DUMMYFUNCTION("""COMPUTED_VALUE"""),"PALU  ")</f>
        <v>PALU  </v>
      </c>
      <c r="K71" s="8" t="str">
        <f>IFERROR(__xludf.DUMMYFUNCTION("""COMPUTED_VALUE"""),"706159")</f>
        <v>706159</v>
      </c>
      <c r="L71" s="8" t="str">
        <f>IFERROR(__xludf.DUMMYFUNCTION("""COMPUTED_VALUE"""),"BIAYA SERVICE")</f>
        <v>BIAYA SERVICE</v>
      </c>
      <c r="M71" s="12">
        <f>IFERROR(__xludf.DUMMYFUNCTION("""COMPUTED_VALUE"""),2.0)</f>
        <v>2</v>
      </c>
      <c r="N71" s="8" t="str">
        <f>IFERROR(__xludf.DUMMYFUNCTION("""COMPUTED_VALUE"""),"BH")</f>
        <v>BH</v>
      </c>
      <c r="O71" s="13">
        <f>IFERROR(__xludf.DUMMYFUNCTION("""COMPUTED_VALUE"""),200000.0)</f>
        <v>200000</v>
      </c>
      <c r="P71" s="12">
        <f>IFERROR(__xludf.DUMMYFUNCTION("""COMPUTED_VALUE"""),0.0)</f>
        <v>0</v>
      </c>
      <c r="Q71" s="8"/>
      <c r="R71" s="8">
        <f>IFERROR(__xludf.DUMMYFUNCTION("""COMPUTED_VALUE"""),0.0)</f>
        <v>0</v>
      </c>
      <c r="S71" s="12">
        <f>IFERROR(__xludf.DUMMYFUNCTION("""COMPUTED_VALUE"""),1.093E7)</f>
        <v>10930000</v>
      </c>
      <c r="T71" s="12">
        <f>IFERROR(__xludf.DUMMYFUNCTION("""COMPUTED_VALUE"""),400000.0)</f>
        <v>400000</v>
      </c>
      <c r="U71" s="13">
        <f>IFERROR(__xludf.DUMMYFUNCTION("""COMPUTED_VALUE"""),0.0)</f>
        <v>0</v>
      </c>
      <c r="V71" s="8"/>
      <c r="W71" s="8"/>
      <c r="X71" s="8">
        <f t="shared" si="1"/>
        <v>1</v>
      </c>
      <c r="AA71" s="10"/>
    </row>
    <row r="72">
      <c r="A72" s="8" t="str">
        <f>IFERROR(__xludf.DUMMYFUNCTION("""COMPUTED_VALUE"""),"9873/JL/UTM/0124")</f>
        <v>9873/JL/UTM/0124</v>
      </c>
      <c r="B72" s="11">
        <f>IFERROR(__xludf.DUMMYFUNCTION("""COMPUTED_VALUE"""),45316.65458333334)</f>
        <v>45316.65458</v>
      </c>
      <c r="C72" s="8" t="str">
        <f>IFERROR(__xludf.DUMMYFUNCTION("""COMPUTED_VALUE"""),"UMUM")</f>
        <v>UMUM</v>
      </c>
      <c r="D72" s="8" t="str">
        <f>IFERROR(__xludf.DUMMYFUNCTION("""COMPUTED_VALUE"""),"UMUM")</f>
        <v>UMUM</v>
      </c>
      <c r="E72" s="8" t="str">
        <f>IFERROR(__xludf.DUMMYFUNCTION("""COMPUTED_VALUE"""),"JUFRY")</f>
        <v>JUFRY</v>
      </c>
      <c r="F72" s="8"/>
      <c r="G72" s="8"/>
      <c r="H72" s="8"/>
      <c r="I72" s="8"/>
      <c r="J72" s="8" t="str">
        <f>IFERROR(__xludf.DUMMYFUNCTION("""COMPUTED_VALUE"""),"  ")</f>
        <v>  </v>
      </c>
      <c r="K72" s="8" t="str">
        <f>IFERROR(__xludf.DUMMYFUNCTION("""COMPUTED_VALUE"""),"706150")</f>
        <v>706150</v>
      </c>
      <c r="L72" s="8" t="str">
        <f>IFERROR(__xludf.DUMMYFUNCTION("""COMPUTED_VALUE"""),"SECURE MONEY COUNTER LD 24M")</f>
        <v>SECURE MONEY COUNTER LD 24M</v>
      </c>
      <c r="M72" s="12">
        <f>IFERROR(__xludf.DUMMYFUNCTION("""COMPUTED_VALUE"""),1.0)</f>
        <v>1</v>
      </c>
      <c r="N72" s="8" t="str">
        <f>IFERROR(__xludf.DUMMYFUNCTION("""COMPUTED_VALUE"""),"BH")</f>
        <v>BH</v>
      </c>
      <c r="O72" s="13">
        <f>IFERROR(__xludf.DUMMYFUNCTION("""COMPUTED_VALUE"""),1750000.0)</f>
        <v>1750000</v>
      </c>
      <c r="P72" s="12">
        <f>IFERROR(__xludf.DUMMYFUNCTION("""COMPUTED_VALUE"""),1600000.0)</f>
        <v>1600000</v>
      </c>
      <c r="Q72" s="8"/>
      <c r="R72" s="8">
        <f>IFERROR(__xludf.DUMMYFUNCTION("""COMPUTED_VALUE"""),0.0)</f>
        <v>0</v>
      </c>
      <c r="S72" s="12">
        <f>IFERROR(__xludf.DUMMYFUNCTION("""COMPUTED_VALUE"""),0.0)</f>
        <v>0</v>
      </c>
      <c r="T72" s="12">
        <f>IFERROR(__xludf.DUMMYFUNCTION("""COMPUTED_VALUE"""),1750000.0)</f>
        <v>1750000</v>
      </c>
      <c r="U72" s="13">
        <f>IFERROR(__xludf.DUMMYFUNCTION("""COMPUTED_VALUE"""),8.5714285714)</f>
        <v>8.571428571</v>
      </c>
      <c r="V72" s="8" t="str">
        <f>IFERROR(__xludf.DUMMYFUNCTION("""COMPUTED_VALUE"""),"TRANSFER BRI")</f>
        <v>TRANSFER BRI</v>
      </c>
      <c r="W72" s="8"/>
      <c r="X72" s="8">
        <f t="shared" si="1"/>
        <v>1</v>
      </c>
      <c r="AA72" s="10"/>
    </row>
    <row r="73">
      <c r="A73" s="8" t="str">
        <f>IFERROR(__xludf.DUMMYFUNCTION("""COMPUTED_VALUE"""),"9874/JL/UTM/0124")</f>
        <v>9874/JL/UTM/0124</v>
      </c>
      <c r="B73" s="11">
        <f>IFERROR(__xludf.DUMMYFUNCTION("""COMPUTED_VALUE"""),45320.66434027778)</f>
        <v>45320.66434</v>
      </c>
      <c r="C73" s="8" t="str">
        <f>IFERROR(__xludf.DUMMYFUNCTION("""COMPUTED_VALUE"""),"UMUM")</f>
        <v>UMUM</v>
      </c>
      <c r="D73" s="8" t="str">
        <f>IFERROR(__xludf.DUMMYFUNCTION("""COMPUTED_VALUE"""),"UMUM")</f>
        <v>UMUM</v>
      </c>
      <c r="E73" s="8" t="str">
        <f>IFERROR(__xludf.DUMMYFUNCTION("""COMPUTED_VALUE"""),"JUFRY")</f>
        <v>JUFRY</v>
      </c>
      <c r="F73" s="8"/>
      <c r="G73" s="8"/>
      <c r="H73" s="8"/>
      <c r="I73" s="8"/>
      <c r="J73" s="8" t="str">
        <f>IFERROR(__xludf.DUMMYFUNCTION("""COMPUTED_VALUE"""),"  ")</f>
        <v>  </v>
      </c>
      <c r="K73" s="8" t="str">
        <f>IFERROR(__xludf.DUMMYFUNCTION("""COMPUTED_VALUE"""),"10008")</f>
        <v>10008</v>
      </c>
      <c r="L73" s="8" t="str">
        <f>IFERROR(__xludf.DUMMYFUNCTION("""COMPUTED_VALUE"""),"CAPSTONE BRANKAS CROWN SISE I 178KG")</f>
        <v>CAPSTONE BRANKAS CROWN SISE I 178KG</v>
      </c>
      <c r="M73" s="12">
        <f>IFERROR(__xludf.DUMMYFUNCTION("""COMPUTED_VALUE"""),1.0)</f>
        <v>1</v>
      </c>
      <c r="N73" s="8" t="str">
        <f>IFERROR(__xludf.DUMMYFUNCTION("""COMPUTED_VALUE"""),"UNIT")</f>
        <v>UNIT</v>
      </c>
      <c r="O73" s="13">
        <f>IFERROR(__xludf.DUMMYFUNCTION("""COMPUTED_VALUE"""),9000000.0)</f>
        <v>9000000</v>
      </c>
      <c r="P73" s="12">
        <f>IFERROR(__xludf.DUMMYFUNCTION("""COMPUTED_VALUE"""),9000000.0)</f>
        <v>9000000</v>
      </c>
      <c r="Q73" s="8"/>
      <c r="R73" s="8">
        <f>IFERROR(__xludf.DUMMYFUNCTION("""COMPUTED_VALUE"""),0.0)</f>
        <v>0</v>
      </c>
      <c r="S73" s="12">
        <f>IFERROR(__xludf.DUMMYFUNCTION("""COMPUTED_VALUE"""),0.0)</f>
        <v>0</v>
      </c>
      <c r="T73" s="12">
        <f>IFERROR(__xludf.DUMMYFUNCTION("""COMPUTED_VALUE"""),9000000.0)</f>
        <v>9000000</v>
      </c>
      <c r="U73" s="13">
        <f>IFERROR(__xludf.DUMMYFUNCTION("""COMPUTED_VALUE"""),0.0)</f>
        <v>0</v>
      </c>
      <c r="V73" s="8" t="str">
        <f>IFERROR(__xludf.DUMMYFUNCTION("""COMPUTED_VALUE"""),"TRANSFER BNI")</f>
        <v>TRANSFER BNI</v>
      </c>
      <c r="W73" s="8"/>
      <c r="X73" s="8">
        <f t="shared" si="1"/>
        <v>1</v>
      </c>
      <c r="AA73" s="10"/>
    </row>
    <row r="74">
      <c r="A74" s="8" t="str">
        <f>IFERROR(__xludf.DUMMYFUNCTION("""COMPUTED_VALUE"""),"9875/JL/UTM/0124")</f>
        <v>9875/JL/UTM/0124</v>
      </c>
      <c r="B74" s="11">
        <f>IFERROR(__xludf.DUMMYFUNCTION("""COMPUTED_VALUE"""),45320.66594907407)</f>
        <v>45320.66595</v>
      </c>
      <c r="C74" s="8" t="str">
        <f>IFERROR(__xludf.DUMMYFUNCTION("""COMPUTED_VALUE"""),"077")</f>
        <v>077</v>
      </c>
      <c r="D74" s="8" t="str">
        <f>IFERROR(__xludf.DUMMYFUNCTION("""COMPUTED_VALUE"""),"GKI  PALU")</f>
        <v>GKI  PALU</v>
      </c>
      <c r="E74" s="8" t="str">
        <f>IFERROR(__xludf.DUMMYFUNCTION("""COMPUTED_VALUE"""),"JUFRY")</f>
        <v>JUFRY</v>
      </c>
      <c r="F74" s="8"/>
      <c r="G74" s="8"/>
      <c r="H74" s="8"/>
      <c r="I74" s="8"/>
      <c r="J74" s="8" t="str">
        <f>IFERROR(__xludf.DUMMYFUNCTION("""COMPUTED_VALUE"""),"JLN. PATIMURA  ")</f>
        <v>JLN. PATIMURA  </v>
      </c>
      <c r="K74" s="8" t="str">
        <f>IFERROR(__xludf.DUMMYFUNCTION("""COMPUTED_VALUE"""),"706248")</f>
        <v>706248</v>
      </c>
      <c r="L74" s="8" t="str">
        <f>IFERROR(__xludf.DUMMYFUNCTION("""COMPUTED_VALUE"""),"KINGCO W. BOARD 40 X 60")</f>
        <v>KINGCO W. BOARD 40 X 60</v>
      </c>
      <c r="M74" s="12">
        <f>IFERROR(__xludf.DUMMYFUNCTION("""COMPUTED_VALUE"""),1.0)</f>
        <v>1</v>
      </c>
      <c r="N74" s="8" t="str">
        <f>IFERROR(__xludf.DUMMYFUNCTION("""COMPUTED_VALUE"""),"BH")</f>
        <v>BH</v>
      </c>
      <c r="O74" s="13">
        <f>IFERROR(__xludf.DUMMYFUNCTION("""COMPUTED_VALUE"""),80000.0)</f>
        <v>80000</v>
      </c>
      <c r="P74" s="12">
        <f>IFERROR(__xludf.DUMMYFUNCTION("""COMPUTED_VALUE"""),0.0)</f>
        <v>0</v>
      </c>
      <c r="Q74" s="8"/>
      <c r="R74" s="8">
        <f>IFERROR(__xludf.DUMMYFUNCTION("""COMPUTED_VALUE"""),0.0)</f>
        <v>0</v>
      </c>
      <c r="S74" s="12">
        <f>IFERROR(__xludf.DUMMYFUNCTION("""COMPUTED_VALUE"""),80000.0)</f>
        <v>80000</v>
      </c>
      <c r="T74" s="12">
        <f>IFERROR(__xludf.DUMMYFUNCTION("""COMPUTED_VALUE"""),80000.0)</f>
        <v>80000</v>
      </c>
      <c r="U74" s="13">
        <f>IFERROR(__xludf.DUMMYFUNCTION("""COMPUTED_VALUE"""),0.0)</f>
        <v>0</v>
      </c>
      <c r="V74" s="8"/>
      <c r="W74" s="8"/>
      <c r="X74" s="8">
        <f t="shared" si="1"/>
        <v>1</v>
      </c>
      <c r="AA74" s="10"/>
    </row>
    <row r="75">
      <c r="A75" s="8" t="str">
        <f>IFERROR(__xludf.DUMMYFUNCTION("""COMPUTED_VALUE"""),"9876/JL/UTM/0224")</f>
        <v>9876/JL/UTM/0224</v>
      </c>
      <c r="B75" s="11">
        <f>IFERROR(__xludf.DUMMYFUNCTION("""COMPUTED_VALUE"""),45323.67780092593)</f>
        <v>45323.6778</v>
      </c>
      <c r="C75" s="8" t="str">
        <f>IFERROR(__xludf.DUMMYFUNCTION("""COMPUTED_VALUE"""),"UMUM")</f>
        <v>UMUM</v>
      </c>
      <c r="D75" s="8" t="str">
        <f>IFERROR(__xludf.DUMMYFUNCTION("""COMPUTED_VALUE"""),"UMUM")</f>
        <v>UMUM</v>
      </c>
      <c r="E75" s="8" t="str">
        <f>IFERROR(__xludf.DUMMYFUNCTION("""COMPUTED_VALUE"""),"JUFRY")</f>
        <v>JUFRY</v>
      </c>
      <c r="F75" s="8"/>
      <c r="G75" s="8"/>
      <c r="H75" s="8"/>
      <c r="I75" s="8"/>
      <c r="J75" s="8" t="str">
        <f>IFERROR(__xludf.DUMMYFUNCTION("""COMPUTED_VALUE"""),"  ")</f>
        <v>  </v>
      </c>
      <c r="K75" s="8" t="str">
        <f>IFERROR(__xludf.DUMMYFUNCTION("""COMPUTED_VALUE"""),"40340")</f>
        <v>40340</v>
      </c>
      <c r="L75" s="8" t="str">
        <f>IFERROR(__xludf.DUMMYFUNCTION("""COMPUTED_VALUE"""),"JASA PENGISIAN TABUNG PEMADAM 6 KG")</f>
        <v>JASA PENGISIAN TABUNG PEMADAM 6 KG</v>
      </c>
      <c r="M75" s="12">
        <f>IFERROR(__xludf.DUMMYFUNCTION("""COMPUTED_VALUE"""),1.0)</f>
        <v>1</v>
      </c>
      <c r="N75" s="8" t="str">
        <f>IFERROR(__xludf.DUMMYFUNCTION("""COMPUTED_VALUE"""),"BH")</f>
        <v>BH</v>
      </c>
      <c r="O75" s="13">
        <f>IFERROR(__xludf.DUMMYFUNCTION("""COMPUTED_VALUE"""),390000.0)</f>
        <v>390000</v>
      </c>
      <c r="P75" s="12">
        <f>IFERROR(__xludf.DUMMYFUNCTION("""COMPUTED_VALUE"""),665000.0)</f>
        <v>665000</v>
      </c>
      <c r="Q75" s="8"/>
      <c r="R75" s="8">
        <f>IFERROR(__xludf.DUMMYFUNCTION("""COMPUTED_VALUE"""),0.0)</f>
        <v>0</v>
      </c>
      <c r="S75" s="12">
        <f>IFERROR(__xludf.DUMMYFUNCTION("""COMPUTED_VALUE"""),0.0)</f>
        <v>0</v>
      </c>
      <c r="T75" s="12">
        <f>IFERROR(__xludf.DUMMYFUNCTION("""COMPUTED_VALUE"""),390000.0)</f>
        <v>390000</v>
      </c>
      <c r="U75" s="13">
        <f>IFERROR(__xludf.DUMMYFUNCTION("""COMPUTED_VALUE"""),0.0)</f>
        <v>0</v>
      </c>
      <c r="V75" s="8"/>
      <c r="W75" s="8"/>
      <c r="X75" s="8">
        <f t="shared" si="1"/>
        <v>2</v>
      </c>
      <c r="AA75" s="10"/>
    </row>
    <row r="76">
      <c r="A76" s="8" t="str">
        <f>IFERROR(__xludf.DUMMYFUNCTION("""COMPUTED_VALUE"""),"9876/JL/UTM/0224")</f>
        <v>9876/JL/UTM/0224</v>
      </c>
      <c r="B76" s="11">
        <f>IFERROR(__xludf.DUMMYFUNCTION("""COMPUTED_VALUE"""),45323.67780092593)</f>
        <v>45323.6778</v>
      </c>
      <c r="C76" s="8" t="str">
        <f>IFERROR(__xludf.DUMMYFUNCTION("""COMPUTED_VALUE"""),"UMUM")</f>
        <v>UMUM</v>
      </c>
      <c r="D76" s="8" t="str">
        <f>IFERROR(__xludf.DUMMYFUNCTION("""COMPUTED_VALUE"""),"UMUM")</f>
        <v>UMUM</v>
      </c>
      <c r="E76" s="8" t="str">
        <f>IFERROR(__xludf.DUMMYFUNCTION("""COMPUTED_VALUE"""),"JUFRY")</f>
        <v>JUFRY</v>
      </c>
      <c r="F76" s="8"/>
      <c r="G76" s="8"/>
      <c r="H76" s="8"/>
      <c r="I76" s="8"/>
      <c r="J76" s="8" t="str">
        <f>IFERROR(__xludf.DUMMYFUNCTION("""COMPUTED_VALUE"""),"  ")</f>
        <v>  </v>
      </c>
      <c r="K76" s="8" t="str">
        <f>IFERROR(__xludf.DUMMYFUNCTION("""COMPUTED_VALUE"""),"40339")</f>
        <v>40339</v>
      </c>
      <c r="L76" s="8" t="str">
        <f>IFERROR(__xludf.DUMMYFUNCTION("""COMPUTED_VALUE"""),"JASA PENGISIAN TABUNG PEMADAM 3 KG")</f>
        <v>JASA PENGISIAN TABUNG PEMADAM 3 KG</v>
      </c>
      <c r="M76" s="12">
        <f>IFERROR(__xludf.DUMMYFUNCTION("""COMPUTED_VALUE"""),1.0)</f>
        <v>1</v>
      </c>
      <c r="N76" s="8" t="str">
        <f>IFERROR(__xludf.DUMMYFUNCTION("""COMPUTED_VALUE"""),"BH")</f>
        <v>BH</v>
      </c>
      <c r="O76" s="13">
        <f>IFERROR(__xludf.DUMMYFUNCTION("""COMPUTED_VALUE"""),275000.0)</f>
        <v>275000</v>
      </c>
      <c r="P76" s="12">
        <f>IFERROR(__xludf.DUMMYFUNCTION("""COMPUTED_VALUE"""),665000.0)</f>
        <v>665000</v>
      </c>
      <c r="Q76" s="8"/>
      <c r="R76" s="8">
        <f>IFERROR(__xludf.DUMMYFUNCTION("""COMPUTED_VALUE"""),0.0)</f>
        <v>0</v>
      </c>
      <c r="S76" s="12">
        <f>IFERROR(__xludf.DUMMYFUNCTION("""COMPUTED_VALUE"""),0.0)</f>
        <v>0</v>
      </c>
      <c r="T76" s="12">
        <f>IFERROR(__xludf.DUMMYFUNCTION("""COMPUTED_VALUE"""),275000.0)</f>
        <v>275000</v>
      </c>
      <c r="U76" s="13">
        <f>IFERROR(__xludf.DUMMYFUNCTION("""COMPUTED_VALUE"""),0.0)</f>
        <v>0</v>
      </c>
      <c r="V76" s="8"/>
      <c r="W76" s="8"/>
      <c r="X76" s="8">
        <f t="shared" si="1"/>
        <v>2</v>
      </c>
      <c r="AA76" s="10"/>
    </row>
    <row r="77">
      <c r="A77" s="8" t="str">
        <f>IFERROR(__xludf.DUMMYFUNCTION("""COMPUTED_VALUE"""),"9877/JL/UTM/0224")</f>
        <v>9877/JL/UTM/0224</v>
      </c>
      <c r="B77" s="11">
        <f>IFERROR(__xludf.DUMMYFUNCTION("""COMPUTED_VALUE"""),45323.67864583334)</f>
        <v>45323.67865</v>
      </c>
      <c r="C77" s="8" t="str">
        <f>IFERROR(__xludf.DUMMYFUNCTION("""COMPUTED_VALUE"""),"UMUM")</f>
        <v>UMUM</v>
      </c>
      <c r="D77" s="8" t="str">
        <f>IFERROR(__xludf.DUMMYFUNCTION("""COMPUTED_VALUE"""),"UMUM")</f>
        <v>UMUM</v>
      </c>
      <c r="E77" s="8" t="str">
        <f>IFERROR(__xludf.DUMMYFUNCTION("""COMPUTED_VALUE"""),"JUFRY")</f>
        <v>JUFRY</v>
      </c>
      <c r="F77" s="8"/>
      <c r="G77" s="8"/>
      <c r="H77" s="8"/>
      <c r="I77" s="8"/>
      <c r="J77" s="8" t="str">
        <f>IFERROR(__xludf.DUMMYFUNCTION("""COMPUTED_VALUE"""),"  ")</f>
        <v>  </v>
      </c>
      <c r="K77" s="8" t="str">
        <f>IFERROR(__xludf.DUMMYFUNCTION("""COMPUTED_VALUE"""),"40556")</f>
        <v>40556</v>
      </c>
      <c r="L77" s="8" t="str">
        <f>IFERROR(__xludf.DUMMYFUNCTION("""COMPUTED_VALUE"""),"OCEAN CITY MONEY DETECTOR OCI-2820")</f>
        <v>OCEAN CITY MONEY DETECTOR OCI-2820</v>
      </c>
      <c r="M77" s="12">
        <f>IFERROR(__xludf.DUMMYFUNCTION("""COMPUTED_VALUE"""),1.0)</f>
        <v>1</v>
      </c>
      <c r="N77" s="8" t="str">
        <f>IFERROR(__xludf.DUMMYFUNCTION("""COMPUTED_VALUE"""),"BH")</f>
        <v>BH</v>
      </c>
      <c r="O77" s="13">
        <f>IFERROR(__xludf.DUMMYFUNCTION("""COMPUTED_VALUE"""),165000.0)</f>
        <v>165000</v>
      </c>
      <c r="P77" s="12">
        <f>IFERROR(__xludf.DUMMYFUNCTION("""COMPUTED_VALUE"""),165000.0)</f>
        <v>165000</v>
      </c>
      <c r="Q77" s="8"/>
      <c r="R77" s="8">
        <f>IFERROR(__xludf.DUMMYFUNCTION("""COMPUTED_VALUE"""),0.0)</f>
        <v>0</v>
      </c>
      <c r="S77" s="12">
        <f>IFERROR(__xludf.DUMMYFUNCTION("""COMPUTED_VALUE"""),0.0)</f>
        <v>0</v>
      </c>
      <c r="T77" s="12">
        <f>IFERROR(__xludf.DUMMYFUNCTION("""COMPUTED_VALUE"""),165000.0)</f>
        <v>165000</v>
      </c>
      <c r="U77" s="13">
        <f>IFERROR(__xludf.DUMMYFUNCTION("""COMPUTED_VALUE"""),0.0)</f>
        <v>0</v>
      </c>
      <c r="V77" s="8"/>
      <c r="W77" s="8"/>
      <c r="X77" s="8">
        <f t="shared" si="1"/>
        <v>2</v>
      </c>
      <c r="AA77" s="10"/>
    </row>
    <row r="78">
      <c r="A78" s="8" t="str">
        <f>IFERROR(__xludf.DUMMYFUNCTION("""COMPUTED_VALUE"""),"9878/JL/UTM/0224")</f>
        <v>9878/JL/UTM/0224</v>
      </c>
      <c r="B78" s="11">
        <f>IFERROR(__xludf.DUMMYFUNCTION("""COMPUTED_VALUE"""),45323.67931712963)</f>
        <v>45323.67932</v>
      </c>
      <c r="C78" s="8" t="str">
        <f>IFERROR(__xludf.DUMMYFUNCTION("""COMPUTED_VALUE"""),"UMUM")</f>
        <v>UMUM</v>
      </c>
      <c r="D78" s="8" t="str">
        <f>IFERROR(__xludf.DUMMYFUNCTION("""COMPUTED_VALUE"""),"UMUM")</f>
        <v>UMUM</v>
      </c>
      <c r="E78" s="8" t="str">
        <f>IFERROR(__xludf.DUMMYFUNCTION("""COMPUTED_VALUE"""),"JUFRY")</f>
        <v>JUFRY</v>
      </c>
      <c r="F78" s="8"/>
      <c r="G78" s="8"/>
      <c r="H78" s="8"/>
      <c r="I78" s="8"/>
      <c r="J78" s="8" t="str">
        <f>IFERROR(__xludf.DUMMYFUNCTION("""COMPUTED_VALUE"""),"  ")</f>
        <v>  </v>
      </c>
      <c r="K78" s="8" t="str">
        <f>IFERROR(__xludf.DUMMYFUNCTION("""COMPUTED_VALUE"""),"706187")</f>
        <v>706187</v>
      </c>
      <c r="L78" s="8" t="str">
        <f>IFERROR(__xludf.DUMMYFUNCTION("""COMPUTED_VALUE"""),"KINGCO WHITE BOARD 50 X 70 CM")</f>
        <v>KINGCO WHITE BOARD 50 X 70 CM</v>
      </c>
      <c r="M78" s="12">
        <f>IFERROR(__xludf.DUMMYFUNCTION("""COMPUTED_VALUE"""),1.0)</f>
        <v>1</v>
      </c>
      <c r="N78" s="8" t="str">
        <f>IFERROR(__xludf.DUMMYFUNCTION("""COMPUTED_VALUE"""),"BH")</f>
        <v>BH</v>
      </c>
      <c r="O78" s="13">
        <f>IFERROR(__xludf.DUMMYFUNCTION("""COMPUTED_VALUE"""),100000.0)</f>
        <v>100000</v>
      </c>
      <c r="P78" s="12">
        <f>IFERROR(__xludf.DUMMYFUNCTION("""COMPUTED_VALUE"""),100000.0)</f>
        <v>100000</v>
      </c>
      <c r="Q78" s="8"/>
      <c r="R78" s="8">
        <f>IFERROR(__xludf.DUMMYFUNCTION("""COMPUTED_VALUE"""),0.0)</f>
        <v>0</v>
      </c>
      <c r="S78" s="12">
        <f>IFERROR(__xludf.DUMMYFUNCTION("""COMPUTED_VALUE"""),0.0)</f>
        <v>0</v>
      </c>
      <c r="T78" s="12">
        <f>IFERROR(__xludf.DUMMYFUNCTION("""COMPUTED_VALUE"""),100000.0)</f>
        <v>100000</v>
      </c>
      <c r="U78" s="13">
        <f>IFERROR(__xludf.DUMMYFUNCTION("""COMPUTED_VALUE"""),0.0)</f>
        <v>0</v>
      </c>
      <c r="V78" s="8"/>
      <c r="W78" s="8"/>
      <c r="X78" s="8">
        <f t="shared" si="1"/>
        <v>2</v>
      </c>
      <c r="AA78" s="10"/>
    </row>
    <row r="79">
      <c r="A79" s="8" t="str">
        <f>IFERROR(__xludf.DUMMYFUNCTION("""COMPUTED_VALUE"""),"9879/JL/UTM/0224")</f>
        <v>9879/JL/UTM/0224</v>
      </c>
      <c r="B79" s="11">
        <f>IFERROR(__xludf.DUMMYFUNCTION("""COMPUTED_VALUE"""),45323.680231481485)</f>
        <v>45323.68023</v>
      </c>
      <c r="C79" s="8" t="str">
        <f>IFERROR(__xludf.DUMMYFUNCTION("""COMPUTED_VALUE"""),"PL0880")</f>
        <v>PL0880</v>
      </c>
      <c r="D79" s="8" t="str">
        <f>IFERROR(__xludf.DUMMYFUNCTION("""COMPUTED_VALUE"""),"PT. MIDI UTAMA INDONESIA")</f>
        <v>PT. MIDI UTAMA INDONESIA</v>
      </c>
      <c r="E79" s="8" t="str">
        <f>IFERROR(__xludf.DUMMYFUNCTION("""COMPUTED_VALUE"""),"JUFRY")</f>
        <v>JUFRY</v>
      </c>
      <c r="F79" s="8"/>
      <c r="G79" s="8"/>
      <c r="H79" s="8"/>
      <c r="I79" s="8"/>
      <c r="J79" s="8" t="str">
        <f>IFERROR(__xludf.DUMMYFUNCTION("""COMPUTED_VALUE"""),"PALU  ")</f>
        <v>PALU  </v>
      </c>
      <c r="K79" s="8" t="str">
        <f>IFERROR(__xludf.DUMMYFUNCTION("""COMPUTED_VALUE"""),"20051")</f>
        <v>20051</v>
      </c>
      <c r="L79" s="8" t="str">
        <f>IFERROR(__xludf.DUMMYFUNCTION("""COMPUTED_VALUE"""),"LION LEMARI ARSIP 2 PINTU L33")</f>
        <v>LION LEMARI ARSIP 2 PINTU L33</v>
      </c>
      <c r="M79" s="12">
        <f>IFERROR(__xludf.DUMMYFUNCTION("""COMPUTED_VALUE"""),2.0)</f>
        <v>2</v>
      </c>
      <c r="N79" s="8" t="str">
        <f>IFERROR(__xludf.DUMMYFUNCTION("""COMPUTED_VALUE"""),"UNIT")</f>
        <v>UNIT</v>
      </c>
      <c r="O79" s="13">
        <f>IFERROR(__xludf.DUMMYFUNCTION("""COMPUTED_VALUE"""),3975000.0)</f>
        <v>3975000</v>
      </c>
      <c r="P79" s="12">
        <f>IFERROR(__xludf.DUMMYFUNCTION("""COMPUTED_VALUE"""),0.0)</f>
        <v>0</v>
      </c>
      <c r="Q79" s="8"/>
      <c r="R79" s="8">
        <f>IFERROR(__xludf.DUMMYFUNCTION("""COMPUTED_VALUE"""),0.0)</f>
        <v>0</v>
      </c>
      <c r="S79" s="12">
        <f>IFERROR(__xludf.DUMMYFUNCTION("""COMPUTED_VALUE"""),7950000.0)</f>
        <v>7950000</v>
      </c>
      <c r="T79" s="12">
        <f>IFERROR(__xludf.DUMMYFUNCTION("""COMPUTED_VALUE"""),7950000.0)</f>
        <v>7950000</v>
      </c>
      <c r="U79" s="13">
        <f>IFERROR(__xludf.DUMMYFUNCTION("""COMPUTED_VALUE"""),0.0)</f>
        <v>0</v>
      </c>
      <c r="V79" s="8"/>
      <c r="W79" s="8"/>
      <c r="X79" s="8">
        <f t="shared" si="1"/>
        <v>2</v>
      </c>
      <c r="AA79" s="10"/>
    </row>
    <row r="80">
      <c r="A80" s="8" t="str">
        <f>IFERROR(__xludf.DUMMYFUNCTION("""COMPUTED_VALUE"""),"9880/JL/UTM/0224")</f>
        <v>9880/JL/UTM/0224</v>
      </c>
      <c r="B80" s="11">
        <f>IFERROR(__xludf.DUMMYFUNCTION("""COMPUTED_VALUE"""),45323.7091087963)</f>
        <v>45323.70911</v>
      </c>
      <c r="C80" s="8" t="str">
        <f>IFERROR(__xludf.DUMMYFUNCTION("""COMPUTED_VALUE"""),"UMUM")</f>
        <v>UMUM</v>
      </c>
      <c r="D80" s="8" t="str">
        <f>IFERROR(__xludf.DUMMYFUNCTION("""COMPUTED_VALUE"""),"UMUM")</f>
        <v>UMUM</v>
      </c>
      <c r="E80" s="8" t="str">
        <f>IFERROR(__xludf.DUMMYFUNCTION("""COMPUTED_VALUE"""),"JUFRY")</f>
        <v>JUFRY</v>
      </c>
      <c r="F80" s="8"/>
      <c r="G80" s="8"/>
      <c r="H80" s="8"/>
      <c r="I80" s="8"/>
      <c r="J80" s="8" t="str">
        <f>IFERROR(__xludf.DUMMYFUNCTION("""COMPUTED_VALUE"""),"  ")</f>
        <v>  </v>
      </c>
      <c r="K80" s="8" t="str">
        <f>IFERROR(__xludf.DUMMYFUNCTION("""COMPUTED_VALUE"""),"40188")</f>
        <v>40188</v>
      </c>
      <c r="L80" s="8" t="str">
        <f>IFERROR(__xludf.DUMMYFUNCTION("""COMPUTED_VALUE"""),"POP ONE WHITEBOARD 90X180")</f>
        <v>POP ONE WHITEBOARD 90X180</v>
      </c>
      <c r="M80" s="12">
        <f>IFERROR(__xludf.DUMMYFUNCTION("""COMPUTED_VALUE"""),1.0)</f>
        <v>1</v>
      </c>
      <c r="N80" s="8" t="str">
        <f>IFERROR(__xludf.DUMMYFUNCTION("""COMPUTED_VALUE"""),"BH")</f>
        <v>BH</v>
      </c>
      <c r="O80" s="13">
        <f>IFERROR(__xludf.DUMMYFUNCTION("""COMPUTED_VALUE"""),725000.0)</f>
        <v>725000</v>
      </c>
      <c r="P80" s="12">
        <f>IFERROR(__xludf.DUMMYFUNCTION("""COMPUTED_VALUE"""),700000.0)</f>
        <v>700000</v>
      </c>
      <c r="Q80" s="8"/>
      <c r="R80" s="8">
        <f>IFERROR(__xludf.DUMMYFUNCTION("""COMPUTED_VALUE"""),0.0)</f>
        <v>0</v>
      </c>
      <c r="S80" s="12">
        <f>IFERROR(__xludf.DUMMYFUNCTION("""COMPUTED_VALUE"""),0.0)</f>
        <v>0</v>
      </c>
      <c r="T80" s="12">
        <f>IFERROR(__xludf.DUMMYFUNCTION("""COMPUTED_VALUE"""),725000.0)</f>
        <v>725000</v>
      </c>
      <c r="U80" s="13">
        <f>IFERROR(__xludf.DUMMYFUNCTION("""COMPUTED_VALUE"""),3.4482758621)</f>
        <v>3.448275862</v>
      </c>
      <c r="V80" s="8" t="str">
        <f>IFERROR(__xludf.DUMMYFUNCTION("""COMPUTED_VALUE"""),"QRIS")</f>
        <v>QRIS</v>
      </c>
      <c r="W80" s="8"/>
      <c r="X80" s="8">
        <f t="shared" si="1"/>
        <v>2</v>
      </c>
      <c r="AA80" s="10"/>
    </row>
    <row r="81">
      <c r="A81" s="8" t="str">
        <f>IFERROR(__xludf.DUMMYFUNCTION("""COMPUTED_VALUE"""),"9881/JL/UTM/0224")</f>
        <v>9881/JL/UTM/0224</v>
      </c>
      <c r="B81" s="11">
        <f>IFERROR(__xludf.DUMMYFUNCTION("""COMPUTED_VALUE"""),45324.70578703703)</f>
        <v>45324.70579</v>
      </c>
      <c r="C81" s="8" t="str">
        <f>IFERROR(__xludf.DUMMYFUNCTION("""COMPUTED_VALUE"""),"UMUM")</f>
        <v>UMUM</v>
      </c>
      <c r="D81" s="8" t="str">
        <f>IFERROR(__xludf.DUMMYFUNCTION("""COMPUTED_VALUE"""),"UMUM")</f>
        <v>UMUM</v>
      </c>
      <c r="E81" s="8" t="str">
        <f>IFERROR(__xludf.DUMMYFUNCTION("""COMPUTED_VALUE"""),"JUFRY")</f>
        <v>JUFRY</v>
      </c>
      <c r="F81" s="8"/>
      <c r="G81" s="8"/>
      <c r="H81" s="8"/>
      <c r="I81" s="8"/>
      <c r="J81" s="8" t="str">
        <f>IFERROR(__xludf.DUMMYFUNCTION("""COMPUTED_VALUE"""),"  ")</f>
        <v>  </v>
      </c>
      <c r="K81" s="8" t="str">
        <f>IFERROR(__xludf.DUMMYFUNCTION("""COMPUTED_VALUE"""),"40569")</f>
        <v>40569</v>
      </c>
      <c r="L81" s="8" t="str">
        <f>IFERROR(__xludf.DUMMYFUNCTION("""COMPUTED_VALUE"""),"EMPORIUM LEMARI ARSIP PINTU PLAT+KACA EC-07")</f>
        <v>EMPORIUM LEMARI ARSIP PINTU PLAT+KACA EC-07</v>
      </c>
      <c r="M81" s="12">
        <f>IFERROR(__xludf.DUMMYFUNCTION("""COMPUTED_VALUE"""),1.0)</f>
        <v>1</v>
      </c>
      <c r="N81" s="8" t="str">
        <f>IFERROR(__xludf.DUMMYFUNCTION("""COMPUTED_VALUE"""),"UNIT")</f>
        <v>UNIT</v>
      </c>
      <c r="O81" s="13">
        <f>IFERROR(__xludf.DUMMYFUNCTION("""COMPUTED_VALUE"""),2400000.0)</f>
        <v>2400000</v>
      </c>
      <c r="P81" s="12">
        <f>IFERROR(__xludf.DUMMYFUNCTION("""COMPUTED_VALUE"""),2300000.0)</f>
        <v>2300000</v>
      </c>
      <c r="Q81" s="8"/>
      <c r="R81" s="8">
        <f>IFERROR(__xludf.DUMMYFUNCTION("""COMPUTED_VALUE"""),0.0)</f>
        <v>0</v>
      </c>
      <c r="S81" s="12">
        <f>IFERROR(__xludf.DUMMYFUNCTION("""COMPUTED_VALUE"""),0.0)</f>
        <v>0</v>
      </c>
      <c r="T81" s="12">
        <f>IFERROR(__xludf.DUMMYFUNCTION("""COMPUTED_VALUE"""),2400000.0)</f>
        <v>2400000</v>
      </c>
      <c r="U81" s="13">
        <f>IFERROR(__xludf.DUMMYFUNCTION("""COMPUTED_VALUE"""),4.1666666667)</f>
        <v>4.166666667</v>
      </c>
      <c r="V81" s="8"/>
      <c r="W81" s="8"/>
      <c r="X81" s="8">
        <f t="shared" si="1"/>
        <v>2</v>
      </c>
      <c r="AA81" s="10"/>
    </row>
    <row r="82">
      <c r="A82" s="8" t="str">
        <f>IFERROR(__xludf.DUMMYFUNCTION("""COMPUTED_VALUE"""),"9882/JL/UTM/0224")</f>
        <v>9882/JL/UTM/0224</v>
      </c>
      <c r="B82" s="11">
        <f>IFERROR(__xludf.DUMMYFUNCTION("""COMPUTED_VALUE"""),45324.71188657408)</f>
        <v>45324.71189</v>
      </c>
      <c r="C82" s="8" t="str">
        <f>IFERROR(__xludf.DUMMYFUNCTION("""COMPUTED_VALUE"""),"PL0911")</f>
        <v>PL0911</v>
      </c>
      <c r="D82" s="8" t="str">
        <f>IFERROR(__xludf.DUMMYFUNCTION("""COMPUTED_VALUE"""),"U I N  PALU")</f>
        <v>U I N  PALU</v>
      </c>
      <c r="E82" s="8" t="str">
        <f>IFERROR(__xludf.DUMMYFUNCTION("""COMPUTED_VALUE"""),"JUFRY")</f>
        <v>JUFRY</v>
      </c>
      <c r="F82" s="8"/>
      <c r="G82" s="8"/>
      <c r="H82" s="8"/>
      <c r="I82" s="8"/>
      <c r="J82" s="8" t="str">
        <f>IFERROR(__xludf.DUMMYFUNCTION("""COMPUTED_VALUE"""),"PALU  ")</f>
        <v>PALU  </v>
      </c>
      <c r="K82" s="8" t="str">
        <f>IFERROR(__xludf.DUMMYFUNCTION("""COMPUTED_VALUE"""),"706281")</f>
        <v>706281</v>
      </c>
      <c r="L82" s="8" t="str">
        <f>IFERROR(__xludf.DUMMYFUNCTION("""COMPUTED_VALUE"""),"VTEC WB NON MAGNET D/F 120 X 180")</f>
        <v>VTEC WB NON MAGNET D/F 120 X 180</v>
      </c>
      <c r="M82" s="12">
        <f>IFERROR(__xludf.DUMMYFUNCTION("""COMPUTED_VALUE"""),11.0)</f>
        <v>11</v>
      </c>
      <c r="N82" s="8" t="str">
        <f>IFERROR(__xludf.DUMMYFUNCTION("""COMPUTED_VALUE"""),"BH")</f>
        <v>BH</v>
      </c>
      <c r="O82" s="13">
        <f>IFERROR(__xludf.DUMMYFUNCTION("""COMPUTED_VALUE"""),2150000.0)</f>
        <v>2150000</v>
      </c>
      <c r="P82" s="12">
        <f>IFERROR(__xludf.DUMMYFUNCTION("""COMPUTED_VALUE"""),2.365E7)</f>
        <v>23650000</v>
      </c>
      <c r="Q82" s="8"/>
      <c r="R82" s="8">
        <f>IFERROR(__xludf.DUMMYFUNCTION("""COMPUTED_VALUE"""),0.0)</f>
        <v>0</v>
      </c>
      <c r="S82" s="12">
        <f>IFERROR(__xludf.DUMMYFUNCTION("""COMPUTED_VALUE"""),0.0)</f>
        <v>0</v>
      </c>
      <c r="T82" s="12">
        <f>IFERROR(__xludf.DUMMYFUNCTION("""COMPUTED_VALUE"""),2.365E7)</f>
        <v>23650000</v>
      </c>
      <c r="U82" s="13">
        <f>IFERROR(__xludf.DUMMYFUNCTION("""COMPUTED_VALUE"""),0.0)</f>
        <v>0</v>
      </c>
      <c r="V82" s="8" t="str">
        <f>IFERROR(__xludf.DUMMYFUNCTION("""COMPUTED_VALUE"""),"TRANSFER BRI TGL 30-12-23 TOTAL 25.232.860")</f>
        <v>TRANSFER BRI TGL 30-12-23 TOTAL 25.232.860</v>
      </c>
      <c r="W82" s="8"/>
      <c r="X82" s="8">
        <f t="shared" si="1"/>
        <v>2</v>
      </c>
      <c r="AA82" s="10"/>
    </row>
    <row r="83">
      <c r="A83" s="8" t="str">
        <f>IFERROR(__xludf.DUMMYFUNCTION("""COMPUTED_VALUE"""),"9883/JL/UTM/0224")</f>
        <v>9883/JL/UTM/0224</v>
      </c>
      <c r="B83" s="11">
        <f>IFERROR(__xludf.DUMMYFUNCTION("""COMPUTED_VALUE"""),45324.71239583333)</f>
        <v>45324.7124</v>
      </c>
      <c r="C83" s="8" t="str">
        <f>IFERROR(__xludf.DUMMYFUNCTION("""COMPUTED_VALUE"""),"PL0915")</f>
        <v>PL0915</v>
      </c>
      <c r="D83" s="8" t="str">
        <f>IFERROR(__xludf.DUMMYFUNCTION("""COMPUTED_VALUE"""),"PU SDA / PAK SALEH")</f>
        <v>PU SDA / PAK SALEH</v>
      </c>
      <c r="E83" s="8" t="str">
        <f>IFERROR(__xludf.DUMMYFUNCTION("""COMPUTED_VALUE"""),"JUFRY")</f>
        <v>JUFRY</v>
      </c>
      <c r="F83" s="8"/>
      <c r="G83" s="8"/>
      <c r="H83" s="8"/>
      <c r="I83" s="8"/>
      <c r="J83" s="8" t="str">
        <f>IFERROR(__xludf.DUMMYFUNCTION("""COMPUTED_VALUE"""),"PALU  ")</f>
        <v>PALU  </v>
      </c>
      <c r="K83" s="8" t="str">
        <f>IFERROR(__xludf.DUMMYFUNCTION("""COMPUTED_VALUE"""),"706119")</f>
        <v>706119</v>
      </c>
      <c r="L83" s="8" t="str">
        <f>IFERROR(__xludf.DUMMYFUNCTION("""COMPUTED_VALUE"""),"KINGCO WHITE BOARD 60 X 120")</f>
        <v>KINGCO WHITE BOARD 60 X 120</v>
      </c>
      <c r="M83" s="12">
        <f>IFERROR(__xludf.DUMMYFUNCTION("""COMPUTED_VALUE"""),1.0)</f>
        <v>1</v>
      </c>
      <c r="N83" s="8" t="str">
        <f>IFERROR(__xludf.DUMMYFUNCTION("""COMPUTED_VALUE"""),"BH")</f>
        <v>BH</v>
      </c>
      <c r="O83" s="13">
        <f>IFERROR(__xludf.DUMMYFUNCTION("""COMPUTED_VALUE"""),175000.0)</f>
        <v>175000</v>
      </c>
      <c r="P83" s="12">
        <f>IFERROR(__xludf.DUMMYFUNCTION("""COMPUTED_VALUE"""),0.0)</f>
        <v>0</v>
      </c>
      <c r="Q83" s="8"/>
      <c r="R83" s="8">
        <f>IFERROR(__xludf.DUMMYFUNCTION("""COMPUTED_VALUE"""),0.0)</f>
        <v>0</v>
      </c>
      <c r="S83" s="12">
        <f>IFERROR(__xludf.DUMMYFUNCTION("""COMPUTED_VALUE"""),175000.0)</f>
        <v>175000</v>
      </c>
      <c r="T83" s="12">
        <f>IFERROR(__xludf.DUMMYFUNCTION("""COMPUTED_VALUE"""),175000.0)</f>
        <v>175000</v>
      </c>
      <c r="U83" s="13">
        <f>IFERROR(__xludf.DUMMYFUNCTION("""COMPUTED_VALUE"""),0.0)</f>
        <v>0</v>
      </c>
      <c r="V83" s="8"/>
      <c r="W83" s="8"/>
      <c r="X83" s="8">
        <f t="shared" si="1"/>
        <v>2</v>
      </c>
      <c r="AA83" s="10"/>
    </row>
    <row r="84">
      <c r="A84" s="8" t="str">
        <f>IFERROR(__xludf.DUMMYFUNCTION("""COMPUTED_VALUE"""),"9884/JL/UTM/0224")</f>
        <v>9884/JL/UTM/0224</v>
      </c>
      <c r="B84" s="11">
        <f>IFERROR(__xludf.DUMMYFUNCTION("""COMPUTED_VALUE"""),45324.71677083333)</f>
        <v>45324.71677</v>
      </c>
      <c r="C84" s="8" t="str">
        <f>IFERROR(__xludf.DUMMYFUNCTION("""COMPUTED_VALUE"""),"PL0884")</f>
        <v>PL0884</v>
      </c>
      <c r="D84" s="8" t="str">
        <f>IFERROR(__xludf.DUMMYFUNCTION("""COMPUTED_VALUE"""),"BAPPEDA PROV.(P"" ILHAM)")</f>
        <v>BAPPEDA PROV.(P" ILHAM)</v>
      </c>
      <c r="E84" s="8" t="str">
        <f>IFERROR(__xludf.DUMMYFUNCTION("""COMPUTED_VALUE"""),"JUFRY")</f>
        <v>JUFRY</v>
      </c>
      <c r="F84" s="8"/>
      <c r="G84" s="8"/>
      <c r="H84" s="8"/>
      <c r="I84" s="8"/>
      <c r="J84" s="8" t="str">
        <f>IFERROR(__xludf.DUMMYFUNCTION("""COMPUTED_VALUE"""),"PALU  ")</f>
        <v>PALU  </v>
      </c>
      <c r="K84" s="8" t="str">
        <f>IFERROR(__xludf.DUMMYFUNCTION("""COMPUTED_VALUE"""),"20383")</f>
        <v>20383</v>
      </c>
      <c r="L84" s="8" t="str">
        <f>IFERROR(__xludf.DUMMYFUNCTION("""COMPUTED_VALUE"""),"BROTHER PITA MESIN KETIK LISTRIK 1030")</f>
        <v>BROTHER PITA MESIN KETIK LISTRIK 1030</v>
      </c>
      <c r="M84" s="12">
        <f>IFERROR(__xludf.DUMMYFUNCTION("""COMPUTED_VALUE"""),2.0)</f>
        <v>2</v>
      </c>
      <c r="N84" s="8" t="str">
        <f>IFERROR(__xludf.DUMMYFUNCTION("""COMPUTED_VALUE"""),"PCS")</f>
        <v>PCS</v>
      </c>
      <c r="O84" s="13">
        <f>IFERROR(__xludf.DUMMYFUNCTION("""COMPUTED_VALUE"""),50000.0)</f>
        <v>50000</v>
      </c>
      <c r="P84" s="12">
        <f>IFERROR(__xludf.DUMMYFUNCTION("""COMPUTED_VALUE"""),0.0)</f>
        <v>0</v>
      </c>
      <c r="Q84" s="8"/>
      <c r="R84" s="8">
        <f>IFERROR(__xludf.DUMMYFUNCTION("""COMPUTED_VALUE"""),0.0)</f>
        <v>0</v>
      </c>
      <c r="S84" s="12">
        <f>IFERROR(__xludf.DUMMYFUNCTION("""COMPUTED_VALUE"""),100000.0)</f>
        <v>100000</v>
      </c>
      <c r="T84" s="12">
        <f>IFERROR(__xludf.DUMMYFUNCTION("""COMPUTED_VALUE"""),100000.0)</f>
        <v>100000</v>
      </c>
      <c r="U84" s="13">
        <f>IFERROR(__xludf.DUMMYFUNCTION("""COMPUTED_VALUE"""),0.0)</f>
        <v>0</v>
      </c>
      <c r="V84" s="8"/>
      <c r="W84" s="8"/>
      <c r="X84" s="8">
        <f t="shared" si="1"/>
        <v>2</v>
      </c>
      <c r="AA84" s="10"/>
    </row>
    <row r="85">
      <c r="A85" s="8" t="str">
        <f>IFERROR(__xludf.DUMMYFUNCTION("""COMPUTED_VALUE"""),"9885/JL/UTM/0224")</f>
        <v>9885/JL/UTM/0224</v>
      </c>
      <c r="B85" s="11">
        <f>IFERROR(__xludf.DUMMYFUNCTION("""COMPUTED_VALUE"""),45327.69024305556)</f>
        <v>45327.69024</v>
      </c>
      <c r="C85" s="8" t="str">
        <f>IFERROR(__xludf.DUMMYFUNCTION("""COMPUTED_VALUE"""),"UMUM")</f>
        <v>UMUM</v>
      </c>
      <c r="D85" s="8" t="str">
        <f>IFERROR(__xludf.DUMMYFUNCTION("""COMPUTED_VALUE"""),"UMUM")</f>
        <v>UMUM</v>
      </c>
      <c r="E85" s="8" t="str">
        <f>IFERROR(__xludf.DUMMYFUNCTION("""COMPUTED_VALUE"""),"JUFRY")</f>
        <v>JUFRY</v>
      </c>
      <c r="F85" s="8"/>
      <c r="G85" s="8"/>
      <c r="H85" s="8"/>
      <c r="I85" s="8"/>
      <c r="J85" s="8" t="str">
        <f>IFERROR(__xludf.DUMMYFUNCTION("""COMPUTED_VALUE"""),"  ")</f>
        <v>  </v>
      </c>
      <c r="K85" s="8" t="str">
        <f>IFERROR(__xludf.DUMMYFUNCTION("""COMPUTED_VALUE"""),"40189")</f>
        <v>40189</v>
      </c>
      <c r="L85" s="8" t="str">
        <f>IFERROR(__xludf.DUMMYFUNCTION("""COMPUTED_VALUE"""),"POP ONE WHITEBOARD 120X240")</f>
        <v>POP ONE WHITEBOARD 120X240</v>
      </c>
      <c r="M85" s="12">
        <f>IFERROR(__xludf.DUMMYFUNCTION("""COMPUTED_VALUE"""),1.0)</f>
        <v>1</v>
      </c>
      <c r="N85" s="8" t="str">
        <f>IFERROR(__xludf.DUMMYFUNCTION("""COMPUTED_VALUE"""),"BH")</f>
        <v>BH</v>
      </c>
      <c r="O85" s="13">
        <f>IFERROR(__xludf.DUMMYFUNCTION("""COMPUTED_VALUE"""),950000.0)</f>
        <v>950000</v>
      </c>
      <c r="P85" s="12">
        <f>IFERROR(__xludf.DUMMYFUNCTION("""COMPUTED_VALUE"""),950000.0)</f>
        <v>950000</v>
      </c>
      <c r="Q85" s="8"/>
      <c r="R85" s="8">
        <f>IFERROR(__xludf.DUMMYFUNCTION("""COMPUTED_VALUE"""),0.0)</f>
        <v>0</v>
      </c>
      <c r="S85" s="12">
        <f>IFERROR(__xludf.DUMMYFUNCTION("""COMPUTED_VALUE"""),0.0)</f>
        <v>0</v>
      </c>
      <c r="T85" s="12">
        <f>IFERROR(__xludf.DUMMYFUNCTION("""COMPUTED_VALUE"""),950000.0)</f>
        <v>950000</v>
      </c>
      <c r="U85" s="13">
        <f>IFERROR(__xludf.DUMMYFUNCTION("""COMPUTED_VALUE"""),0.0)</f>
        <v>0</v>
      </c>
      <c r="V85" s="8"/>
      <c r="W85" s="8"/>
      <c r="X85" s="8">
        <f t="shared" si="1"/>
        <v>2</v>
      </c>
      <c r="AA85" s="10"/>
    </row>
    <row r="86">
      <c r="A86" s="8" t="str">
        <f>IFERROR(__xludf.DUMMYFUNCTION("""COMPUTED_VALUE"""),"9886/JL/UTM/0224")</f>
        <v>9886/JL/UTM/0224</v>
      </c>
      <c r="B86" s="11">
        <f>IFERROR(__xludf.DUMMYFUNCTION("""COMPUTED_VALUE"""),45327.69175925926)</f>
        <v>45327.69176</v>
      </c>
      <c r="C86" s="8" t="str">
        <f>IFERROR(__xludf.DUMMYFUNCTION("""COMPUTED_VALUE"""),"PL0856")</f>
        <v>PL0856</v>
      </c>
      <c r="D86" s="8" t="str">
        <f>IFERROR(__xludf.DUMMYFUNCTION("""COMPUTED_VALUE"""),"PT. PEMBANGUNAN PERUMAHAN (PP)")</f>
        <v>PT. PEMBANGUNAN PERUMAHAN (PP)</v>
      </c>
      <c r="E86" s="8" t="str">
        <f>IFERROR(__xludf.DUMMYFUNCTION("""COMPUTED_VALUE"""),"JUFRY")</f>
        <v>JUFRY</v>
      </c>
      <c r="F86" s="8"/>
      <c r="G86" s="8"/>
      <c r="H86" s="8"/>
      <c r="I86" s="8"/>
      <c r="J86" s="8" t="str">
        <f>IFERROR(__xludf.DUMMYFUNCTION("""COMPUTED_VALUE"""),"PALU  ")</f>
        <v>PALU  </v>
      </c>
      <c r="K86" s="8" t="str">
        <f>IFERROR(__xludf.DUMMYFUNCTION("""COMPUTED_VALUE"""),"706187")</f>
        <v>706187</v>
      </c>
      <c r="L86" s="8" t="str">
        <f>IFERROR(__xludf.DUMMYFUNCTION("""COMPUTED_VALUE"""),"KINGCO WHITE BOARD 50 X 70 CM")</f>
        <v>KINGCO WHITE BOARD 50 X 70 CM</v>
      </c>
      <c r="M86" s="12">
        <f>IFERROR(__xludf.DUMMYFUNCTION("""COMPUTED_VALUE"""),1.0)</f>
        <v>1</v>
      </c>
      <c r="N86" s="8" t="str">
        <f>IFERROR(__xludf.DUMMYFUNCTION("""COMPUTED_VALUE"""),"BH")</f>
        <v>BH</v>
      </c>
      <c r="O86" s="13">
        <f>IFERROR(__xludf.DUMMYFUNCTION("""COMPUTED_VALUE"""),100000.0)</f>
        <v>100000</v>
      </c>
      <c r="P86" s="12">
        <f>IFERROR(__xludf.DUMMYFUNCTION("""COMPUTED_VALUE"""),0.0)</f>
        <v>0</v>
      </c>
      <c r="Q86" s="8"/>
      <c r="R86" s="8">
        <f>IFERROR(__xludf.DUMMYFUNCTION("""COMPUTED_VALUE"""),0.0)</f>
        <v>0</v>
      </c>
      <c r="S86" s="12">
        <f>IFERROR(__xludf.DUMMYFUNCTION("""COMPUTED_VALUE"""),100000.0)</f>
        <v>100000</v>
      </c>
      <c r="T86" s="12">
        <f>IFERROR(__xludf.DUMMYFUNCTION("""COMPUTED_VALUE"""),100000.0)</f>
        <v>100000</v>
      </c>
      <c r="U86" s="13">
        <f>IFERROR(__xludf.DUMMYFUNCTION("""COMPUTED_VALUE"""),0.0)</f>
        <v>0</v>
      </c>
      <c r="V86" s="8"/>
      <c r="W86" s="8"/>
      <c r="X86" s="8">
        <f t="shared" si="1"/>
        <v>2</v>
      </c>
      <c r="AA86" s="10"/>
    </row>
    <row r="87">
      <c r="A87" s="8" t="str">
        <f>IFERROR(__xludf.DUMMYFUNCTION("""COMPUTED_VALUE"""),"9887/JL/UTM/0224")</f>
        <v>9887/JL/UTM/0224</v>
      </c>
      <c r="B87" s="11">
        <f>IFERROR(__xludf.DUMMYFUNCTION("""COMPUTED_VALUE"""),45328.697060185186)</f>
        <v>45328.69706</v>
      </c>
      <c r="C87" s="8" t="str">
        <f>IFERROR(__xludf.DUMMYFUNCTION("""COMPUTED_VALUE"""),"UMUM")</f>
        <v>UMUM</v>
      </c>
      <c r="D87" s="8" t="str">
        <f>IFERROR(__xludf.DUMMYFUNCTION("""COMPUTED_VALUE"""),"UMUM")</f>
        <v>UMUM</v>
      </c>
      <c r="E87" s="8" t="str">
        <f>IFERROR(__xludf.DUMMYFUNCTION("""COMPUTED_VALUE"""),"JUFRY")</f>
        <v>JUFRY</v>
      </c>
      <c r="F87" s="8"/>
      <c r="G87" s="8"/>
      <c r="H87" s="8"/>
      <c r="I87" s="8"/>
      <c r="J87" s="8" t="str">
        <f>IFERROR(__xludf.DUMMYFUNCTION("""COMPUTED_VALUE"""),"  ")</f>
        <v>  </v>
      </c>
      <c r="K87" s="8" t="str">
        <f>IFERROR(__xludf.DUMMYFUNCTION("""COMPUTED_VALUE"""),"40524")</f>
        <v>40524</v>
      </c>
      <c r="L87" s="8" t="str">
        <f>IFERROR(__xludf.DUMMYFUNCTION("""COMPUTED_VALUE"""),"UCHIDA BRANKAS BK-S")</f>
        <v>UCHIDA BRANKAS BK-S</v>
      </c>
      <c r="M87" s="12">
        <f>IFERROR(__xludf.DUMMYFUNCTION("""COMPUTED_VALUE"""),1.0)</f>
        <v>1</v>
      </c>
      <c r="N87" s="8" t="str">
        <f>IFERROR(__xludf.DUMMYFUNCTION("""COMPUTED_VALUE"""),"UNIT")</f>
        <v>UNIT</v>
      </c>
      <c r="O87" s="13">
        <f>IFERROR(__xludf.DUMMYFUNCTION("""COMPUTED_VALUE"""),4450000.0)</f>
        <v>4450000</v>
      </c>
      <c r="P87" s="12">
        <f>IFERROR(__xludf.DUMMYFUNCTION("""COMPUTED_VALUE"""),4250000.0)</f>
        <v>4250000</v>
      </c>
      <c r="Q87" s="8"/>
      <c r="R87" s="8">
        <f>IFERROR(__xludf.DUMMYFUNCTION("""COMPUTED_VALUE"""),0.0)</f>
        <v>0</v>
      </c>
      <c r="S87" s="12">
        <f>IFERROR(__xludf.DUMMYFUNCTION("""COMPUTED_VALUE"""),0.0)</f>
        <v>0</v>
      </c>
      <c r="T87" s="12">
        <f>IFERROR(__xludf.DUMMYFUNCTION("""COMPUTED_VALUE"""),4450000.0)</f>
        <v>4450000</v>
      </c>
      <c r="U87" s="13">
        <f>IFERROR(__xludf.DUMMYFUNCTION("""COMPUTED_VALUE"""),4.4943820225)</f>
        <v>4.494382023</v>
      </c>
      <c r="V87" s="8"/>
      <c r="W87" s="8"/>
      <c r="X87" s="8">
        <f t="shared" si="1"/>
        <v>2</v>
      </c>
      <c r="AA87" s="10"/>
    </row>
    <row r="88">
      <c r="A88" s="8" t="str">
        <f>IFERROR(__xludf.DUMMYFUNCTION("""COMPUTED_VALUE"""),"9888/JL/UTM/0224")</f>
        <v>9888/JL/UTM/0224</v>
      </c>
      <c r="B88" s="11">
        <f>IFERROR(__xludf.DUMMYFUNCTION("""COMPUTED_VALUE"""),45328.697847222225)</f>
        <v>45328.69785</v>
      </c>
      <c r="C88" s="8" t="str">
        <f>IFERROR(__xludf.DUMMYFUNCTION("""COMPUTED_VALUE"""),"UMUM")</f>
        <v>UMUM</v>
      </c>
      <c r="D88" s="8" t="str">
        <f>IFERROR(__xludf.DUMMYFUNCTION("""COMPUTED_VALUE"""),"UMUM")</f>
        <v>UMUM</v>
      </c>
      <c r="E88" s="8" t="str">
        <f>IFERROR(__xludf.DUMMYFUNCTION("""COMPUTED_VALUE"""),"JUFRY")</f>
        <v>JUFRY</v>
      </c>
      <c r="F88" s="8"/>
      <c r="G88" s="8"/>
      <c r="H88" s="8"/>
      <c r="I88" s="8"/>
      <c r="J88" s="8" t="str">
        <f>IFERROR(__xludf.DUMMYFUNCTION("""COMPUTED_VALUE"""),"  ")</f>
        <v>  </v>
      </c>
      <c r="K88" s="8" t="str">
        <f>IFERROR(__xludf.DUMMYFUNCTION("""COMPUTED_VALUE"""),"40556")</f>
        <v>40556</v>
      </c>
      <c r="L88" s="8" t="str">
        <f>IFERROR(__xludf.DUMMYFUNCTION("""COMPUTED_VALUE"""),"OCEAN CITY MONEY DETECTOR OCI-2820")</f>
        <v>OCEAN CITY MONEY DETECTOR OCI-2820</v>
      </c>
      <c r="M88" s="12">
        <f>IFERROR(__xludf.DUMMYFUNCTION("""COMPUTED_VALUE"""),1.0)</f>
        <v>1</v>
      </c>
      <c r="N88" s="8" t="str">
        <f>IFERROR(__xludf.DUMMYFUNCTION("""COMPUTED_VALUE"""),"BH")</f>
        <v>BH</v>
      </c>
      <c r="O88" s="13">
        <f>IFERROR(__xludf.DUMMYFUNCTION("""COMPUTED_VALUE"""),165000.0)</f>
        <v>165000</v>
      </c>
      <c r="P88" s="12">
        <f>IFERROR(__xludf.DUMMYFUNCTION("""COMPUTED_VALUE"""),160000.0)</f>
        <v>160000</v>
      </c>
      <c r="Q88" s="8"/>
      <c r="R88" s="8">
        <f>IFERROR(__xludf.DUMMYFUNCTION("""COMPUTED_VALUE"""),0.0)</f>
        <v>0</v>
      </c>
      <c r="S88" s="12">
        <f>IFERROR(__xludf.DUMMYFUNCTION("""COMPUTED_VALUE"""),0.0)</f>
        <v>0</v>
      </c>
      <c r="T88" s="12">
        <f>IFERROR(__xludf.DUMMYFUNCTION("""COMPUTED_VALUE"""),165000.0)</f>
        <v>165000</v>
      </c>
      <c r="U88" s="13">
        <f>IFERROR(__xludf.DUMMYFUNCTION("""COMPUTED_VALUE"""),3.0303030303)</f>
        <v>3.03030303</v>
      </c>
      <c r="V88" s="8"/>
      <c r="W88" s="8"/>
      <c r="X88" s="8">
        <f t="shared" si="1"/>
        <v>2</v>
      </c>
      <c r="AA88" s="10"/>
    </row>
    <row r="89">
      <c r="A89" s="8" t="str">
        <f>IFERROR(__xludf.DUMMYFUNCTION("""COMPUTED_VALUE"""),"9889/JL/UTM/0224")</f>
        <v>9889/JL/UTM/0224</v>
      </c>
      <c r="B89" s="11">
        <f>IFERROR(__xludf.DUMMYFUNCTION("""COMPUTED_VALUE"""),45328.69829861111)</f>
        <v>45328.6983</v>
      </c>
      <c r="C89" s="8" t="str">
        <f>IFERROR(__xludf.DUMMYFUNCTION("""COMPUTED_VALUE"""),"UMUM")</f>
        <v>UMUM</v>
      </c>
      <c r="D89" s="8" t="str">
        <f>IFERROR(__xludf.DUMMYFUNCTION("""COMPUTED_VALUE"""),"UMUM")</f>
        <v>UMUM</v>
      </c>
      <c r="E89" s="8" t="str">
        <f>IFERROR(__xludf.DUMMYFUNCTION("""COMPUTED_VALUE"""),"JUFRY")</f>
        <v>JUFRY</v>
      </c>
      <c r="F89" s="8"/>
      <c r="G89" s="8"/>
      <c r="H89" s="8"/>
      <c r="I89" s="8"/>
      <c r="J89" s="8" t="str">
        <f>IFERROR(__xludf.DUMMYFUNCTION("""COMPUTED_VALUE"""),"  ")</f>
        <v>  </v>
      </c>
      <c r="K89" s="8" t="str">
        <f>IFERROR(__xludf.DUMMYFUNCTION("""COMPUTED_VALUE"""),"706116")</f>
        <v>706116</v>
      </c>
      <c r="L89" s="8" t="str">
        <f>IFERROR(__xludf.DUMMYFUNCTION("""COMPUTED_VALUE"""),"JOYKO MSN LEBEL HARGA MX5500")</f>
        <v>JOYKO MSN LEBEL HARGA MX5500</v>
      </c>
      <c r="M89" s="12">
        <f>IFERROR(__xludf.DUMMYFUNCTION("""COMPUTED_VALUE"""),1.0)</f>
        <v>1</v>
      </c>
      <c r="N89" s="8" t="str">
        <f>IFERROR(__xludf.DUMMYFUNCTION("""COMPUTED_VALUE"""),"BH")</f>
        <v>BH</v>
      </c>
      <c r="O89" s="13">
        <f>IFERROR(__xludf.DUMMYFUNCTION("""COMPUTED_VALUE"""),70000.0)</f>
        <v>70000</v>
      </c>
      <c r="P89" s="12">
        <f>IFERROR(__xludf.DUMMYFUNCTION("""COMPUTED_VALUE"""),70000.0)</f>
        <v>70000</v>
      </c>
      <c r="Q89" s="8"/>
      <c r="R89" s="8">
        <f>IFERROR(__xludf.DUMMYFUNCTION("""COMPUTED_VALUE"""),0.0)</f>
        <v>0</v>
      </c>
      <c r="S89" s="12">
        <f>IFERROR(__xludf.DUMMYFUNCTION("""COMPUTED_VALUE"""),0.0)</f>
        <v>0</v>
      </c>
      <c r="T89" s="12">
        <f>IFERROR(__xludf.DUMMYFUNCTION("""COMPUTED_VALUE"""),70000.0)</f>
        <v>70000</v>
      </c>
      <c r="U89" s="13">
        <f>IFERROR(__xludf.DUMMYFUNCTION("""COMPUTED_VALUE"""),0.0)</f>
        <v>0</v>
      </c>
      <c r="V89" s="8"/>
      <c r="W89" s="8"/>
      <c r="X89" s="8">
        <f t="shared" si="1"/>
        <v>2</v>
      </c>
      <c r="AA89" s="10"/>
    </row>
    <row r="90">
      <c r="A90" s="8" t="str">
        <f>IFERROR(__xludf.DUMMYFUNCTION("""COMPUTED_VALUE"""),"9890/JL/UTM/0224")</f>
        <v>9890/JL/UTM/0224</v>
      </c>
      <c r="B90" s="11">
        <f>IFERROR(__xludf.DUMMYFUNCTION("""COMPUTED_VALUE"""),45328.69907407407)</f>
        <v>45328.69907</v>
      </c>
      <c r="C90" s="8" t="str">
        <f>IFERROR(__xludf.DUMMYFUNCTION("""COMPUTED_VALUE"""),"044")</f>
        <v>044</v>
      </c>
      <c r="D90" s="8" t="str">
        <f>IFERROR(__xludf.DUMMYFUNCTION("""COMPUTED_VALUE"""),"BANK SULTENG KC PALU")</f>
        <v>BANK SULTENG KC PALU</v>
      </c>
      <c r="E90" s="8" t="str">
        <f>IFERROR(__xludf.DUMMYFUNCTION("""COMPUTED_VALUE"""),"JUFRY")</f>
        <v>JUFRY</v>
      </c>
      <c r="F90" s="8"/>
      <c r="G90" s="8"/>
      <c r="H90" s="8"/>
      <c r="I90" s="8"/>
      <c r="J90" s="8" t="str">
        <f>IFERROR(__xludf.DUMMYFUNCTION("""COMPUTED_VALUE"""),"  ")</f>
        <v>  </v>
      </c>
      <c r="K90" s="8" t="str">
        <f>IFERROR(__xludf.DUMMYFUNCTION("""COMPUTED_VALUE"""),"706274")</f>
        <v>706274</v>
      </c>
      <c r="L90" s="8" t="str">
        <f>IFERROR(__xludf.DUMMYFUNCTION("""COMPUTED_VALUE"""),"SECURE PAPER SHREDDER AUTO60")</f>
        <v>SECURE PAPER SHREDDER AUTO60</v>
      </c>
      <c r="M90" s="12">
        <f>IFERROR(__xludf.DUMMYFUNCTION("""COMPUTED_VALUE"""),1.0)</f>
        <v>1</v>
      </c>
      <c r="N90" s="8" t="str">
        <f>IFERROR(__xludf.DUMMYFUNCTION("""COMPUTED_VALUE"""),"BH")</f>
        <v>BH</v>
      </c>
      <c r="O90" s="13">
        <f>IFERROR(__xludf.DUMMYFUNCTION("""COMPUTED_VALUE"""),2750000.0)</f>
        <v>2750000</v>
      </c>
      <c r="P90" s="12">
        <f>IFERROR(__xludf.DUMMYFUNCTION("""COMPUTED_VALUE"""),0.0)</f>
        <v>0</v>
      </c>
      <c r="Q90" s="8"/>
      <c r="R90" s="8">
        <f>IFERROR(__xludf.DUMMYFUNCTION("""COMPUTED_VALUE"""),0.0)</f>
        <v>0</v>
      </c>
      <c r="S90" s="12">
        <f>IFERROR(__xludf.DUMMYFUNCTION("""COMPUTED_VALUE"""),2750000.0)</f>
        <v>2750000</v>
      </c>
      <c r="T90" s="12">
        <f>IFERROR(__xludf.DUMMYFUNCTION("""COMPUTED_VALUE"""),2750000.0)</f>
        <v>2750000</v>
      </c>
      <c r="U90" s="13">
        <f>IFERROR(__xludf.DUMMYFUNCTION("""COMPUTED_VALUE"""),0.0)</f>
        <v>0</v>
      </c>
      <c r="V90" s="8" t="str">
        <f>IFERROR(__xludf.DUMMYFUNCTION("""COMPUTED_VALUE"""),"DEVISI SKAI")</f>
        <v>DEVISI SKAI</v>
      </c>
      <c r="W90" s="8"/>
      <c r="X90" s="8">
        <f t="shared" si="1"/>
        <v>2</v>
      </c>
      <c r="AA90" s="10"/>
    </row>
    <row r="91">
      <c r="A91" s="8" t="str">
        <f>IFERROR(__xludf.DUMMYFUNCTION("""COMPUTED_VALUE"""),"9891/JL/UTM/0224")</f>
        <v>9891/JL/UTM/0224</v>
      </c>
      <c r="B91" s="11">
        <f>IFERROR(__xludf.DUMMYFUNCTION("""COMPUTED_VALUE"""),45329.6827199074)</f>
        <v>45329.68272</v>
      </c>
      <c r="C91" s="8" t="str">
        <f>IFERROR(__xludf.DUMMYFUNCTION("""COMPUTED_VALUE"""),"PL0698")</f>
        <v>PL0698</v>
      </c>
      <c r="D91" s="8" t="str">
        <f>IFERROR(__xludf.DUMMYFUNCTION("""COMPUTED_VALUE"""),"YAYASAN ALFAHMI")</f>
        <v>YAYASAN ALFAHMI</v>
      </c>
      <c r="E91" s="8" t="str">
        <f>IFERROR(__xludf.DUMMYFUNCTION("""COMPUTED_VALUE"""),"JUFRY")</f>
        <v>JUFRY</v>
      </c>
      <c r="F91" s="8"/>
      <c r="G91" s="8"/>
      <c r="H91" s="8"/>
      <c r="I91" s="8"/>
      <c r="J91" s="8" t="str">
        <f>IFERROR(__xludf.DUMMYFUNCTION("""COMPUTED_VALUE"""),"  ")</f>
        <v>  </v>
      </c>
      <c r="K91" s="8" t="str">
        <f>IFERROR(__xludf.DUMMYFUNCTION("""COMPUTED_VALUE"""),"706124")</f>
        <v>706124</v>
      </c>
      <c r="L91" s="8" t="str">
        <f>IFERROR(__xludf.DUMMYFUNCTION("""COMPUTED_VALUE"""),"INTAGSTAR LEMARI PINTU PLAT + KACA AYUN FC 06 INT")</f>
        <v>INTAGSTAR LEMARI PINTU PLAT + KACA AYUN FC 06 INT</v>
      </c>
      <c r="M91" s="12">
        <f>IFERROR(__xludf.DUMMYFUNCTION("""COMPUTED_VALUE"""),1.0)</f>
        <v>1</v>
      </c>
      <c r="N91" s="8" t="str">
        <f>IFERROR(__xludf.DUMMYFUNCTION("""COMPUTED_VALUE"""),"UNIT")</f>
        <v>UNIT</v>
      </c>
      <c r="O91" s="13">
        <f>IFERROR(__xludf.DUMMYFUNCTION("""COMPUTED_VALUE"""),3000000.0)</f>
        <v>3000000</v>
      </c>
      <c r="P91" s="12">
        <f>IFERROR(__xludf.DUMMYFUNCTION("""COMPUTED_VALUE"""),6400000.0)</f>
        <v>6400000</v>
      </c>
      <c r="Q91" s="8"/>
      <c r="R91" s="8">
        <f>IFERROR(__xludf.DUMMYFUNCTION("""COMPUTED_VALUE"""),0.0)</f>
        <v>0</v>
      </c>
      <c r="S91" s="12">
        <f>IFERROR(__xludf.DUMMYFUNCTION("""COMPUTED_VALUE"""),0.0)</f>
        <v>0</v>
      </c>
      <c r="T91" s="12">
        <f>IFERROR(__xludf.DUMMYFUNCTION("""COMPUTED_VALUE"""),3000000.0)</f>
        <v>3000000</v>
      </c>
      <c r="U91" s="13">
        <f>IFERROR(__xludf.DUMMYFUNCTION("""COMPUTED_VALUE"""),0.0)</f>
        <v>0</v>
      </c>
      <c r="V91" s="8"/>
      <c r="W91" s="8"/>
      <c r="X91" s="8">
        <f t="shared" si="1"/>
        <v>2</v>
      </c>
      <c r="AA91" s="10"/>
    </row>
    <row r="92">
      <c r="A92" s="8" t="str">
        <f>IFERROR(__xludf.DUMMYFUNCTION("""COMPUTED_VALUE"""),"9891/JL/UTM/0224")</f>
        <v>9891/JL/UTM/0224</v>
      </c>
      <c r="B92" s="11">
        <f>IFERROR(__xludf.DUMMYFUNCTION("""COMPUTED_VALUE"""),45329.6827199074)</f>
        <v>45329.68272</v>
      </c>
      <c r="C92" s="8" t="str">
        <f>IFERROR(__xludf.DUMMYFUNCTION("""COMPUTED_VALUE"""),"PL0698")</f>
        <v>PL0698</v>
      </c>
      <c r="D92" s="8" t="str">
        <f>IFERROR(__xludf.DUMMYFUNCTION("""COMPUTED_VALUE"""),"YAYASAN ALFAHMI")</f>
        <v>YAYASAN ALFAHMI</v>
      </c>
      <c r="E92" s="8" t="str">
        <f>IFERROR(__xludf.DUMMYFUNCTION("""COMPUTED_VALUE"""),"JUFRY")</f>
        <v>JUFRY</v>
      </c>
      <c r="F92" s="8"/>
      <c r="G92" s="8"/>
      <c r="H92" s="8"/>
      <c r="I92" s="8"/>
      <c r="J92" s="8" t="str">
        <f>IFERROR(__xludf.DUMMYFUNCTION("""COMPUTED_VALUE"""),"  ")</f>
        <v>  </v>
      </c>
      <c r="K92" s="8" t="str">
        <f>IFERROR(__xludf.DUMMYFUNCTION("""COMPUTED_VALUE"""),"20058")</f>
        <v>20058</v>
      </c>
      <c r="L92" s="8" t="str">
        <f>IFERROR(__xludf.DUMMYFUNCTION("""COMPUTED_VALUE"""),"BROTHER LEMARI ARSIP PINTU KACA B304")</f>
        <v>BROTHER LEMARI ARSIP PINTU KACA B304</v>
      </c>
      <c r="M92" s="12">
        <f>IFERROR(__xludf.DUMMYFUNCTION("""COMPUTED_VALUE"""),1.0)</f>
        <v>1</v>
      </c>
      <c r="N92" s="8" t="str">
        <f>IFERROR(__xludf.DUMMYFUNCTION("""COMPUTED_VALUE"""),"UNIT")</f>
        <v>UNIT</v>
      </c>
      <c r="O92" s="13">
        <f>IFERROR(__xludf.DUMMYFUNCTION("""COMPUTED_VALUE"""),3400000.0)</f>
        <v>3400000</v>
      </c>
      <c r="P92" s="12">
        <f>IFERROR(__xludf.DUMMYFUNCTION("""COMPUTED_VALUE"""),6400000.0)</f>
        <v>6400000</v>
      </c>
      <c r="Q92" s="8"/>
      <c r="R92" s="8">
        <f>IFERROR(__xludf.DUMMYFUNCTION("""COMPUTED_VALUE"""),0.0)</f>
        <v>0</v>
      </c>
      <c r="S92" s="12">
        <f>IFERROR(__xludf.DUMMYFUNCTION("""COMPUTED_VALUE"""),0.0)</f>
        <v>0</v>
      </c>
      <c r="T92" s="12">
        <f>IFERROR(__xludf.DUMMYFUNCTION("""COMPUTED_VALUE"""),3400000.0)</f>
        <v>3400000</v>
      </c>
      <c r="U92" s="13">
        <f>IFERROR(__xludf.DUMMYFUNCTION("""COMPUTED_VALUE"""),0.0)</f>
        <v>0</v>
      </c>
      <c r="V92" s="8"/>
      <c r="W92" s="8"/>
      <c r="X92" s="8">
        <f t="shared" si="1"/>
        <v>2</v>
      </c>
      <c r="AA92" s="10"/>
    </row>
    <row r="93">
      <c r="A93" s="8" t="str">
        <f>IFERROR(__xludf.DUMMYFUNCTION("""COMPUTED_VALUE"""),"9892/JL/UTM/0224")</f>
        <v>9892/JL/UTM/0224</v>
      </c>
      <c r="B93" s="11">
        <f>IFERROR(__xludf.DUMMYFUNCTION("""COMPUTED_VALUE"""),45334.70203703704)</f>
        <v>45334.70204</v>
      </c>
      <c r="C93" s="8" t="str">
        <f>IFERROR(__xludf.DUMMYFUNCTION("""COMPUTED_VALUE"""),"726")</f>
        <v>726</v>
      </c>
      <c r="D93" s="8" t="str">
        <f>IFERROR(__xludf.DUMMYFUNCTION("""COMPUTED_VALUE"""),"GEREJA BK KULAWI")</f>
        <v>GEREJA BK KULAWI</v>
      </c>
      <c r="E93" s="8" t="str">
        <f>IFERROR(__xludf.DUMMYFUNCTION("""COMPUTED_VALUE"""),"JUFRY")</f>
        <v>JUFRY</v>
      </c>
      <c r="F93" s="8"/>
      <c r="G93" s="8"/>
      <c r="H93" s="8"/>
      <c r="I93" s="8"/>
      <c r="J93" s="8" t="str">
        <f>IFERROR(__xludf.DUMMYFUNCTION("""COMPUTED_VALUE"""),"  ")</f>
        <v>  </v>
      </c>
      <c r="K93" s="8" t="str">
        <f>IFERROR(__xludf.DUMMYFUNCTION("""COMPUTED_VALUE"""),"40524")</f>
        <v>40524</v>
      </c>
      <c r="L93" s="8" t="str">
        <f>IFERROR(__xludf.DUMMYFUNCTION("""COMPUTED_VALUE"""),"UCHIDA BRANKAS BK-S")</f>
        <v>UCHIDA BRANKAS BK-S</v>
      </c>
      <c r="M93" s="12">
        <f>IFERROR(__xludf.DUMMYFUNCTION("""COMPUTED_VALUE"""),1.0)</f>
        <v>1</v>
      </c>
      <c r="N93" s="8" t="str">
        <f>IFERROR(__xludf.DUMMYFUNCTION("""COMPUTED_VALUE"""),"UNIT")</f>
        <v>UNIT</v>
      </c>
      <c r="O93" s="13">
        <f>IFERROR(__xludf.DUMMYFUNCTION("""COMPUTED_VALUE"""),4450000.0)</f>
        <v>4450000</v>
      </c>
      <c r="P93" s="12">
        <f>IFERROR(__xludf.DUMMYFUNCTION("""COMPUTED_VALUE"""),4250000.0)</f>
        <v>4250000</v>
      </c>
      <c r="Q93" s="8"/>
      <c r="R93" s="8">
        <f>IFERROR(__xludf.DUMMYFUNCTION("""COMPUTED_VALUE"""),0.0)</f>
        <v>0</v>
      </c>
      <c r="S93" s="12">
        <f>IFERROR(__xludf.DUMMYFUNCTION("""COMPUTED_VALUE"""),0.0)</f>
        <v>0</v>
      </c>
      <c r="T93" s="12">
        <f>IFERROR(__xludf.DUMMYFUNCTION("""COMPUTED_VALUE"""),4450000.0)</f>
        <v>4450000</v>
      </c>
      <c r="U93" s="13">
        <f>IFERROR(__xludf.DUMMYFUNCTION("""COMPUTED_VALUE"""),4.4943820225)</f>
        <v>4.494382023</v>
      </c>
      <c r="V93" s="8"/>
      <c r="W93" s="8"/>
      <c r="X93" s="8">
        <f t="shared" si="1"/>
        <v>2</v>
      </c>
      <c r="AA93" s="10"/>
    </row>
    <row r="94">
      <c r="A94" s="8" t="str">
        <f>IFERROR(__xludf.DUMMYFUNCTION("""COMPUTED_VALUE"""),"9893/JL/UTM/0224")</f>
        <v>9893/JL/UTM/0224</v>
      </c>
      <c r="B94" s="11">
        <f>IFERROR(__xludf.DUMMYFUNCTION("""COMPUTED_VALUE"""),45335.58752314815)</f>
        <v>45335.58752</v>
      </c>
      <c r="C94" s="8" t="str">
        <f>IFERROR(__xludf.DUMMYFUNCTION("""COMPUTED_VALUE"""),"UMUM")</f>
        <v>UMUM</v>
      </c>
      <c r="D94" s="8" t="str">
        <f>IFERROR(__xludf.DUMMYFUNCTION("""COMPUTED_VALUE"""),"UMUM")</f>
        <v>UMUM</v>
      </c>
      <c r="E94" s="8" t="str">
        <f>IFERROR(__xludf.DUMMYFUNCTION("""COMPUTED_VALUE"""),"JUFRY")</f>
        <v>JUFRY</v>
      </c>
      <c r="F94" s="8"/>
      <c r="G94" s="8"/>
      <c r="H94" s="8"/>
      <c r="I94" s="8"/>
      <c r="J94" s="8" t="str">
        <f>IFERROR(__xludf.DUMMYFUNCTION("""COMPUTED_VALUE"""),"  ")</f>
        <v>  </v>
      </c>
      <c r="K94" s="8" t="str">
        <f>IFERROR(__xludf.DUMMYFUNCTION("""COMPUTED_VALUE"""),"706281")</f>
        <v>706281</v>
      </c>
      <c r="L94" s="8" t="str">
        <f>IFERROR(__xludf.DUMMYFUNCTION("""COMPUTED_VALUE"""),"VTEC WB NON MAGNET D/F 120 X 180")</f>
        <v>VTEC WB NON MAGNET D/F 120 X 180</v>
      </c>
      <c r="M94" s="12">
        <f>IFERROR(__xludf.DUMMYFUNCTION("""COMPUTED_VALUE"""),1.0)</f>
        <v>1</v>
      </c>
      <c r="N94" s="8" t="str">
        <f>IFERROR(__xludf.DUMMYFUNCTION("""COMPUTED_VALUE"""),"BH")</f>
        <v>BH</v>
      </c>
      <c r="O94" s="13">
        <f>IFERROR(__xludf.DUMMYFUNCTION("""COMPUTED_VALUE"""),2100000.0)</f>
        <v>2100000</v>
      </c>
      <c r="P94" s="12">
        <f>IFERROR(__xludf.DUMMYFUNCTION("""COMPUTED_VALUE"""),5670000.0)</f>
        <v>5670000</v>
      </c>
      <c r="Q94" s="8"/>
      <c r="R94" s="8">
        <f>IFERROR(__xludf.DUMMYFUNCTION("""COMPUTED_VALUE"""),0.0)</f>
        <v>0</v>
      </c>
      <c r="S94" s="12">
        <f>IFERROR(__xludf.DUMMYFUNCTION("""COMPUTED_VALUE"""),0.0)</f>
        <v>0</v>
      </c>
      <c r="T94" s="12">
        <f>IFERROR(__xludf.DUMMYFUNCTION("""COMPUTED_VALUE"""),2100000.0)</f>
        <v>2100000</v>
      </c>
      <c r="U94" s="13">
        <f>IFERROR(__xludf.DUMMYFUNCTION("""COMPUTED_VALUE"""),0.0)</f>
        <v>0</v>
      </c>
      <c r="V94" s="8" t="str">
        <f>IFERROR(__xludf.DUMMYFUNCTION("""COMPUTED_VALUE"""),"EDC BCA")</f>
        <v>EDC BCA</v>
      </c>
      <c r="W94" s="8"/>
      <c r="X94" s="8">
        <f t="shared" si="1"/>
        <v>2</v>
      </c>
      <c r="AA94" s="10"/>
    </row>
    <row r="95">
      <c r="A95" s="8" t="str">
        <f>IFERROR(__xludf.DUMMYFUNCTION("""COMPUTED_VALUE"""),"9893/JL/UTM/0224")</f>
        <v>9893/JL/UTM/0224</v>
      </c>
      <c r="B95" s="11">
        <f>IFERROR(__xludf.DUMMYFUNCTION("""COMPUTED_VALUE"""),45335.58752314815)</f>
        <v>45335.58752</v>
      </c>
      <c r="C95" s="8" t="str">
        <f>IFERROR(__xludf.DUMMYFUNCTION("""COMPUTED_VALUE"""),"UMUM")</f>
        <v>UMUM</v>
      </c>
      <c r="D95" s="8" t="str">
        <f>IFERROR(__xludf.DUMMYFUNCTION("""COMPUTED_VALUE"""),"UMUM")</f>
        <v>UMUM</v>
      </c>
      <c r="E95" s="8" t="str">
        <f>IFERROR(__xludf.DUMMYFUNCTION("""COMPUTED_VALUE"""),"JUFRY")</f>
        <v>JUFRY</v>
      </c>
      <c r="F95" s="8"/>
      <c r="G95" s="8"/>
      <c r="H95" s="8"/>
      <c r="I95" s="8"/>
      <c r="J95" s="8" t="str">
        <f>IFERROR(__xludf.DUMMYFUNCTION("""COMPUTED_VALUE"""),"  ")</f>
        <v>  </v>
      </c>
      <c r="K95" s="8" t="str">
        <f>IFERROR(__xludf.DUMMYFUNCTION("""COMPUTED_VALUE"""),"706253")</f>
        <v>706253</v>
      </c>
      <c r="L95" s="8" t="str">
        <f>IFERROR(__xludf.DUMMYFUNCTION("""COMPUTED_VALUE"""),"VTEC W. BOARD STAND NON MAGNET D/F 90 X 180")</f>
        <v>VTEC W. BOARD STAND NON MAGNET D/F 90 X 180</v>
      </c>
      <c r="M95" s="12">
        <f>IFERROR(__xludf.DUMMYFUNCTION("""COMPUTED_VALUE"""),1.0)</f>
        <v>1</v>
      </c>
      <c r="N95" s="8" t="str">
        <f>IFERROR(__xludf.DUMMYFUNCTION("""COMPUTED_VALUE"""),"UNIT")</f>
        <v>UNIT</v>
      </c>
      <c r="O95" s="13">
        <f>IFERROR(__xludf.DUMMYFUNCTION("""COMPUTED_VALUE"""),1650000.0)</f>
        <v>1650000</v>
      </c>
      <c r="P95" s="12">
        <f>IFERROR(__xludf.DUMMYFUNCTION("""COMPUTED_VALUE"""),5670000.0)</f>
        <v>5670000</v>
      </c>
      <c r="Q95" s="8"/>
      <c r="R95" s="8">
        <f>IFERROR(__xludf.DUMMYFUNCTION("""COMPUTED_VALUE"""),0.0)</f>
        <v>0</v>
      </c>
      <c r="S95" s="12">
        <f>IFERROR(__xludf.DUMMYFUNCTION("""COMPUTED_VALUE"""),0.0)</f>
        <v>0</v>
      </c>
      <c r="T95" s="12">
        <f>IFERROR(__xludf.DUMMYFUNCTION("""COMPUTED_VALUE"""),1650000.0)</f>
        <v>1650000</v>
      </c>
      <c r="U95" s="13">
        <f>IFERROR(__xludf.DUMMYFUNCTION("""COMPUTED_VALUE"""),0.0)</f>
        <v>0</v>
      </c>
      <c r="V95" s="8" t="str">
        <f>IFERROR(__xludf.DUMMYFUNCTION("""COMPUTED_VALUE"""),"EDC BCA")</f>
        <v>EDC BCA</v>
      </c>
      <c r="W95" s="8"/>
      <c r="X95" s="8">
        <f t="shared" si="1"/>
        <v>2</v>
      </c>
      <c r="AA95" s="10"/>
    </row>
    <row r="96">
      <c r="A96" s="8" t="str">
        <f>IFERROR(__xludf.DUMMYFUNCTION("""COMPUTED_VALUE"""),"9893/JL/UTM/0224")</f>
        <v>9893/JL/UTM/0224</v>
      </c>
      <c r="B96" s="11">
        <f>IFERROR(__xludf.DUMMYFUNCTION("""COMPUTED_VALUE"""),45335.58752314815)</f>
        <v>45335.58752</v>
      </c>
      <c r="C96" s="8" t="str">
        <f>IFERROR(__xludf.DUMMYFUNCTION("""COMPUTED_VALUE"""),"UMUM")</f>
        <v>UMUM</v>
      </c>
      <c r="D96" s="8" t="str">
        <f>IFERROR(__xludf.DUMMYFUNCTION("""COMPUTED_VALUE"""),"UMUM")</f>
        <v>UMUM</v>
      </c>
      <c r="E96" s="8" t="str">
        <f>IFERROR(__xludf.DUMMYFUNCTION("""COMPUTED_VALUE"""),"JUFRY")</f>
        <v>JUFRY</v>
      </c>
      <c r="F96" s="8"/>
      <c r="G96" s="8"/>
      <c r="H96" s="8"/>
      <c r="I96" s="8"/>
      <c r="J96" s="8" t="str">
        <f>IFERROR(__xludf.DUMMYFUNCTION("""COMPUTED_VALUE"""),"  ")</f>
        <v>  </v>
      </c>
      <c r="K96" s="8" t="str">
        <f>IFERROR(__xludf.DUMMYFUNCTION("""COMPUTED_VALUE"""),"10059")</f>
        <v>10059</v>
      </c>
      <c r="L96" s="8" t="str">
        <f>IFERROR(__xludf.DUMMYFUNCTION("""COMPUTED_VALUE"""),"VTEC FLIP CHART 75X100")</f>
        <v>VTEC FLIP CHART 75X100</v>
      </c>
      <c r="M96" s="12">
        <f>IFERROR(__xludf.DUMMYFUNCTION("""COMPUTED_VALUE"""),1.0)</f>
        <v>1</v>
      </c>
      <c r="N96" s="8" t="str">
        <f>IFERROR(__xludf.DUMMYFUNCTION("""COMPUTED_VALUE"""),"BH")</f>
        <v>BH</v>
      </c>
      <c r="O96" s="13">
        <f>IFERROR(__xludf.DUMMYFUNCTION("""COMPUTED_VALUE"""),1400000.0)</f>
        <v>1400000</v>
      </c>
      <c r="P96" s="12">
        <f>IFERROR(__xludf.DUMMYFUNCTION("""COMPUTED_VALUE"""),5670000.0)</f>
        <v>5670000</v>
      </c>
      <c r="Q96" s="8"/>
      <c r="R96" s="8">
        <f>IFERROR(__xludf.DUMMYFUNCTION("""COMPUTED_VALUE"""),0.0)</f>
        <v>0</v>
      </c>
      <c r="S96" s="12">
        <f>IFERROR(__xludf.DUMMYFUNCTION("""COMPUTED_VALUE"""),0.0)</f>
        <v>0</v>
      </c>
      <c r="T96" s="12">
        <f>IFERROR(__xludf.DUMMYFUNCTION("""COMPUTED_VALUE"""),1400000.0)</f>
        <v>1400000</v>
      </c>
      <c r="U96" s="13">
        <f>IFERROR(__xludf.DUMMYFUNCTION("""COMPUTED_VALUE"""),0.0)</f>
        <v>0</v>
      </c>
      <c r="V96" s="8" t="str">
        <f>IFERROR(__xludf.DUMMYFUNCTION("""COMPUTED_VALUE"""),"EDC BCA")</f>
        <v>EDC BCA</v>
      </c>
      <c r="W96" s="8"/>
      <c r="X96" s="8">
        <f t="shared" si="1"/>
        <v>2</v>
      </c>
      <c r="AA96" s="10"/>
    </row>
    <row r="97">
      <c r="A97" s="8" t="str">
        <f>IFERROR(__xludf.DUMMYFUNCTION("""COMPUTED_VALUE"""),"9893/JL/UTM/0224")</f>
        <v>9893/JL/UTM/0224</v>
      </c>
      <c r="B97" s="11">
        <f>IFERROR(__xludf.DUMMYFUNCTION("""COMPUTED_VALUE"""),45335.58752314815)</f>
        <v>45335.58752</v>
      </c>
      <c r="C97" s="8" t="str">
        <f>IFERROR(__xludf.DUMMYFUNCTION("""COMPUTED_VALUE"""),"UMUM")</f>
        <v>UMUM</v>
      </c>
      <c r="D97" s="8" t="str">
        <f>IFERROR(__xludf.DUMMYFUNCTION("""COMPUTED_VALUE"""),"UMUM")</f>
        <v>UMUM</v>
      </c>
      <c r="E97" s="8" t="str">
        <f>IFERROR(__xludf.DUMMYFUNCTION("""COMPUTED_VALUE"""),"JUFRY")</f>
        <v>JUFRY</v>
      </c>
      <c r="F97" s="8"/>
      <c r="G97" s="8"/>
      <c r="H97" s="8"/>
      <c r="I97" s="8"/>
      <c r="J97" s="8" t="str">
        <f>IFERROR(__xludf.DUMMYFUNCTION("""COMPUTED_VALUE"""),"  ")</f>
        <v>  </v>
      </c>
      <c r="K97" s="8" t="str">
        <f>IFERROR(__xludf.DUMMYFUNCTION("""COMPUTED_VALUE"""),"706282")</f>
        <v>706282</v>
      </c>
      <c r="L97" s="8" t="str">
        <f>IFERROR(__xludf.DUMMYFUNCTION("""COMPUTED_VALUE"""),"MASPION KEY BOX MC 12")</f>
        <v>MASPION KEY BOX MC 12</v>
      </c>
      <c r="M97" s="12">
        <f>IFERROR(__xludf.DUMMYFUNCTION("""COMPUTED_VALUE"""),2.0)</f>
        <v>2</v>
      </c>
      <c r="N97" s="8" t="str">
        <f>IFERROR(__xludf.DUMMYFUNCTION("""COMPUTED_VALUE"""),"BH")</f>
        <v>BH</v>
      </c>
      <c r="O97" s="13">
        <f>IFERROR(__xludf.DUMMYFUNCTION("""COMPUTED_VALUE"""),260000.0)</f>
        <v>260000</v>
      </c>
      <c r="P97" s="12">
        <f>IFERROR(__xludf.DUMMYFUNCTION("""COMPUTED_VALUE"""),5670000.0)</f>
        <v>5670000</v>
      </c>
      <c r="Q97" s="8"/>
      <c r="R97" s="8">
        <f>IFERROR(__xludf.DUMMYFUNCTION("""COMPUTED_VALUE"""),0.0)</f>
        <v>0</v>
      </c>
      <c r="S97" s="12">
        <f>IFERROR(__xludf.DUMMYFUNCTION("""COMPUTED_VALUE"""),0.0)</f>
        <v>0</v>
      </c>
      <c r="T97" s="12">
        <f>IFERROR(__xludf.DUMMYFUNCTION("""COMPUTED_VALUE"""),520000.0)</f>
        <v>520000</v>
      </c>
      <c r="U97" s="13">
        <f>IFERROR(__xludf.DUMMYFUNCTION("""COMPUTED_VALUE"""),0.0)</f>
        <v>0</v>
      </c>
      <c r="V97" s="8" t="str">
        <f>IFERROR(__xludf.DUMMYFUNCTION("""COMPUTED_VALUE"""),"EDC BCA")</f>
        <v>EDC BCA</v>
      </c>
      <c r="W97" s="8"/>
      <c r="X97" s="8">
        <f t="shared" si="1"/>
        <v>2</v>
      </c>
      <c r="AA97" s="10"/>
    </row>
    <row r="98">
      <c r="A98" s="8" t="str">
        <f>IFERROR(__xludf.DUMMYFUNCTION("""COMPUTED_VALUE"""),"9894/JL/UTM/0224")</f>
        <v>9894/JL/UTM/0224</v>
      </c>
      <c r="B98" s="11">
        <f>IFERROR(__xludf.DUMMYFUNCTION("""COMPUTED_VALUE"""),45335.68488425926)</f>
        <v>45335.68488</v>
      </c>
      <c r="C98" s="8" t="str">
        <f>IFERROR(__xludf.DUMMYFUNCTION("""COMPUTED_VALUE"""),"UMUM")</f>
        <v>UMUM</v>
      </c>
      <c r="D98" s="8" t="str">
        <f>IFERROR(__xludf.DUMMYFUNCTION("""COMPUTED_VALUE"""),"UMUM")</f>
        <v>UMUM</v>
      </c>
      <c r="E98" s="8" t="str">
        <f>IFERROR(__xludf.DUMMYFUNCTION("""COMPUTED_VALUE"""),"JUFRY")</f>
        <v>JUFRY</v>
      </c>
      <c r="F98" s="8"/>
      <c r="G98" s="8"/>
      <c r="H98" s="8"/>
      <c r="I98" s="8"/>
      <c r="J98" s="8" t="str">
        <f>IFERROR(__xludf.DUMMYFUNCTION("""COMPUTED_VALUE"""),"  ")</f>
        <v>  </v>
      </c>
      <c r="K98" s="8" t="str">
        <f>IFERROR(__xludf.DUMMYFUNCTION("""COMPUTED_VALUE"""),"706149")</f>
        <v>706149</v>
      </c>
      <c r="L98" s="8" t="str">
        <f>IFERROR(__xludf.DUMMYFUNCTION("""COMPUTED_VALUE"""),"V-TEC PEMOTONG ID CARD")</f>
        <v>V-TEC PEMOTONG ID CARD</v>
      </c>
      <c r="M98" s="12">
        <f>IFERROR(__xludf.DUMMYFUNCTION("""COMPUTED_VALUE"""),1.0)</f>
        <v>1</v>
      </c>
      <c r="N98" s="8" t="str">
        <f>IFERROR(__xludf.DUMMYFUNCTION("""COMPUTED_VALUE"""),"BH")</f>
        <v>BH</v>
      </c>
      <c r="O98" s="13">
        <f>IFERROR(__xludf.DUMMYFUNCTION("""COMPUTED_VALUE"""),650000.0)</f>
        <v>650000</v>
      </c>
      <c r="P98" s="12">
        <f>IFERROR(__xludf.DUMMYFUNCTION("""COMPUTED_VALUE"""),650000.0)</f>
        <v>650000</v>
      </c>
      <c r="Q98" s="8"/>
      <c r="R98" s="8">
        <f>IFERROR(__xludf.DUMMYFUNCTION("""COMPUTED_VALUE"""),0.0)</f>
        <v>0</v>
      </c>
      <c r="S98" s="12">
        <f>IFERROR(__xludf.DUMMYFUNCTION("""COMPUTED_VALUE"""),0.0)</f>
        <v>0</v>
      </c>
      <c r="T98" s="12">
        <f>IFERROR(__xludf.DUMMYFUNCTION("""COMPUTED_VALUE"""),650000.0)</f>
        <v>650000</v>
      </c>
      <c r="U98" s="13">
        <f>IFERROR(__xludf.DUMMYFUNCTION("""COMPUTED_VALUE"""),0.0)</f>
        <v>0</v>
      </c>
      <c r="V98" s="8"/>
      <c r="W98" s="8"/>
      <c r="X98" s="8">
        <f t="shared" si="1"/>
        <v>2</v>
      </c>
      <c r="AA98" s="10"/>
    </row>
    <row r="99">
      <c r="A99" s="8" t="str">
        <f>IFERROR(__xludf.DUMMYFUNCTION("""COMPUTED_VALUE"""),"9895/JL/UTM/0224")</f>
        <v>9895/JL/UTM/0224</v>
      </c>
      <c r="B99" s="11">
        <f>IFERROR(__xludf.DUMMYFUNCTION("""COMPUTED_VALUE"""),45337.603009259255)</f>
        <v>45337.60301</v>
      </c>
      <c r="C99" s="8" t="str">
        <f>IFERROR(__xludf.DUMMYFUNCTION("""COMPUTED_VALUE"""),"425")</f>
        <v>425</v>
      </c>
      <c r="D99" s="8" t="str">
        <f>IFERROR(__xludf.DUMMYFUNCTION("""COMPUTED_VALUE"""),"KSP KARYA PERDANA")</f>
        <v>KSP KARYA PERDANA</v>
      </c>
      <c r="E99" s="8" t="str">
        <f>IFERROR(__xludf.DUMMYFUNCTION("""COMPUTED_VALUE"""),"JUFRY")</f>
        <v>JUFRY</v>
      </c>
      <c r="F99" s="8"/>
      <c r="G99" s="8"/>
      <c r="H99" s="8"/>
      <c r="I99" s="8"/>
      <c r="J99" s="8" t="str">
        <f>IFERROR(__xludf.DUMMYFUNCTION("""COMPUTED_VALUE"""),"  ")</f>
        <v>  </v>
      </c>
      <c r="K99" s="8" t="str">
        <f>IFERROR(__xludf.DUMMYFUNCTION("""COMPUTED_VALUE"""),"20051")</f>
        <v>20051</v>
      </c>
      <c r="L99" s="8" t="str">
        <f>IFERROR(__xludf.DUMMYFUNCTION("""COMPUTED_VALUE"""),"LION LEMARI ARSIP 2 PINTU L33")</f>
        <v>LION LEMARI ARSIP 2 PINTU L33</v>
      </c>
      <c r="M99" s="12">
        <f>IFERROR(__xludf.DUMMYFUNCTION("""COMPUTED_VALUE"""),2.0)</f>
        <v>2</v>
      </c>
      <c r="N99" s="8" t="str">
        <f>IFERROR(__xludf.DUMMYFUNCTION("""COMPUTED_VALUE"""),"UNIT")</f>
        <v>UNIT</v>
      </c>
      <c r="O99" s="13">
        <f>IFERROR(__xludf.DUMMYFUNCTION("""COMPUTED_VALUE"""),3650000.0)</f>
        <v>3650000</v>
      </c>
      <c r="P99" s="12">
        <f>IFERROR(__xludf.DUMMYFUNCTION("""COMPUTED_VALUE"""),1.85E7)</f>
        <v>18500000</v>
      </c>
      <c r="Q99" s="8"/>
      <c r="R99" s="8">
        <f>IFERROR(__xludf.DUMMYFUNCTION("""COMPUTED_VALUE"""),0.0)</f>
        <v>0</v>
      </c>
      <c r="S99" s="12">
        <f>IFERROR(__xludf.DUMMYFUNCTION("""COMPUTED_VALUE"""),0.0)</f>
        <v>0</v>
      </c>
      <c r="T99" s="12">
        <f>IFERROR(__xludf.DUMMYFUNCTION("""COMPUTED_VALUE"""),7300000.0)</f>
        <v>7300000</v>
      </c>
      <c r="U99" s="13">
        <f>IFERROR(__xludf.DUMMYFUNCTION("""COMPUTED_VALUE"""),0.0)</f>
        <v>0</v>
      </c>
      <c r="V99" s="8" t="str">
        <f>IFERROR(__xludf.DUMMYFUNCTION("""COMPUTED_VALUE"""),"TRANSFER BNI")</f>
        <v>TRANSFER BNI</v>
      </c>
      <c r="W99" s="8"/>
      <c r="X99" s="8">
        <f t="shared" si="1"/>
        <v>2</v>
      </c>
      <c r="AA99" s="10"/>
    </row>
    <row r="100">
      <c r="A100" s="8" t="str">
        <f>IFERROR(__xludf.DUMMYFUNCTION("""COMPUTED_VALUE"""),"9895/JL/UTM/0224")</f>
        <v>9895/JL/UTM/0224</v>
      </c>
      <c r="B100" s="11">
        <f>IFERROR(__xludf.DUMMYFUNCTION("""COMPUTED_VALUE"""),45337.603009259255)</f>
        <v>45337.60301</v>
      </c>
      <c r="C100" s="8" t="str">
        <f>IFERROR(__xludf.DUMMYFUNCTION("""COMPUTED_VALUE"""),"425")</f>
        <v>425</v>
      </c>
      <c r="D100" s="8" t="str">
        <f>IFERROR(__xludf.DUMMYFUNCTION("""COMPUTED_VALUE"""),"KSP KARYA PERDANA")</f>
        <v>KSP KARYA PERDANA</v>
      </c>
      <c r="E100" s="8" t="str">
        <f>IFERROR(__xludf.DUMMYFUNCTION("""COMPUTED_VALUE"""),"JUFRY")</f>
        <v>JUFRY</v>
      </c>
      <c r="F100" s="8"/>
      <c r="G100" s="8"/>
      <c r="H100" s="8"/>
      <c r="I100" s="8"/>
      <c r="J100" s="8" t="str">
        <f>IFERROR(__xludf.DUMMYFUNCTION("""COMPUTED_VALUE"""),"  ")</f>
        <v>  </v>
      </c>
      <c r="K100" s="8" t="str">
        <f>IFERROR(__xludf.DUMMYFUNCTION("""COMPUTED_VALUE"""),"20049")</f>
        <v>20049</v>
      </c>
      <c r="L100" s="8" t="str">
        <f>IFERROR(__xludf.DUMMYFUNCTION("""COMPUTED_VALUE"""),"LION FILING CABINET 4 LACI L44")</f>
        <v>LION FILING CABINET 4 LACI L44</v>
      </c>
      <c r="M100" s="12">
        <f>IFERROR(__xludf.DUMMYFUNCTION("""COMPUTED_VALUE"""),1.0)</f>
        <v>1</v>
      </c>
      <c r="N100" s="8" t="str">
        <f>IFERROR(__xludf.DUMMYFUNCTION("""COMPUTED_VALUE"""),"UNIT")</f>
        <v>UNIT</v>
      </c>
      <c r="O100" s="13">
        <f>IFERROR(__xludf.DUMMYFUNCTION("""COMPUTED_VALUE"""),3600000.0)</f>
        <v>3600000</v>
      </c>
      <c r="P100" s="12">
        <f>IFERROR(__xludf.DUMMYFUNCTION("""COMPUTED_VALUE"""),1.85E7)</f>
        <v>18500000</v>
      </c>
      <c r="Q100" s="8"/>
      <c r="R100" s="8">
        <f>IFERROR(__xludf.DUMMYFUNCTION("""COMPUTED_VALUE"""),0.0)</f>
        <v>0</v>
      </c>
      <c r="S100" s="12">
        <f>IFERROR(__xludf.DUMMYFUNCTION("""COMPUTED_VALUE"""),0.0)</f>
        <v>0</v>
      </c>
      <c r="T100" s="12">
        <f>IFERROR(__xludf.DUMMYFUNCTION("""COMPUTED_VALUE"""),3600000.0)</f>
        <v>3600000</v>
      </c>
      <c r="U100" s="13">
        <f>IFERROR(__xludf.DUMMYFUNCTION("""COMPUTED_VALUE"""),0.0)</f>
        <v>0</v>
      </c>
      <c r="V100" s="8" t="str">
        <f>IFERROR(__xludf.DUMMYFUNCTION("""COMPUTED_VALUE"""),"TRANSFER BNI")</f>
        <v>TRANSFER BNI</v>
      </c>
      <c r="W100" s="8"/>
      <c r="X100" s="8">
        <f t="shared" si="1"/>
        <v>2</v>
      </c>
      <c r="AA100" s="10"/>
    </row>
    <row r="101">
      <c r="A101" s="8" t="str">
        <f>IFERROR(__xludf.DUMMYFUNCTION("""COMPUTED_VALUE"""),"9895/JL/UTM/0224")</f>
        <v>9895/JL/UTM/0224</v>
      </c>
      <c r="B101" s="11">
        <f>IFERROR(__xludf.DUMMYFUNCTION("""COMPUTED_VALUE"""),45337.603009259255)</f>
        <v>45337.60301</v>
      </c>
      <c r="C101" s="8" t="str">
        <f>IFERROR(__xludf.DUMMYFUNCTION("""COMPUTED_VALUE"""),"425")</f>
        <v>425</v>
      </c>
      <c r="D101" s="8" t="str">
        <f>IFERROR(__xludf.DUMMYFUNCTION("""COMPUTED_VALUE"""),"KSP KARYA PERDANA")</f>
        <v>KSP KARYA PERDANA</v>
      </c>
      <c r="E101" s="8" t="str">
        <f>IFERROR(__xludf.DUMMYFUNCTION("""COMPUTED_VALUE"""),"JUFRY")</f>
        <v>JUFRY</v>
      </c>
      <c r="F101" s="8"/>
      <c r="G101" s="8"/>
      <c r="H101" s="8"/>
      <c r="I101" s="8"/>
      <c r="J101" s="8" t="str">
        <f>IFERROR(__xludf.DUMMYFUNCTION("""COMPUTED_VALUE"""),"  ")</f>
        <v>  </v>
      </c>
      <c r="K101" s="8" t="str">
        <f>IFERROR(__xludf.DUMMYFUNCTION("""COMPUTED_VALUE"""),"40131")</f>
        <v>40131</v>
      </c>
      <c r="L101" s="8" t="str">
        <f>IFERROR(__xludf.DUMMYFUNCTION("""COMPUTED_VALUE"""),"LION FILLING CABINET 2 LACI")</f>
        <v>LION FILLING CABINET 2 LACI</v>
      </c>
      <c r="M101" s="12">
        <f>IFERROR(__xludf.DUMMYFUNCTION("""COMPUTED_VALUE"""),1.0)</f>
        <v>1</v>
      </c>
      <c r="N101" s="8" t="str">
        <f>IFERROR(__xludf.DUMMYFUNCTION("""COMPUTED_VALUE"""),"UNIT")</f>
        <v>UNIT</v>
      </c>
      <c r="O101" s="13">
        <f>IFERROR(__xludf.DUMMYFUNCTION("""COMPUTED_VALUE"""),2200000.0)</f>
        <v>2200000</v>
      </c>
      <c r="P101" s="12">
        <f>IFERROR(__xludf.DUMMYFUNCTION("""COMPUTED_VALUE"""),1.85E7)</f>
        <v>18500000</v>
      </c>
      <c r="Q101" s="8"/>
      <c r="R101" s="8">
        <f>IFERROR(__xludf.DUMMYFUNCTION("""COMPUTED_VALUE"""),0.0)</f>
        <v>0</v>
      </c>
      <c r="S101" s="12">
        <f>IFERROR(__xludf.DUMMYFUNCTION("""COMPUTED_VALUE"""),0.0)</f>
        <v>0</v>
      </c>
      <c r="T101" s="12">
        <f>IFERROR(__xludf.DUMMYFUNCTION("""COMPUTED_VALUE"""),2200000.0)</f>
        <v>2200000</v>
      </c>
      <c r="U101" s="13">
        <f>IFERROR(__xludf.DUMMYFUNCTION("""COMPUTED_VALUE"""),0.0)</f>
        <v>0</v>
      </c>
      <c r="V101" s="8" t="str">
        <f>IFERROR(__xludf.DUMMYFUNCTION("""COMPUTED_VALUE"""),"TRANSFER BNI")</f>
        <v>TRANSFER BNI</v>
      </c>
      <c r="W101" s="8"/>
      <c r="X101" s="8">
        <f t="shared" si="1"/>
        <v>2</v>
      </c>
      <c r="AA101" s="10"/>
    </row>
    <row r="102">
      <c r="A102" s="8" t="str">
        <f>IFERROR(__xludf.DUMMYFUNCTION("""COMPUTED_VALUE"""),"9895/JL/UTM/0224")</f>
        <v>9895/JL/UTM/0224</v>
      </c>
      <c r="B102" s="11">
        <f>IFERROR(__xludf.DUMMYFUNCTION("""COMPUTED_VALUE"""),45337.603009259255)</f>
        <v>45337.60301</v>
      </c>
      <c r="C102" s="8" t="str">
        <f>IFERROR(__xludf.DUMMYFUNCTION("""COMPUTED_VALUE"""),"425")</f>
        <v>425</v>
      </c>
      <c r="D102" s="8" t="str">
        <f>IFERROR(__xludf.DUMMYFUNCTION("""COMPUTED_VALUE"""),"KSP KARYA PERDANA")</f>
        <v>KSP KARYA PERDANA</v>
      </c>
      <c r="E102" s="8" t="str">
        <f>IFERROR(__xludf.DUMMYFUNCTION("""COMPUTED_VALUE"""),"JUFRY")</f>
        <v>JUFRY</v>
      </c>
      <c r="F102" s="8"/>
      <c r="G102" s="8"/>
      <c r="H102" s="8"/>
      <c r="I102" s="8"/>
      <c r="J102" s="8" t="str">
        <f>IFERROR(__xludf.DUMMYFUNCTION("""COMPUTED_VALUE"""),"  ")</f>
        <v>  </v>
      </c>
      <c r="K102" s="8" t="str">
        <f>IFERROR(__xludf.DUMMYFUNCTION("""COMPUTED_VALUE"""),"706290")</f>
        <v>706290</v>
      </c>
      <c r="L102" s="8" t="str">
        <f>IFERROR(__xludf.DUMMYFUNCTION("""COMPUTED_VALUE"""),"KURSI TUNGGU BUSA 4 SEAT")</f>
        <v>KURSI TUNGGU BUSA 4 SEAT</v>
      </c>
      <c r="M102" s="12">
        <f>IFERROR(__xludf.DUMMYFUNCTION("""COMPUTED_VALUE"""),2.0)</f>
        <v>2</v>
      </c>
      <c r="N102" s="8" t="str">
        <f>IFERROR(__xludf.DUMMYFUNCTION("""COMPUTED_VALUE"""),"BH")</f>
        <v>BH</v>
      </c>
      <c r="O102" s="13">
        <f>IFERROR(__xludf.DUMMYFUNCTION("""COMPUTED_VALUE"""),2700000.0)</f>
        <v>2700000</v>
      </c>
      <c r="P102" s="12">
        <f>IFERROR(__xludf.DUMMYFUNCTION("""COMPUTED_VALUE"""),1.85E7)</f>
        <v>18500000</v>
      </c>
      <c r="Q102" s="8"/>
      <c r="R102" s="8">
        <f>IFERROR(__xludf.DUMMYFUNCTION("""COMPUTED_VALUE"""),0.0)</f>
        <v>0</v>
      </c>
      <c r="S102" s="12">
        <f>IFERROR(__xludf.DUMMYFUNCTION("""COMPUTED_VALUE"""),0.0)</f>
        <v>0</v>
      </c>
      <c r="T102" s="12">
        <f>IFERROR(__xludf.DUMMYFUNCTION("""COMPUTED_VALUE"""),5400000.0)</f>
        <v>5400000</v>
      </c>
      <c r="U102" s="13">
        <f>IFERROR(__xludf.DUMMYFUNCTION("""COMPUTED_VALUE"""),0.0)</f>
        <v>0</v>
      </c>
      <c r="V102" s="8" t="str">
        <f>IFERROR(__xludf.DUMMYFUNCTION("""COMPUTED_VALUE"""),"TRANSFER BNI")</f>
        <v>TRANSFER BNI</v>
      </c>
      <c r="W102" s="8"/>
      <c r="X102" s="8">
        <f t="shared" si="1"/>
        <v>2</v>
      </c>
      <c r="AA102" s="10"/>
    </row>
    <row r="103">
      <c r="A103" s="8" t="str">
        <f>IFERROR(__xludf.DUMMYFUNCTION("""COMPUTED_VALUE"""),"9896/JL/UTM/0224")</f>
        <v>9896/JL/UTM/0224</v>
      </c>
      <c r="B103" s="11">
        <f>IFERROR(__xludf.DUMMYFUNCTION("""COMPUTED_VALUE"""),45337.60393518519)</f>
        <v>45337.60394</v>
      </c>
      <c r="C103" s="8" t="str">
        <f>IFERROR(__xludf.DUMMYFUNCTION("""COMPUTED_VALUE"""),"PL0856")</f>
        <v>PL0856</v>
      </c>
      <c r="D103" s="8" t="str">
        <f>IFERROR(__xludf.DUMMYFUNCTION("""COMPUTED_VALUE"""),"PT. PEMBANGUNAN PERUMAHAN (PP)")</f>
        <v>PT. PEMBANGUNAN PERUMAHAN (PP)</v>
      </c>
      <c r="E103" s="8" t="str">
        <f>IFERROR(__xludf.DUMMYFUNCTION("""COMPUTED_VALUE"""),"JUFRY")</f>
        <v>JUFRY</v>
      </c>
      <c r="F103" s="8"/>
      <c r="G103" s="8"/>
      <c r="H103" s="8"/>
      <c r="I103" s="8"/>
      <c r="J103" s="8" t="str">
        <f>IFERROR(__xludf.DUMMYFUNCTION("""COMPUTED_VALUE"""),"PALU  ")</f>
        <v>PALU  </v>
      </c>
      <c r="K103" s="8" t="str">
        <f>IFERROR(__xludf.DUMMYFUNCTION("""COMPUTED_VALUE"""),"40504")</f>
        <v>40504</v>
      </c>
      <c r="L103" s="8" t="str">
        <f>IFERROR(__xludf.DUMMYFUNCTION("""COMPUTED_VALUE"""),"BRIGHT OFFICE PAPER CUTTER NO. 8292 A3")</f>
        <v>BRIGHT OFFICE PAPER CUTTER NO. 8292 A3</v>
      </c>
      <c r="M103" s="12">
        <f>IFERROR(__xludf.DUMMYFUNCTION("""COMPUTED_VALUE"""),1.0)</f>
        <v>1</v>
      </c>
      <c r="N103" s="8" t="str">
        <f>IFERROR(__xludf.DUMMYFUNCTION("""COMPUTED_VALUE"""),"BH")</f>
        <v>BH</v>
      </c>
      <c r="O103" s="13">
        <f>IFERROR(__xludf.DUMMYFUNCTION("""COMPUTED_VALUE"""),325000.0)</f>
        <v>325000</v>
      </c>
      <c r="P103" s="12">
        <f>IFERROR(__xludf.DUMMYFUNCTION("""COMPUTED_VALUE"""),0.0)</f>
        <v>0</v>
      </c>
      <c r="Q103" s="8"/>
      <c r="R103" s="8">
        <f>IFERROR(__xludf.DUMMYFUNCTION("""COMPUTED_VALUE"""),0.0)</f>
        <v>0</v>
      </c>
      <c r="S103" s="12">
        <f>IFERROR(__xludf.DUMMYFUNCTION("""COMPUTED_VALUE"""),325000.0)</f>
        <v>325000</v>
      </c>
      <c r="T103" s="12">
        <f>IFERROR(__xludf.DUMMYFUNCTION("""COMPUTED_VALUE"""),325000.0)</f>
        <v>325000</v>
      </c>
      <c r="U103" s="13">
        <f>IFERROR(__xludf.DUMMYFUNCTION("""COMPUTED_VALUE"""),0.0)</f>
        <v>0</v>
      </c>
      <c r="V103" s="8"/>
      <c r="W103" s="8"/>
      <c r="X103" s="8">
        <f t="shared" si="1"/>
        <v>2</v>
      </c>
      <c r="AA103" s="10"/>
    </row>
    <row r="104">
      <c r="A104" s="8" t="str">
        <f>IFERROR(__xludf.DUMMYFUNCTION("""COMPUTED_VALUE"""),"9897/JL/UTM/0224")</f>
        <v>9897/JL/UTM/0224</v>
      </c>
      <c r="B104" s="11">
        <f>IFERROR(__xludf.DUMMYFUNCTION("""COMPUTED_VALUE"""),45337.670682870375)</f>
        <v>45337.67068</v>
      </c>
      <c r="C104" s="8" t="str">
        <f>IFERROR(__xludf.DUMMYFUNCTION("""COMPUTED_VALUE"""),"953")</f>
        <v>953</v>
      </c>
      <c r="D104" s="8" t="str">
        <f>IFERROR(__xludf.DUMMYFUNCTION("""COMPUTED_VALUE"""),"PT. POSO ENERGY")</f>
        <v>PT. POSO ENERGY</v>
      </c>
      <c r="E104" s="8" t="str">
        <f>IFERROR(__xludf.DUMMYFUNCTION("""COMPUTED_VALUE"""),"JUFRY")</f>
        <v>JUFRY</v>
      </c>
      <c r="F104" s="8"/>
      <c r="G104" s="8"/>
      <c r="H104" s="8"/>
      <c r="I104" s="8"/>
      <c r="J104" s="8" t="str">
        <f>IFERROR(__xludf.DUMMYFUNCTION("""COMPUTED_VALUE"""),"  ")</f>
        <v>  </v>
      </c>
      <c r="K104" s="8" t="str">
        <f>IFERROR(__xludf.DUMMYFUNCTION("""COMPUTED_VALUE"""),"706068")</f>
        <v>706068</v>
      </c>
      <c r="L104" s="8" t="str">
        <f>IFERROR(__xludf.DUMMYFUNCTION("""COMPUTED_VALUE"""),"MAESTRO KING BRANKAST SIZE II")</f>
        <v>MAESTRO KING BRANKAST SIZE II</v>
      </c>
      <c r="M104" s="12">
        <f>IFERROR(__xludf.DUMMYFUNCTION("""COMPUTED_VALUE"""),1.0)</f>
        <v>1</v>
      </c>
      <c r="N104" s="8" t="str">
        <f>IFERROR(__xludf.DUMMYFUNCTION("""COMPUTED_VALUE"""),"BH")</f>
        <v>BH</v>
      </c>
      <c r="O104" s="13">
        <f>IFERROR(__xludf.DUMMYFUNCTION("""COMPUTED_VALUE"""),1.55E7)</f>
        <v>15500000</v>
      </c>
      <c r="P104" s="12">
        <f>IFERROR(__xludf.DUMMYFUNCTION("""COMPUTED_VALUE"""),0.0)</f>
        <v>0</v>
      </c>
      <c r="Q104" s="8"/>
      <c r="R104" s="8">
        <f>IFERROR(__xludf.DUMMYFUNCTION("""COMPUTED_VALUE"""),0.0)</f>
        <v>0</v>
      </c>
      <c r="S104" s="12">
        <f>IFERROR(__xludf.DUMMYFUNCTION("""COMPUTED_VALUE"""),1.7205E7)</f>
        <v>17205000</v>
      </c>
      <c r="T104" s="12">
        <f>IFERROR(__xludf.DUMMYFUNCTION("""COMPUTED_VALUE"""),1.55E7)</f>
        <v>15500000</v>
      </c>
      <c r="U104" s="13">
        <f>IFERROR(__xludf.DUMMYFUNCTION("""COMPUTED_VALUE"""),0.0)</f>
        <v>0</v>
      </c>
      <c r="V104" s="8"/>
      <c r="W104" s="8"/>
      <c r="X104" s="8">
        <f t="shared" si="1"/>
        <v>2</v>
      </c>
      <c r="AA104" s="10"/>
    </row>
    <row r="105">
      <c r="A105" s="8" t="str">
        <f>IFERROR(__xludf.DUMMYFUNCTION("""COMPUTED_VALUE"""),"9898/JL/UTM/0224")</f>
        <v>9898/JL/UTM/0224</v>
      </c>
      <c r="B105" s="11">
        <f>IFERROR(__xludf.DUMMYFUNCTION("""COMPUTED_VALUE"""),45341.67049768519)</f>
        <v>45341.6705</v>
      </c>
      <c r="C105" s="8" t="str">
        <f>IFERROR(__xludf.DUMMYFUNCTION("""COMPUTED_VALUE"""),"262")</f>
        <v>262</v>
      </c>
      <c r="D105" s="8" t="str">
        <f>IFERROR(__xludf.DUMMYFUNCTION("""COMPUTED_VALUE"""),"TRAKINDO")</f>
        <v>TRAKINDO</v>
      </c>
      <c r="E105" s="8" t="str">
        <f>IFERROR(__xludf.DUMMYFUNCTION("""COMPUTED_VALUE"""),"JUFRY")</f>
        <v>JUFRY</v>
      </c>
      <c r="F105" s="8"/>
      <c r="G105" s="8"/>
      <c r="H105" s="8"/>
      <c r="I105" s="8"/>
      <c r="J105" s="8" t="str">
        <f>IFERROR(__xludf.DUMMYFUNCTION("""COMPUTED_VALUE"""),"  ")</f>
        <v>  </v>
      </c>
      <c r="K105" s="8" t="str">
        <f>IFERROR(__xludf.DUMMYFUNCTION("""COMPUTED_VALUE"""),"706279")</f>
        <v>706279</v>
      </c>
      <c r="L105" s="8" t="str">
        <f>IFERROR(__xludf.DUMMYFUNCTION("""COMPUTED_VALUE"""),"INCO KURSI STAF CASOVA I")</f>
        <v>INCO KURSI STAF CASOVA I</v>
      </c>
      <c r="M105" s="12">
        <f>IFERROR(__xludf.DUMMYFUNCTION("""COMPUTED_VALUE"""),2.0)</f>
        <v>2</v>
      </c>
      <c r="N105" s="8" t="str">
        <f>IFERROR(__xludf.DUMMYFUNCTION("""COMPUTED_VALUE"""),"BH")</f>
        <v>BH</v>
      </c>
      <c r="O105" s="13">
        <f>IFERROR(__xludf.DUMMYFUNCTION("""COMPUTED_VALUE"""),950000.0)</f>
        <v>950000</v>
      </c>
      <c r="P105" s="12">
        <f>IFERROR(__xludf.DUMMYFUNCTION("""COMPUTED_VALUE"""),0.0)</f>
        <v>0</v>
      </c>
      <c r="Q105" s="8"/>
      <c r="R105" s="8">
        <f>IFERROR(__xludf.DUMMYFUNCTION("""COMPUTED_VALUE"""),0.0)</f>
        <v>0</v>
      </c>
      <c r="S105" s="12">
        <f>IFERROR(__xludf.DUMMYFUNCTION("""COMPUTED_VALUE"""),1900000.0)</f>
        <v>1900000</v>
      </c>
      <c r="T105" s="12">
        <f>IFERROR(__xludf.DUMMYFUNCTION("""COMPUTED_VALUE"""),1900000.0)</f>
        <v>1900000</v>
      </c>
      <c r="U105" s="13">
        <f>IFERROR(__xludf.DUMMYFUNCTION("""COMPUTED_VALUE"""),0.0)</f>
        <v>0</v>
      </c>
      <c r="V105" s="8"/>
      <c r="W105" s="8"/>
      <c r="X105" s="8">
        <f t="shared" si="1"/>
        <v>2</v>
      </c>
      <c r="AA105" s="10"/>
    </row>
    <row r="106">
      <c r="A106" s="8" t="str">
        <f>IFERROR(__xludf.DUMMYFUNCTION("""COMPUTED_VALUE"""),"9899/JL/UTM/0224")</f>
        <v>9899/JL/UTM/0224</v>
      </c>
      <c r="B106" s="11">
        <f>IFERROR(__xludf.DUMMYFUNCTION("""COMPUTED_VALUE"""),45341.674363425926)</f>
        <v>45341.67436</v>
      </c>
      <c r="C106" s="8" t="str">
        <f>IFERROR(__xludf.DUMMYFUNCTION("""COMPUTED_VALUE"""),"PL0917")</f>
        <v>PL0917</v>
      </c>
      <c r="D106" s="8" t="str">
        <f>IFERROR(__xludf.DUMMYFUNCTION("""COMPUTED_VALUE"""),"SOALPRINT")</f>
        <v>SOALPRINT</v>
      </c>
      <c r="E106" s="8" t="str">
        <f>IFERROR(__xludf.DUMMYFUNCTION("""COMPUTED_VALUE"""),"JUFRY")</f>
        <v>JUFRY</v>
      </c>
      <c r="F106" s="8"/>
      <c r="G106" s="8"/>
      <c r="H106" s="8"/>
      <c r="I106" s="8"/>
      <c r="J106" s="8" t="str">
        <f>IFERROR(__xludf.DUMMYFUNCTION("""COMPUTED_VALUE"""),"THAMRIN  ")</f>
        <v>THAMRIN  </v>
      </c>
      <c r="K106" s="8" t="str">
        <f>IFERROR(__xludf.DUMMYFUNCTION("""COMPUTED_VALUE"""),"706276")</f>
        <v>706276</v>
      </c>
      <c r="L106" s="8" t="str">
        <f>IFERROR(__xludf.DUMMYFUNCTION("""COMPUTED_VALUE"""),"EMPORIUM LOKER 12 PINTU EL-12")</f>
        <v>EMPORIUM LOKER 12 PINTU EL-12</v>
      </c>
      <c r="M106" s="12">
        <f>IFERROR(__xludf.DUMMYFUNCTION("""COMPUTED_VALUE"""),1.0)</f>
        <v>1</v>
      </c>
      <c r="N106" s="8" t="str">
        <f>IFERROR(__xludf.DUMMYFUNCTION("""COMPUTED_VALUE"""),"UNIT")</f>
        <v>UNIT</v>
      </c>
      <c r="O106" s="13">
        <f>IFERROR(__xludf.DUMMYFUNCTION("""COMPUTED_VALUE"""),3100000.0)</f>
        <v>3100000</v>
      </c>
      <c r="P106" s="12">
        <f>IFERROR(__xludf.DUMMYFUNCTION("""COMPUTED_VALUE"""),0.0)</f>
        <v>0</v>
      </c>
      <c r="Q106" s="8"/>
      <c r="R106" s="8">
        <f>IFERROR(__xludf.DUMMYFUNCTION("""COMPUTED_VALUE"""),0.0)</f>
        <v>0</v>
      </c>
      <c r="S106" s="12">
        <f>IFERROR(__xludf.DUMMYFUNCTION("""COMPUTED_VALUE"""),6187500.0)</f>
        <v>6187500</v>
      </c>
      <c r="T106" s="12">
        <f>IFERROR(__xludf.DUMMYFUNCTION("""COMPUTED_VALUE"""),3100000.0)</f>
        <v>3100000</v>
      </c>
      <c r="U106" s="13">
        <f>IFERROR(__xludf.DUMMYFUNCTION("""COMPUTED_VALUE"""),25.0)</f>
        <v>25</v>
      </c>
      <c r="V106" s="8"/>
      <c r="W106" s="8"/>
      <c r="X106" s="8">
        <f t="shared" si="1"/>
        <v>2</v>
      </c>
      <c r="AA106" s="10"/>
    </row>
    <row r="107">
      <c r="A107" s="8" t="str">
        <f>IFERROR(__xludf.DUMMYFUNCTION("""COMPUTED_VALUE"""),"9899/JL/UTM/0224")</f>
        <v>9899/JL/UTM/0224</v>
      </c>
      <c r="B107" s="11">
        <f>IFERROR(__xludf.DUMMYFUNCTION("""COMPUTED_VALUE"""),45341.674363425926)</f>
        <v>45341.67436</v>
      </c>
      <c r="C107" s="8" t="str">
        <f>IFERROR(__xludf.DUMMYFUNCTION("""COMPUTED_VALUE"""),"PL0917")</f>
        <v>PL0917</v>
      </c>
      <c r="D107" s="8" t="str">
        <f>IFERROR(__xludf.DUMMYFUNCTION("""COMPUTED_VALUE"""),"SOALPRINT")</f>
        <v>SOALPRINT</v>
      </c>
      <c r="E107" s="8" t="str">
        <f>IFERROR(__xludf.DUMMYFUNCTION("""COMPUTED_VALUE"""),"JUFRY")</f>
        <v>JUFRY</v>
      </c>
      <c r="F107" s="8"/>
      <c r="G107" s="8"/>
      <c r="H107" s="8"/>
      <c r="I107" s="8"/>
      <c r="J107" s="8" t="str">
        <f>IFERROR(__xludf.DUMMYFUNCTION("""COMPUTED_VALUE"""),"THAMRIN  ")</f>
        <v>THAMRIN  </v>
      </c>
      <c r="K107" s="8" t="str">
        <f>IFERROR(__xludf.DUMMYFUNCTION("""COMPUTED_VALUE"""),"40242")</f>
        <v>40242</v>
      </c>
      <c r="L107" s="8" t="str">
        <f>IFERROR(__xludf.DUMMYFUNCTION("""COMPUTED_VALUE"""),"BROTHER RAK BESI SERBAGUNA B-901")</f>
        <v>BROTHER RAK BESI SERBAGUNA B-901</v>
      </c>
      <c r="M107" s="12">
        <f>IFERROR(__xludf.DUMMYFUNCTION("""COMPUTED_VALUE"""),1.0)</f>
        <v>1</v>
      </c>
      <c r="N107" s="8" t="str">
        <f>IFERROR(__xludf.DUMMYFUNCTION("""COMPUTED_VALUE"""),"UNIT")</f>
        <v>UNIT</v>
      </c>
      <c r="O107" s="13">
        <f>IFERROR(__xludf.DUMMYFUNCTION("""COMPUTED_VALUE"""),1650000.0)</f>
        <v>1650000</v>
      </c>
      <c r="P107" s="12">
        <f>IFERROR(__xludf.DUMMYFUNCTION("""COMPUTED_VALUE"""),0.0)</f>
        <v>0</v>
      </c>
      <c r="Q107" s="8"/>
      <c r="R107" s="8">
        <f>IFERROR(__xludf.DUMMYFUNCTION("""COMPUTED_VALUE"""),0.0)</f>
        <v>0</v>
      </c>
      <c r="S107" s="12">
        <f>IFERROR(__xludf.DUMMYFUNCTION("""COMPUTED_VALUE"""),6187500.0)</f>
        <v>6187500</v>
      </c>
      <c r="T107" s="12">
        <f>IFERROR(__xludf.DUMMYFUNCTION("""COMPUTED_VALUE"""),1650000.0)</f>
        <v>1650000</v>
      </c>
      <c r="U107" s="13">
        <f>IFERROR(__xludf.DUMMYFUNCTION("""COMPUTED_VALUE"""),25.0)</f>
        <v>25</v>
      </c>
      <c r="V107" s="8"/>
      <c r="W107" s="8"/>
      <c r="X107" s="8">
        <f t="shared" si="1"/>
        <v>2</v>
      </c>
      <c r="AA107" s="10"/>
    </row>
    <row r="108">
      <c r="A108" s="8" t="str">
        <f>IFERROR(__xludf.DUMMYFUNCTION("""COMPUTED_VALUE"""),"9899/JL/UTM/0224")</f>
        <v>9899/JL/UTM/0224</v>
      </c>
      <c r="B108" s="11">
        <f>IFERROR(__xludf.DUMMYFUNCTION("""COMPUTED_VALUE"""),45341.674363425926)</f>
        <v>45341.67436</v>
      </c>
      <c r="C108" s="8" t="str">
        <f>IFERROR(__xludf.DUMMYFUNCTION("""COMPUTED_VALUE"""),"PL0917")</f>
        <v>PL0917</v>
      </c>
      <c r="D108" s="8" t="str">
        <f>IFERROR(__xludf.DUMMYFUNCTION("""COMPUTED_VALUE"""),"SOALPRINT")</f>
        <v>SOALPRINT</v>
      </c>
      <c r="E108" s="8" t="str">
        <f>IFERROR(__xludf.DUMMYFUNCTION("""COMPUTED_VALUE"""),"JUFRY")</f>
        <v>JUFRY</v>
      </c>
      <c r="F108" s="8"/>
      <c r="G108" s="8"/>
      <c r="H108" s="8"/>
      <c r="I108" s="8"/>
      <c r="J108" s="8" t="str">
        <f>IFERROR(__xludf.DUMMYFUNCTION("""COMPUTED_VALUE"""),"THAMRIN  ")</f>
        <v>THAMRIN  </v>
      </c>
      <c r="K108" s="8" t="str">
        <f>IFERROR(__xludf.DUMMYFUNCTION("""COMPUTED_VALUE"""),"702267")</f>
        <v>702267</v>
      </c>
      <c r="L108" s="8" t="str">
        <f>IFERROR(__xludf.DUMMYFUNCTION("""COMPUTED_VALUE"""),"AVERY MEJA 1 BIRO BESI MT 1600D")</f>
        <v>AVERY MEJA 1 BIRO BESI MT 1600D</v>
      </c>
      <c r="M108" s="12">
        <f>IFERROR(__xludf.DUMMYFUNCTION("""COMPUTED_VALUE"""),1.0)</f>
        <v>1</v>
      </c>
      <c r="N108" s="8" t="str">
        <f>IFERROR(__xludf.DUMMYFUNCTION("""COMPUTED_VALUE"""),"UNIT")</f>
        <v>UNIT</v>
      </c>
      <c r="O108" s="13">
        <f>IFERROR(__xludf.DUMMYFUNCTION("""COMPUTED_VALUE"""),3500000.0)</f>
        <v>3500000</v>
      </c>
      <c r="P108" s="12">
        <f>IFERROR(__xludf.DUMMYFUNCTION("""COMPUTED_VALUE"""),0.0)</f>
        <v>0</v>
      </c>
      <c r="Q108" s="8"/>
      <c r="R108" s="8">
        <f>IFERROR(__xludf.DUMMYFUNCTION("""COMPUTED_VALUE"""),0.0)</f>
        <v>0</v>
      </c>
      <c r="S108" s="12">
        <f>IFERROR(__xludf.DUMMYFUNCTION("""COMPUTED_VALUE"""),6187500.0)</f>
        <v>6187500</v>
      </c>
      <c r="T108" s="12">
        <f>IFERROR(__xludf.DUMMYFUNCTION("""COMPUTED_VALUE"""),3500000.0)</f>
        <v>3500000</v>
      </c>
      <c r="U108" s="13">
        <f>IFERROR(__xludf.DUMMYFUNCTION("""COMPUTED_VALUE"""),25.0)</f>
        <v>25</v>
      </c>
      <c r="V108" s="8"/>
      <c r="W108" s="8"/>
      <c r="X108" s="8">
        <f t="shared" si="1"/>
        <v>2</v>
      </c>
      <c r="AA108" s="10"/>
    </row>
    <row r="109">
      <c r="A109" s="8" t="str">
        <f>IFERROR(__xludf.DUMMYFUNCTION("""COMPUTED_VALUE"""),"9900/JL/UTM/0224")</f>
        <v>9900/JL/UTM/0224</v>
      </c>
      <c r="B109" s="11">
        <f>IFERROR(__xludf.DUMMYFUNCTION("""COMPUTED_VALUE"""),45342.67251157407)</f>
        <v>45342.67251</v>
      </c>
      <c r="C109" s="8" t="str">
        <f>IFERROR(__xludf.DUMMYFUNCTION("""COMPUTED_VALUE"""),"UMUM")</f>
        <v>UMUM</v>
      </c>
      <c r="D109" s="8" t="str">
        <f>IFERROR(__xludf.DUMMYFUNCTION("""COMPUTED_VALUE"""),"UMUM")</f>
        <v>UMUM</v>
      </c>
      <c r="E109" s="8" t="str">
        <f>IFERROR(__xludf.DUMMYFUNCTION("""COMPUTED_VALUE"""),"JUFRY")</f>
        <v>JUFRY</v>
      </c>
      <c r="F109" s="8"/>
      <c r="G109" s="8"/>
      <c r="H109" s="8"/>
      <c r="I109" s="8"/>
      <c r="J109" s="8" t="str">
        <f>IFERROR(__xludf.DUMMYFUNCTION("""COMPUTED_VALUE"""),"  ")</f>
        <v>  </v>
      </c>
      <c r="K109" s="8" t="str">
        <f>IFERROR(__xludf.DUMMYFUNCTION("""COMPUTED_VALUE"""),"706260")</f>
        <v>706260</v>
      </c>
      <c r="L109" s="8" t="str">
        <f>IFERROR(__xludf.DUMMYFUNCTION("""COMPUTED_VALUE"""),"PDFM 360 MINI LAMINATING ROL")</f>
        <v>PDFM 360 MINI LAMINATING ROL</v>
      </c>
      <c r="M109" s="12">
        <f>IFERROR(__xludf.DUMMYFUNCTION("""COMPUTED_VALUE"""),1.0)</f>
        <v>1</v>
      </c>
      <c r="N109" s="8" t="str">
        <f>IFERROR(__xludf.DUMMYFUNCTION("""COMPUTED_VALUE"""),"BH")</f>
        <v>BH</v>
      </c>
      <c r="O109" s="13">
        <f>IFERROR(__xludf.DUMMYFUNCTION("""COMPUTED_VALUE"""),4000000.0)</f>
        <v>4000000</v>
      </c>
      <c r="P109" s="12">
        <f>IFERROR(__xludf.DUMMYFUNCTION("""COMPUTED_VALUE"""),3700000.0)</f>
        <v>3700000</v>
      </c>
      <c r="Q109" s="8"/>
      <c r="R109" s="8">
        <f>IFERROR(__xludf.DUMMYFUNCTION("""COMPUTED_VALUE"""),0.0)</f>
        <v>0</v>
      </c>
      <c r="S109" s="12">
        <f>IFERROR(__xludf.DUMMYFUNCTION("""COMPUTED_VALUE"""),0.0)</f>
        <v>0</v>
      </c>
      <c r="T109" s="12">
        <f>IFERROR(__xludf.DUMMYFUNCTION("""COMPUTED_VALUE"""),4000000.0)</f>
        <v>4000000</v>
      </c>
      <c r="U109" s="13">
        <f>IFERROR(__xludf.DUMMYFUNCTION("""COMPUTED_VALUE"""),7.5)</f>
        <v>7.5</v>
      </c>
      <c r="V109" s="8" t="str">
        <f>IFERROR(__xludf.DUMMYFUNCTION("""COMPUTED_VALUE"""),"QRIS TOTAL Rp. 3.950.000 selisih untuk ATK")</f>
        <v>QRIS TOTAL Rp. 3.950.000 selisih untuk ATK</v>
      </c>
      <c r="W109" s="8"/>
      <c r="X109" s="8">
        <f t="shared" si="1"/>
        <v>2</v>
      </c>
      <c r="AA109" s="10"/>
    </row>
    <row r="110">
      <c r="A110" s="8" t="str">
        <f>IFERROR(__xludf.DUMMYFUNCTION("""COMPUTED_VALUE"""),"9901/JL/UTM/0224")</f>
        <v>9901/JL/UTM/0224</v>
      </c>
      <c r="B110" s="11">
        <f>IFERROR(__xludf.DUMMYFUNCTION("""COMPUTED_VALUE"""),45342.67314814815)</f>
        <v>45342.67315</v>
      </c>
      <c r="C110" s="8" t="str">
        <f>IFERROR(__xludf.DUMMYFUNCTION("""COMPUTED_VALUE"""),"UMUM")</f>
        <v>UMUM</v>
      </c>
      <c r="D110" s="8" t="str">
        <f>IFERROR(__xludf.DUMMYFUNCTION("""COMPUTED_VALUE"""),"UMUM")</f>
        <v>UMUM</v>
      </c>
      <c r="E110" s="8" t="str">
        <f>IFERROR(__xludf.DUMMYFUNCTION("""COMPUTED_VALUE"""),"JUFRY")</f>
        <v>JUFRY</v>
      </c>
      <c r="F110" s="8"/>
      <c r="G110" s="8"/>
      <c r="H110" s="8"/>
      <c r="I110" s="8"/>
      <c r="J110" s="8" t="str">
        <f>IFERROR(__xludf.DUMMYFUNCTION("""COMPUTED_VALUE"""),"  ")</f>
        <v>  </v>
      </c>
      <c r="K110" s="8" t="str">
        <f>IFERROR(__xludf.DUMMYFUNCTION("""COMPUTED_VALUE"""),"706116")</f>
        <v>706116</v>
      </c>
      <c r="L110" s="8" t="str">
        <f>IFERROR(__xludf.DUMMYFUNCTION("""COMPUTED_VALUE"""),"JOYKO MSN LEBEL HARGA MX5500")</f>
        <v>JOYKO MSN LEBEL HARGA MX5500</v>
      </c>
      <c r="M110" s="12">
        <f>IFERROR(__xludf.DUMMYFUNCTION("""COMPUTED_VALUE"""),1.0)</f>
        <v>1</v>
      </c>
      <c r="N110" s="8" t="str">
        <f>IFERROR(__xludf.DUMMYFUNCTION("""COMPUTED_VALUE"""),"BH")</f>
        <v>BH</v>
      </c>
      <c r="O110" s="13">
        <f>IFERROR(__xludf.DUMMYFUNCTION("""COMPUTED_VALUE"""),70000.0)</f>
        <v>70000</v>
      </c>
      <c r="P110" s="12">
        <f>IFERROR(__xludf.DUMMYFUNCTION("""COMPUTED_VALUE"""),70000.0)</f>
        <v>70000</v>
      </c>
      <c r="Q110" s="8"/>
      <c r="R110" s="8">
        <f>IFERROR(__xludf.DUMMYFUNCTION("""COMPUTED_VALUE"""),0.0)</f>
        <v>0</v>
      </c>
      <c r="S110" s="12">
        <f>IFERROR(__xludf.DUMMYFUNCTION("""COMPUTED_VALUE"""),0.0)</f>
        <v>0</v>
      </c>
      <c r="T110" s="12">
        <f>IFERROR(__xludf.DUMMYFUNCTION("""COMPUTED_VALUE"""),70000.0)</f>
        <v>70000</v>
      </c>
      <c r="U110" s="13">
        <f>IFERROR(__xludf.DUMMYFUNCTION("""COMPUTED_VALUE"""),0.0)</f>
        <v>0</v>
      </c>
      <c r="V110" s="8"/>
      <c r="W110" s="8"/>
      <c r="X110" s="8">
        <f t="shared" si="1"/>
        <v>2</v>
      </c>
      <c r="AA110" s="10"/>
    </row>
    <row r="111">
      <c r="A111" s="8" t="str">
        <f>IFERROR(__xludf.DUMMYFUNCTION("""COMPUTED_VALUE"""),"9902/JL/UTM/0224")</f>
        <v>9902/JL/UTM/0224</v>
      </c>
      <c r="B111" s="11">
        <f>IFERROR(__xludf.DUMMYFUNCTION("""COMPUTED_VALUE"""),45343.70202546296)</f>
        <v>45343.70203</v>
      </c>
      <c r="C111" s="8" t="str">
        <f>IFERROR(__xludf.DUMMYFUNCTION("""COMPUTED_VALUE"""),"UMUM")</f>
        <v>UMUM</v>
      </c>
      <c r="D111" s="8" t="str">
        <f>IFERROR(__xludf.DUMMYFUNCTION("""COMPUTED_VALUE"""),"UMUM")</f>
        <v>UMUM</v>
      </c>
      <c r="E111" s="8" t="str">
        <f>IFERROR(__xludf.DUMMYFUNCTION("""COMPUTED_VALUE"""),"JUFRY")</f>
        <v>JUFRY</v>
      </c>
      <c r="F111" s="8"/>
      <c r="G111" s="8"/>
      <c r="H111" s="8"/>
      <c r="I111" s="8"/>
      <c r="J111" s="8" t="str">
        <f>IFERROR(__xludf.DUMMYFUNCTION("""COMPUTED_VALUE"""),"  ")</f>
        <v>  </v>
      </c>
      <c r="K111" s="8" t="str">
        <f>IFERROR(__xludf.DUMMYFUNCTION("""COMPUTED_VALUE"""),"40331")</f>
        <v>40331</v>
      </c>
      <c r="L111" s="8" t="str">
        <f>IFERROR(__xludf.DUMMYFUNCTION("""COMPUTED_VALUE"""),"V-TEC CASH BOX VT-869")</f>
        <v>V-TEC CASH BOX VT-869</v>
      </c>
      <c r="M111" s="12">
        <f>IFERROR(__xludf.DUMMYFUNCTION("""COMPUTED_VALUE"""),1.0)</f>
        <v>1</v>
      </c>
      <c r="N111" s="8" t="str">
        <f>IFERROR(__xludf.DUMMYFUNCTION("""COMPUTED_VALUE"""),"BH")</f>
        <v>BH</v>
      </c>
      <c r="O111" s="13">
        <f>IFERROR(__xludf.DUMMYFUNCTION("""COMPUTED_VALUE"""),800000.0)</f>
        <v>800000</v>
      </c>
      <c r="P111" s="12">
        <f>IFERROR(__xludf.DUMMYFUNCTION("""COMPUTED_VALUE"""),750000.0)</f>
        <v>750000</v>
      </c>
      <c r="Q111" s="8"/>
      <c r="R111" s="8">
        <f>IFERROR(__xludf.DUMMYFUNCTION("""COMPUTED_VALUE"""),0.0)</f>
        <v>0</v>
      </c>
      <c r="S111" s="12">
        <f>IFERROR(__xludf.DUMMYFUNCTION("""COMPUTED_VALUE"""),0.0)</f>
        <v>0</v>
      </c>
      <c r="T111" s="12">
        <f>IFERROR(__xludf.DUMMYFUNCTION("""COMPUTED_VALUE"""),800000.0)</f>
        <v>800000</v>
      </c>
      <c r="U111" s="13">
        <f>IFERROR(__xludf.DUMMYFUNCTION("""COMPUTED_VALUE"""),6.25)</f>
        <v>6.25</v>
      </c>
      <c r="V111" s="8" t="str">
        <f>IFERROR(__xludf.DUMMYFUNCTION("""COMPUTED_VALUE"""),"QRIS")</f>
        <v>QRIS</v>
      </c>
      <c r="W111" s="8"/>
      <c r="X111" s="8">
        <f t="shared" si="1"/>
        <v>2</v>
      </c>
      <c r="AA111" s="10"/>
    </row>
    <row r="112">
      <c r="A112" s="8" t="str">
        <f>IFERROR(__xludf.DUMMYFUNCTION("""COMPUTED_VALUE"""),"9903/JL/UTM/0224")</f>
        <v>9903/JL/UTM/0224</v>
      </c>
      <c r="B112" s="11">
        <f>IFERROR(__xludf.DUMMYFUNCTION("""COMPUTED_VALUE"""),45343.70412037037)</f>
        <v>45343.70412</v>
      </c>
      <c r="C112" s="8" t="str">
        <f>IFERROR(__xludf.DUMMYFUNCTION("""COMPUTED_VALUE"""),"805")</f>
        <v>805</v>
      </c>
      <c r="D112" s="8" t="str">
        <f>IFERROR(__xludf.DUMMYFUNCTION("""COMPUTED_VALUE"""),"PT. ANUGRAH ARGON MEDICA")</f>
        <v>PT. ANUGRAH ARGON MEDICA</v>
      </c>
      <c r="E112" s="8" t="str">
        <f>IFERROR(__xludf.DUMMYFUNCTION("""COMPUTED_VALUE"""),"JUFRY")</f>
        <v>JUFRY</v>
      </c>
      <c r="F112" s="8"/>
      <c r="G112" s="8"/>
      <c r="H112" s="8"/>
      <c r="I112" s="8"/>
      <c r="J112" s="8" t="str">
        <f>IFERROR(__xludf.DUMMYFUNCTION("""COMPUTED_VALUE"""),"  ")</f>
        <v>  </v>
      </c>
      <c r="K112" s="8" t="str">
        <f>IFERROR(__xludf.DUMMYFUNCTION("""COMPUTED_VALUE"""),"20254")</f>
        <v>20254</v>
      </c>
      <c r="L112" s="8" t="str">
        <f>IFERROR(__xludf.DUMMYFUNCTION("""COMPUTED_VALUE"""),"SECURE PAPER SHREDDER EzSC-10A")</f>
        <v>SECURE PAPER SHREDDER EzSC-10A</v>
      </c>
      <c r="M112" s="12">
        <f>IFERROR(__xludf.DUMMYFUNCTION("""COMPUTED_VALUE"""),1.0)</f>
        <v>1</v>
      </c>
      <c r="N112" s="8" t="str">
        <f>IFERROR(__xludf.DUMMYFUNCTION("""COMPUTED_VALUE"""),"UNIT")</f>
        <v>UNIT</v>
      </c>
      <c r="O112" s="13">
        <f>IFERROR(__xludf.DUMMYFUNCTION("""COMPUTED_VALUE"""),1875000.0)</f>
        <v>1875000</v>
      </c>
      <c r="P112" s="12">
        <f>IFERROR(__xludf.DUMMYFUNCTION("""COMPUTED_VALUE"""),1875000.0)</f>
        <v>1875000</v>
      </c>
      <c r="Q112" s="8"/>
      <c r="R112" s="8">
        <f>IFERROR(__xludf.DUMMYFUNCTION("""COMPUTED_VALUE"""),0.0)</f>
        <v>0</v>
      </c>
      <c r="S112" s="12">
        <f>IFERROR(__xludf.DUMMYFUNCTION("""COMPUTED_VALUE"""),0.0)</f>
        <v>0</v>
      </c>
      <c r="T112" s="12">
        <f>IFERROR(__xludf.DUMMYFUNCTION("""COMPUTED_VALUE"""),1875000.0)</f>
        <v>1875000</v>
      </c>
      <c r="U112" s="13">
        <f>IFERROR(__xludf.DUMMYFUNCTION("""COMPUTED_VALUE"""),0.0)</f>
        <v>0</v>
      </c>
      <c r="V112" s="8" t="str">
        <f>IFERROR(__xludf.DUMMYFUNCTION("""COMPUTED_VALUE"""),"TRANSFER MANDIRI")</f>
        <v>TRANSFER MANDIRI</v>
      </c>
      <c r="W112" s="8"/>
      <c r="X112" s="8">
        <f t="shared" si="1"/>
        <v>2</v>
      </c>
      <c r="AA112" s="10"/>
    </row>
    <row r="113">
      <c r="A113" s="8" t="str">
        <f>IFERROR(__xludf.DUMMYFUNCTION("""COMPUTED_VALUE"""),"9904/JL/UTM/0224")</f>
        <v>9904/JL/UTM/0224</v>
      </c>
      <c r="B113" s="11">
        <f>IFERROR(__xludf.DUMMYFUNCTION("""COMPUTED_VALUE"""),45343.70472222222)</f>
        <v>45343.70472</v>
      </c>
      <c r="C113" s="8" t="str">
        <f>IFERROR(__xludf.DUMMYFUNCTION("""COMPUTED_VALUE"""),"UMUM")</f>
        <v>UMUM</v>
      </c>
      <c r="D113" s="8" t="str">
        <f>IFERROR(__xludf.DUMMYFUNCTION("""COMPUTED_VALUE"""),"UMUM")</f>
        <v>UMUM</v>
      </c>
      <c r="E113" s="8" t="str">
        <f>IFERROR(__xludf.DUMMYFUNCTION("""COMPUTED_VALUE"""),"JUFRY")</f>
        <v>JUFRY</v>
      </c>
      <c r="F113" s="8"/>
      <c r="G113" s="8"/>
      <c r="H113" s="8"/>
      <c r="I113" s="8"/>
      <c r="J113" s="8" t="str">
        <f>IFERROR(__xludf.DUMMYFUNCTION("""COMPUTED_VALUE"""),"  ")</f>
        <v>  </v>
      </c>
      <c r="K113" s="8" t="str">
        <f>IFERROR(__xludf.DUMMYFUNCTION("""COMPUTED_VALUE"""),"706187")</f>
        <v>706187</v>
      </c>
      <c r="L113" s="8" t="str">
        <f>IFERROR(__xludf.DUMMYFUNCTION("""COMPUTED_VALUE"""),"KINGCO WHITE BOARD 50 X 70 CM")</f>
        <v>KINGCO WHITE BOARD 50 X 70 CM</v>
      </c>
      <c r="M113" s="12">
        <f>IFERROR(__xludf.DUMMYFUNCTION("""COMPUTED_VALUE"""),4.0)</f>
        <v>4</v>
      </c>
      <c r="N113" s="8" t="str">
        <f>IFERROR(__xludf.DUMMYFUNCTION("""COMPUTED_VALUE"""),"BH")</f>
        <v>BH</v>
      </c>
      <c r="O113" s="13">
        <f>IFERROR(__xludf.DUMMYFUNCTION("""COMPUTED_VALUE"""),100000.0)</f>
        <v>100000</v>
      </c>
      <c r="P113" s="12">
        <f>IFERROR(__xludf.DUMMYFUNCTION("""COMPUTED_VALUE"""),400000.0)</f>
        <v>400000</v>
      </c>
      <c r="Q113" s="8"/>
      <c r="R113" s="8">
        <f>IFERROR(__xludf.DUMMYFUNCTION("""COMPUTED_VALUE"""),0.0)</f>
        <v>0</v>
      </c>
      <c r="S113" s="12">
        <f>IFERROR(__xludf.DUMMYFUNCTION("""COMPUTED_VALUE"""),0.0)</f>
        <v>0</v>
      </c>
      <c r="T113" s="12">
        <f>IFERROR(__xludf.DUMMYFUNCTION("""COMPUTED_VALUE"""),400000.0)</f>
        <v>400000</v>
      </c>
      <c r="U113" s="13">
        <f>IFERROR(__xludf.DUMMYFUNCTION("""COMPUTED_VALUE"""),0.0)</f>
        <v>0</v>
      </c>
      <c r="V113" s="8"/>
      <c r="W113" s="8"/>
      <c r="X113" s="8">
        <f t="shared" si="1"/>
        <v>2</v>
      </c>
      <c r="AA113" s="10"/>
    </row>
    <row r="114">
      <c r="A114" s="8" t="str">
        <f>IFERROR(__xludf.DUMMYFUNCTION("""COMPUTED_VALUE"""),"9905/JL/UTM/0224")</f>
        <v>9905/JL/UTM/0224</v>
      </c>
      <c r="B114" s="11">
        <f>IFERROR(__xludf.DUMMYFUNCTION("""COMPUTED_VALUE"""),45344.630532407406)</f>
        <v>45344.63053</v>
      </c>
      <c r="C114" s="8" t="str">
        <f>IFERROR(__xludf.DUMMYFUNCTION("""COMPUTED_VALUE"""),"903")</f>
        <v>903</v>
      </c>
      <c r="D114" s="8" t="str">
        <f>IFERROR(__xludf.DUMMYFUNCTION("""COMPUTED_VALUE"""),"SEKOLAH BK PALU")</f>
        <v>SEKOLAH BK PALU</v>
      </c>
      <c r="E114" s="8" t="str">
        <f>IFERROR(__xludf.DUMMYFUNCTION("""COMPUTED_VALUE"""),"JUFRY")</f>
        <v>JUFRY</v>
      </c>
      <c r="F114" s="8"/>
      <c r="G114" s="8"/>
      <c r="H114" s="8"/>
      <c r="I114" s="8"/>
      <c r="J114" s="8" t="str">
        <f>IFERROR(__xludf.DUMMYFUNCTION("""COMPUTED_VALUE"""),"  ")</f>
        <v>  </v>
      </c>
      <c r="K114" s="8" t="str">
        <f>IFERROR(__xludf.DUMMYFUNCTION("""COMPUTED_VALUE"""),"706082")</f>
        <v>706082</v>
      </c>
      <c r="L114" s="8" t="str">
        <f>IFERROR(__xludf.DUMMYFUNCTION("""COMPUTED_VALUE"""),"INTAGSTAR FC A18 INT LEMARI ARSIP 2 PINTU AYUN")</f>
        <v>INTAGSTAR FC A18 INT LEMARI ARSIP 2 PINTU AYUN</v>
      </c>
      <c r="M114" s="12">
        <f>IFERROR(__xludf.DUMMYFUNCTION("""COMPUTED_VALUE"""),1.0)</f>
        <v>1</v>
      </c>
      <c r="N114" s="8" t="str">
        <f>IFERROR(__xludf.DUMMYFUNCTION("""COMPUTED_VALUE"""),"UNIT")</f>
        <v>UNIT</v>
      </c>
      <c r="O114" s="13">
        <f>IFERROR(__xludf.DUMMYFUNCTION("""COMPUTED_VALUE"""),2725000.0)</f>
        <v>2725000</v>
      </c>
      <c r="P114" s="12">
        <f>IFERROR(__xludf.DUMMYFUNCTION("""COMPUTED_VALUE"""),2600000.0)</f>
        <v>2600000</v>
      </c>
      <c r="Q114" s="8"/>
      <c r="R114" s="8">
        <f>IFERROR(__xludf.DUMMYFUNCTION("""COMPUTED_VALUE"""),0.0)</f>
        <v>0</v>
      </c>
      <c r="S114" s="12">
        <f>IFERROR(__xludf.DUMMYFUNCTION("""COMPUTED_VALUE"""),0.0)</f>
        <v>0</v>
      </c>
      <c r="T114" s="12">
        <f>IFERROR(__xludf.DUMMYFUNCTION("""COMPUTED_VALUE"""),2725000.0)</f>
        <v>2725000</v>
      </c>
      <c r="U114" s="13">
        <f>IFERROR(__xludf.DUMMYFUNCTION("""COMPUTED_VALUE"""),4.5871559633)</f>
        <v>4.587155963</v>
      </c>
      <c r="V114" s="8"/>
      <c r="W114" s="8"/>
      <c r="X114" s="8">
        <f t="shared" si="1"/>
        <v>2</v>
      </c>
      <c r="AA114" s="10"/>
    </row>
    <row r="115">
      <c r="A115" s="8" t="str">
        <f>IFERROR(__xludf.DUMMYFUNCTION("""COMPUTED_VALUE"""),"9906/JL/UTM/0224")</f>
        <v>9906/JL/UTM/0224</v>
      </c>
      <c r="B115" s="11">
        <f>IFERROR(__xludf.DUMMYFUNCTION("""COMPUTED_VALUE"""),45344.631527777776)</f>
        <v>45344.63153</v>
      </c>
      <c r="C115" s="8" t="str">
        <f>IFERROR(__xludf.DUMMYFUNCTION("""COMPUTED_VALUE"""),"678")</f>
        <v>678</v>
      </c>
      <c r="D115" s="8" t="str">
        <f>IFERROR(__xludf.DUMMYFUNCTION("""COMPUTED_VALUE"""),"SMK NEG.I BANAWA, DONGGALA")</f>
        <v>SMK NEG.I BANAWA, DONGGALA</v>
      </c>
      <c r="E115" s="8" t="str">
        <f>IFERROR(__xludf.DUMMYFUNCTION("""COMPUTED_VALUE"""),"JUFRY")</f>
        <v>JUFRY</v>
      </c>
      <c r="F115" s="8"/>
      <c r="G115" s="8"/>
      <c r="H115" s="8"/>
      <c r="I115" s="8"/>
      <c r="J115" s="8" t="str">
        <f>IFERROR(__xludf.DUMMYFUNCTION("""COMPUTED_VALUE"""),"  ")</f>
        <v>  </v>
      </c>
      <c r="K115" s="8" t="str">
        <f>IFERROR(__xludf.DUMMYFUNCTION("""COMPUTED_VALUE"""),"706287")</f>
        <v>706287</v>
      </c>
      <c r="L115" s="8" t="str">
        <f>IFERROR(__xludf.DUMMYFUNCTION("""COMPUTED_VALUE"""),"AVERY RAK BUKU METAL HBS 002")</f>
        <v>AVERY RAK BUKU METAL HBS 002</v>
      </c>
      <c r="M115" s="12">
        <f>IFERROR(__xludf.DUMMYFUNCTION("""COMPUTED_VALUE"""),1.0)</f>
        <v>1</v>
      </c>
      <c r="N115" s="8" t="str">
        <f>IFERROR(__xludf.DUMMYFUNCTION("""COMPUTED_VALUE"""),"UNIT")</f>
        <v>UNIT</v>
      </c>
      <c r="O115" s="13">
        <f>IFERROR(__xludf.DUMMYFUNCTION("""COMPUTED_VALUE"""),2750000.0)</f>
        <v>2750000</v>
      </c>
      <c r="P115" s="12">
        <f>IFERROR(__xludf.DUMMYFUNCTION("""COMPUTED_VALUE"""),2600000.0)</f>
        <v>2600000</v>
      </c>
      <c r="Q115" s="8"/>
      <c r="R115" s="8">
        <f>IFERROR(__xludf.DUMMYFUNCTION("""COMPUTED_VALUE"""),0.0)</f>
        <v>0</v>
      </c>
      <c r="S115" s="12">
        <f>IFERROR(__xludf.DUMMYFUNCTION("""COMPUTED_VALUE"""),0.0)</f>
        <v>0</v>
      </c>
      <c r="T115" s="12">
        <f>IFERROR(__xludf.DUMMYFUNCTION("""COMPUTED_VALUE"""),2750000.0)</f>
        <v>2750000</v>
      </c>
      <c r="U115" s="13">
        <f>IFERROR(__xludf.DUMMYFUNCTION("""COMPUTED_VALUE"""),5.4545454545)</f>
        <v>5.454545455</v>
      </c>
      <c r="V115" s="8"/>
      <c r="W115" s="8"/>
      <c r="X115" s="8">
        <f t="shared" si="1"/>
        <v>2</v>
      </c>
      <c r="AA115" s="10"/>
    </row>
    <row r="116">
      <c r="A116" s="8" t="str">
        <f>IFERROR(__xludf.DUMMYFUNCTION("""COMPUTED_VALUE"""),"9907/JL/UTM/0224")</f>
        <v>9907/JL/UTM/0224</v>
      </c>
      <c r="B116" s="11">
        <f>IFERROR(__xludf.DUMMYFUNCTION("""COMPUTED_VALUE"""),45344.633310185185)</f>
        <v>45344.63331</v>
      </c>
      <c r="C116" s="8" t="str">
        <f>IFERROR(__xludf.DUMMYFUNCTION("""COMPUTED_VALUE"""),"UMUM")</f>
        <v>UMUM</v>
      </c>
      <c r="D116" s="8" t="str">
        <f>IFERROR(__xludf.DUMMYFUNCTION("""COMPUTED_VALUE"""),"UMUM")</f>
        <v>UMUM</v>
      </c>
      <c r="E116" s="8" t="str">
        <f>IFERROR(__xludf.DUMMYFUNCTION("""COMPUTED_VALUE"""),"JUFRY")</f>
        <v>JUFRY</v>
      </c>
      <c r="F116" s="8"/>
      <c r="G116" s="8"/>
      <c r="H116" s="8"/>
      <c r="I116" s="8"/>
      <c r="J116" s="8" t="str">
        <f>IFERROR(__xludf.DUMMYFUNCTION("""COMPUTED_VALUE"""),"  ")</f>
        <v>  </v>
      </c>
      <c r="K116" s="8" t="str">
        <f>IFERROR(__xludf.DUMMYFUNCTION("""COMPUTED_VALUE"""),"706150")</f>
        <v>706150</v>
      </c>
      <c r="L116" s="8" t="str">
        <f>IFERROR(__xludf.DUMMYFUNCTION("""COMPUTED_VALUE"""),"SECURE MONEY COUNTER LD 24M")</f>
        <v>SECURE MONEY COUNTER LD 24M</v>
      </c>
      <c r="M116" s="12">
        <f>IFERROR(__xludf.DUMMYFUNCTION("""COMPUTED_VALUE"""),1.0)</f>
        <v>1</v>
      </c>
      <c r="N116" s="8" t="str">
        <f>IFERROR(__xludf.DUMMYFUNCTION("""COMPUTED_VALUE"""),"BH")</f>
        <v>BH</v>
      </c>
      <c r="O116" s="13">
        <f>IFERROR(__xludf.DUMMYFUNCTION("""COMPUTED_VALUE"""),1750000.0)</f>
        <v>1750000</v>
      </c>
      <c r="P116" s="12">
        <f>IFERROR(__xludf.DUMMYFUNCTION("""COMPUTED_VALUE"""),1650000.0)</f>
        <v>1650000</v>
      </c>
      <c r="Q116" s="8"/>
      <c r="R116" s="8">
        <f>IFERROR(__xludf.DUMMYFUNCTION("""COMPUTED_VALUE"""),0.0)</f>
        <v>0</v>
      </c>
      <c r="S116" s="12">
        <f>IFERROR(__xludf.DUMMYFUNCTION("""COMPUTED_VALUE"""),0.0)</f>
        <v>0</v>
      </c>
      <c r="T116" s="12">
        <f>IFERROR(__xludf.DUMMYFUNCTION("""COMPUTED_VALUE"""),1750000.0)</f>
        <v>1750000</v>
      </c>
      <c r="U116" s="13">
        <f>IFERROR(__xludf.DUMMYFUNCTION("""COMPUTED_VALUE"""),5.7142857143)</f>
        <v>5.714285714</v>
      </c>
      <c r="V116" s="8" t="str">
        <f>IFERROR(__xludf.DUMMYFUNCTION("""COMPUTED_VALUE"""),"TUNAI Rp 1.150.000, EDC MANDIRI Rp.500.000")</f>
        <v>TUNAI Rp 1.150.000, EDC MANDIRI Rp.500.000</v>
      </c>
      <c r="W116" s="8"/>
      <c r="X116" s="8">
        <f t="shared" si="1"/>
        <v>2</v>
      </c>
      <c r="AA116" s="10"/>
    </row>
    <row r="117">
      <c r="A117" s="8" t="str">
        <f>IFERROR(__xludf.DUMMYFUNCTION("""COMPUTED_VALUE"""),"9908/JL/UTM/0224")</f>
        <v>9908/JL/UTM/0224</v>
      </c>
      <c r="B117" s="11">
        <f>IFERROR(__xludf.DUMMYFUNCTION("""COMPUTED_VALUE"""),45344.63396990741)</f>
        <v>45344.63397</v>
      </c>
      <c r="C117" s="8" t="str">
        <f>IFERROR(__xludf.DUMMYFUNCTION("""COMPUTED_VALUE"""),"UMUM")</f>
        <v>UMUM</v>
      </c>
      <c r="D117" s="8" t="str">
        <f>IFERROR(__xludf.DUMMYFUNCTION("""COMPUTED_VALUE"""),"UMUM")</f>
        <v>UMUM</v>
      </c>
      <c r="E117" s="8" t="str">
        <f>IFERROR(__xludf.DUMMYFUNCTION("""COMPUTED_VALUE"""),"JUFRY")</f>
        <v>JUFRY</v>
      </c>
      <c r="F117" s="8"/>
      <c r="G117" s="8"/>
      <c r="H117" s="8"/>
      <c r="I117" s="8"/>
      <c r="J117" s="8" t="str">
        <f>IFERROR(__xludf.DUMMYFUNCTION("""COMPUTED_VALUE"""),"  ")</f>
        <v>  </v>
      </c>
      <c r="K117" s="8" t="str">
        <f>IFERROR(__xludf.DUMMYFUNCTION("""COMPUTED_VALUE"""),"706116")</f>
        <v>706116</v>
      </c>
      <c r="L117" s="8" t="str">
        <f>IFERROR(__xludf.DUMMYFUNCTION("""COMPUTED_VALUE"""),"JOYKO MSN LEBEL HARGA MX5500")</f>
        <v>JOYKO MSN LEBEL HARGA MX5500</v>
      </c>
      <c r="M117" s="12">
        <f>IFERROR(__xludf.DUMMYFUNCTION("""COMPUTED_VALUE"""),1.0)</f>
        <v>1</v>
      </c>
      <c r="N117" s="8" t="str">
        <f>IFERROR(__xludf.DUMMYFUNCTION("""COMPUTED_VALUE"""),"BH")</f>
        <v>BH</v>
      </c>
      <c r="O117" s="13">
        <f>IFERROR(__xludf.DUMMYFUNCTION("""COMPUTED_VALUE"""),70000.0)</f>
        <v>70000</v>
      </c>
      <c r="P117" s="12">
        <f>IFERROR(__xludf.DUMMYFUNCTION("""COMPUTED_VALUE"""),70000.0)</f>
        <v>70000</v>
      </c>
      <c r="Q117" s="8"/>
      <c r="R117" s="8">
        <f>IFERROR(__xludf.DUMMYFUNCTION("""COMPUTED_VALUE"""),0.0)</f>
        <v>0</v>
      </c>
      <c r="S117" s="12">
        <f>IFERROR(__xludf.DUMMYFUNCTION("""COMPUTED_VALUE"""),0.0)</f>
        <v>0</v>
      </c>
      <c r="T117" s="12">
        <f>IFERROR(__xludf.DUMMYFUNCTION("""COMPUTED_VALUE"""),70000.0)</f>
        <v>70000</v>
      </c>
      <c r="U117" s="13">
        <f>IFERROR(__xludf.DUMMYFUNCTION("""COMPUTED_VALUE"""),0.0)</f>
        <v>0</v>
      </c>
      <c r="V117" s="8"/>
      <c r="W117" s="8"/>
      <c r="X117" s="8">
        <f t="shared" si="1"/>
        <v>2</v>
      </c>
      <c r="AA117" s="10"/>
    </row>
    <row r="118">
      <c r="A118" s="8" t="str">
        <f>IFERROR(__xludf.DUMMYFUNCTION("""COMPUTED_VALUE"""),"9909/JL/UTM/0224")</f>
        <v>9909/JL/UTM/0224</v>
      </c>
      <c r="B118" s="11">
        <f>IFERROR(__xludf.DUMMYFUNCTION("""COMPUTED_VALUE"""),45344.66569444444)</f>
        <v>45344.66569</v>
      </c>
      <c r="C118" s="8" t="str">
        <f>IFERROR(__xludf.DUMMYFUNCTION("""COMPUTED_VALUE"""),"UMUM")</f>
        <v>UMUM</v>
      </c>
      <c r="D118" s="8" t="str">
        <f>IFERROR(__xludf.DUMMYFUNCTION("""COMPUTED_VALUE"""),"UMUM")</f>
        <v>UMUM</v>
      </c>
      <c r="E118" s="8" t="str">
        <f>IFERROR(__xludf.DUMMYFUNCTION("""COMPUTED_VALUE"""),"JUFRY")</f>
        <v>JUFRY</v>
      </c>
      <c r="F118" s="8"/>
      <c r="G118" s="8"/>
      <c r="H118" s="8"/>
      <c r="I118" s="8"/>
      <c r="J118" s="8" t="str">
        <f>IFERROR(__xludf.DUMMYFUNCTION("""COMPUTED_VALUE"""),"  ")</f>
        <v>  </v>
      </c>
      <c r="K118" s="8" t="str">
        <f>IFERROR(__xludf.DUMMYFUNCTION("""COMPUTED_VALUE"""),"606062")</f>
        <v>606062</v>
      </c>
      <c r="L118" s="8" t="str">
        <f>IFERROR(__xludf.DUMMYFUNCTION("""COMPUTED_VALUE"""),"Uchida Brankast HS 36K")</f>
        <v>Uchida Brankast HS 36K</v>
      </c>
      <c r="M118" s="12">
        <f>IFERROR(__xludf.DUMMYFUNCTION("""COMPUTED_VALUE"""),1.0)</f>
        <v>1</v>
      </c>
      <c r="N118" s="8" t="str">
        <f>IFERROR(__xludf.DUMMYFUNCTION("""COMPUTED_VALUE"""),"BH")</f>
        <v>BH</v>
      </c>
      <c r="O118" s="13">
        <f>IFERROR(__xludf.DUMMYFUNCTION("""COMPUTED_VALUE"""),4550000.0)</f>
        <v>4550000</v>
      </c>
      <c r="P118" s="12">
        <f>IFERROR(__xludf.DUMMYFUNCTION("""COMPUTED_VALUE"""),4300000.0)</f>
        <v>4300000</v>
      </c>
      <c r="Q118" s="8"/>
      <c r="R118" s="8">
        <f>IFERROR(__xludf.DUMMYFUNCTION("""COMPUTED_VALUE"""),0.0)</f>
        <v>0</v>
      </c>
      <c r="S118" s="12">
        <f>IFERROR(__xludf.DUMMYFUNCTION("""COMPUTED_VALUE"""),0.0)</f>
        <v>0</v>
      </c>
      <c r="T118" s="12">
        <f>IFERROR(__xludf.DUMMYFUNCTION("""COMPUTED_VALUE"""),4550000.0)</f>
        <v>4550000</v>
      </c>
      <c r="U118" s="13">
        <f>IFERROR(__xludf.DUMMYFUNCTION("""COMPUTED_VALUE"""),5.4945054945)</f>
        <v>5.494505495</v>
      </c>
      <c r="V118" s="8" t="str">
        <f>IFERROR(__xludf.DUMMYFUNCTION("""COMPUTED_VALUE"""),"QRIS")</f>
        <v>QRIS</v>
      </c>
      <c r="W118" s="8"/>
      <c r="X118" s="8">
        <f t="shared" si="1"/>
        <v>2</v>
      </c>
      <c r="AA118" s="10"/>
    </row>
    <row r="119">
      <c r="A119" s="8" t="str">
        <f>IFERROR(__xludf.DUMMYFUNCTION("""COMPUTED_VALUE"""),"9910/JL/UTM/0224")</f>
        <v>9910/JL/UTM/0224</v>
      </c>
      <c r="B119" s="11">
        <f>IFERROR(__xludf.DUMMYFUNCTION("""COMPUTED_VALUE"""),45344.676770833335)</f>
        <v>45344.67677</v>
      </c>
      <c r="C119" s="8" t="str">
        <f>IFERROR(__xludf.DUMMYFUNCTION("""COMPUTED_VALUE"""),"805")</f>
        <v>805</v>
      </c>
      <c r="D119" s="8" t="str">
        <f>IFERROR(__xludf.DUMMYFUNCTION("""COMPUTED_VALUE"""),"PT. ANUGRAH ARGON MEDICA")</f>
        <v>PT. ANUGRAH ARGON MEDICA</v>
      </c>
      <c r="E119" s="8" t="str">
        <f>IFERROR(__xludf.DUMMYFUNCTION("""COMPUTED_VALUE"""),"JUFRY")</f>
        <v>JUFRY</v>
      </c>
      <c r="F119" s="8"/>
      <c r="G119" s="8"/>
      <c r="H119" s="8"/>
      <c r="I119" s="8"/>
      <c r="J119" s="8" t="str">
        <f>IFERROR(__xludf.DUMMYFUNCTION("""COMPUTED_VALUE"""),"  ")</f>
        <v>  </v>
      </c>
      <c r="K119" s="8" t="str">
        <f>IFERROR(__xludf.DUMMYFUNCTION("""COMPUTED_VALUE"""),"40320")</f>
        <v>40320</v>
      </c>
      <c r="L119" s="8" t="str">
        <f>IFERROR(__xludf.DUMMYFUNCTION("""COMPUTED_VALUE"""),"GEMET PAPER SHREDDER 1000 S")</f>
        <v>GEMET PAPER SHREDDER 1000 S</v>
      </c>
      <c r="M119" s="12">
        <f>IFERROR(__xludf.DUMMYFUNCTION("""COMPUTED_VALUE"""),1.0)</f>
        <v>1</v>
      </c>
      <c r="N119" s="8" t="str">
        <f>IFERROR(__xludf.DUMMYFUNCTION("""COMPUTED_VALUE"""),"UNIT")</f>
        <v>UNIT</v>
      </c>
      <c r="O119" s="13">
        <f>IFERROR(__xludf.DUMMYFUNCTION("""COMPUTED_VALUE"""),1650000.0)</f>
        <v>1650000</v>
      </c>
      <c r="P119" s="12">
        <f>IFERROR(__xludf.DUMMYFUNCTION("""COMPUTED_VALUE"""),1650000.0)</f>
        <v>1650000</v>
      </c>
      <c r="Q119" s="8"/>
      <c r="R119" s="8">
        <f>IFERROR(__xludf.DUMMYFUNCTION("""COMPUTED_VALUE"""),0.0)</f>
        <v>0</v>
      </c>
      <c r="S119" s="12">
        <f>IFERROR(__xludf.DUMMYFUNCTION("""COMPUTED_VALUE"""),0.0)</f>
        <v>0</v>
      </c>
      <c r="T119" s="12">
        <f>IFERROR(__xludf.DUMMYFUNCTION("""COMPUTED_VALUE"""),1650000.0)</f>
        <v>1650000</v>
      </c>
      <c r="U119" s="13">
        <f>IFERROR(__xludf.DUMMYFUNCTION("""COMPUTED_VALUE"""),0.0)</f>
        <v>0</v>
      </c>
      <c r="V119" s="8" t="str">
        <f>IFERROR(__xludf.DUMMYFUNCTION("""COMPUTED_VALUE"""),"TRANSFER TGL 21-2-24 MANDIRI TOTAL 1Rp.1.875.000")</f>
        <v>TRANSFER TGL 21-2-24 MANDIRI TOTAL 1Rp.1.875.000</v>
      </c>
      <c r="W119" s="8"/>
      <c r="X119" s="8">
        <f t="shared" si="1"/>
        <v>2</v>
      </c>
      <c r="AA119" s="10"/>
    </row>
    <row r="120">
      <c r="A120" s="8" t="str">
        <f>IFERROR(__xludf.DUMMYFUNCTION("""COMPUTED_VALUE"""),"9911/JL/UTM/0224")</f>
        <v>9911/JL/UTM/0224</v>
      </c>
      <c r="B120" s="11">
        <f>IFERROR(__xludf.DUMMYFUNCTION("""COMPUTED_VALUE"""),45344.67917824074)</f>
        <v>45344.67918</v>
      </c>
      <c r="C120" s="8" t="str">
        <f>IFERROR(__xludf.DUMMYFUNCTION("""COMPUTED_VALUE"""),"UMUM")</f>
        <v>UMUM</v>
      </c>
      <c r="D120" s="8" t="str">
        <f>IFERROR(__xludf.DUMMYFUNCTION("""COMPUTED_VALUE"""),"UMUM")</f>
        <v>UMUM</v>
      </c>
      <c r="E120" s="8" t="str">
        <f>IFERROR(__xludf.DUMMYFUNCTION("""COMPUTED_VALUE"""),"JUFRY")</f>
        <v>JUFRY</v>
      </c>
      <c r="F120" s="8"/>
      <c r="G120" s="8"/>
      <c r="H120" s="8"/>
      <c r="I120" s="8"/>
      <c r="J120" s="8" t="str">
        <f>IFERROR(__xludf.DUMMYFUNCTION("""COMPUTED_VALUE"""),"  ")</f>
        <v>  </v>
      </c>
      <c r="K120" s="8" t="str">
        <f>IFERROR(__xludf.DUMMYFUNCTION("""COMPUTED_VALUE"""),"20372")</f>
        <v>20372</v>
      </c>
      <c r="L120" s="8" t="str">
        <f>IFERROR(__xludf.DUMMYFUNCTION("""COMPUTED_VALUE"""),"SECURE INSTAN MESIN LAMINATING")</f>
        <v>SECURE INSTAN MESIN LAMINATING</v>
      </c>
      <c r="M120" s="12">
        <f>IFERROR(__xludf.DUMMYFUNCTION("""COMPUTED_VALUE"""),1.0)</f>
        <v>1</v>
      </c>
      <c r="N120" s="8" t="str">
        <f>IFERROR(__xludf.DUMMYFUNCTION("""COMPUTED_VALUE"""),"BH")</f>
        <v>BH</v>
      </c>
      <c r="O120" s="13">
        <f>IFERROR(__xludf.DUMMYFUNCTION("""COMPUTED_VALUE"""),950000.0)</f>
        <v>950000</v>
      </c>
      <c r="P120" s="12">
        <f>IFERROR(__xludf.DUMMYFUNCTION("""COMPUTED_VALUE"""),900000.0)</f>
        <v>900000</v>
      </c>
      <c r="Q120" s="8"/>
      <c r="R120" s="8">
        <f>IFERROR(__xludf.DUMMYFUNCTION("""COMPUTED_VALUE"""),0.0)</f>
        <v>0</v>
      </c>
      <c r="S120" s="12">
        <f>IFERROR(__xludf.DUMMYFUNCTION("""COMPUTED_VALUE"""),0.0)</f>
        <v>0</v>
      </c>
      <c r="T120" s="12">
        <f>IFERROR(__xludf.DUMMYFUNCTION("""COMPUTED_VALUE"""),950000.0)</f>
        <v>950000</v>
      </c>
      <c r="U120" s="13">
        <f>IFERROR(__xludf.DUMMYFUNCTION("""COMPUTED_VALUE"""),5.2631578947)</f>
        <v>5.263157895</v>
      </c>
      <c r="V120" s="8"/>
      <c r="W120" s="8"/>
      <c r="X120" s="8">
        <f t="shared" si="1"/>
        <v>2</v>
      </c>
      <c r="AA120" s="10"/>
    </row>
    <row r="121">
      <c r="A121" s="8" t="str">
        <f>IFERROR(__xludf.DUMMYFUNCTION("""COMPUTED_VALUE"""),"9912/JL/UTM/0224")</f>
        <v>9912/JL/UTM/0224</v>
      </c>
      <c r="B121" s="11">
        <f>IFERROR(__xludf.DUMMYFUNCTION("""COMPUTED_VALUE"""),45345.63990740741)</f>
        <v>45345.63991</v>
      </c>
      <c r="C121" s="8" t="str">
        <f>IFERROR(__xludf.DUMMYFUNCTION("""COMPUTED_VALUE"""),"UMUM")</f>
        <v>UMUM</v>
      </c>
      <c r="D121" s="8" t="str">
        <f>IFERROR(__xludf.DUMMYFUNCTION("""COMPUTED_VALUE"""),"UMUM")</f>
        <v>UMUM</v>
      </c>
      <c r="E121" s="8" t="str">
        <f>IFERROR(__xludf.DUMMYFUNCTION("""COMPUTED_VALUE"""),"JUFRY")</f>
        <v>JUFRY</v>
      </c>
      <c r="F121" s="8"/>
      <c r="G121" s="8"/>
      <c r="H121" s="8"/>
      <c r="I121" s="8"/>
      <c r="J121" s="8" t="str">
        <f>IFERROR(__xludf.DUMMYFUNCTION("""COMPUTED_VALUE"""),"  ")</f>
        <v>  </v>
      </c>
      <c r="K121" s="8" t="str">
        <f>IFERROR(__xludf.DUMMYFUNCTION("""COMPUTED_VALUE"""),"10060")</f>
        <v>10060</v>
      </c>
      <c r="L121" s="8" t="str">
        <f>IFERROR(__xludf.DUMMYFUNCTION("""COMPUTED_VALUE"""),"VTEC FLIP CHART 60X90")</f>
        <v>VTEC FLIP CHART 60X90</v>
      </c>
      <c r="M121" s="12">
        <f>IFERROR(__xludf.DUMMYFUNCTION("""COMPUTED_VALUE"""),1.0)</f>
        <v>1</v>
      </c>
      <c r="N121" s="8" t="str">
        <f>IFERROR(__xludf.DUMMYFUNCTION("""COMPUTED_VALUE"""),"BH")</f>
        <v>BH</v>
      </c>
      <c r="O121" s="13">
        <f>IFERROR(__xludf.DUMMYFUNCTION("""COMPUTED_VALUE"""),1175000.0)</f>
        <v>1175000</v>
      </c>
      <c r="P121" s="12">
        <f>IFERROR(__xludf.DUMMYFUNCTION("""COMPUTED_VALUE"""),1100000.0)</f>
        <v>1100000</v>
      </c>
      <c r="Q121" s="8"/>
      <c r="R121" s="8">
        <f>IFERROR(__xludf.DUMMYFUNCTION("""COMPUTED_VALUE"""),0.0)</f>
        <v>0</v>
      </c>
      <c r="S121" s="12">
        <f>IFERROR(__xludf.DUMMYFUNCTION("""COMPUTED_VALUE"""),0.0)</f>
        <v>0</v>
      </c>
      <c r="T121" s="12">
        <f>IFERROR(__xludf.DUMMYFUNCTION("""COMPUTED_VALUE"""),1175000.0)</f>
        <v>1175000</v>
      </c>
      <c r="U121" s="13">
        <f>IFERROR(__xludf.DUMMYFUNCTION("""COMPUTED_VALUE"""),6.3829787234)</f>
        <v>6.382978723</v>
      </c>
      <c r="V121" s="8"/>
      <c r="W121" s="8"/>
      <c r="X121" s="8">
        <f t="shared" si="1"/>
        <v>2</v>
      </c>
      <c r="AA121" s="10"/>
    </row>
    <row r="122">
      <c r="A122" s="8" t="str">
        <f>IFERROR(__xludf.DUMMYFUNCTION("""COMPUTED_VALUE"""),"9913/JL/UTM/0224")</f>
        <v>9913/JL/UTM/0224</v>
      </c>
      <c r="B122" s="11">
        <f>IFERROR(__xludf.DUMMYFUNCTION("""COMPUTED_VALUE"""),45345.641793981486)</f>
        <v>45345.64179</v>
      </c>
      <c r="C122" s="8" t="str">
        <f>IFERROR(__xludf.DUMMYFUNCTION("""COMPUTED_VALUE"""),"775")</f>
        <v>775</v>
      </c>
      <c r="D122" s="8" t="str">
        <f>IFERROR(__xludf.DUMMYFUNCTION("""COMPUTED_VALUE"""),"PT. SURYA MADISTRINDO")</f>
        <v>PT. SURYA MADISTRINDO</v>
      </c>
      <c r="E122" s="8" t="str">
        <f>IFERROR(__xludf.DUMMYFUNCTION("""COMPUTED_VALUE"""),"JUFRY")</f>
        <v>JUFRY</v>
      </c>
      <c r="F122" s="8"/>
      <c r="G122" s="8"/>
      <c r="H122" s="8"/>
      <c r="I122" s="8"/>
      <c r="J122" s="8" t="str">
        <f>IFERROR(__xludf.DUMMYFUNCTION("""COMPUTED_VALUE"""),"  ")</f>
        <v>  </v>
      </c>
      <c r="K122" s="8" t="str">
        <f>IFERROR(__xludf.DUMMYFUNCTION("""COMPUTED_VALUE"""),"706254")</f>
        <v>706254</v>
      </c>
      <c r="L122" s="8" t="str">
        <f>IFERROR(__xludf.DUMMYFUNCTION("""COMPUTED_VALUE"""),"VTEC W. BOARD STAND NON MAGNET D/F 90 X 120")</f>
        <v>VTEC W. BOARD STAND NON MAGNET D/F 90 X 120</v>
      </c>
      <c r="M122" s="12">
        <f>IFERROR(__xludf.DUMMYFUNCTION("""COMPUTED_VALUE"""),3.0)</f>
        <v>3</v>
      </c>
      <c r="N122" s="8" t="str">
        <f>IFERROR(__xludf.DUMMYFUNCTION("""COMPUTED_VALUE"""),"UNIT")</f>
        <v>UNIT</v>
      </c>
      <c r="O122" s="13">
        <f>IFERROR(__xludf.DUMMYFUNCTION("""COMPUTED_VALUE"""),1306306.0)</f>
        <v>1306306</v>
      </c>
      <c r="P122" s="12">
        <f>IFERROR(__xludf.DUMMYFUNCTION("""COMPUTED_VALUE"""),0.0)</f>
        <v>0</v>
      </c>
      <c r="Q122" s="8"/>
      <c r="R122" s="8">
        <f>IFERROR(__xludf.DUMMYFUNCTION("""COMPUTED_VALUE"""),0.0)</f>
        <v>0</v>
      </c>
      <c r="S122" s="12">
        <f>IFERROR(__xludf.DUMMYFUNCTION("""COMPUTED_VALUE"""),3918918.0)</f>
        <v>3918918</v>
      </c>
      <c r="T122" s="12">
        <f>IFERROR(__xludf.DUMMYFUNCTION("""COMPUTED_VALUE"""),3918918.0)</f>
        <v>3918918</v>
      </c>
      <c r="U122" s="13">
        <f>IFERROR(__xludf.DUMMYFUNCTION("""COMPUTED_VALUE"""),0.0)</f>
        <v>0</v>
      </c>
      <c r="V122" s="8" t="str">
        <f>IFERROR(__xludf.DUMMYFUNCTION("""COMPUTED_VALUE"""),"PO NO 2717/PALU SM")</f>
        <v>PO NO 2717/PALU SM</v>
      </c>
      <c r="W122" s="8"/>
      <c r="X122" s="8">
        <f t="shared" si="1"/>
        <v>2</v>
      </c>
      <c r="AA122" s="10"/>
    </row>
    <row r="123">
      <c r="A123" s="8" t="str">
        <f>IFERROR(__xludf.DUMMYFUNCTION("""COMPUTED_VALUE"""),"9914/JL/UTM/0224")</f>
        <v>9914/JL/UTM/0224</v>
      </c>
      <c r="B123" s="11">
        <f>IFERROR(__xludf.DUMMYFUNCTION("""COMPUTED_VALUE"""),45345.642534722225)</f>
        <v>45345.64253</v>
      </c>
      <c r="C123" s="8" t="str">
        <f>IFERROR(__xludf.DUMMYFUNCTION("""COMPUTED_VALUE"""),"PL0919")</f>
        <v>PL0919</v>
      </c>
      <c r="D123" s="8" t="str">
        <f>IFERROR(__xludf.DUMMYFUNCTION("""COMPUTED_VALUE"""),"NETJES-IN")</f>
        <v>NETJES-IN</v>
      </c>
      <c r="E123" s="8" t="str">
        <f>IFERROR(__xludf.DUMMYFUNCTION("""COMPUTED_VALUE"""),"JUFRY")</f>
        <v>JUFRY</v>
      </c>
      <c r="F123" s="8"/>
      <c r="G123" s="8"/>
      <c r="H123" s="8"/>
      <c r="I123" s="8"/>
      <c r="J123" s="8" t="str">
        <f>IFERROR(__xludf.DUMMYFUNCTION("""COMPUTED_VALUE"""),"PALU  ")</f>
        <v>PALU  </v>
      </c>
      <c r="K123" s="8" t="str">
        <f>IFERROR(__xludf.DUMMYFUNCTION("""COMPUTED_VALUE"""),"706279")</f>
        <v>706279</v>
      </c>
      <c r="L123" s="8" t="str">
        <f>IFERROR(__xludf.DUMMYFUNCTION("""COMPUTED_VALUE"""),"INCO KURSI STAF CASOVA I")</f>
        <v>INCO KURSI STAF CASOVA I</v>
      </c>
      <c r="M123" s="12">
        <f>IFERROR(__xludf.DUMMYFUNCTION("""COMPUTED_VALUE"""),1.0)</f>
        <v>1</v>
      </c>
      <c r="N123" s="8" t="str">
        <f>IFERROR(__xludf.DUMMYFUNCTION("""COMPUTED_VALUE"""),"BH")</f>
        <v>BH</v>
      </c>
      <c r="O123" s="13">
        <f>IFERROR(__xludf.DUMMYFUNCTION("""COMPUTED_VALUE"""),950000.0)</f>
        <v>950000</v>
      </c>
      <c r="P123" s="12">
        <f>IFERROR(__xludf.DUMMYFUNCTION("""COMPUTED_VALUE"""),0.0)</f>
        <v>0</v>
      </c>
      <c r="Q123" s="8"/>
      <c r="R123" s="8">
        <f>IFERROR(__xludf.DUMMYFUNCTION("""COMPUTED_VALUE"""),0.0)</f>
        <v>0</v>
      </c>
      <c r="S123" s="12">
        <f>IFERROR(__xludf.DUMMYFUNCTION("""COMPUTED_VALUE"""),712500.0)</f>
        <v>712500</v>
      </c>
      <c r="T123" s="12">
        <f>IFERROR(__xludf.DUMMYFUNCTION("""COMPUTED_VALUE"""),712500.0)</f>
        <v>712500</v>
      </c>
      <c r="U123" s="13">
        <f>IFERROR(__xludf.DUMMYFUNCTION("""COMPUTED_VALUE"""),0.0)</f>
        <v>0</v>
      </c>
      <c r="V123" s="8"/>
      <c r="W123" s="8"/>
      <c r="X123" s="8">
        <f t="shared" si="1"/>
        <v>2</v>
      </c>
      <c r="AA123" s="10"/>
    </row>
    <row r="124">
      <c r="A124" s="8" t="str">
        <f>IFERROR(__xludf.DUMMYFUNCTION("""COMPUTED_VALUE"""),"9915/JL/UTM/0224")</f>
        <v>9915/JL/UTM/0224</v>
      </c>
      <c r="B124" s="11">
        <f>IFERROR(__xludf.DUMMYFUNCTION("""COMPUTED_VALUE"""),45346.62724537037)</f>
        <v>45346.62725</v>
      </c>
      <c r="C124" s="8" t="str">
        <f>IFERROR(__xludf.DUMMYFUNCTION("""COMPUTED_VALUE"""),"UMUM")</f>
        <v>UMUM</v>
      </c>
      <c r="D124" s="8" t="str">
        <f>IFERROR(__xludf.DUMMYFUNCTION("""COMPUTED_VALUE"""),"UMUM")</f>
        <v>UMUM</v>
      </c>
      <c r="E124" s="8" t="str">
        <f>IFERROR(__xludf.DUMMYFUNCTION("""COMPUTED_VALUE"""),"JUFRY")</f>
        <v>JUFRY</v>
      </c>
      <c r="F124" s="8"/>
      <c r="G124" s="8"/>
      <c r="H124" s="8"/>
      <c r="I124" s="8"/>
      <c r="J124" s="8" t="str">
        <f>IFERROR(__xludf.DUMMYFUNCTION("""COMPUTED_VALUE"""),"  ")</f>
        <v>  </v>
      </c>
      <c r="K124" s="8" t="str">
        <f>IFERROR(__xludf.DUMMYFUNCTION("""COMPUTED_VALUE"""),"706116")</f>
        <v>706116</v>
      </c>
      <c r="L124" s="8" t="str">
        <f>IFERROR(__xludf.DUMMYFUNCTION("""COMPUTED_VALUE"""),"JOYKO MSN LEBEL HARGA MX5500")</f>
        <v>JOYKO MSN LEBEL HARGA MX5500</v>
      </c>
      <c r="M124" s="12">
        <f>IFERROR(__xludf.DUMMYFUNCTION("""COMPUTED_VALUE"""),1.0)</f>
        <v>1</v>
      </c>
      <c r="N124" s="8" t="str">
        <f>IFERROR(__xludf.DUMMYFUNCTION("""COMPUTED_VALUE"""),"BH")</f>
        <v>BH</v>
      </c>
      <c r="O124" s="13">
        <f>IFERROR(__xludf.DUMMYFUNCTION("""COMPUTED_VALUE"""),70000.0)</f>
        <v>70000</v>
      </c>
      <c r="P124" s="12">
        <f>IFERROR(__xludf.DUMMYFUNCTION("""COMPUTED_VALUE"""),70000.0)</f>
        <v>70000</v>
      </c>
      <c r="Q124" s="8"/>
      <c r="R124" s="8">
        <f>IFERROR(__xludf.DUMMYFUNCTION("""COMPUTED_VALUE"""),0.0)</f>
        <v>0</v>
      </c>
      <c r="S124" s="12">
        <f>IFERROR(__xludf.DUMMYFUNCTION("""COMPUTED_VALUE"""),0.0)</f>
        <v>0</v>
      </c>
      <c r="T124" s="12">
        <f>IFERROR(__xludf.DUMMYFUNCTION("""COMPUTED_VALUE"""),70000.0)</f>
        <v>70000</v>
      </c>
      <c r="U124" s="13">
        <f>IFERROR(__xludf.DUMMYFUNCTION("""COMPUTED_VALUE"""),0.0)</f>
        <v>0</v>
      </c>
      <c r="V124" s="8"/>
      <c r="W124" s="8"/>
      <c r="X124" s="8">
        <f t="shared" si="1"/>
        <v>2</v>
      </c>
      <c r="AA124" s="10"/>
    </row>
    <row r="125">
      <c r="A125" s="8" t="str">
        <f>IFERROR(__xludf.DUMMYFUNCTION("""COMPUTED_VALUE"""),"9916/JL/UTM/0224")</f>
        <v>9916/JL/UTM/0224</v>
      </c>
      <c r="B125" s="11">
        <f>IFERROR(__xludf.DUMMYFUNCTION("""COMPUTED_VALUE"""),45346.62924768518)</f>
        <v>45346.62925</v>
      </c>
      <c r="C125" s="8" t="str">
        <f>IFERROR(__xludf.DUMMYFUNCTION("""COMPUTED_VALUE"""),"PL0698")</f>
        <v>PL0698</v>
      </c>
      <c r="D125" s="8" t="str">
        <f>IFERROR(__xludf.DUMMYFUNCTION("""COMPUTED_VALUE"""),"YAYASAN ALFAHMI")</f>
        <v>YAYASAN ALFAHMI</v>
      </c>
      <c r="E125" s="8" t="str">
        <f>IFERROR(__xludf.DUMMYFUNCTION("""COMPUTED_VALUE"""),"JUFRY")</f>
        <v>JUFRY</v>
      </c>
      <c r="F125" s="8"/>
      <c r="G125" s="8"/>
      <c r="H125" s="8"/>
      <c r="I125" s="8"/>
      <c r="J125" s="8" t="str">
        <f>IFERROR(__xludf.DUMMYFUNCTION("""COMPUTED_VALUE"""),"  ")</f>
        <v>  </v>
      </c>
      <c r="K125" s="8" t="str">
        <f>IFERROR(__xludf.DUMMYFUNCTION("""COMPUTED_VALUE"""),"505086")</f>
        <v>505086</v>
      </c>
      <c r="L125" s="8" t="str">
        <f>IFERROR(__xludf.DUMMYFUNCTION("""COMPUTED_VALUE"""),"BROTHER LEMARI ARSIP TANPA PINTU B 202")</f>
        <v>BROTHER LEMARI ARSIP TANPA PINTU B 202</v>
      </c>
      <c r="M125" s="12">
        <f>IFERROR(__xludf.DUMMYFUNCTION("""COMPUTED_VALUE"""),1.0)</f>
        <v>1</v>
      </c>
      <c r="N125" s="8" t="str">
        <f>IFERROR(__xludf.DUMMYFUNCTION("""COMPUTED_VALUE"""),"BH")</f>
        <v>BH</v>
      </c>
      <c r="O125" s="13">
        <f>IFERROR(__xludf.DUMMYFUNCTION("""COMPUTED_VALUE"""),2050000.0)</f>
        <v>2050000</v>
      </c>
      <c r="P125" s="12">
        <f>IFERROR(__xludf.DUMMYFUNCTION("""COMPUTED_VALUE"""),2000000.0)</f>
        <v>2000000</v>
      </c>
      <c r="Q125" s="8"/>
      <c r="R125" s="8">
        <f>IFERROR(__xludf.DUMMYFUNCTION("""COMPUTED_VALUE"""),0.0)</f>
        <v>0</v>
      </c>
      <c r="S125" s="12">
        <f>IFERROR(__xludf.DUMMYFUNCTION("""COMPUTED_VALUE"""),0.0)</f>
        <v>0</v>
      </c>
      <c r="T125" s="12">
        <f>IFERROR(__xludf.DUMMYFUNCTION("""COMPUTED_VALUE"""),2050000.0)</f>
        <v>2050000</v>
      </c>
      <c r="U125" s="13">
        <f>IFERROR(__xludf.DUMMYFUNCTION("""COMPUTED_VALUE"""),2.4390243902)</f>
        <v>2.43902439</v>
      </c>
      <c r="V125" s="8"/>
      <c r="W125" s="8"/>
      <c r="X125" s="8">
        <f t="shared" si="1"/>
        <v>2</v>
      </c>
      <c r="AA125" s="10"/>
    </row>
    <row r="126">
      <c r="A126" s="8" t="str">
        <f>IFERROR(__xludf.DUMMYFUNCTION("""COMPUTED_VALUE"""),"9917/JL/UTM/0224")</f>
        <v>9917/JL/UTM/0224</v>
      </c>
      <c r="B126" s="11">
        <f>IFERROR(__xludf.DUMMYFUNCTION("""COMPUTED_VALUE"""),45348.64982638889)</f>
        <v>45348.64983</v>
      </c>
      <c r="C126" s="8" t="str">
        <f>IFERROR(__xludf.DUMMYFUNCTION("""COMPUTED_VALUE"""),"UMUM")</f>
        <v>UMUM</v>
      </c>
      <c r="D126" s="8" t="str">
        <f>IFERROR(__xludf.DUMMYFUNCTION("""COMPUTED_VALUE"""),"UMUM")</f>
        <v>UMUM</v>
      </c>
      <c r="E126" s="8" t="str">
        <f>IFERROR(__xludf.DUMMYFUNCTION("""COMPUTED_VALUE"""),"JUFRY")</f>
        <v>JUFRY</v>
      </c>
      <c r="F126" s="8"/>
      <c r="G126" s="8"/>
      <c r="H126" s="8"/>
      <c r="I126" s="8"/>
      <c r="J126" s="8" t="str">
        <f>IFERROR(__xludf.DUMMYFUNCTION("""COMPUTED_VALUE"""),"  ")</f>
        <v>  </v>
      </c>
      <c r="K126" s="8" t="str">
        <f>IFERROR(__xludf.DUMMYFUNCTION("""COMPUTED_VALUE"""),"606064")</f>
        <v>606064</v>
      </c>
      <c r="L126" s="8" t="str">
        <f>IFERROR(__xludf.DUMMYFUNCTION("""COMPUTED_VALUE"""),"Maestro King Brankast Size III")</f>
        <v>Maestro King Brankast Size III</v>
      </c>
      <c r="M126" s="12">
        <f>IFERROR(__xludf.DUMMYFUNCTION("""COMPUTED_VALUE"""),1.0)</f>
        <v>1</v>
      </c>
      <c r="N126" s="8" t="str">
        <f>IFERROR(__xludf.DUMMYFUNCTION("""COMPUTED_VALUE"""),"BH")</f>
        <v>BH</v>
      </c>
      <c r="O126" s="13">
        <f>IFERROR(__xludf.DUMMYFUNCTION("""COMPUTED_VALUE"""),1.825E7)</f>
        <v>18250000</v>
      </c>
      <c r="P126" s="12">
        <f>IFERROR(__xludf.DUMMYFUNCTION("""COMPUTED_VALUE"""),1.725E7)</f>
        <v>17250000</v>
      </c>
      <c r="Q126" s="8"/>
      <c r="R126" s="8">
        <f>IFERROR(__xludf.DUMMYFUNCTION("""COMPUTED_VALUE"""),0.0)</f>
        <v>0</v>
      </c>
      <c r="S126" s="12">
        <f>IFERROR(__xludf.DUMMYFUNCTION("""COMPUTED_VALUE"""),0.0)</f>
        <v>0</v>
      </c>
      <c r="T126" s="12">
        <f>IFERROR(__xludf.DUMMYFUNCTION("""COMPUTED_VALUE"""),1.825E7)</f>
        <v>18250000</v>
      </c>
      <c r="U126" s="13">
        <f>IFERROR(__xludf.DUMMYFUNCTION("""COMPUTED_VALUE"""),5.4794520548)</f>
        <v>5.479452055</v>
      </c>
      <c r="V126" s="8"/>
      <c r="W126" s="8"/>
      <c r="X126" s="8">
        <f t="shared" si="1"/>
        <v>2</v>
      </c>
      <c r="AA126" s="10"/>
    </row>
    <row r="127">
      <c r="A127" s="8" t="str">
        <f>IFERROR(__xludf.DUMMYFUNCTION("""COMPUTED_VALUE"""),"9918/JL/UTM/0224")</f>
        <v>9918/JL/UTM/0224</v>
      </c>
      <c r="B127" s="11">
        <f>IFERROR(__xludf.DUMMYFUNCTION("""COMPUTED_VALUE"""),45349.616111111114)</f>
        <v>45349.61611</v>
      </c>
      <c r="C127" s="8" t="str">
        <f>IFERROR(__xludf.DUMMYFUNCTION("""COMPUTED_VALUE"""),"PL0712")</f>
        <v>PL0712</v>
      </c>
      <c r="D127" s="8" t="str">
        <f>IFERROR(__xludf.DUMMYFUNCTION("""COMPUTED_VALUE"""),"UNTAD (FAK.KEDOKTERAN)")</f>
        <v>UNTAD (FAK.KEDOKTERAN)</v>
      </c>
      <c r="E127" s="8" t="str">
        <f>IFERROR(__xludf.DUMMYFUNCTION("""COMPUTED_VALUE"""),"JUFRY")</f>
        <v>JUFRY</v>
      </c>
      <c r="F127" s="8"/>
      <c r="G127" s="8"/>
      <c r="H127" s="8"/>
      <c r="I127" s="8"/>
      <c r="J127" s="8" t="str">
        <f>IFERROR(__xludf.DUMMYFUNCTION("""COMPUTED_VALUE"""),"PALU  ")</f>
        <v>PALU  </v>
      </c>
      <c r="K127" s="8" t="str">
        <f>IFERROR(__xludf.DUMMYFUNCTION("""COMPUTED_VALUE"""),"706268")</f>
        <v>706268</v>
      </c>
      <c r="L127" s="8" t="str">
        <f>IFERROR(__xludf.DUMMYFUNCTION("""COMPUTED_VALUE"""),"V-TEC WB 120 X 240 STAND D/F NON MAGNET")</f>
        <v>V-TEC WB 120 X 240 STAND D/F NON MAGNET</v>
      </c>
      <c r="M127" s="12">
        <f>IFERROR(__xludf.DUMMYFUNCTION("""COMPUTED_VALUE"""),1.0)</f>
        <v>1</v>
      </c>
      <c r="N127" s="8" t="str">
        <f>IFERROR(__xludf.DUMMYFUNCTION("""COMPUTED_VALUE"""),"BH")</f>
        <v>BH</v>
      </c>
      <c r="O127" s="13">
        <f>IFERROR(__xludf.DUMMYFUNCTION("""COMPUTED_VALUE"""),2800000.0)</f>
        <v>2800000</v>
      </c>
      <c r="P127" s="12">
        <f>IFERROR(__xludf.DUMMYFUNCTION("""COMPUTED_VALUE"""),2600000.0)</f>
        <v>2600000</v>
      </c>
      <c r="Q127" s="8"/>
      <c r="R127" s="8">
        <f>IFERROR(__xludf.DUMMYFUNCTION("""COMPUTED_VALUE"""),0.0)</f>
        <v>0</v>
      </c>
      <c r="S127" s="12">
        <f>IFERROR(__xludf.DUMMYFUNCTION("""COMPUTED_VALUE"""),0.0)</f>
        <v>0</v>
      </c>
      <c r="T127" s="12">
        <f>IFERROR(__xludf.DUMMYFUNCTION("""COMPUTED_VALUE"""),2800000.0)</f>
        <v>2800000</v>
      </c>
      <c r="U127" s="13">
        <f>IFERROR(__xludf.DUMMYFUNCTION("""COMPUTED_VALUE"""),7.1428571429)</f>
        <v>7.142857143</v>
      </c>
      <c r="V127" s="8" t="str">
        <f>IFERROR(__xludf.DUMMYFUNCTION("""COMPUTED_VALUE"""),"TRANSFER BNI 1.800.000 TUNIA 800.000")</f>
        <v>TRANSFER BNI 1.800.000 TUNIA 800.000</v>
      </c>
      <c r="W127" s="8"/>
      <c r="X127" s="8">
        <f t="shared" si="1"/>
        <v>2</v>
      </c>
      <c r="AA127" s="10"/>
    </row>
    <row r="128">
      <c r="A128" s="8" t="str">
        <f>IFERROR(__xludf.DUMMYFUNCTION("""COMPUTED_VALUE"""),"9919/JL/UTM/0224")</f>
        <v>9919/JL/UTM/0224</v>
      </c>
      <c r="B128" s="11">
        <f>IFERROR(__xludf.DUMMYFUNCTION("""COMPUTED_VALUE"""),45349.61714120371)</f>
        <v>45349.61714</v>
      </c>
      <c r="C128" s="8" t="str">
        <f>IFERROR(__xludf.DUMMYFUNCTION("""COMPUTED_VALUE"""),"UMUM")</f>
        <v>UMUM</v>
      </c>
      <c r="D128" s="8" t="str">
        <f>IFERROR(__xludf.DUMMYFUNCTION("""COMPUTED_VALUE"""),"UMUM")</f>
        <v>UMUM</v>
      </c>
      <c r="E128" s="8" t="str">
        <f>IFERROR(__xludf.DUMMYFUNCTION("""COMPUTED_VALUE"""),"JUFRY")</f>
        <v>JUFRY</v>
      </c>
      <c r="F128" s="8"/>
      <c r="G128" s="8"/>
      <c r="H128" s="8"/>
      <c r="I128" s="8"/>
      <c r="J128" s="8" t="str">
        <f>IFERROR(__xludf.DUMMYFUNCTION("""COMPUTED_VALUE"""),"  ")</f>
        <v>  </v>
      </c>
      <c r="K128" s="8" t="str">
        <f>IFERROR(__xludf.DUMMYFUNCTION("""COMPUTED_VALUE"""),"706187")</f>
        <v>706187</v>
      </c>
      <c r="L128" s="8" t="str">
        <f>IFERROR(__xludf.DUMMYFUNCTION("""COMPUTED_VALUE"""),"KINGCO WHITE BOARD 50 X 70 CM")</f>
        <v>KINGCO WHITE BOARD 50 X 70 CM</v>
      </c>
      <c r="M128" s="12">
        <f>IFERROR(__xludf.DUMMYFUNCTION("""COMPUTED_VALUE"""),1.0)</f>
        <v>1</v>
      </c>
      <c r="N128" s="8" t="str">
        <f>IFERROR(__xludf.DUMMYFUNCTION("""COMPUTED_VALUE"""),"BH")</f>
        <v>BH</v>
      </c>
      <c r="O128" s="13">
        <f>IFERROR(__xludf.DUMMYFUNCTION("""COMPUTED_VALUE"""),100000.0)</f>
        <v>100000</v>
      </c>
      <c r="P128" s="12">
        <f>IFERROR(__xludf.DUMMYFUNCTION("""COMPUTED_VALUE"""),100000.0)</f>
        <v>100000</v>
      </c>
      <c r="Q128" s="8"/>
      <c r="R128" s="8">
        <f>IFERROR(__xludf.DUMMYFUNCTION("""COMPUTED_VALUE"""),0.0)</f>
        <v>0</v>
      </c>
      <c r="S128" s="12">
        <f>IFERROR(__xludf.DUMMYFUNCTION("""COMPUTED_VALUE"""),0.0)</f>
        <v>0</v>
      </c>
      <c r="T128" s="12">
        <f>IFERROR(__xludf.DUMMYFUNCTION("""COMPUTED_VALUE"""),100000.0)</f>
        <v>100000</v>
      </c>
      <c r="U128" s="13">
        <f>IFERROR(__xludf.DUMMYFUNCTION("""COMPUTED_VALUE"""),0.0)</f>
        <v>0</v>
      </c>
      <c r="V128" s="8"/>
      <c r="W128" s="8"/>
      <c r="X128" s="8">
        <f t="shared" si="1"/>
        <v>2</v>
      </c>
      <c r="AA128" s="10"/>
    </row>
    <row r="129">
      <c r="A129" s="8" t="str">
        <f>IFERROR(__xludf.DUMMYFUNCTION("""COMPUTED_VALUE"""),"9920/JL/UTM/0224")</f>
        <v>9920/JL/UTM/0224</v>
      </c>
      <c r="B129" s="11">
        <f>IFERROR(__xludf.DUMMYFUNCTION("""COMPUTED_VALUE"""),45349.70663194444)</f>
        <v>45349.70663</v>
      </c>
      <c r="C129" s="8" t="str">
        <f>IFERROR(__xludf.DUMMYFUNCTION("""COMPUTED_VALUE"""),"UMUM")</f>
        <v>UMUM</v>
      </c>
      <c r="D129" s="8" t="str">
        <f>IFERROR(__xludf.DUMMYFUNCTION("""COMPUTED_VALUE"""),"UMUM")</f>
        <v>UMUM</v>
      </c>
      <c r="E129" s="8" t="str">
        <f>IFERROR(__xludf.DUMMYFUNCTION("""COMPUTED_VALUE"""),"JUFRY")</f>
        <v>JUFRY</v>
      </c>
      <c r="F129" s="8"/>
      <c r="G129" s="8"/>
      <c r="H129" s="8"/>
      <c r="I129" s="8"/>
      <c r="J129" s="8" t="str">
        <f>IFERROR(__xludf.DUMMYFUNCTION("""COMPUTED_VALUE"""),"  ")</f>
        <v>  </v>
      </c>
      <c r="K129" s="8" t="str">
        <f>IFERROR(__xludf.DUMMYFUNCTION("""COMPUTED_VALUE"""),"706150")</f>
        <v>706150</v>
      </c>
      <c r="L129" s="8" t="str">
        <f>IFERROR(__xludf.DUMMYFUNCTION("""COMPUTED_VALUE"""),"SECURE MONEY COUNTER LD 24M")</f>
        <v>SECURE MONEY COUNTER LD 24M</v>
      </c>
      <c r="M129" s="12">
        <f>IFERROR(__xludf.DUMMYFUNCTION("""COMPUTED_VALUE"""),1.0)</f>
        <v>1</v>
      </c>
      <c r="N129" s="8" t="str">
        <f>IFERROR(__xludf.DUMMYFUNCTION("""COMPUTED_VALUE"""),"BH")</f>
        <v>BH</v>
      </c>
      <c r="O129" s="13">
        <f>IFERROR(__xludf.DUMMYFUNCTION("""COMPUTED_VALUE"""),1750000.0)</f>
        <v>1750000</v>
      </c>
      <c r="P129" s="12">
        <f>IFERROR(__xludf.DUMMYFUNCTION("""COMPUTED_VALUE"""),1700000.0)</f>
        <v>1700000</v>
      </c>
      <c r="Q129" s="8"/>
      <c r="R129" s="8">
        <f>IFERROR(__xludf.DUMMYFUNCTION("""COMPUTED_VALUE"""),0.0)</f>
        <v>0</v>
      </c>
      <c r="S129" s="12">
        <f>IFERROR(__xludf.DUMMYFUNCTION("""COMPUTED_VALUE"""),0.0)</f>
        <v>0</v>
      </c>
      <c r="T129" s="12">
        <f>IFERROR(__xludf.DUMMYFUNCTION("""COMPUTED_VALUE"""),1750000.0)</f>
        <v>1750000</v>
      </c>
      <c r="U129" s="13">
        <f>IFERROR(__xludf.DUMMYFUNCTION("""COMPUTED_VALUE"""),2.8571428571)</f>
        <v>2.857142857</v>
      </c>
      <c r="V129" s="8"/>
      <c r="W129" s="8"/>
      <c r="X129" s="8">
        <f t="shared" si="1"/>
        <v>2</v>
      </c>
      <c r="AA129" s="10"/>
    </row>
    <row r="130">
      <c r="A130" s="8" t="str">
        <f>IFERROR(__xludf.DUMMYFUNCTION("""COMPUTED_VALUE"""),"9921/JL/UTM/0224")</f>
        <v>9921/JL/UTM/0224</v>
      </c>
      <c r="B130" s="11">
        <f>IFERROR(__xludf.DUMMYFUNCTION("""COMPUTED_VALUE"""),45350.619618055556)</f>
        <v>45350.61962</v>
      </c>
      <c r="C130" s="8" t="str">
        <f>IFERROR(__xludf.DUMMYFUNCTION("""COMPUTED_VALUE"""),"UMUM")</f>
        <v>UMUM</v>
      </c>
      <c r="D130" s="8" t="str">
        <f>IFERROR(__xludf.DUMMYFUNCTION("""COMPUTED_VALUE"""),"UMUM")</f>
        <v>UMUM</v>
      </c>
      <c r="E130" s="8" t="str">
        <f>IFERROR(__xludf.DUMMYFUNCTION("""COMPUTED_VALUE"""),"JUFRY")</f>
        <v>JUFRY</v>
      </c>
      <c r="F130" s="8"/>
      <c r="G130" s="8"/>
      <c r="H130" s="8"/>
      <c r="I130" s="8"/>
      <c r="J130" s="8" t="str">
        <f>IFERROR(__xludf.DUMMYFUNCTION("""COMPUTED_VALUE"""),"  ")</f>
        <v>  </v>
      </c>
      <c r="K130" s="8" t="str">
        <f>IFERROR(__xludf.DUMMYFUNCTION("""COMPUTED_VALUE"""),"706197")</f>
        <v>706197</v>
      </c>
      <c r="L130" s="8" t="str">
        <f>IFERROR(__xludf.DUMMYFUNCTION("""COMPUTED_VALUE"""),"SECURE CASH BOX C 250")</f>
        <v>SECURE CASH BOX C 250</v>
      </c>
      <c r="M130" s="12">
        <f>IFERROR(__xludf.DUMMYFUNCTION("""COMPUTED_VALUE"""),1.0)</f>
        <v>1</v>
      </c>
      <c r="N130" s="8" t="str">
        <f>IFERROR(__xludf.DUMMYFUNCTION("""COMPUTED_VALUE"""),"BH")</f>
        <v>BH</v>
      </c>
      <c r="O130" s="13">
        <f>IFERROR(__xludf.DUMMYFUNCTION("""COMPUTED_VALUE"""),250000.0)</f>
        <v>250000</v>
      </c>
      <c r="P130" s="12">
        <f>IFERROR(__xludf.DUMMYFUNCTION("""COMPUTED_VALUE"""),250000.0)</f>
        <v>250000</v>
      </c>
      <c r="Q130" s="8"/>
      <c r="R130" s="8">
        <f>IFERROR(__xludf.DUMMYFUNCTION("""COMPUTED_VALUE"""),0.0)</f>
        <v>0</v>
      </c>
      <c r="S130" s="12">
        <f>IFERROR(__xludf.DUMMYFUNCTION("""COMPUTED_VALUE"""),0.0)</f>
        <v>0</v>
      </c>
      <c r="T130" s="12">
        <f>IFERROR(__xludf.DUMMYFUNCTION("""COMPUTED_VALUE"""),250000.0)</f>
        <v>250000</v>
      </c>
      <c r="U130" s="13">
        <f>IFERROR(__xludf.DUMMYFUNCTION("""COMPUTED_VALUE"""),0.0)</f>
        <v>0</v>
      </c>
      <c r="V130" s="8" t="str">
        <f>IFERROR(__xludf.DUMMYFUNCTION("""COMPUTED_VALUE"""),"QRIS")</f>
        <v>QRIS</v>
      </c>
      <c r="W130" s="8"/>
      <c r="X130" s="8">
        <f t="shared" si="1"/>
        <v>2</v>
      </c>
      <c r="AA130" s="10"/>
    </row>
    <row r="131">
      <c r="A131" s="8" t="str">
        <f>IFERROR(__xludf.DUMMYFUNCTION("""COMPUTED_VALUE"""),"9922/JL/UTM/0224")</f>
        <v>9922/JL/UTM/0224</v>
      </c>
      <c r="B131" s="11">
        <f>IFERROR(__xludf.DUMMYFUNCTION("""COMPUTED_VALUE"""),45350.62228009259)</f>
        <v>45350.62228</v>
      </c>
      <c r="C131" s="8" t="str">
        <f>IFERROR(__xludf.DUMMYFUNCTION("""COMPUTED_VALUE"""),"UMUM")</f>
        <v>UMUM</v>
      </c>
      <c r="D131" s="8" t="str">
        <f>IFERROR(__xludf.DUMMYFUNCTION("""COMPUTED_VALUE"""),"UMUM")</f>
        <v>UMUM</v>
      </c>
      <c r="E131" s="8" t="str">
        <f>IFERROR(__xludf.DUMMYFUNCTION("""COMPUTED_VALUE"""),"JUFRY")</f>
        <v>JUFRY</v>
      </c>
      <c r="F131" s="8"/>
      <c r="G131" s="8"/>
      <c r="H131" s="8"/>
      <c r="I131" s="8"/>
      <c r="J131" s="8" t="str">
        <f>IFERROR(__xludf.DUMMYFUNCTION("""COMPUTED_VALUE"""),"  ")</f>
        <v>  </v>
      </c>
      <c r="K131" s="8" t="str">
        <f>IFERROR(__xludf.DUMMYFUNCTION("""COMPUTED_VALUE"""),"706124")</f>
        <v>706124</v>
      </c>
      <c r="L131" s="8" t="str">
        <f>IFERROR(__xludf.DUMMYFUNCTION("""COMPUTED_VALUE"""),"INTAGSTAR LEMARI PINTU PLAT + KACA AYUN FC 06 INT")</f>
        <v>INTAGSTAR LEMARI PINTU PLAT + KACA AYUN FC 06 INT</v>
      </c>
      <c r="M131" s="12">
        <f>IFERROR(__xludf.DUMMYFUNCTION("""COMPUTED_VALUE"""),1.0)</f>
        <v>1</v>
      </c>
      <c r="N131" s="8" t="str">
        <f>IFERROR(__xludf.DUMMYFUNCTION("""COMPUTED_VALUE"""),"UNIT")</f>
        <v>UNIT</v>
      </c>
      <c r="O131" s="13">
        <f>IFERROR(__xludf.DUMMYFUNCTION("""COMPUTED_VALUE"""),3245000.0)</f>
        <v>3245000</v>
      </c>
      <c r="P131" s="12">
        <f>IFERROR(__xludf.DUMMYFUNCTION("""COMPUTED_VALUE"""),3000000.0)</f>
        <v>3000000</v>
      </c>
      <c r="Q131" s="8"/>
      <c r="R131" s="8">
        <f>IFERROR(__xludf.DUMMYFUNCTION("""COMPUTED_VALUE"""),0.0)</f>
        <v>0</v>
      </c>
      <c r="S131" s="12">
        <f>IFERROR(__xludf.DUMMYFUNCTION("""COMPUTED_VALUE"""),0.0)</f>
        <v>0</v>
      </c>
      <c r="T131" s="12">
        <f>IFERROR(__xludf.DUMMYFUNCTION("""COMPUTED_VALUE"""),3245000.0)</f>
        <v>3245000</v>
      </c>
      <c r="U131" s="13">
        <f>IFERROR(__xludf.DUMMYFUNCTION("""COMPUTED_VALUE"""),7.5500770416)</f>
        <v>7.550077042</v>
      </c>
      <c r="V131" s="8" t="str">
        <f>IFERROR(__xludf.DUMMYFUNCTION("""COMPUTED_VALUE"""),"TRANSFER MANDIRI")</f>
        <v>TRANSFER MANDIRI</v>
      </c>
      <c r="W131" s="8"/>
      <c r="X131" s="8">
        <f t="shared" si="1"/>
        <v>2</v>
      </c>
      <c r="AA131" s="10"/>
    </row>
    <row r="132">
      <c r="A132" s="8" t="str">
        <f>IFERROR(__xludf.DUMMYFUNCTION("""COMPUTED_VALUE"""),"9923/JL/UTM/0224")</f>
        <v>9923/JL/UTM/0224</v>
      </c>
      <c r="B132" s="11">
        <f>IFERROR(__xludf.DUMMYFUNCTION("""COMPUTED_VALUE"""),45351.64641203704)</f>
        <v>45351.64641</v>
      </c>
      <c r="C132" s="8" t="str">
        <f>IFERROR(__xludf.DUMMYFUNCTION("""COMPUTED_VALUE"""),"UMUM")</f>
        <v>UMUM</v>
      </c>
      <c r="D132" s="8" t="str">
        <f>IFERROR(__xludf.DUMMYFUNCTION("""COMPUTED_VALUE"""),"UMUM")</f>
        <v>UMUM</v>
      </c>
      <c r="E132" s="8" t="str">
        <f>IFERROR(__xludf.DUMMYFUNCTION("""COMPUTED_VALUE"""),"JUFRY")</f>
        <v>JUFRY</v>
      </c>
      <c r="F132" s="8"/>
      <c r="G132" s="8"/>
      <c r="H132" s="8"/>
      <c r="I132" s="8"/>
      <c r="J132" s="8" t="str">
        <f>IFERROR(__xludf.DUMMYFUNCTION("""COMPUTED_VALUE"""),"  ")</f>
        <v>  </v>
      </c>
      <c r="K132" s="8" t="str">
        <f>IFERROR(__xludf.DUMMYFUNCTION("""COMPUTED_VALUE"""),"20054")</f>
        <v>20054</v>
      </c>
      <c r="L132" s="8" t="str">
        <f>IFERROR(__xludf.DUMMYFUNCTION("""COMPUTED_VALUE"""),"BROTHER FILING CABINET 4 LACI B104")</f>
        <v>BROTHER FILING CABINET 4 LACI B104</v>
      </c>
      <c r="M132" s="12">
        <f>IFERROR(__xludf.DUMMYFUNCTION("""COMPUTED_VALUE"""),1.0)</f>
        <v>1</v>
      </c>
      <c r="N132" s="8" t="str">
        <f>IFERROR(__xludf.DUMMYFUNCTION("""COMPUTED_VALUE"""),"UNIT")</f>
        <v>UNIT</v>
      </c>
      <c r="O132" s="13">
        <f>IFERROR(__xludf.DUMMYFUNCTION("""COMPUTED_VALUE"""),2690000.0)</f>
        <v>2690000</v>
      </c>
      <c r="P132" s="12">
        <f>IFERROR(__xludf.DUMMYFUNCTION("""COMPUTED_VALUE"""),2500000.0)</f>
        <v>2500000</v>
      </c>
      <c r="Q132" s="8"/>
      <c r="R132" s="8">
        <f>IFERROR(__xludf.DUMMYFUNCTION("""COMPUTED_VALUE"""),0.0)</f>
        <v>0</v>
      </c>
      <c r="S132" s="12">
        <f>IFERROR(__xludf.DUMMYFUNCTION("""COMPUTED_VALUE"""),0.0)</f>
        <v>0</v>
      </c>
      <c r="T132" s="12">
        <f>IFERROR(__xludf.DUMMYFUNCTION("""COMPUTED_VALUE"""),2690000.0)</f>
        <v>2690000</v>
      </c>
      <c r="U132" s="13">
        <f>IFERROR(__xludf.DUMMYFUNCTION("""COMPUTED_VALUE"""),7.063197026)</f>
        <v>7.063197026</v>
      </c>
      <c r="V132" s="8" t="str">
        <f>IFERROR(__xludf.DUMMYFUNCTION("""COMPUTED_VALUE"""),"QRIS")</f>
        <v>QRIS</v>
      </c>
      <c r="W132" s="8"/>
      <c r="X132" s="8">
        <f t="shared" si="1"/>
        <v>2</v>
      </c>
      <c r="AA132" s="10"/>
    </row>
    <row r="133">
      <c r="A133" s="8" t="str">
        <f>IFERROR(__xludf.DUMMYFUNCTION("""COMPUTED_VALUE"""),"9924/JL/UTM/0224")</f>
        <v>9924/JL/UTM/0224</v>
      </c>
      <c r="B133" s="11">
        <f>IFERROR(__xludf.DUMMYFUNCTION("""COMPUTED_VALUE"""),45351.68074074074)</f>
        <v>45351.68074</v>
      </c>
      <c r="C133" s="8" t="str">
        <f>IFERROR(__xludf.DUMMYFUNCTION("""COMPUTED_VALUE"""),"PL0872")</f>
        <v>PL0872</v>
      </c>
      <c r="D133" s="8" t="str">
        <f>IFERROR(__xludf.DUMMYFUNCTION("""COMPUTED_VALUE"""),"BASARNAS")</f>
        <v>BASARNAS</v>
      </c>
      <c r="E133" s="8" t="str">
        <f>IFERROR(__xludf.DUMMYFUNCTION("""COMPUTED_VALUE"""),"JUFRY")</f>
        <v>JUFRY</v>
      </c>
      <c r="F133" s="8"/>
      <c r="G133" s="8"/>
      <c r="H133" s="8"/>
      <c r="I133" s="8"/>
      <c r="J133" s="8" t="str">
        <f>IFERROR(__xludf.DUMMYFUNCTION("""COMPUTED_VALUE"""),"  ")</f>
        <v>  </v>
      </c>
      <c r="K133" s="8" t="str">
        <f>IFERROR(__xludf.DUMMYFUNCTION("""COMPUTED_VALUE"""),"10060")</f>
        <v>10060</v>
      </c>
      <c r="L133" s="8" t="str">
        <f>IFERROR(__xludf.DUMMYFUNCTION("""COMPUTED_VALUE"""),"VTEC FLIP CHART 60X90")</f>
        <v>VTEC FLIP CHART 60X90</v>
      </c>
      <c r="M133" s="12">
        <f>IFERROR(__xludf.DUMMYFUNCTION("""COMPUTED_VALUE"""),2.0)</f>
        <v>2</v>
      </c>
      <c r="N133" s="8" t="str">
        <f>IFERROR(__xludf.DUMMYFUNCTION("""COMPUTED_VALUE"""),"BH")</f>
        <v>BH</v>
      </c>
      <c r="O133" s="13">
        <f>IFERROR(__xludf.DUMMYFUNCTION("""COMPUTED_VALUE"""),1175000.0)</f>
        <v>1175000</v>
      </c>
      <c r="P133" s="12">
        <f>IFERROR(__xludf.DUMMYFUNCTION("""COMPUTED_VALUE"""),0.0)</f>
        <v>0</v>
      </c>
      <c r="Q133" s="8"/>
      <c r="R133" s="8">
        <f>IFERROR(__xludf.DUMMYFUNCTION("""COMPUTED_VALUE"""),0.0)</f>
        <v>0</v>
      </c>
      <c r="S133" s="12">
        <f>IFERROR(__xludf.DUMMYFUNCTION("""COMPUTED_VALUE"""),4150000.0)</f>
        <v>4150000</v>
      </c>
      <c r="T133" s="12">
        <f>IFERROR(__xludf.DUMMYFUNCTION("""COMPUTED_VALUE"""),2350000.0)</f>
        <v>2350000</v>
      </c>
      <c r="U133" s="13">
        <f>IFERROR(__xludf.DUMMYFUNCTION("""COMPUTED_VALUE"""),0.0)</f>
        <v>0</v>
      </c>
      <c r="V133" s="8"/>
      <c r="W133" s="8"/>
      <c r="X133" s="8">
        <f t="shared" si="1"/>
        <v>2</v>
      </c>
      <c r="AA133" s="10"/>
    </row>
    <row r="134">
      <c r="A134" s="8" t="str">
        <f>IFERROR(__xludf.DUMMYFUNCTION("""COMPUTED_VALUE"""),"9924/JL/UTM/0224")</f>
        <v>9924/JL/UTM/0224</v>
      </c>
      <c r="B134" s="11">
        <f>IFERROR(__xludf.DUMMYFUNCTION("""COMPUTED_VALUE"""),45351.68074074074)</f>
        <v>45351.68074</v>
      </c>
      <c r="C134" s="8" t="str">
        <f>IFERROR(__xludf.DUMMYFUNCTION("""COMPUTED_VALUE"""),"PL0872")</f>
        <v>PL0872</v>
      </c>
      <c r="D134" s="8" t="str">
        <f>IFERROR(__xludf.DUMMYFUNCTION("""COMPUTED_VALUE"""),"BASARNAS")</f>
        <v>BASARNAS</v>
      </c>
      <c r="E134" s="8" t="str">
        <f>IFERROR(__xludf.DUMMYFUNCTION("""COMPUTED_VALUE"""),"JUFRY")</f>
        <v>JUFRY</v>
      </c>
      <c r="F134" s="8"/>
      <c r="G134" s="8"/>
      <c r="H134" s="8"/>
      <c r="I134" s="8"/>
      <c r="J134" s="8" t="str">
        <f>IFERROR(__xludf.DUMMYFUNCTION("""COMPUTED_VALUE"""),"  ")</f>
        <v>  </v>
      </c>
      <c r="K134" s="8" t="str">
        <f>IFERROR(__xludf.DUMMYFUNCTION("""COMPUTED_VALUE"""),"10035")</f>
        <v>10035</v>
      </c>
      <c r="L134" s="8" t="str">
        <f>IFERROR(__xludf.DUMMYFUNCTION("""COMPUTED_VALUE"""),"VTEC WHITEBOARD KAKI MAGNET 90X120")</f>
        <v>VTEC WHITEBOARD KAKI MAGNET 90X120</v>
      </c>
      <c r="M134" s="12">
        <f>IFERROR(__xludf.DUMMYFUNCTION("""COMPUTED_VALUE"""),1.0)</f>
        <v>1</v>
      </c>
      <c r="N134" s="8" t="str">
        <f>IFERROR(__xludf.DUMMYFUNCTION("""COMPUTED_VALUE"""),"UNIT")</f>
        <v>UNIT</v>
      </c>
      <c r="O134" s="13">
        <f>IFERROR(__xludf.DUMMYFUNCTION("""COMPUTED_VALUE"""),1800000.0)</f>
        <v>1800000</v>
      </c>
      <c r="P134" s="12">
        <f>IFERROR(__xludf.DUMMYFUNCTION("""COMPUTED_VALUE"""),0.0)</f>
        <v>0</v>
      </c>
      <c r="Q134" s="8"/>
      <c r="R134" s="8">
        <f>IFERROR(__xludf.DUMMYFUNCTION("""COMPUTED_VALUE"""),0.0)</f>
        <v>0</v>
      </c>
      <c r="S134" s="12">
        <f>IFERROR(__xludf.DUMMYFUNCTION("""COMPUTED_VALUE"""),4150000.0)</f>
        <v>4150000</v>
      </c>
      <c r="T134" s="12">
        <f>IFERROR(__xludf.DUMMYFUNCTION("""COMPUTED_VALUE"""),1800000.0)</f>
        <v>1800000</v>
      </c>
      <c r="U134" s="13">
        <f>IFERROR(__xludf.DUMMYFUNCTION("""COMPUTED_VALUE"""),0.0)</f>
        <v>0</v>
      </c>
      <c r="V134" s="8"/>
      <c r="W134" s="8"/>
      <c r="X134" s="8">
        <f t="shared" si="1"/>
        <v>2</v>
      </c>
      <c r="AA134" s="10"/>
    </row>
    <row r="135">
      <c r="A135" s="8" t="str">
        <f>IFERROR(__xludf.DUMMYFUNCTION("""COMPUTED_VALUE"""),"9925/JL/UTM/0324")</f>
        <v>9925/JL/UTM/0324</v>
      </c>
      <c r="B135" s="11">
        <f>IFERROR(__xludf.DUMMYFUNCTION("""COMPUTED_VALUE"""),45355.649305555555)</f>
        <v>45355.64931</v>
      </c>
      <c r="C135" s="8" t="str">
        <f>IFERROR(__xludf.DUMMYFUNCTION("""COMPUTED_VALUE"""),"UMUM")</f>
        <v>UMUM</v>
      </c>
      <c r="D135" s="8" t="str">
        <f>IFERROR(__xludf.DUMMYFUNCTION("""COMPUTED_VALUE"""),"UMUM")</f>
        <v>UMUM</v>
      </c>
      <c r="E135" s="8" t="str">
        <f>IFERROR(__xludf.DUMMYFUNCTION("""COMPUTED_VALUE"""),"JUFRY")</f>
        <v>JUFRY</v>
      </c>
      <c r="F135" s="8"/>
      <c r="G135" s="8"/>
      <c r="H135" s="8"/>
      <c r="I135" s="8"/>
      <c r="J135" s="8" t="str">
        <f>IFERROR(__xludf.DUMMYFUNCTION("""COMPUTED_VALUE"""),"  ")</f>
        <v>  </v>
      </c>
      <c r="K135" s="8" t="str">
        <f>IFERROR(__xludf.DUMMYFUNCTION("""COMPUTED_VALUE"""),"10026")</f>
        <v>10026</v>
      </c>
      <c r="L135" s="8" t="str">
        <f>IFERROR(__xludf.DUMMYFUNCTION("""COMPUTED_VALUE"""),"TIGER BRANKAS TG LK II")</f>
        <v>TIGER BRANKAS TG LK II</v>
      </c>
      <c r="M135" s="12">
        <f>IFERROR(__xludf.DUMMYFUNCTION("""COMPUTED_VALUE"""),1.0)</f>
        <v>1</v>
      </c>
      <c r="N135" s="8" t="str">
        <f>IFERROR(__xludf.DUMMYFUNCTION("""COMPUTED_VALUE"""),"UNIT")</f>
        <v>UNIT</v>
      </c>
      <c r="O135" s="13">
        <f>IFERROR(__xludf.DUMMYFUNCTION("""COMPUTED_VALUE"""),6350000.0)</f>
        <v>6350000</v>
      </c>
      <c r="P135" s="12">
        <f>IFERROR(__xludf.DUMMYFUNCTION("""COMPUTED_VALUE"""),6200000.0)</f>
        <v>6200000</v>
      </c>
      <c r="Q135" s="8"/>
      <c r="R135" s="8">
        <f>IFERROR(__xludf.DUMMYFUNCTION("""COMPUTED_VALUE"""),0.0)</f>
        <v>0</v>
      </c>
      <c r="S135" s="12">
        <f>IFERROR(__xludf.DUMMYFUNCTION("""COMPUTED_VALUE"""),0.0)</f>
        <v>0</v>
      </c>
      <c r="T135" s="12">
        <f>IFERROR(__xludf.DUMMYFUNCTION("""COMPUTED_VALUE"""),6350000.0)</f>
        <v>6350000</v>
      </c>
      <c r="U135" s="13">
        <f>IFERROR(__xludf.DUMMYFUNCTION("""COMPUTED_VALUE"""),2.3622047244)</f>
        <v>2.362204724</v>
      </c>
      <c r="V135" s="8"/>
      <c r="W135" s="8"/>
      <c r="X135" s="8">
        <f t="shared" si="1"/>
        <v>3</v>
      </c>
      <c r="AA135" s="10"/>
    </row>
    <row r="136">
      <c r="A136" s="8" t="str">
        <f>IFERROR(__xludf.DUMMYFUNCTION("""COMPUTED_VALUE"""),"9926/JL/UTM/0324")</f>
        <v>9926/JL/UTM/0324</v>
      </c>
      <c r="B136" s="11">
        <f>IFERROR(__xludf.DUMMYFUNCTION("""COMPUTED_VALUE"""),45355.66600694445)</f>
        <v>45355.66601</v>
      </c>
      <c r="C136" s="8" t="str">
        <f>IFERROR(__xludf.DUMMYFUNCTION("""COMPUTED_VALUE"""),"PL0920")</f>
        <v>PL0920</v>
      </c>
      <c r="D136" s="8" t="str">
        <f>IFERROR(__xludf.DUMMYFUNCTION("""COMPUTED_VALUE"""),"PT. SARI KRESNA KIMIA")</f>
        <v>PT. SARI KRESNA KIMIA</v>
      </c>
      <c r="E136" s="8" t="str">
        <f>IFERROR(__xludf.DUMMYFUNCTION("""COMPUTED_VALUE"""),"JUFRY")</f>
        <v>JUFRY</v>
      </c>
      <c r="F136" s="8"/>
      <c r="G136" s="8"/>
      <c r="H136" s="8"/>
      <c r="I136" s="8"/>
      <c r="J136" s="8" t="str">
        <f>IFERROR(__xludf.DUMMYFUNCTION("""COMPUTED_VALUE"""),"PALU  ")</f>
        <v>PALU  </v>
      </c>
      <c r="K136" s="8" t="str">
        <f>IFERROR(__xludf.DUMMYFUNCTION("""COMPUTED_VALUE"""),"706233")</f>
        <v>706233</v>
      </c>
      <c r="L136" s="8" t="str">
        <f>IFERROR(__xludf.DUMMYFUNCTION("""COMPUTED_VALUE"""),"AVERY KURSI STAF OMC 006")</f>
        <v>AVERY KURSI STAF OMC 006</v>
      </c>
      <c r="M136" s="12">
        <f>IFERROR(__xludf.DUMMYFUNCTION("""COMPUTED_VALUE"""),2.0)</f>
        <v>2</v>
      </c>
      <c r="N136" s="8" t="str">
        <f>IFERROR(__xludf.DUMMYFUNCTION("""COMPUTED_VALUE"""),"UNIT")</f>
        <v>UNIT</v>
      </c>
      <c r="O136" s="13">
        <f>IFERROR(__xludf.DUMMYFUNCTION("""COMPUTED_VALUE"""),525000.0)</f>
        <v>525000</v>
      </c>
      <c r="P136" s="12">
        <f>IFERROR(__xludf.DUMMYFUNCTION("""COMPUTED_VALUE"""),1047100.0)</f>
        <v>1047100</v>
      </c>
      <c r="Q136" s="8"/>
      <c r="R136" s="8">
        <f>IFERROR(__xludf.DUMMYFUNCTION("""COMPUTED_VALUE"""),0.0)</f>
        <v>0</v>
      </c>
      <c r="S136" s="12">
        <f>IFERROR(__xludf.DUMMYFUNCTION("""COMPUTED_VALUE"""),0.0)</f>
        <v>0</v>
      </c>
      <c r="T136" s="12">
        <f>IFERROR(__xludf.DUMMYFUNCTION("""COMPUTED_VALUE"""),1050000.0)</f>
        <v>1050000</v>
      </c>
      <c r="U136" s="13">
        <f>IFERROR(__xludf.DUMMYFUNCTION("""COMPUTED_VALUE"""),0.2761904762)</f>
        <v>0.2761904762</v>
      </c>
      <c r="V136" s="8" t="str">
        <f>IFERROR(__xludf.DUMMYFUNCTION("""COMPUTED_VALUE"""),"TRANSFER MANDIRI")</f>
        <v>TRANSFER MANDIRI</v>
      </c>
      <c r="W136" s="8"/>
      <c r="X136" s="8">
        <f t="shared" si="1"/>
        <v>3</v>
      </c>
      <c r="AA136" s="10"/>
    </row>
    <row r="137">
      <c r="A137" s="8" t="str">
        <f>IFERROR(__xludf.DUMMYFUNCTION("""COMPUTED_VALUE"""),"9927/JL/UTM/0324")</f>
        <v>9927/JL/UTM/0324</v>
      </c>
      <c r="B137" s="11">
        <f>IFERROR(__xludf.DUMMYFUNCTION("""COMPUTED_VALUE"""),45355.68436342593)</f>
        <v>45355.68436</v>
      </c>
      <c r="C137" s="8" t="str">
        <f>IFERROR(__xludf.DUMMYFUNCTION("""COMPUTED_VALUE"""),"PL0921")</f>
        <v>PL0921</v>
      </c>
      <c r="D137" s="8" t="str">
        <f>IFERROR(__xludf.DUMMYFUNCTION("""COMPUTED_VALUE"""),"P M D /IBU REGINA")</f>
        <v>P M D /IBU REGINA</v>
      </c>
      <c r="E137" s="8" t="str">
        <f>IFERROR(__xludf.DUMMYFUNCTION("""COMPUTED_VALUE"""),"JUFRY")</f>
        <v>JUFRY</v>
      </c>
      <c r="F137" s="8"/>
      <c r="G137" s="8"/>
      <c r="H137" s="8"/>
      <c r="I137" s="8"/>
      <c r="J137" s="8" t="str">
        <f>IFERROR(__xludf.DUMMYFUNCTION("""COMPUTED_VALUE"""),"PALU  ")</f>
        <v>PALU  </v>
      </c>
      <c r="K137" s="8" t="str">
        <f>IFERROR(__xludf.DUMMYFUNCTION("""COMPUTED_VALUE"""),"706112")</f>
        <v>706112</v>
      </c>
      <c r="L137" s="8" t="str">
        <f>IFERROR(__xludf.DUMMYFUNCTION("""COMPUTED_VALUE"""),"TEMPAT SAMPAH KAKI ISI 40 LTR")</f>
        <v>TEMPAT SAMPAH KAKI ISI 40 LTR</v>
      </c>
      <c r="M137" s="12">
        <f>IFERROR(__xludf.DUMMYFUNCTION("""COMPUTED_VALUE"""),1.0)</f>
        <v>1</v>
      </c>
      <c r="N137" s="8" t="str">
        <f>IFERROR(__xludf.DUMMYFUNCTION("""COMPUTED_VALUE"""),"UNIT")</f>
        <v>UNIT</v>
      </c>
      <c r="O137" s="13">
        <f>IFERROR(__xludf.DUMMYFUNCTION("""COMPUTED_VALUE"""),1750000.0)</f>
        <v>1750000</v>
      </c>
      <c r="P137" s="12">
        <f>IFERROR(__xludf.DUMMYFUNCTION("""COMPUTED_VALUE"""),0.0)</f>
        <v>0</v>
      </c>
      <c r="Q137" s="8"/>
      <c r="R137" s="8">
        <f>IFERROR(__xludf.DUMMYFUNCTION("""COMPUTED_VALUE"""),0.0)</f>
        <v>0</v>
      </c>
      <c r="S137" s="12">
        <f>IFERROR(__xludf.DUMMYFUNCTION("""COMPUTED_VALUE"""),1750000.0)</f>
        <v>1750000</v>
      </c>
      <c r="T137" s="12">
        <f>IFERROR(__xludf.DUMMYFUNCTION("""COMPUTED_VALUE"""),1750000.0)</f>
        <v>1750000</v>
      </c>
      <c r="U137" s="13">
        <f>IFERROR(__xludf.DUMMYFUNCTION("""COMPUTED_VALUE"""),0.0)</f>
        <v>0</v>
      </c>
      <c r="V137" s="8"/>
      <c r="W137" s="8"/>
      <c r="X137" s="8">
        <f t="shared" si="1"/>
        <v>3</v>
      </c>
      <c r="AA137" s="10"/>
    </row>
    <row r="138">
      <c r="A138" s="8" t="str">
        <f>IFERROR(__xludf.DUMMYFUNCTION("""COMPUTED_VALUE"""),"9928/JL/UTM/0324")</f>
        <v>9928/JL/UTM/0324</v>
      </c>
      <c r="B138" s="11">
        <f>IFERROR(__xludf.DUMMYFUNCTION("""COMPUTED_VALUE"""),45356.68405092593)</f>
        <v>45356.68405</v>
      </c>
      <c r="C138" s="8" t="str">
        <f>IFERROR(__xludf.DUMMYFUNCTION("""COMPUTED_VALUE"""),"PL0779")</f>
        <v>PL0779</v>
      </c>
      <c r="D138" s="8" t="str">
        <f>IFERROR(__xludf.DUMMYFUNCTION("""COMPUTED_VALUE"""),"SD IT BINA INSAN PALU")</f>
        <v>SD IT BINA INSAN PALU</v>
      </c>
      <c r="E138" s="8" t="str">
        <f>IFERROR(__xludf.DUMMYFUNCTION("""COMPUTED_VALUE"""),"JUFRY")</f>
        <v>JUFRY</v>
      </c>
      <c r="F138" s="8"/>
      <c r="G138" s="8"/>
      <c r="H138" s="8"/>
      <c r="I138" s="8"/>
      <c r="J138" s="8" t="str">
        <f>IFERROR(__xludf.DUMMYFUNCTION("""COMPUTED_VALUE"""),"PALU  ")</f>
        <v>PALU  </v>
      </c>
      <c r="K138" s="8" t="str">
        <f>IFERROR(__xludf.DUMMYFUNCTION("""COMPUTED_VALUE"""),"20386")</f>
        <v>20386</v>
      </c>
      <c r="L138" s="8" t="str">
        <f>IFERROR(__xludf.DUMMYFUNCTION("""COMPUTED_VALUE"""),"MASPION KOTAK OBAT P 3 K MC-11")</f>
        <v>MASPION KOTAK OBAT P 3 K MC-11</v>
      </c>
      <c r="M138" s="12">
        <f>IFERROR(__xludf.DUMMYFUNCTION("""COMPUTED_VALUE"""),5.0)</f>
        <v>5</v>
      </c>
      <c r="N138" s="8" t="str">
        <f>IFERROR(__xludf.DUMMYFUNCTION("""COMPUTED_VALUE"""),"BH")</f>
        <v>BH</v>
      </c>
      <c r="O138" s="13">
        <f>IFERROR(__xludf.DUMMYFUNCTION("""COMPUTED_VALUE"""),215000.0)</f>
        <v>215000</v>
      </c>
      <c r="P138" s="12">
        <f>IFERROR(__xludf.DUMMYFUNCTION("""COMPUTED_VALUE"""),1000000.0)</f>
        <v>1000000</v>
      </c>
      <c r="Q138" s="8"/>
      <c r="R138" s="8">
        <f>IFERROR(__xludf.DUMMYFUNCTION("""COMPUTED_VALUE"""),0.0)</f>
        <v>0</v>
      </c>
      <c r="S138" s="12">
        <f>IFERROR(__xludf.DUMMYFUNCTION("""COMPUTED_VALUE"""),0.0)</f>
        <v>0</v>
      </c>
      <c r="T138" s="12">
        <f>IFERROR(__xludf.DUMMYFUNCTION("""COMPUTED_VALUE"""),1075000.0)</f>
        <v>1075000</v>
      </c>
      <c r="U138" s="13">
        <f>IFERROR(__xludf.DUMMYFUNCTION("""COMPUTED_VALUE"""),6.976744186)</f>
        <v>6.976744186</v>
      </c>
      <c r="V138" s="8"/>
      <c r="W138" s="8"/>
      <c r="X138" s="8">
        <f t="shared" si="1"/>
        <v>3</v>
      </c>
      <c r="AA138" s="10"/>
    </row>
    <row r="139">
      <c r="A139" s="8" t="str">
        <f>IFERROR(__xludf.DUMMYFUNCTION("""COMPUTED_VALUE"""),"9929/JL/UTM/0324")</f>
        <v>9929/JL/UTM/0324</v>
      </c>
      <c r="B139" s="11">
        <f>IFERROR(__xludf.DUMMYFUNCTION("""COMPUTED_VALUE"""),45356.700266203705)</f>
        <v>45356.70027</v>
      </c>
      <c r="C139" s="8" t="str">
        <f>IFERROR(__xludf.DUMMYFUNCTION("""COMPUTED_VALUE"""),"PL0923")</f>
        <v>PL0923</v>
      </c>
      <c r="D139" s="8" t="str">
        <f>IFERROR(__xludf.DUMMYFUNCTION("""COMPUTED_VALUE"""),"BAPPEDA PROV. /NURHAYATI")</f>
        <v>BAPPEDA PROV. /NURHAYATI</v>
      </c>
      <c r="E139" s="8" t="str">
        <f>IFERROR(__xludf.DUMMYFUNCTION("""COMPUTED_VALUE"""),"JUFRY")</f>
        <v>JUFRY</v>
      </c>
      <c r="F139" s="8"/>
      <c r="G139" s="8"/>
      <c r="H139" s="8"/>
      <c r="I139" s="8"/>
      <c r="J139" s="8" t="str">
        <f>IFERROR(__xludf.DUMMYFUNCTION("""COMPUTED_VALUE"""),"PALU  ")</f>
        <v>PALU  </v>
      </c>
      <c r="K139" s="8" t="str">
        <f>IFERROR(__xludf.DUMMYFUNCTION("""COMPUTED_VALUE"""),"20383")</f>
        <v>20383</v>
      </c>
      <c r="L139" s="8" t="str">
        <f>IFERROR(__xludf.DUMMYFUNCTION("""COMPUTED_VALUE"""),"BROTHER PITA MESIN KETIK LISTRIK 1030")</f>
        <v>BROTHER PITA MESIN KETIK LISTRIK 1030</v>
      </c>
      <c r="M139" s="12">
        <f>IFERROR(__xludf.DUMMYFUNCTION("""COMPUTED_VALUE"""),2.0)</f>
        <v>2</v>
      </c>
      <c r="N139" s="8" t="str">
        <f>IFERROR(__xludf.DUMMYFUNCTION("""COMPUTED_VALUE"""),"PCS")</f>
        <v>PCS</v>
      </c>
      <c r="O139" s="13">
        <f>IFERROR(__xludf.DUMMYFUNCTION("""COMPUTED_VALUE"""),50000.0)</f>
        <v>50000</v>
      </c>
      <c r="P139" s="12">
        <f>IFERROR(__xludf.DUMMYFUNCTION("""COMPUTED_VALUE"""),0.0)</f>
        <v>0</v>
      </c>
      <c r="Q139" s="8"/>
      <c r="R139" s="8">
        <f>IFERROR(__xludf.DUMMYFUNCTION("""COMPUTED_VALUE"""),0.0)</f>
        <v>0</v>
      </c>
      <c r="S139" s="12">
        <f>IFERROR(__xludf.DUMMYFUNCTION("""COMPUTED_VALUE"""),100000.0)</f>
        <v>100000</v>
      </c>
      <c r="T139" s="12">
        <f>IFERROR(__xludf.DUMMYFUNCTION("""COMPUTED_VALUE"""),100000.0)</f>
        <v>100000</v>
      </c>
      <c r="U139" s="13">
        <f>IFERROR(__xludf.DUMMYFUNCTION("""COMPUTED_VALUE"""),0.0)</f>
        <v>0</v>
      </c>
      <c r="V139" s="8"/>
      <c r="W139" s="8"/>
      <c r="X139" s="8">
        <f t="shared" si="1"/>
        <v>3</v>
      </c>
      <c r="AA139" s="10"/>
    </row>
    <row r="140">
      <c r="A140" s="8" t="str">
        <f>IFERROR(__xludf.DUMMYFUNCTION("""COMPUTED_VALUE"""),"9930/JL/UTM/0324")</f>
        <v>9930/JL/UTM/0324</v>
      </c>
      <c r="B140" s="11">
        <f>IFERROR(__xludf.DUMMYFUNCTION("""COMPUTED_VALUE"""),45357.714849537035)</f>
        <v>45357.71485</v>
      </c>
      <c r="C140" s="8" t="str">
        <f>IFERROR(__xludf.DUMMYFUNCTION("""COMPUTED_VALUE"""),"PL0894")</f>
        <v>PL0894</v>
      </c>
      <c r="D140" s="8" t="str">
        <f>IFERROR(__xludf.DUMMYFUNCTION("""COMPUTED_VALUE"""),"SMA GAMALIEL")</f>
        <v>SMA GAMALIEL</v>
      </c>
      <c r="E140" s="8" t="str">
        <f>IFERROR(__xludf.DUMMYFUNCTION("""COMPUTED_VALUE"""),"JUFRY")</f>
        <v>JUFRY</v>
      </c>
      <c r="F140" s="8"/>
      <c r="G140" s="8"/>
      <c r="H140" s="8"/>
      <c r="I140" s="8"/>
      <c r="J140" s="8" t="str">
        <f>IFERROR(__xludf.DUMMYFUNCTION("""COMPUTED_VALUE"""),"PALU  ")</f>
        <v>PALU  </v>
      </c>
      <c r="K140" s="8" t="str">
        <f>IFERROR(__xludf.DUMMYFUNCTION("""COMPUTED_VALUE"""),"10035")</f>
        <v>10035</v>
      </c>
      <c r="L140" s="8" t="str">
        <f>IFERROR(__xludf.DUMMYFUNCTION("""COMPUTED_VALUE"""),"VTEC WHITEBOARD KAKI MAGNET 90X120")</f>
        <v>VTEC WHITEBOARD KAKI MAGNET 90X120</v>
      </c>
      <c r="M140" s="12">
        <f>IFERROR(__xludf.DUMMYFUNCTION("""COMPUTED_VALUE"""),1.0)</f>
        <v>1</v>
      </c>
      <c r="N140" s="8" t="str">
        <f>IFERROR(__xludf.DUMMYFUNCTION("""COMPUTED_VALUE"""),"UNIT")</f>
        <v>UNIT</v>
      </c>
      <c r="O140" s="13">
        <f>IFERROR(__xludf.DUMMYFUNCTION("""COMPUTED_VALUE"""),1800000.0)</f>
        <v>1800000</v>
      </c>
      <c r="P140" s="12">
        <f>IFERROR(__xludf.DUMMYFUNCTION("""COMPUTED_VALUE"""),4450000.0)</f>
        <v>4450000</v>
      </c>
      <c r="Q140" s="8"/>
      <c r="R140" s="8">
        <f>IFERROR(__xludf.DUMMYFUNCTION("""COMPUTED_VALUE"""),0.0)</f>
        <v>0</v>
      </c>
      <c r="S140" s="12">
        <f>IFERROR(__xludf.DUMMYFUNCTION("""COMPUTED_VALUE"""),0.0)</f>
        <v>0</v>
      </c>
      <c r="T140" s="12">
        <f>IFERROR(__xludf.DUMMYFUNCTION("""COMPUTED_VALUE"""),1800000.0)</f>
        <v>1800000</v>
      </c>
      <c r="U140" s="13">
        <f>IFERROR(__xludf.DUMMYFUNCTION("""COMPUTED_VALUE"""),6.3157894737)</f>
        <v>6.315789474</v>
      </c>
      <c r="V140" s="8"/>
      <c r="W140" s="8"/>
      <c r="X140" s="8">
        <f t="shared" si="1"/>
        <v>3</v>
      </c>
      <c r="AA140" s="10"/>
    </row>
    <row r="141">
      <c r="A141" s="8" t="str">
        <f>IFERROR(__xludf.DUMMYFUNCTION("""COMPUTED_VALUE"""),"9930/JL/UTM/0324")</f>
        <v>9930/JL/UTM/0324</v>
      </c>
      <c r="B141" s="11">
        <f>IFERROR(__xludf.DUMMYFUNCTION("""COMPUTED_VALUE"""),45357.714849537035)</f>
        <v>45357.71485</v>
      </c>
      <c r="C141" s="8" t="str">
        <f>IFERROR(__xludf.DUMMYFUNCTION("""COMPUTED_VALUE"""),"PL0894")</f>
        <v>PL0894</v>
      </c>
      <c r="D141" s="8" t="str">
        <f>IFERROR(__xludf.DUMMYFUNCTION("""COMPUTED_VALUE"""),"SMA GAMALIEL")</f>
        <v>SMA GAMALIEL</v>
      </c>
      <c r="E141" s="8" t="str">
        <f>IFERROR(__xludf.DUMMYFUNCTION("""COMPUTED_VALUE"""),"JUFRY")</f>
        <v>JUFRY</v>
      </c>
      <c r="F141" s="8"/>
      <c r="G141" s="8"/>
      <c r="H141" s="8"/>
      <c r="I141" s="8"/>
      <c r="J141" s="8" t="str">
        <f>IFERROR(__xludf.DUMMYFUNCTION("""COMPUTED_VALUE"""),"PALU  ")</f>
        <v>PALU  </v>
      </c>
      <c r="K141" s="8" t="str">
        <f>IFERROR(__xludf.DUMMYFUNCTION("""COMPUTED_VALUE"""),"706281")</f>
        <v>706281</v>
      </c>
      <c r="L141" s="8" t="str">
        <f>IFERROR(__xludf.DUMMYFUNCTION("""COMPUTED_VALUE"""),"VTEC WB NON MAGNET D/F 120 X 180")</f>
        <v>VTEC WB NON MAGNET D/F 120 X 180</v>
      </c>
      <c r="M141" s="12">
        <f>IFERROR(__xludf.DUMMYFUNCTION("""COMPUTED_VALUE"""),1.0)</f>
        <v>1</v>
      </c>
      <c r="N141" s="8" t="str">
        <f>IFERROR(__xludf.DUMMYFUNCTION("""COMPUTED_VALUE"""),"BH")</f>
        <v>BH</v>
      </c>
      <c r="O141" s="13">
        <f>IFERROR(__xludf.DUMMYFUNCTION("""COMPUTED_VALUE"""),2250000.0)</f>
        <v>2250000</v>
      </c>
      <c r="P141" s="12">
        <f>IFERROR(__xludf.DUMMYFUNCTION("""COMPUTED_VALUE"""),4450000.0)</f>
        <v>4450000</v>
      </c>
      <c r="Q141" s="8"/>
      <c r="R141" s="8">
        <f>IFERROR(__xludf.DUMMYFUNCTION("""COMPUTED_VALUE"""),0.0)</f>
        <v>0</v>
      </c>
      <c r="S141" s="12">
        <f>IFERROR(__xludf.DUMMYFUNCTION("""COMPUTED_VALUE"""),0.0)</f>
        <v>0</v>
      </c>
      <c r="T141" s="12">
        <f>IFERROR(__xludf.DUMMYFUNCTION("""COMPUTED_VALUE"""),2250000.0)</f>
        <v>2250000</v>
      </c>
      <c r="U141" s="13">
        <f>IFERROR(__xludf.DUMMYFUNCTION("""COMPUTED_VALUE"""),6.3157894737)</f>
        <v>6.315789474</v>
      </c>
      <c r="V141" s="8"/>
      <c r="W141" s="8"/>
      <c r="X141" s="8">
        <f t="shared" si="1"/>
        <v>3</v>
      </c>
      <c r="AA141" s="10"/>
    </row>
    <row r="142">
      <c r="A142" s="8" t="str">
        <f>IFERROR(__xludf.DUMMYFUNCTION("""COMPUTED_VALUE"""),"9930/JL/UTM/0324")</f>
        <v>9930/JL/UTM/0324</v>
      </c>
      <c r="B142" s="11">
        <f>IFERROR(__xludf.DUMMYFUNCTION("""COMPUTED_VALUE"""),45357.714849537035)</f>
        <v>45357.71485</v>
      </c>
      <c r="C142" s="8" t="str">
        <f>IFERROR(__xludf.DUMMYFUNCTION("""COMPUTED_VALUE"""),"PL0894")</f>
        <v>PL0894</v>
      </c>
      <c r="D142" s="8" t="str">
        <f>IFERROR(__xludf.DUMMYFUNCTION("""COMPUTED_VALUE"""),"SMA GAMALIEL")</f>
        <v>SMA GAMALIEL</v>
      </c>
      <c r="E142" s="8" t="str">
        <f>IFERROR(__xludf.DUMMYFUNCTION("""COMPUTED_VALUE"""),"JUFRY")</f>
        <v>JUFRY</v>
      </c>
      <c r="F142" s="8"/>
      <c r="G142" s="8"/>
      <c r="H142" s="8"/>
      <c r="I142" s="8"/>
      <c r="J142" s="8" t="str">
        <f>IFERROR(__xludf.DUMMYFUNCTION("""COMPUTED_VALUE"""),"PALU  ")</f>
        <v>PALU  </v>
      </c>
      <c r="K142" s="8" t="str">
        <f>IFERROR(__xludf.DUMMYFUNCTION("""COMPUTED_VALUE"""),"40330")</f>
        <v>40330</v>
      </c>
      <c r="L142" s="8" t="str">
        <f>IFERROR(__xludf.DUMMYFUNCTION("""COMPUTED_VALUE"""),"V-TEC CASH BOX VT-868")</f>
        <v>V-TEC CASH BOX VT-868</v>
      </c>
      <c r="M142" s="12">
        <f>IFERROR(__xludf.DUMMYFUNCTION("""COMPUTED_VALUE"""),1.0)</f>
        <v>1</v>
      </c>
      <c r="N142" s="8" t="str">
        <f>IFERROR(__xludf.DUMMYFUNCTION("""COMPUTED_VALUE"""),"BH")</f>
        <v>BH</v>
      </c>
      <c r="O142" s="13">
        <f>IFERROR(__xludf.DUMMYFUNCTION("""COMPUTED_VALUE"""),700000.0)</f>
        <v>700000</v>
      </c>
      <c r="P142" s="12">
        <f>IFERROR(__xludf.DUMMYFUNCTION("""COMPUTED_VALUE"""),4450000.0)</f>
        <v>4450000</v>
      </c>
      <c r="Q142" s="8"/>
      <c r="R142" s="8">
        <f>IFERROR(__xludf.DUMMYFUNCTION("""COMPUTED_VALUE"""),0.0)</f>
        <v>0</v>
      </c>
      <c r="S142" s="12">
        <f>IFERROR(__xludf.DUMMYFUNCTION("""COMPUTED_VALUE"""),0.0)</f>
        <v>0</v>
      </c>
      <c r="T142" s="12">
        <f>IFERROR(__xludf.DUMMYFUNCTION("""COMPUTED_VALUE"""),700000.0)</f>
        <v>700000</v>
      </c>
      <c r="U142" s="13">
        <f>IFERROR(__xludf.DUMMYFUNCTION("""COMPUTED_VALUE"""),6.3157894737)</f>
        <v>6.315789474</v>
      </c>
      <c r="V142" s="8"/>
      <c r="W142" s="8"/>
      <c r="X142" s="8">
        <f t="shared" si="1"/>
        <v>3</v>
      </c>
      <c r="AA142" s="10"/>
    </row>
    <row r="143">
      <c r="A143" s="8" t="str">
        <f>IFERROR(__xludf.DUMMYFUNCTION("""COMPUTED_VALUE"""),"9931/JL/UTM/0324")</f>
        <v>9931/JL/UTM/0324</v>
      </c>
      <c r="B143" s="11">
        <f>IFERROR(__xludf.DUMMYFUNCTION("""COMPUTED_VALUE"""),45357.71570601852)</f>
        <v>45357.71571</v>
      </c>
      <c r="C143" s="8" t="str">
        <f>IFERROR(__xludf.DUMMYFUNCTION("""COMPUTED_VALUE"""),"044")</f>
        <v>044</v>
      </c>
      <c r="D143" s="8" t="str">
        <f>IFERROR(__xludf.DUMMYFUNCTION("""COMPUTED_VALUE"""),"BANK SULTENG KC PALU")</f>
        <v>BANK SULTENG KC PALU</v>
      </c>
      <c r="E143" s="8" t="str">
        <f>IFERROR(__xludf.DUMMYFUNCTION("""COMPUTED_VALUE"""),"JUFRY")</f>
        <v>JUFRY</v>
      </c>
      <c r="F143" s="8"/>
      <c r="G143" s="8"/>
      <c r="H143" s="8"/>
      <c r="I143" s="8"/>
      <c r="J143" s="8" t="str">
        <f>IFERROR(__xludf.DUMMYFUNCTION("""COMPUTED_VALUE"""),"  ")</f>
        <v>  </v>
      </c>
      <c r="K143" s="8" t="str">
        <f>IFERROR(__xludf.DUMMYFUNCTION("""COMPUTED_VALUE"""),"706274")</f>
        <v>706274</v>
      </c>
      <c r="L143" s="8" t="str">
        <f>IFERROR(__xludf.DUMMYFUNCTION("""COMPUTED_VALUE"""),"SECURE PAPER SHREDDER AUTO60")</f>
        <v>SECURE PAPER SHREDDER AUTO60</v>
      </c>
      <c r="M143" s="12">
        <f>IFERROR(__xludf.DUMMYFUNCTION("""COMPUTED_VALUE"""),1.0)</f>
        <v>1</v>
      </c>
      <c r="N143" s="8" t="str">
        <f>IFERROR(__xludf.DUMMYFUNCTION("""COMPUTED_VALUE"""),"BH")</f>
        <v>BH</v>
      </c>
      <c r="O143" s="13">
        <f>IFERROR(__xludf.DUMMYFUNCTION("""COMPUTED_VALUE"""),2750000.0)</f>
        <v>2750000</v>
      </c>
      <c r="P143" s="12">
        <f>IFERROR(__xludf.DUMMYFUNCTION("""COMPUTED_VALUE"""),0.0)</f>
        <v>0</v>
      </c>
      <c r="Q143" s="8"/>
      <c r="R143" s="8">
        <f>IFERROR(__xludf.DUMMYFUNCTION("""COMPUTED_VALUE"""),0.0)</f>
        <v>0</v>
      </c>
      <c r="S143" s="12">
        <f>IFERROR(__xludf.DUMMYFUNCTION("""COMPUTED_VALUE"""),2750000.0)</f>
        <v>2750000</v>
      </c>
      <c r="T143" s="12">
        <f>IFERROR(__xludf.DUMMYFUNCTION("""COMPUTED_VALUE"""),2750000.0)</f>
        <v>2750000</v>
      </c>
      <c r="U143" s="13">
        <f>IFERROR(__xludf.DUMMYFUNCTION("""COMPUTED_VALUE"""),0.0)</f>
        <v>0</v>
      </c>
      <c r="V143" s="8" t="str">
        <f>IFERROR(__xludf.DUMMYFUNCTION("""COMPUTED_VALUE"""),"DEV. PERENCANAAN")</f>
        <v>DEV. PERENCANAAN</v>
      </c>
      <c r="W143" s="8"/>
      <c r="X143" s="8">
        <f t="shared" si="1"/>
        <v>3</v>
      </c>
      <c r="AA143" s="10"/>
    </row>
    <row r="144">
      <c r="A144" s="8" t="str">
        <f>IFERROR(__xludf.DUMMYFUNCTION("""COMPUTED_VALUE"""),"9932/JL/UTM/0324")</f>
        <v>9932/JL/UTM/0324</v>
      </c>
      <c r="B144" s="11">
        <f>IFERROR(__xludf.DUMMYFUNCTION("""COMPUTED_VALUE"""),45358.64797453704)</f>
        <v>45358.64797</v>
      </c>
      <c r="C144" s="8" t="str">
        <f>IFERROR(__xludf.DUMMYFUNCTION("""COMPUTED_VALUE"""),"UMUM")</f>
        <v>UMUM</v>
      </c>
      <c r="D144" s="8" t="str">
        <f>IFERROR(__xludf.DUMMYFUNCTION("""COMPUTED_VALUE"""),"UMUM")</f>
        <v>UMUM</v>
      </c>
      <c r="E144" s="8" t="str">
        <f>IFERROR(__xludf.DUMMYFUNCTION("""COMPUTED_VALUE"""),"JUFRY")</f>
        <v>JUFRY</v>
      </c>
      <c r="F144" s="8"/>
      <c r="G144" s="8"/>
      <c r="H144" s="8"/>
      <c r="I144" s="8"/>
      <c r="J144" s="8" t="str">
        <f>IFERROR(__xludf.DUMMYFUNCTION("""COMPUTED_VALUE"""),"  ")</f>
        <v>  </v>
      </c>
      <c r="K144" s="8" t="str">
        <f>IFERROR(__xludf.DUMMYFUNCTION("""COMPUTED_VALUE"""),"40210")</f>
        <v>40210</v>
      </c>
      <c r="L144" s="8" t="str">
        <f>IFERROR(__xludf.DUMMYFUNCTION("""COMPUTED_VALUE"""),"SECURE FINGERPRINT IDENTIFICATION SYSTEM EAZY")</f>
        <v>SECURE FINGERPRINT IDENTIFICATION SYSTEM EAZY</v>
      </c>
      <c r="M144" s="12">
        <f>IFERROR(__xludf.DUMMYFUNCTION("""COMPUTED_VALUE"""),1.0)</f>
        <v>1</v>
      </c>
      <c r="N144" s="8" t="str">
        <f>IFERROR(__xludf.DUMMYFUNCTION("""COMPUTED_VALUE"""),"UNIT")</f>
        <v>UNIT</v>
      </c>
      <c r="O144" s="13">
        <f>IFERROR(__xludf.DUMMYFUNCTION("""COMPUTED_VALUE"""),1800000.0)</f>
        <v>1800000</v>
      </c>
      <c r="P144" s="12">
        <f>IFERROR(__xludf.DUMMYFUNCTION("""COMPUTED_VALUE"""),1800000.0)</f>
        <v>1800000</v>
      </c>
      <c r="Q144" s="8"/>
      <c r="R144" s="8">
        <f>IFERROR(__xludf.DUMMYFUNCTION("""COMPUTED_VALUE"""),0.0)</f>
        <v>0</v>
      </c>
      <c r="S144" s="12">
        <f>IFERROR(__xludf.DUMMYFUNCTION("""COMPUTED_VALUE"""),0.0)</f>
        <v>0</v>
      </c>
      <c r="T144" s="12">
        <f>IFERROR(__xludf.DUMMYFUNCTION("""COMPUTED_VALUE"""),1800000.0)</f>
        <v>1800000</v>
      </c>
      <c r="U144" s="13">
        <f>IFERROR(__xludf.DUMMYFUNCTION("""COMPUTED_VALUE"""),0.0)</f>
        <v>0</v>
      </c>
      <c r="V144" s="8" t="str">
        <f>IFERROR(__xludf.DUMMYFUNCTION("""COMPUTED_VALUE"""),"TRANSFER MANDIRI")</f>
        <v>TRANSFER MANDIRI</v>
      </c>
      <c r="W144" s="8"/>
      <c r="X144" s="8">
        <f t="shared" si="1"/>
        <v>3</v>
      </c>
      <c r="AA144" s="10"/>
    </row>
    <row r="145">
      <c r="A145" s="8" t="str">
        <f>IFERROR(__xludf.DUMMYFUNCTION("""COMPUTED_VALUE"""),"9933/JL/UTM/0324")</f>
        <v>9933/JL/UTM/0324</v>
      </c>
      <c r="B145" s="11">
        <f>IFERROR(__xludf.DUMMYFUNCTION("""COMPUTED_VALUE"""),45358.653067129635)</f>
        <v>45358.65307</v>
      </c>
      <c r="C145" s="8" t="str">
        <f>IFERROR(__xludf.DUMMYFUNCTION("""COMPUTED_VALUE"""),"UMUM")</f>
        <v>UMUM</v>
      </c>
      <c r="D145" s="8" t="str">
        <f>IFERROR(__xludf.DUMMYFUNCTION("""COMPUTED_VALUE"""),"UMUM")</f>
        <v>UMUM</v>
      </c>
      <c r="E145" s="8" t="str">
        <f>IFERROR(__xludf.DUMMYFUNCTION("""COMPUTED_VALUE"""),"JUFRY")</f>
        <v>JUFRY</v>
      </c>
      <c r="F145" s="8"/>
      <c r="G145" s="8"/>
      <c r="H145" s="8"/>
      <c r="I145" s="8"/>
      <c r="J145" s="8" t="str">
        <f>IFERROR(__xludf.DUMMYFUNCTION("""COMPUTED_VALUE"""),"  ")</f>
        <v>  </v>
      </c>
      <c r="K145" s="8" t="str">
        <f>IFERROR(__xludf.DUMMYFUNCTION("""COMPUTED_VALUE"""),"706116")</f>
        <v>706116</v>
      </c>
      <c r="L145" s="8" t="str">
        <f>IFERROR(__xludf.DUMMYFUNCTION("""COMPUTED_VALUE"""),"JOYKO MSN LEBEL HARGA MX5500")</f>
        <v>JOYKO MSN LEBEL HARGA MX5500</v>
      </c>
      <c r="M145" s="12">
        <f>IFERROR(__xludf.DUMMYFUNCTION("""COMPUTED_VALUE"""),1.0)</f>
        <v>1</v>
      </c>
      <c r="N145" s="8" t="str">
        <f>IFERROR(__xludf.DUMMYFUNCTION("""COMPUTED_VALUE"""),"BH")</f>
        <v>BH</v>
      </c>
      <c r="O145" s="13">
        <f>IFERROR(__xludf.DUMMYFUNCTION("""COMPUTED_VALUE"""),70000.0)</f>
        <v>70000</v>
      </c>
      <c r="P145" s="12">
        <f>IFERROR(__xludf.DUMMYFUNCTION("""COMPUTED_VALUE"""),70000.0)</f>
        <v>70000</v>
      </c>
      <c r="Q145" s="8"/>
      <c r="R145" s="8">
        <f>IFERROR(__xludf.DUMMYFUNCTION("""COMPUTED_VALUE"""),0.0)</f>
        <v>0</v>
      </c>
      <c r="S145" s="12">
        <f>IFERROR(__xludf.DUMMYFUNCTION("""COMPUTED_VALUE"""),0.0)</f>
        <v>0</v>
      </c>
      <c r="T145" s="12">
        <f>IFERROR(__xludf.DUMMYFUNCTION("""COMPUTED_VALUE"""),70000.0)</f>
        <v>70000</v>
      </c>
      <c r="U145" s="13">
        <f>IFERROR(__xludf.DUMMYFUNCTION("""COMPUTED_VALUE"""),0.0)</f>
        <v>0</v>
      </c>
      <c r="V145" s="8"/>
      <c r="W145" s="8"/>
      <c r="X145" s="8">
        <f t="shared" si="1"/>
        <v>3</v>
      </c>
      <c r="AA145" s="10"/>
    </row>
    <row r="146">
      <c r="A146" s="8" t="str">
        <f>IFERROR(__xludf.DUMMYFUNCTION("""COMPUTED_VALUE"""),"9934/JL/UTM/0324")</f>
        <v>9934/JL/UTM/0324</v>
      </c>
      <c r="B146" s="11">
        <f>IFERROR(__xludf.DUMMYFUNCTION("""COMPUTED_VALUE"""),45358.65405092592)</f>
        <v>45358.65405</v>
      </c>
      <c r="C146" s="8" t="str">
        <f>IFERROR(__xludf.DUMMYFUNCTION("""COMPUTED_VALUE"""),"PL0917")</f>
        <v>PL0917</v>
      </c>
      <c r="D146" s="8" t="str">
        <f>IFERROR(__xludf.DUMMYFUNCTION("""COMPUTED_VALUE"""),"SOALPRINT")</f>
        <v>SOALPRINT</v>
      </c>
      <c r="E146" s="8" t="str">
        <f>IFERROR(__xludf.DUMMYFUNCTION("""COMPUTED_VALUE"""),"JUFRY")</f>
        <v>JUFRY</v>
      </c>
      <c r="F146" s="8"/>
      <c r="G146" s="8"/>
      <c r="H146" s="8"/>
      <c r="I146" s="8"/>
      <c r="J146" s="8" t="str">
        <f>IFERROR(__xludf.DUMMYFUNCTION("""COMPUTED_VALUE"""),"THAMRIN  ")</f>
        <v>THAMRIN  </v>
      </c>
      <c r="K146" s="8" t="str">
        <f>IFERROR(__xludf.DUMMYFUNCTION("""COMPUTED_VALUE"""),"40400")</f>
        <v>40400</v>
      </c>
      <c r="L146" s="8" t="str">
        <f>IFERROR(__xludf.DUMMYFUNCTION("""COMPUTED_VALUE"""),"AKTIV MEJA 1/2 BIRO GALANT MTO 120")</f>
        <v>AKTIV MEJA 1/2 BIRO GALANT MTO 120</v>
      </c>
      <c r="M146" s="12">
        <f>IFERROR(__xludf.DUMMYFUNCTION("""COMPUTED_VALUE"""),1.0)</f>
        <v>1</v>
      </c>
      <c r="N146" s="8" t="str">
        <f>IFERROR(__xludf.DUMMYFUNCTION("""COMPUTED_VALUE"""),"UNIT")</f>
        <v>UNIT</v>
      </c>
      <c r="O146" s="13">
        <f>IFERROR(__xludf.DUMMYFUNCTION("""COMPUTED_VALUE"""),1100000.0)</f>
        <v>1100000</v>
      </c>
      <c r="P146" s="12">
        <f>IFERROR(__xludf.DUMMYFUNCTION("""COMPUTED_VALUE"""),0.0)</f>
        <v>0</v>
      </c>
      <c r="Q146" s="8"/>
      <c r="R146" s="8">
        <f>IFERROR(__xludf.DUMMYFUNCTION("""COMPUTED_VALUE"""),0.0)</f>
        <v>0</v>
      </c>
      <c r="S146" s="12">
        <f>IFERROR(__xludf.DUMMYFUNCTION("""COMPUTED_VALUE"""),1650000.0)</f>
        <v>1650000</v>
      </c>
      <c r="T146" s="12">
        <f>IFERROR(__xludf.DUMMYFUNCTION("""COMPUTED_VALUE"""),1100000.0)</f>
        <v>1100000</v>
      </c>
      <c r="U146" s="13">
        <f>IFERROR(__xludf.DUMMYFUNCTION("""COMPUTED_VALUE"""),25.0)</f>
        <v>25</v>
      </c>
      <c r="V146" s="8"/>
      <c r="W146" s="8"/>
      <c r="X146" s="8">
        <f t="shared" si="1"/>
        <v>3</v>
      </c>
      <c r="AA146" s="10"/>
    </row>
    <row r="147">
      <c r="A147" s="8" t="str">
        <f>IFERROR(__xludf.DUMMYFUNCTION("""COMPUTED_VALUE"""),"9934/JL/UTM/0324")</f>
        <v>9934/JL/UTM/0324</v>
      </c>
      <c r="B147" s="11">
        <f>IFERROR(__xludf.DUMMYFUNCTION("""COMPUTED_VALUE"""),45358.65405092592)</f>
        <v>45358.65405</v>
      </c>
      <c r="C147" s="8" t="str">
        <f>IFERROR(__xludf.DUMMYFUNCTION("""COMPUTED_VALUE"""),"PL0917")</f>
        <v>PL0917</v>
      </c>
      <c r="D147" s="8" t="str">
        <f>IFERROR(__xludf.DUMMYFUNCTION("""COMPUTED_VALUE"""),"SOALPRINT")</f>
        <v>SOALPRINT</v>
      </c>
      <c r="E147" s="8" t="str">
        <f>IFERROR(__xludf.DUMMYFUNCTION("""COMPUTED_VALUE"""),"JUFRY")</f>
        <v>JUFRY</v>
      </c>
      <c r="F147" s="8"/>
      <c r="G147" s="8"/>
      <c r="H147" s="8"/>
      <c r="I147" s="8"/>
      <c r="J147" s="8" t="str">
        <f>IFERROR(__xludf.DUMMYFUNCTION("""COMPUTED_VALUE"""),"THAMRIN  ")</f>
        <v>THAMRIN  </v>
      </c>
      <c r="K147" s="8" t="str">
        <f>IFERROR(__xludf.DUMMYFUNCTION("""COMPUTED_VALUE"""),"706280")</f>
        <v>706280</v>
      </c>
      <c r="L147" s="8" t="str">
        <f>IFERROR(__xludf.DUMMYFUNCTION("""COMPUTED_VALUE"""),"INCO KURSI STAF MALTA I")</f>
        <v>INCO KURSI STAF MALTA I</v>
      </c>
      <c r="M147" s="12">
        <f>IFERROR(__xludf.DUMMYFUNCTION("""COMPUTED_VALUE"""),1.0)</f>
        <v>1</v>
      </c>
      <c r="N147" s="8" t="str">
        <f>IFERROR(__xludf.DUMMYFUNCTION("""COMPUTED_VALUE"""),"BH")</f>
        <v>BH</v>
      </c>
      <c r="O147" s="13">
        <f>IFERROR(__xludf.DUMMYFUNCTION("""COMPUTED_VALUE"""),1100000.0)</f>
        <v>1100000</v>
      </c>
      <c r="P147" s="12">
        <f>IFERROR(__xludf.DUMMYFUNCTION("""COMPUTED_VALUE"""),0.0)</f>
        <v>0</v>
      </c>
      <c r="Q147" s="8"/>
      <c r="R147" s="8">
        <f>IFERROR(__xludf.DUMMYFUNCTION("""COMPUTED_VALUE"""),0.0)</f>
        <v>0</v>
      </c>
      <c r="S147" s="12">
        <f>IFERROR(__xludf.DUMMYFUNCTION("""COMPUTED_VALUE"""),1650000.0)</f>
        <v>1650000</v>
      </c>
      <c r="T147" s="12">
        <f>IFERROR(__xludf.DUMMYFUNCTION("""COMPUTED_VALUE"""),1100000.0)</f>
        <v>1100000</v>
      </c>
      <c r="U147" s="13">
        <f>IFERROR(__xludf.DUMMYFUNCTION("""COMPUTED_VALUE"""),25.0)</f>
        <v>25</v>
      </c>
      <c r="V147" s="8"/>
      <c r="W147" s="8"/>
      <c r="X147" s="8">
        <f t="shared" si="1"/>
        <v>3</v>
      </c>
      <c r="AA147" s="10"/>
    </row>
    <row r="148">
      <c r="A148" s="8" t="str">
        <f>IFERROR(__xludf.DUMMYFUNCTION("""COMPUTED_VALUE"""),"9935/JL/UTM/0324")</f>
        <v>9935/JL/UTM/0324</v>
      </c>
      <c r="B148" s="11">
        <f>IFERROR(__xludf.DUMMYFUNCTION("""COMPUTED_VALUE"""),45359.700219907405)</f>
        <v>45359.70022</v>
      </c>
      <c r="C148" s="8" t="str">
        <f>IFERROR(__xludf.DUMMYFUNCTION("""COMPUTED_VALUE"""),"UMUM")</f>
        <v>UMUM</v>
      </c>
      <c r="D148" s="8" t="str">
        <f>IFERROR(__xludf.DUMMYFUNCTION("""COMPUTED_VALUE"""),"UMUM")</f>
        <v>UMUM</v>
      </c>
      <c r="E148" s="8" t="str">
        <f>IFERROR(__xludf.DUMMYFUNCTION("""COMPUTED_VALUE"""),"JUFRY")</f>
        <v>JUFRY</v>
      </c>
      <c r="F148" s="8"/>
      <c r="G148" s="8"/>
      <c r="H148" s="8"/>
      <c r="I148" s="8"/>
      <c r="J148" s="8" t="str">
        <f>IFERROR(__xludf.DUMMYFUNCTION("""COMPUTED_VALUE"""),"  ")</f>
        <v>  </v>
      </c>
      <c r="K148" s="8" t="str">
        <f>IFERROR(__xludf.DUMMYFUNCTION("""COMPUTED_VALUE"""),"40556")</f>
        <v>40556</v>
      </c>
      <c r="L148" s="8" t="str">
        <f>IFERROR(__xludf.DUMMYFUNCTION("""COMPUTED_VALUE"""),"OCEAN CITY MONEY DETECTOR OCI-2820")</f>
        <v>OCEAN CITY MONEY DETECTOR OCI-2820</v>
      </c>
      <c r="M148" s="12">
        <f>IFERROR(__xludf.DUMMYFUNCTION("""COMPUTED_VALUE"""),2.0)</f>
        <v>2</v>
      </c>
      <c r="N148" s="8" t="str">
        <f>IFERROR(__xludf.DUMMYFUNCTION("""COMPUTED_VALUE"""),"BH")</f>
        <v>BH</v>
      </c>
      <c r="O148" s="13">
        <f>IFERROR(__xludf.DUMMYFUNCTION("""COMPUTED_VALUE"""),165000.0)</f>
        <v>165000</v>
      </c>
      <c r="P148" s="12">
        <f>IFERROR(__xludf.DUMMYFUNCTION("""COMPUTED_VALUE"""),330000.0)</f>
        <v>330000</v>
      </c>
      <c r="Q148" s="8"/>
      <c r="R148" s="8">
        <f>IFERROR(__xludf.DUMMYFUNCTION("""COMPUTED_VALUE"""),0.0)</f>
        <v>0</v>
      </c>
      <c r="S148" s="12">
        <f>IFERROR(__xludf.DUMMYFUNCTION("""COMPUTED_VALUE"""),0.0)</f>
        <v>0</v>
      </c>
      <c r="T148" s="12">
        <f>IFERROR(__xludf.DUMMYFUNCTION("""COMPUTED_VALUE"""),330000.0)</f>
        <v>330000</v>
      </c>
      <c r="U148" s="13">
        <f>IFERROR(__xludf.DUMMYFUNCTION("""COMPUTED_VALUE"""),0.0)</f>
        <v>0</v>
      </c>
      <c r="V148" s="8"/>
      <c r="W148" s="8"/>
      <c r="X148" s="8">
        <f t="shared" si="1"/>
        <v>3</v>
      </c>
      <c r="AA148" s="10"/>
    </row>
    <row r="149">
      <c r="A149" s="8" t="str">
        <f>IFERROR(__xludf.DUMMYFUNCTION("""COMPUTED_VALUE"""),"9936/JL/UTM/0324")</f>
        <v>9936/JL/UTM/0324</v>
      </c>
      <c r="B149" s="11">
        <f>IFERROR(__xludf.DUMMYFUNCTION("""COMPUTED_VALUE"""),45359.70103009259)</f>
        <v>45359.70103</v>
      </c>
      <c r="C149" s="8" t="str">
        <f>IFERROR(__xludf.DUMMYFUNCTION("""COMPUTED_VALUE"""),"UMUM")</f>
        <v>UMUM</v>
      </c>
      <c r="D149" s="8" t="str">
        <f>IFERROR(__xludf.DUMMYFUNCTION("""COMPUTED_VALUE"""),"UMUM")</f>
        <v>UMUM</v>
      </c>
      <c r="E149" s="8" t="str">
        <f>IFERROR(__xludf.DUMMYFUNCTION("""COMPUTED_VALUE"""),"JUFRY")</f>
        <v>JUFRY</v>
      </c>
      <c r="F149" s="8"/>
      <c r="G149" s="8"/>
      <c r="H149" s="8"/>
      <c r="I149" s="8"/>
      <c r="J149" s="8" t="str">
        <f>IFERROR(__xludf.DUMMYFUNCTION("""COMPUTED_VALUE"""),"  ")</f>
        <v>  </v>
      </c>
      <c r="K149" s="8" t="str">
        <f>IFERROR(__xludf.DUMMYFUNCTION("""COMPUTED_VALUE"""),"40556")</f>
        <v>40556</v>
      </c>
      <c r="L149" s="8" t="str">
        <f>IFERROR(__xludf.DUMMYFUNCTION("""COMPUTED_VALUE"""),"OCEAN CITY MONEY DETECTOR OCI-2820")</f>
        <v>OCEAN CITY MONEY DETECTOR OCI-2820</v>
      </c>
      <c r="M149" s="12">
        <f>IFERROR(__xludf.DUMMYFUNCTION("""COMPUTED_VALUE"""),1.0)</f>
        <v>1</v>
      </c>
      <c r="N149" s="8" t="str">
        <f>IFERROR(__xludf.DUMMYFUNCTION("""COMPUTED_VALUE"""),"BH")</f>
        <v>BH</v>
      </c>
      <c r="O149" s="13">
        <f>IFERROR(__xludf.DUMMYFUNCTION("""COMPUTED_VALUE"""),165000.0)</f>
        <v>165000</v>
      </c>
      <c r="P149" s="12">
        <f>IFERROR(__xludf.DUMMYFUNCTION("""COMPUTED_VALUE"""),165000.0)</f>
        <v>165000</v>
      </c>
      <c r="Q149" s="8"/>
      <c r="R149" s="8">
        <f>IFERROR(__xludf.DUMMYFUNCTION("""COMPUTED_VALUE"""),0.0)</f>
        <v>0</v>
      </c>
      <c r="S149" s="12">
        <f>IFERROR(__xludf.DUMMYFUNCTION("""COMPUTED_VALUE"""),0.0)</f>
        <v>0</v>
      </c>
      <c r="T149" s="12">
        <f>IFERROR(__xludf.DUMMYFUNCTION("""COMPUTED_VALUE"""),165000.0)</f>
        <v>165000</v>
      </c>
      <c r="U149" s="13">
        <f>IFERROR(__xludf.DUMMYFUNCTION("""COMPUTED_VALUE"""),0.0)</f>
        <v>0</v>
      </c>
      <c r="V149" s="8"/>
      <c r="W149" s="8"/>
      <c r="X149" s="8">
        <f t="shared" si="1"/>
        <v>3</v>
      </c>
      <c r="AA149" s="10"/>
    </row>
    <row r="150">
      <c r="A150" s="8" t="str">
        <f>IFERROR(__xludf.DUMMYFUNCTION("""COMPUTED_VALUE"""),"9937/JL/UTM/0324")</f>
        <v>9937/JL/UTM/0324</v>
      </c>
      <c r="B150" s="11">
        <f>IFERROR(__xludf.DUMMYFUNCTION("""COMPUTED_VALUE"""),45360.67263888889)</f>
        <v>45360.67264</v>
      </c>
      <c r="C150" s="8" t="str">
        <f>IFERROR(__xludf.DUMMYFUNCTION("""COMPUTED_VALUE"""),"PL0712")</f>
        <v>PL0712</v>
      </c>
      <c r="D150" s="8" t="str">
        <f>IFERROR(__xludf.DUMMYFUNCTION("""COMPUTED_VALUE"""),"UNTAD (FAK.KEDOKTERAN)")</f>
        <v>UNTAD (FAK.KEDOKTERAN)</v>
      </c>
      <c r="E150" s="8" t="str">
        <f>IFERROR(__xludf.DUMMYFUNCTION("""COMPUTED_VALUE"""),"JUFRY")</f>
        <v>JUFRY</v>
      </c>
      <c r="F150" s="8"/>
      <c r="G150" s="8"/>
      <c r="H150" s="8"/>
      <c r="I150" s="8"/>
      <c r="J150" s="8" t="str">
        <f>IFERROR(__xludf.DUMMYFUNCTION("""COMPUTED_VALUE"""),"PALU  ")</f>
        <v>PALU  </v>
      </c>
      <c r="K150" s="8" t="str">
        <f>IFERROR(__xludf.DUMMYFUNCTION("""COMPUTED_VALUE"""),"706227")</f>
        <v>706227</v>
      </c>
      <c r="L150" s="8" t="str">
        <f>IFERROR(__xludf.DUMMYFUNCTION("""COMPUTED_VALUE"""),"INCO JAVICO I  KURSI STAF")</f>
        <v>INCO JAVICO I  KURSI STAF</v>
      </c>
      <c r="M150" s="12">
        <f>IFERROR(__xludf.DUMMYFUNCTION("""COMPUTED_VALUE"""),6.0)</f>
        <v>6</v>
      </c>
      <c r="N150" s="8" t="str">
        <f>IFERROR(__xludf.DUMMYFUNCTION("""COMPUTED_VALUE"""),"BH")</f>
        <v>BH</v>
      </c>
      <c r="O150" s="13">
        <f>IFERROR(__xludf.DUMMYFUNCTION("""COMPUTED_VALUE"""),880000.0)</f>
        <v>880000</v>
      </c>
      <c r="P150" s="12">
        <f>IFERROR(__xludf.DUMMYFUNCTION("""COMPUTED_VALUE"""),4740000.0)</f>
        <v>4740000</v>
      </c>
      <c r="Q150" s="8"/>
      <c r="R150" s="8">
        <f>IFERROR(__xludf.DUMMYFUNCTION("""COMPUTED_VALUE"""),0.0)</f>
        <v>0</v>
      </c>
      <c r="S150" s="12">
        <f>IFERROR(__xludf.DUMMYFUNCTION("""COMPUTED_VALUE"""),0.0)</f>
        <v>0</v>
      </c>
      <c r="T150" s="12">
        <f>IFERROR(__xludf.DUMMYFUNCTION("""COMPUTED_VALUE"""),5280000.0)</f>
        <v>5280000</v>
      </c>
      <c r="U150" s="13">
        <f>IFERROR(__xludf.DUMMYFUNCTION("""COMPUTED_VALUE"""),10.2272727273)</f>
        <v>10.22727273</v>
      </c>
      <c r="V150" s="8"/>
      <c r="W150" s="8"/>
      <c r="X150" s="8">
        <f t="shared" si="1"/>
        <v>3</v>
      </c>
      <c r="AA150" s="10"/>
    </row>
    <row r="151">
      <c r="A151" s="8" t="str">
        <f>IFERROR(__xludf.DUMMYFUNCTION("""COMPUTED_VALUE"""),"9938/JL/UTM/0324")</f>
        <v>9938/JL/UTM/0324</v>
      </c>
      <c r="B151" s="11">
        <f>IFERROR(__xludf.DUMMYFUNCTION("""COMPUTED_VALUE"""),45360.675833333335)</f>
        <v>45360.67583</v>
      </c>
      <c r="C151" s="8" t="str">
        <f>IFERROR(__xludf.DUMMYFUNCTION("""COMPUTED_VALUE"""),"UMUM")</f>
        <v>UMUM</v>
      </c>
      <c r="D151" s="8" t="str">
        <f>IFERROR(__xludf.DUMMYFUNCTION("""COMPUTED_VALUE"""),"UMUM")</f>
        <v>UMUM</v>
      </c>
      <c r="E151" s="8" t="str">
        <f>IFERROR(__xludf.DUMMYFUNCTION("""COMPUTED_VALUE"""),"JUFRY")</f>
        <v>JUFRY</v>
      </c>
      <c r="F151" s="8"/>
      <c r="G151" s="8"/>
      <c r="H151" s="8"/>
      <c r="I151" s="8"/>
      <c r="J151" s="8" t="str">
        <f>IFERROR(__xludf.DUMMYFUNCTION("""COMPUTED_VALUE"""),"  ")</f>
        <v>  </v>
      </c>
      <c r="K151" s="8" t="str">
        <f>IFERROR(__xludf.DUMMYFUNCTION("""COMPUTED_VALUE"""),"40568")</f>
        <v>40568</v>
      </c>
      <c r="L151" s="8" t="str">
        <f>IFERROR(__xludf.DUMMYFUNCTION("""COMPUTED_VALUE"""),"EMPORIUM LEMARI ARSIP 2 PINTU EC-01")</f>
        <v>EMPORIUM LEMARI ARSIP 2 PINTU EC-01</v>
      </c>
      <c r="M151" s="12">
        <f>IFERROR(__xludf.DUMMYFUNCTION("""COMPUTED_VALUE"""),1.0)</f>
        <v>1</v>
      </c>
      <c r="N151" s="8" t="str">
        <f>IFERROR(__xludf.DUMMYFUNCTION("""COMPUTED_VALUE"""),"UNIT")</f>
        <v>UNIT</v>
      </c>
      <c r="O151" s="13">
        <f>IFERROR(__xludf.DUMMYFUNCTION("""COMPUTED_VALUE"""),2500000.0)</f>
        <v>2500000</v>
      </c>
      <c r="P151" s="12">
        <f>IFERROR(__xludf.DUMMYFUNCTION("""COMPUTED_VALUE"""),2560000.0)</f>
        <v>2560000</v>
      </c>
      <c r="Q151" s="8"/>
      <c r="R151" s="8">
        <f>IFERROR(__xludf.DUMMYFUNCTION("""COMPUTED_VALUE"""),0.0)</f>
        <v>0</v>
      </c>
      <c r="S151" s="12">
        <f>IFERROR(__xludf.DUMMYFUNCTION("""COMPUTED_VALUE"""),0.0)</f>
        <v>0</v>
      </c>
      <c r="T151" s="12">
        <f>IFERROR(__xludf.DUMMYFUNCTION("""COMPUTED_VALUE"""),2500000.0)</f>
        <v>2500000</v>
      </c>
      <c r="U151" s="13">
        <f>IFERROR(__xludf.DUMMYFUNCTION("""COMPUTED_VALUE"""),0.0)</f>
        <v>0</v>
      </c>
      <c r="V151" s="8" t="str">
        <f>IFERROR(__xludf.DUMMYFUNCTION("""COMPUTED_VALUE"""),"QRIS")</f>
        <v>QRIS</v>
      </c>
      <c r="W151" s="8"/>
      <c r="X151" s="8">
        <f t="shared" si="1"/>
        <v>3</v>
      </c>
      <c r="AA151" s="10"/>
    </row>
    <row r="152">
      <c r="A152" s="8" t="str">
        <f>IFERROR(__xludf.DUMMYFUNCTION("""COMPUTED_VALUE"""),"9938/JL/UTM/0324")</f>
        <v>9938/JL/UTM/0324</v>
      </c>
      <c r="B152" s="11">
        <f>IFERROR(__xludf.DUMMYFUNCTION("""COMPUTED_VALUE"""),45360.675833333335)</f>
        <v>45360.67583</v>
      </c>
      <c r="C152" s="8" t="str">
        <f>IFERROR(__xludf.DUMMYFUNCTION("""COMPUTED_VALUE"""),"UMUM")</f>
        <v>UMUM</v>
      </c>
      <c r="D152" s="8" t="str">
        <f>IFERROR(__xludf.DUMMYFUNCTION("""COMPUTED_VALUE"""),"UMUM")</f>
        <v>UMUM</v>
      </c>
      <c r="E152" s="8" t="str">
        <f>IFERROR(__xludf.DUMMYFUNCTION("""COMPUTED_VALUE"""),"JUFRY")</f>
        <v>JUFRY</v>
      </c>
      <c r="F152" s="8"/>
      <c r="G152" s="8"/>
      <c r="H152" s="8"/>
      <c r="I152" s="8"/>
      <c r="J152" s="8" t="str">
        <f>IFERROR(__xludf.DUMMYFUNCTION("""COMPUTED_VALUE"""),"  ")</f>
        <v>  </v>
      </c>
      <c r="K152" s="8" t="str">
        <f>IFERROR(__xludf.DUMMYFUNCTION("""COMPUTED_VALUE"""),"20277")</f>
        <v>20277</v>
      </c>
      <c r="L152" s="8" t="str">
        <f>IFERROR(__xludf.DUMMYFUNCTION("""COMPUTED_VALUE"""),"GM LABEL KECIL")</f>
        <v>GM LABEL KECIL</v>
      </c>
      <c r="M152" s="12">
        <f>IFERROR(__xludf.DUMMYFUNCTION("""COMPUTED_VALUE"""),2.0)</f>
        <v>2</v>
      </c>
      <c r="N152" s="8" t="str">
        <f>IFERROR(__xludf.DUMMYFUNCTION("""COMPUTED_VALUE"""),"PCS")</f>
        <v>PCS</v>
      </c>
      <c r="O152" s="13">
        <f>IFERROR(__xludf.DUMMYFUNCTION("""COMPUTED_VALUE"""),12500.0)</f>
        <v>12500</v>
      </c>
      <c r="P152" s="12">
        <f>IFERROR(__xludf.DUMMYFUNCTION("""COMPUTED_VALUE"""),2560000.0)</f>
        <v>2560000</v>
      </c>
      <c r="Q152" s="8"/>
      <c r="R152" s="8">
        <f>IFERROR(__xludf.DUMMYFUNCTION("""COMPUTED_VALUE"""),0.0)</f>
        <v>0</v>
      </c>
      <c r="S152" s="12">
        <f>IFERROR(__xludf.DUMMYFUNCTION("""COMPUTED_VALUE"""),0.0)</f>
        <v>0</v>
      </c>
      <c r="T152" s="12">
        <f>IFERROR(__xludf.DUMMYFUNCTION("""COMPUTED_VALUE"""),25000.0)</f>
        <v>25000</v>
      </c>
      <c r="U152" s="13">
        <f>IFERROR(__xludf.DUMMYFUNCTION("""COMPUTED_VALUE"""),0.0)</f>
        <v>0</v>
      </c>
      <c r="V152" s="8" t="str">
        <f>IFERROR(__xludf.DUMMYFUNCTION("""COMPUTED_VALUE"""),"QRIS")</f>
        <v>QRIS</v>
      </c>
      <c r="W152" s="8"/>
      <c r="X152" s="8">
        <f t="shared" si="1"/>
        <v>3</v>
      </c>
      <c r="AA152" s="10"/>
    </row>
    <row r="153">
      <c r="A153" s="8" t="str">
        <f>IFERROR(__xludf.DUMMYFUNCTION("""COMPUTED_VALUE"""),"9938/JL/UTM/0324")</f>
        <v>9938/JL/UTM/0324</v>
      </c>
      <c r="B153" s="11">
        <f>IFERROR(__xludf.DUMMYFUNCTION("""COMPUTED_VALUE"""),45360.675833333335)</f>
        <v>45360.67583</v>
      </c>
      <c r="C153" s="8" t="str">
        <f>IFERROR(__xludf.DUMMYFUNCTION("""COMPUTED_VALUE"""),"UMUM")</f>
        <v>UMUM</v>
      </c>
      <c r="D153" s="8" t="str">
        <f>IFERROR(__xludf.DUMMYFUNCTION("""COMPUTED_VALUE"""),"UMUM")</f>
        <v>UMUM</v>
      </c>
      <c r="E153" s="8" t="str">
        <f>IFERROR(__xludf.DUMMYFUNCTION("""COMPUTED_VALUE"""),"JUFRY")</f>
        <v>JUFRY</v>
      </c>
      <c r="F153" s="8"/>
      <c r="G153" s="8"/>
      <c r="H153" s="8"/>
      <c r="I153" s="8"/>
      <c r="J153" s="8" t="str">
        <f>IFERROR(__xludf.DUMMYFUNCTION("""COMPUTED_VALUE"""),"  ")</f>
        <v>  </v>
      </c>
      <c r="K153" s="8" t="str">
        <f>IFERROR(__xludf.DUMMYFUNCTION("""COMPUTED_VALUE"""),"20276")</f>
        <v>20276</v>
      </c>
      <c r="L153" s="8" t="str">
        <f>IFERROR(__xludf.DUMMYFUNCTION("""COMPUTED_VALUE"""),"GM LABEL BESAR")</f>
        <v>GM LABEL BESAR</v>
      </c>
      <c r="M153" s="12">
        <f>IFERROR(__xludf.DUMMYFUNCTION("""COMPUTED_VALUE"""),1.0)</f>
        <v>1</v>
      </c>
      <c r="N153" s="8" t="str">
        <f>IFERROR(__xludf.DUMMYFUNCTION("""COMPUTED_VALUE"""),"PCS")</f>
        <v>PCS</v>
      </c>
      <c r="O153" s="13">
        <f>IFERROR(__xludf.DUMMYFUNCTION("""COMPUTED_VALUE"""),35000.0)</f>
        <v>35000</v>
      </c>
      <c r="P153" s="12">
        <f>IFERROR(__xludf.DUMMYFUNCTION("""COMPUTED_VALUE"""),2560000.0)</f>
        <v>2560000</v>
      </c>
      <c r="Q153" s="8"/>
      <c r="R153" s="8">
        <f>IFERROR(__xludf.DUMMYFUNCTION("""COMPUTED_VALUE"""),0.0)</f>
        <v>0</v>
      </c>
      <c r="S153" s="12">
        <f>IFERROR(__xludf.DUMMYFUNCTION("""COMPUTED_VALUE"""),0.0)</f>
        <v>0</v>
      </c>
      <c r="T153" s="12">
        <f>IFERROR(__xludf.DUMMYFUNCTION("""COMPUTED_VALUE"""),35000.0)</f>
        <v>35000</v>
      </c>
      <c r="U153" s="13">
        <f>IFERROR(__xludf.DUMMYFUNCTION("""COMPUTED_VALUE"""),0.0)</f>
        <v>0</v>
      </c>
      <c r="V153" s="8" t="str">
        <f>IFERROR(__xludf.DUMMYFUNCTION("""COMPUTED_VALUE"""),"QRIS")</f>
        <v>QRIS</v>
      </c>
      <c r="W153" s="8"/>
      <c r="X153" s="8">
        <f t="shared" si="1"/>
        <v>3</v>
      </c>
      <c r="AA153" s="10"/>
    </row>
    <row r="154">
      <c r="A154" s="8" t="str">
        <f>IFERROR(__xludf.DUMMYFUNCTION("""COMPUTED_VALUE"""),"9939/JL/UTM/0324")</f>
        <v>9939/JL/UTM/0324</v>
      </c>
      <c r="B154" s="11">
        <f>IFERROR(__xludf.DUMMYFUNCTION("""COMPUTED_VALUE"""),45364.66373842592)</f>
        <v>45364.66374</v>
      </c>
      <c r="C154" s="8" t="str">
        <f>IFERROR(__xludf.DUMMYFUNCTION("""COMPUTED_VALUE"""),"UMUM")</f>
        <v>UMUM</v>
      </c>
      <c r="D154" s="8" t="str">
        <f>IFERROR(__xludf.DUMMYFUNCTION("""COMPUTED_VALUE"""),"UMUM")</f>
        <v>UMUM</v>
      </c>
      <c r="E154" s="8" t="str">
        <f>IFERROR(__xludf.DUMMYFUNCTION("""COMPUTED_VALUE"""),"JUFRY")</f>
        <v>JUFRY</v>
      </c>
      <c r="F154" s="8"/>
      <c r="G154" s="8"/>
      <c r="H154" s="8"/>
      <c r="I154" s="8"/>
      <c r="J154" s="8" t="str">
        <f>IFERROR(__xludf.DUMMYFUNCTION("""COMPUTED_VALUE"""),"  ")</f>
        <v>  </v>
      </c>
      <c r="K154" s="8" t="str">
        <f>IFERROR(__xludf.DUMMYFUNCTION("""COMPUTED_VALUE"""),"20056")</f>
        <v>20056</v>
      </c>
      <c r="L154" s="8" t="str">
        <f>IFERROR(__xludf.DUMMYFUNCTION("""COMPUTED_VALUE"""),"BROTHER FILING CABINET 2 LACI B102")</f>
        <v>BROTHER FILING CABINET 2 LACI B102</v>
      </c>
      <c r="M154" s="12">
        <f>IFERROR(__xludf.DUMMYFUNCTION("""COMPUTED_VALUE"""),2.0)</f>
        <v>2</v>
      </c>
      <c r="N154" s="8" t="str">
        <f>IFERROR(__xludf.DUMMYFUNCTION("""COMPUTED_VALUE"""),"UNIT")</f>
        <v>UNIT</v>
      </c>
      <c r="O154" s="13">
        <f>IFERROR(__xludf.DUMMYFUNCTION("""COMPUTED_VALUE"""),1820000.0)</f>
        <v>1820000</v>
      </c>
      <c r="P154" s="12">
        <f>IFERROR(__xludf.DUMMYFUNCTION("""COMPUTED_VALUE"""),5400000.0)</f>
        <v>5400000</v>
      </c>
      <c r="Q154" s="8"/>
      <c r="R154" s="8">
        <f>IFERROR(__xludf.DUMMYFUNCTION("""COMPUTED_VALUE"""),0.0)</f>
        <v>0</v>
      </c>
      <c r="S154" s="12">
        <f>IFERROR(__xludf.DUMMYFUNCTION("""COMPUTED_VALUE"""),0.0)</f>
        <v>0</v>
      </c>
      <c r="T154" s="12">
        <f>IFERROR(__xludf.DUMMYFUNCTION("""COMPUTED_VALUE"""),3640000.0)</f>
        <v>3640000</v>
      </c>
      <c r="U154" s="13">
        <f>IFERROR(__xludf.DUMMYFUNCTION("""COMPUTED_VALUE"""),2.5270758123)</f>
        <v>2.527075812</v>
      </c>
      <c r="V154" s="8" t="str">
        <f>IFERROR(__xludf.DUMMYFUNCTION("""COMPUTED_VALUE"""),"TRANSFER MANDIRI")</f>
        <v>TRANSFER MANDIRI</v>
      </c>
      <c r="W154" s="8"/>
      <c r="X154" s="8">
        <f t="shared" si="1"/>
        <v>3</v>
      </c>
      <c r="AA154" s="10"/>
    </row>
    <row r="155">
      <c r="A155" s="8" t="str">
        <f>IFERROR(__xludf.DUMMYFUNCTION("""COMPUTED_VALUE"""),"9939/JL/UTM/0324")</f>
        <v>9939/JL/UTM/0324</v>
      </c>
      <c r="B155" s="11">
        <f>IFERROR(__xludf.DUMMYFUNCTION("""COMPUTED_VALUE"""),45364.66373842592)</f>
        <v>45364.66374</v>
      </c>
      <c r="C155" s="8" t="str">
        <f>IFERROR(__xludf.DUMMYFUNCTION("""COMPUTED_VALUE"""),"UMUM")</f>
        <v>UMUM</v>
      </c>
      <c r="D155" s="8" t="str">
        <f>IFERROR(__xludf.DUMMYFUNCTION("""COMPUTED_VALUE"""),"UMUM")</f>
        <v>UMUM</v>
      </c>
      <c r="E155" s="8" t="str">
        <f>IFERROR(__xludf.DUMMYFUNCTION("""COMPUTED_VALUE"""),"JUFRY")</f>
        <v>JUFRY</v>
      </c>
      <c r="F155" s="8"/>
      <c r="G155" s="8"/>
      <c r="H155" s="8"/>
      <c r="I155" s="8"/>
      <c r="J155" s="8" t="str">
        <f>IFERROR(__xludf.DUMMYFUNCTION("""COMPUTED_VALUE"""),"  ")</f>
        <v>  </v>
      </c>
      <c r="K155" s="8" t="str">
        <f>IFERROR(__xludf.DUMMYFUNCTION("""COMPUTED_VALUE"""),"20288")</f>
        <v>20288</v>
      </c>
      <c r="L155" s="8" t="str">
        <f>IFERROR(__xludf.DUMMYFUNCTION("""COMPUTED_VALUE"""),"BROTHER ALMARI ARSIP 1/2 TINGGI (PINTU WINGS ) B-206")</f>
        <v>BROTHER ALMARI ARSIP 1/2 TINGGI (PINTU WINGS ) B-206</v>
      </c>
      <c r="M155" s="12">
        <f>IFERROR(__xludf.DUMMYFUNCTION("""COMPUTED_VALUE"""),1.0)</f>
        <v>1</v>
      </c>
      <c r="N155" s="8" t="str">
        <f>IFERROR(__xludf.DUMMYFUNCTION("""COMPUTED_VALUE"""),"UNIT")</f>
        <v>UNIT</v>
      </c>
      <c r="O155" s="13">
        <f>IFERROR(__xludf.DUMMYFUNCTION("""COMPUTED_VALUE"""),1900000.0)</f>
        <v>1900000</v>
      </c>
      <c r="P155" s="12">
        <f>IFERROR(__xludf.DUMMYFUNCTION("""COMPUTED_VALUE"""),5400000.0)</f>
        <v>5400000</v>
      </c>
      <c r="Q155" s="8"/>
      <c r="R155" s="8">
        <f>IFERROR(__xludf.DUMMYFUNCTION("""COMPUTED_VALUE"""),0.0)</f>
        <v>0</v>
      </c>
      <c r="S155" s="12">
        <f>IFERROR(__xludf.DUMMYFUNCTION("""COMPUTED_VALUE"""),0.0)</f>
        <v>0</v>
      </c>
      <c r="T155" s="12">
        <f>IFERROR(__xludf.DUMMYFUNCTION("""COMPUTED_VALUE"""),1900000.0)</f>
        <v>1900000</v>
      </c>
      <c r="U155" s="13">
        <f>IFERROR(__xludf.DUMMYFUNCTION("""COMPUTED_VALUE"""),2.5270758123)</f>
        <v>2.527075812</v>
      </c>
      <c r="V155" s="8" t="str">
        <f>IFERROR(__xludf.DUMMYFUNCTION("""COMPUTED_VALUE"""),"TRANSFER MANDIRI")</f>
        <v>TRANSFER MANDIRI</v>
      </c>
      <c r="W155" s="8"/>
      <c r="X155" s="8">
        <f t="shared" si="1"/>
        <v>3</v>
      </c>
      <c r="AA155" s="10"/>
    </row>
    <row r="156">
      <c r="A156" s="8" t="str">
        <f>IFERROR(__xludf.DUMMYFUNCTION("""COMPUTED_VALUE"""),"9940/JL/UTM/0324")</f>
        <v>9940/JL/UTM/0324</v>
      </c>
      <c r="B156" s="11">
        <f>IFERROR(__xludf.DUMMYFUNCTION("""COMPUTED_VALUE"""),45364.66483796296)</f>
        <v>45364.66484</v>
      </c>
      <c r="C156" s="8" t="str">
        <f>IFERROR(__xludf.DUMMYFUNCTION("""COMPUTED_VALUE"""),"UMUM")</f>
        <v>UMUM</v>
      </c>
      <c r="D156" s="8" t="str">
        <f>IFERROR(__xludf.DUMMYFUNCTION("""COMPUTED_VALUE"""),"UMUM")</f>
        <v>UMUM</v>
      </c>
      <c r="E156" s="8" t="str">
        <f>IFERROR(__xludf.DUMMYFUNCTION("""COMPUTED_VALUE"""),"JUFRY")</f>
        <v>JUFRY</v>
      </c>
      <c r="F156" s="8"/>
      <c r="G156" s="8"/>
      <c r="H156" s="8"/>
      <c r="I156" s="8"/>
      <c r="J156" s="8" t="str">
        <f>IFERROR(__xludf.DUMMYFUNCTION("""COMPUTED_VALUE"""),"  ")</f>
        <v>  </v>
      </c>
      <c r="K156" s="8" t="str">
        <f>IFERROR(__xludf.DUMMYFUNCTION("""COMPUTED_VALUE"""),"606072")</f>
        <v>606072</v>
      </c>
      <c r="L156" s="8" t="str">
        <f>IFERROR(__xludf.DUMMYFUNCTION("""COMPUTED_VALUE"""),"KINGCO WHITEBOARD 60X90")</f>
        <v>KINGCO WHITEBOARD 60X90</v>
      </c>
      <c r="M156" s="12">
        <f>IFERROR(__xludf.DUMMYFUNCTION("""COMPUTED_VALUE"""),1.0)</f>
        <v>1</v>
      </c>
      <c r="N156" s="8" t="str">
        <f>IFERROR(__xludf.DUMMYFUNCTION("""COMPUTED_VALUE"""),"BH")</f>
        <v>BH</v>
      </c>
      <c r="O156" s="13">
        <f>IFERROR(__xludf.DUMMYFUNCTION("""COMPUTED_VALUE"""),145000.0)</f>
        <v>145000</v>
      </c>
      <c r="P156" s="12">
        <f>IFERROR(__xludf.DUMMYFUNCTION("""COMPUTED_VALUE"""),145000.0)</f>
        <v>145000</v>
      </c>
      <c r="Q156" s="8"/>
      <c r="R156" s="8">
        <f>IFERROR(__xludf.DUMMYFUNCTION("""COMPUTED_VALUE"""),0.0)</f>
        <v>0</v>
      </c>
      <c r="S156" s="12">
        <f>IFERROR(__xludf.DUMMYFUNCTION("""COMPUTED_VALUE"""),0.0)</f>
        <v>0</v>
      </c>
      <c r="T156" s="12">
        <f>IFERROR(__xludf.DUMMYFUNCTION("""COMPUTED_VALUE"""),145000.0)</f>
        <v>145000</v>
      </c>
      <c r="U156" s="13">
        <f>IFERROR(__xludf.DUMMYFUNCTION("""COMPUTED_VALUE"""),0.0)</f>
        <v>0</v>
      </c>
      <c r="V156" s="8" t="str">
        <f>IFERROR(__xludf.DUMMYFUNCTION("""COMPUTED_VALUE"""),"QRIS")</f>
        <v>QRIS</v>
      </c>
      <c r="W156" s="8"/>
      <c r="X156" s="8">
        <f t="shared" si="1"/>
        <v>3</v>
      </c>
      <c r="AA156" s="10"/>
    </row>
    <row r="157">
      <c r="A157" s="8" t="str">
        <f>IFERROR(__xludf.DUMMYFUNCTION("""COMPUTED_VALUE"""),"9941/JL/UTM/0324")</f>
        <v>9941/JL/UTM/0324</v>
      </c>
      <c r="B157" s="11">
        <f>IFERROR(__xludf.DUMMYFUNCTION("""COMPUTED_VALUE"""),45364.665509259255)</f>
        <v>45364.66551</v>
      </c>
      <c r="C157" s="8" t="str">
        <f>IFERROR(__xludf.DUMMYFUNCTION("""COMPUTED_VALUE"""),"UMUM")</f>
        <v>UMUM</v>
      </c>
      <c r="D157" s="8" t="str">
        <f>IFERROR(__xludf.DUMMYFUNCTION("""COMPUTED_VALUE"""),"UMUM")</f>
        <v>UMUM</v>
      </c>
      <c r="E157" s="8" t="str">
        <f>IFERROR(__xludf.DUMMYFUNCTION("""COMPUTED_VALUE"""),"JUFRY")</f>
        <v>JUFRY</v>
      </c>
      <c r="F157" s="8"/>
      <c r="G157" s="8"/>
      <c r="H157" s="8"/>
      <c r="I157" s="8"/>
      <c r="J157" s="8" t="str">
        <f>IFERROR(__xludf.DUMMYFUNCTION("""COMPUTED_VALUE"""),"  ")</f>
        <v>  </v>
      </c>
      <c r="K157" s="8" t="str">
        <f>IFERROR(__xludf.DUMMYFUNCTION("""COMPUTED_VALUE"""),"706116")</f>
        <v>706116</v>
      </c>
      <c r="L157" s="8" t="str">
        <f>IFERROR(__xludf.DUMMYFUNCTION("""COMPUTED_VALUE"""),"JOYKO MSN LEBEL HARGA MX5500")</f>
        <v>JOYKO MSN LEBEL HARGA MX5500</v>
      </c>
      <c r="M157" s="12">
        <f>IFERROR(__xludf.DUMMYFUNCTION("""COMPUTED_VALUE"""),1.0)</f>
        <v>1</v>
      </c>
      <c r="N157" s="8" t="str">
        <f>IFERROR(__xludf.DUMMYFUNCTION("""COMPUTED_VALUE"""),"BH")</f>
        <v>BH</v>
      </c>
      <c r="O157" s="13">
        <f>IFERROR(__xludf.DUMMYFUNCTION("""COMPUTED_VALUE"""),70000.0)</f>
        <v>70000</v>
      </c>
      <c r="P157" s="12">
        <f>IFERROR(__xludf.DUMMYFUNCTION("""COMPUTED_VALUE"""),70000.0)</f>
        <v>70000</v>
      </c>
      <c r="Q157" s="8"/>
      <c r="R157" s="8">
        <f>IFERROR(__xludf.DUMMYFUNCTION("""COMPUTED_VALUE"""),0.0)</f>
        <v>0</v>
      </c>
      <c r="S157" s="12">
        <f>IFERROR(__xludf.DUMMYFUNCTION("""COMPUTED_VALUE"""),0.0)</f>
        <v>0</v>
      </c>
      <c r="T157" s="12">
        <f>IFERROR(__xludf.DUMMYFUNCTION("""COMPUTED_VALUE"""),70000.0)</f>
        <v>70000</v>
      </c>
      <c r="U157" s="13">
        <f>IFERROR(__xludf.DUMMYFUNCTION("""COMPUTED_VALUE"""),0.0)</f>
        <v>0</v>
      </c>
      <c r="V157" s="8"/>
      <c r="W157" s="8"/>
      <c r="X157" s="8">
        <f t="shared" si="1"/>
        <v>3</v>
      </c>
      <c r="AA157" s="10"/>
    </row>
    <row r="158">
      <c r="A158" s="8" t="str">
        <f>IFERROR(__xludf.DUMMYFUNCTION("""COMPUTED_VALUE"""),"9942/JL/UTM/0324")</f>
        <v>9942/JL/UTM/0324</v>
      </c>
      <c r="B158" s="11">
        <f>IFERROR(__xludf.DUMMYFUNCTION("""COMPUTED_VALUE"""),45364.66743055556)</f>
        <v>45364.66743</v>
      </c>
      <c r="C158" s="8" t="str">
        <f>IFERROR(__xludf.DUMMYFUNCTION("""COMPUTED_VALUE"""),"PL0926")</f>
        <v>PL0926</v>
      </c>
      <c r="D158" s="8" t="str">
        <f>IFERROR(__xludf.DUMMYFUNCTION("""COMPUTED_VALUE"""),"PT. MACMAHON MINING SERVICES")</f>
        <v>PT. MACMAHON MINING SERVICES</v>
      </c>
      <c r="E158" s="8" t="str">
        <f>IFERROR(__xludf.DUMMYFUNCTION("""COMPUTED_VALUE"""),"JUFRY")</f>
        <v>JUFRY</v>
      </c>
      <c r="F158" s="8"/>
      <c r="G158" s="8"/>
      <c r="H158" s="8"/>
      <c r="I158" s="8"/>
      <c r="J158" s="8" t="str">
        <f>IFERROR(__xludf.DUMMYFUNCTION("""COMPUTED_VALUE"""),"PALU  ")</f>
        <v>PALU  </v>
      </c>
      <c r="K158" s="8" t="str">
        <f>IFERROR(__xludf.DUMMYFUNCTION("""COMPUTED_VALUE"""),"606072")</f>
        <v>606072</v>
      </c>
      <c r="L158" s="8" t="str">
        <f>IFERROR(__xludf.DUMMYFUNCTION("""COMPUTED_VALUE"""),"KINGCO WHITEBOARD 60X90")</f>
        <v>KINGCO WHITEBOARD 60X90</v>
      </c>
      <c r="M158" s="12">
        <f>IFERROR(__xludf.DUMMYFUNCTION("""COMPUTED_VALUE"""),1.0)</f>
        <v>1</v>
      </c>
      <c r="N158" s="8" t="str">
        <f>IFERROR(__xludf.DUMMYFUNCTION("""COMPUTED_VALUE"""),"BH")</f>
        <v>BH</v>
      </c>
      <c r="O158" s="13">
        <f>IFERROR(__xludf.DUMMYFUNCTION("""COMPUTED_VALUE"""),150000.0)</f>
        <v>150000</v>
      </c>
      <c r="P158" s="12">
        <f>IFERROR(__xludf.DUMMYFUNCTION("""COMPUTED_VALUE"""),0.0)</f>
        <v>0</v>
      </c>
      <c r="Q158" s="8"/>
      <c r="R158" s="8">
        <f>IFERROR(__xludf.DUMMYFUNCTION("""COMPUTED_VALUE"""),0.0)</f>
        <v>0</v>
      </c>
      <c r="S158" s="12">
        <f>IFERROR(__xludf.DUMMYFUNCTION("""COMPUTED_VALUE"""),550000.0)</f>
        <v>550000</v>
      </c>
      <c r="T158" s="12">
        <f>IFERROR(__xludf.DUMMYFUNCTION("""COMPUTED_VALUE"""),150000.0)</f>
        <v>150000</v>
      </c>
      <c r="U158" s="13">
        <f>IFERROR(__xludf.DUMMYFUNCTION("""COMPUTED_VALUE"""),0.0)</f>
        <v>0</v>
      </c>
      <c r="V158" s="8" t="str">
        <f>IFERROR(__xludf.DUMMYFUNCTION("""COMPUTED_VALUE"""),"PO NO.M235-1038558")</f>
        <v>PO NO.M235-1038558</v>
      </c>
      <c r="W158" s="8"/>
      <c r="X158" s="8">
        <f t="shared" si="1"/>
        <v>3</v>
      </c>
      <c r="AA158" s="10"/>
    </row>
    <row r="159">
      <c r="A159" s="8" t="str">
        <f>IFERROR(__xludf.DUMMYFUNCTION("""COMPUTED_VALUE"""),"9942/JL/UTM/0324")</f>
        <v>9942/JL/UTM/0324</v>
      </c>
      <c r="B159" s="11">
        <f>IFERROR(__xludf.DUMMYFUNCTION("""COMPUTED_VALUE"""),45364.66743055556)</f>
        <v>45364.66743</v>
      </c>
      <c r="C159" s="8" t="str">
        <f>IFERROR(__xludf.DUMMYFUNCTION("""COMPUTED_VALUE"""),"PL0926")</f>
        <v>PL0926</v>
      </c>
      <c r="D159" s="8" t="str">
        <f>IFERROR(__xludf.DUMMYFUNCTION("""COMPUTED_VALUE"""),"PT. MACMAHON MINING SERVICES")</f>
        <v>PT. MACMAHON MINING SERVICES</v>
      </c>
      <c r="E159" s="8" t="str">
        <f>IFERROR(__xludf.DUMMYFUNCTION("""COMPUTED_VALUE"""),"JUFRY")</f>
        <v>JUFRY</v>
      </c>
      <c r="F159" s="8"/>
      <c r="G159" s="8"/>
      <c r="H159" s="8"/>
      <c r="I159" s="8"/>
      <c r="J159" s="8" t="str">
        <f>IFERROR(__xludf.DUMMYFUNCTION("""COMPUTED_VALUE"""),"PALU  ")</f>
        <v>PALU  </v>
      </c>
      <c r="K159" s="8" t="str">
        <f>IFERROR(__xludf.DUMMYFUNCTION("""COMPUTED_VALUE"""),"505095")</f>
        <v>505095</v>
      </c>
      <c r="L159" s="8" t="str">
        <f>IFERROR(__xludf.DUMMYFUNCTION("""COMPUTED_VALUE"""),"Pop One whit soft board 60x90")</f>
        <v>Pop One whit soft board 60x90</v>
      </c>
      <c r="M159" s="12">
        <f>IFERROR(__xludf.DUMMYFUNCTION("""COMPUTED_VALUE"""),1.0)</f>
        <v>1</v>
      </c>
      <c r="N159" s="8" t="str">
        <f>IFERROR(__xludf.DUMMYFUNCTION("""COMPUTED_VALUE"""),"BH")</f>
        <v>BH</v>
      </c>
      <c r="O159" s="13">
        <f>IFERROR(__xludf.DUMMYFUNCTION("""COMPUTED_VALUE"""),400000.0)</f>
        <v>400000</v>
      </c>
      <c r="P159" s="12">
        <f>IFERROR(__xludf.DUMMYFUNCTION("""COMPUTED_VALUE"""),0.0)</f>
        <v>0</v>
      </c>
      <c r="Q159" s="8"/>
      <c r="R159" s="8">
        <f>IFERROR(__xludf.DUMMYFUNCTION("""COMPUTED_VALUE"""),0.0)</f>
        <v>0</v>
      </c>
      <c r="S159" s="12">
        <f>IFERROR(__xludf.DUMMYFUNCTION("""COMPUTED_VALUE"""),550000.0)</f>
        <v>550000</v>
      </c>
      <c r="T159" s="12">
        <f>IFERROR(__xludf.DUMMYFUNCTION("""COMPUTED_VALUE"""),400000.0)</f>
        <v>400000</v>
      </c>
      <c r="U159" s="13">
        <f>IFERROR(__xludf.DUMMYFUNCTION("""COMPUTED_VALUE"""),0.0)</f>
        <v>0</v>
      </c>
      <c r="V159" s="8" t="str">
        <f>IFERROR(__xludf.DUMMYFUNCTION("""COMPUTED_VALUE"""),"PO NO.M235-1038558")</f>
        <v>PO NO.M235-1038558</v>
      </c>
      <c r="W159" s="8"/>
      <c r="X159" s="8">
        <f t="shared" si="1"/>
        <v>3</v>
      </c>
      <c r="AA159" s="10"/>
    </row>
    <row r="160">
      <c r="A160" s="8" t="str">
        <f>IFERROR(__xludf.DUMMYFUNCTION("""COMPUTED_VALUE"""),"9943/JL/UTM/0324")</f>
        <v>9943/JL/UTM/0324</v>
      </c>
      <c r="B160" s="11">
        <f>IFERROR(__xludf.DUMMYFUNCTION("""COMPUTED_VALUE"""),45365.67145833334)</f>
        <v>45365.67146</v>
      </c>
      <c r="C160" s="8" t="str">
        <f>IFERROR(__xludf.DUMMYFUNCTION("""COMPUTED_VALUE"""),"UMUM")</f>
        <v>UMUM</v>
      </c>
      <c r="D160" s="8" t="str">
        <f>IFERROR(__xludf.DUMMYFUNCTION("""COMPUTED_VALUE"""),"UMUM")</f>
        <v>UMUM</v>
      </c>
      <c r="E160" s="8" t="str">
        <f>IFERROR(__xludf.DUMMYFUNCTION("""COMPUTED_VALUE"""),"JUFRY")</f>
        <v>JUFRY</v>
      </c>
      <c r="F160" s="8"/>
      <c r="G160" s="8"/>
      <c r="H160" s="8"/>
      <c r="I160" s="8"/>
      <c r="J160" s="8" t="str">
        <f>IFERROR(__xludf.DUMMYFUNCTION("""COMPUTED_VALUE"""),"  ")</f>
        <v>  </v>
      </c>
      <c r="K160" s="8" t="str">
        <f>IFERROR(__xludf.DUMMYFUNCTION("""COMPUTED_VALUE"""),"20372")</f>
        <v>20372</v>
      </c>
      <c r="L160" s="8" t="str">
        <f>IFERROR(__xludf.DUMMYFUNCTION("""COMPUTED_VALUE"""),"SECURE INSTAN MESIN LAMINATING")</f>
        <v>SECURE INSTAN MESIN LAMINATING</v>
      </c>
      <c r="M160" s="12">
        <f>IFERROR(__xludf.DUMMYFUNCTION("""COMPUTED_VALUE"""),1.0)</f>
        <v>1</v>
      </c>
      <c r="N160" s="8" t="str">
        <f>IFERROR(__xludf.DUMMYFUNCTION("""COMPUTED_VALUE"""),"BH")</f>
        <v>BH</v>
      </c>
      <c r="O160" s="13">
        <f>IFERROR(__xludf.DUMMYFUNCTION("""COMPUTED_VALUE"""),950000.0)</f>
        <v>950000</v>
      </c>
      <c r="P160" s="12">
        <f>IFERROR(__xludf.DUMMYFUNCTION("""COMPUTED_VALUE"""),900000.0)</f>
        <v>900000</v>
      </c>
      <c r="Q160" s="8"/>
      <c r="R160" s="8">
        <f>IFERROR(__xludf.DUMMYFUNCTION("""COMPUTED_VALUE"""),0.0)</f>
        <v>0</v>
      </c>
      <c r="S160" s="12">
        <f>IFERROR(__xludf.DUMMYFUNCTION("""COMPUTED_VALUE"""),0.0)</f>
        <v>0</v>
      </c>
      <c r="T160" s="12">
        <f>IFERROR(__xludf.DUMMYFUNCTION("""COMPUTED_VALUE"""),950000.0)</f>
        <v>950000</v>
      </c>
      <c r="U160" s="13">
        <f>IFERROR(__xludf.DUMMYFUNCTION("""COMPUTED_VALUE"""),5.2631578947)</f>
        <v>5.263157895</v>
      </c>
      <c r="V160" s="8"/>
      <c r="W160" s="8"/>
      <c r="X160" s="8">
        <f t="shared" si="1"/>
        <v>3</v>
      </c>
      <c r="AA160" s="10"/>
    </row>
    <row r="161">
      <c r="A161" s="8" t="str">
        <f>IFERROR(__xludf.DUMMYFUNCTION("""COMPUTED_VALUE"""),"9944/JL/UTM/0324")</f>
        <v>9944/JL/UTM/0324</v>
      </c>
      <c r="B161" s="11">
        <f>IFERROR(__xludf.DUMMYFUNCTION("""COMPUTED_VALUE"""),45365.67224537037)</f>
        <v>45365.67225</v>
      </c>
      <c r="C161" s="8" t="str">
        <f>IFERROR(__xludf.DUMMYFUNCTION("""COMPUTED_VALUE"""),"UMUM")</f>
        <v>UMUM</v>
      </c>
      <c r="D161" s="8" t="str">
        <f>IFERROR(__xludf.DUMMYFUNCTION("""COMPUTED_VALUE"""),"UMUM")</f>
        <v>UMUM</v>
      </c>
      <c r="E161" s="8" t="str">
        <f>IFERROR(__xludf.DUMMYFUNCTION("""COMPUTED_VALUE"""),"JUFRY")</f>
        <v>JUFRY</v>
      </c>
      <c r="F161" s="8"/>
      <c r="G161" s="8"/>
      <c r="H161" s="8"/>
      <c r="I161" s="8"/>
      <c r="J161" s="8" t="str">
        <f>IFERROR(__xludf.DUMMYFUNCTION("""COMPUTED_VALUE"""),"  ")</f>
        <v>  </v>
      </c>
      <c r="K161" s="8" t="str">
        <f>IFERROR(__xludf.DUMMYFUNCTION("""COMPUTED_VALUE"""),"20383")</f>
        <v>20383</v>
      </c>
      <c r="L161" s="8" t="str">
        <f>IFERROR(__xludf.DUMMYFUNCTION("""COMPUTED_VALUE"""),"BROTHER PITA MESIN KETIK LISTRIK 1030")</f>
        <v>BROTHER PITA MESIN KETIK LISTRIK 1030</v>
      </c>
      <c r="M161" s="12">
        <f>IFERROR(__xludf.DUMMYFUNCTION("""COMPUTED_VALUE"""),1.0)</f>
        <v>1</v>
      </c>
      <c r="N161" s="8" t="str">
        <f>IFERROR(__xludf.DUMMYFUNCTION("""COMPUTED_VALUE"""),"PCS")</f>
        <v>PCS</v>
      </c>
      <c r="O161" s="13">
        <f>IFERROR(__xludf.DUMMYFUNCTION("""COMPUTED_VALUE"""),50000.0)</f>
        <v>50000</v>
      </c>
      <c r="P161" s="12">
        <f>IFERROR(__xludf.DUMMYFUNCTION("""COMPUTED_VALUE"""),50000.0)</f>
        <v>50000</v>
      </c>
      <c r="Q161" s="8"/>
      <c r="R161" s="8">
        <f>IFERROR(__xludf.DUMMYFUNCTION("""COMPUTED_VALUE"""),0.0)</f>
        <v>0</v>
      </c>
      <c r="S161" s="12">
        <f>IFERROR(__xludf.DUMMYFUNCTION("""COMPUTED_VALUE"""),0.0)</f>
        <v>0</v>
      </c>
      <c r="T161" s="12">
        <f>IFERROR(__xludf.DUMMYFUNCTION("""COMPUTED_VALUE"""),50000.0)</f>
        <v>50000</v>
      </c>
      <c r="U161" s="13">
        <f>IFERROR(__xludf.DUMMYFUNCTION("""COMPUTED_VALUE"""),0.0)</f>
        <v>0</v>
      </c>
      <c r="V161" s="8"/>
      <c r="W161" s="8"/>
      <c r="X161" s="8">
        <f t="shared" si="1"/>
        <v>3</v>
      </c>
      <c r="AA161" s="10"/>
    </row>
    <row r="162">
      <c r="A162" s="8" t="str">
        <f>IFERROR(__xludf.DUMMYFUNCTION("""COMPUTED_VALUE"""),"9945/JL/UTM/0324")</f>
        <v>9945/JL/UTM/0324</v>
      </c>
      <c r="B162" s="11">
        <f>IFERROR(__xludf.DUMMYFUNCTION("""COMPUTED_VALUE"""),45365.673125)</f>
        <v>45365.67313</v>
      </c>
      <c r="C162" s="8" t="str">
        <f>IFERROR(__xludf.DUMMYFUNCTION("""COMPUTED_VALUE"""),"UMUM")</f>
        <v>UMUM</v>
      </c>
      <c r="D162" s="8" t="str">
        <f>IFERROR(__xludf.DUMMYFUNCTION("""COMPUTED_VALUE"""),"UMUM")</f>
        <v>UMUM</v>
      </c>
      <c r="E162" s="8" t="str">
        <f>IFERROR(__xludf.DUMMYFUNCTION("""COMPUTED_VALUE"""),"JUFRY")</f>
        <v>JUFRY</v>
      </c>
      <c r="F162" s="8"/>
      <c r="G162" s="8"/>
      <c r="H162" s="8"/>
      <c r="I162" s="8"/>
      <c r="J162" s="8" t="str">
        <f>IFERROR(__xludf.DUMMYFUNCTION("""COMPUTED_VALUE"""),"  ")</f>
        <v>  </v>
      </c>
      <c r="K162" s="8" t="str">
        <f>IFERROR(__xludf.DUMMYFUNCTION("""COMPUTED_VALUE"""),"20120")</f>
        <v>20120</v>
      </c>
      <c r="L162" s="8" t="str">
        <f>IFERROR(__xludf.DUMMYFUNCTION("""COMPUTED_VALUE"""),"HONGSENG PRICE LABELLER MX 6600")</f>
        <v>HONGSENG PRICE LABELLER MX 6600</v>
      </c>
      <c r="M162" s="12">
        <f>IFERROR(__xludf.DUMMYFUNCTION("""COMPUTED_VALUE"""),1.0)</f>
        <v>1</v>
      </c>
      <c r="N162" s="8" t="str">
        <f>IFERROR(__xludf.DUMMYFUNCTION("""COMPUTED_VALUE"""),"BH")</f>
        <v>BH</v>
      </c>
      <c r="O162" s="13">
        <f>IFERROR(__xludf.DUMMYFUNCTION("""COMPUTED_VALUE"""),150000.0)</f>
        <v>150000</v>
      </c>
      <c r="P162" s="12">
        <f>IFERROR(__xludf.DUMMYFUNCTION("""COMPUTED_VALUE"""),150000.0)</f>
        <v>150000</v>
      </c>
      <c r="Q162" s="8"/>
      <c r="R162" s="8">
        <f>IFERROR(__xludf.DUMMYFUNCTION("""COMPUTED_VALUE"""),0.0)</f>
        <v>0</v>
      </c>
      <c r="S162" s="12">
        <f>IFERROR(__xludf.DUMMYFUNCTION("""COMPUTED_VALUE"""),0.0)</f>
        <v>0</v>
      </c>
      <c r="T162" s="12">
        <f>IFERROR(__xludf.DUMMYFUNCTION("""COMPUTED_VALUE"""),150000.0)</f>
        <v>150000</v>
      </c>
      <c r="U162" s="13">
        <f>IFERROR(__xludf.DUMMYFUNCTION("""COMPUTED_VALUE"""),0.0)</f>
        <v>0</v>
      </c>
      <c r="V162" s="8" t="str">
        <f>IFERROR(__xludf.DUMMYFUNCTION("""COMPUTED_VALUE"""),"TRANSFER BCA")</f>
        <v>TRANSFER BCA</v>
      </c>
      <c r="W162" s="8"/>
      <c r="X162" s="8">
        <f t="shared" si="1"/>
        <v>3</v>
      </c>
      <c r="AA162" s="10"/>
    </row>
    <row r="163">
      <c r="A163" s="8" t="str">
        <f>IFERROR(__xludf.DUMMYFUNCTION("""COMPUTED_VALUE"""),"9946/JL/UTM/0324")</f>
        <v>9946/JL/UTM/0324</v>
      </c>
      <c r="B163" s="11">
        <f>IFERROR(__xludf.DUMMYFUNCTION("""COMPUTED_VALUE"""),45366.664247685185)</f>
        <v>45366.66425</v>
      </c>
      <c r="C163" s="8" t="str">
        <f>IFERROR(__xludf.DUMMYFUNCTION("""COMPUTED_VALUE"""),"354")</f>
        <v>354</v>
      </c>
      <c r="D163" s="8" t="str">
        <f>IFERROR(__xludf.DUMMYFUNCTION("""COMPUTED_VALUE"""),"ANUGRAH JAYA")</f>
        <v>ANUGRAH JAYA</v>
      </c>
      <c r="E163" s="8" t="str">
        <f>IFERROR(__xludf.DUMMYFUNCTION("""COMPUTED_VALUE"""),"JUFRY")</f>
        <v>JUFRY</v>
      </c>
      <c r="F163" s="8"/>
      <c r="G163" s="8"/>
      <c r="H163" s="8"/>
      <c r="I163" s="8"/>
      <c r="J163" s="8" t="str">
        <f>IFERROR(__xludf.DUMMYFUNCTION("""COMPUTED_VALUE"""),"  ")</f>
        <v>  </v>
      </c>
      <c r="K163" s="8" t="str">
        <f>IFERROR(__xludf.DUMMYFUNCTION("""COMPUTED_VALUE"""),"20049")</f>
        <v>20049</v>
      </c>
      <c r="L163" s="8" t="str">
        <f>IFERROR(__xludf.DUMMYFUNCTION("""COMPUTED_VALUE"""),"LION FILING CABINET 4 LACI L44")</f>
        <v>LION FILING CABINET 4 LACI L44</v>
      </c>
      <c r="M163" s="12">
        <f>IFERROR(__xludf.DUMMYFUNCTION("""COMPUTED_VALUE"""),1.0)</f>
        <v>1</v>
      </c>
      <c r="N163" s="8" t="str">
        <f>IFERROR(__xludf.DUMMYFUNCTION("""COMPUTED_VALUE"""),"UNIT")</f>
        <v>UNIT</v>
      </c>
      <c r="O163" s="13">
        <f>IFERROR(__xludf.DUMMYFUNCTION("""COMPUTED_VALUE"""),3900000.0)</f>
        <v>3900000</v>
      </c>
      <c r="P163" s="12">
        <f>IFERROR(__xludf.DUMMYFUNCTION("""COMPUTED_VALUE"""),6345000.0)</f>
        <v>6345000</v>
      </c>
      <c r="Q163" s="8"/>
      <c r="R163" s="8">
        <f>IFERROR(__xludf.DUMMYFUNCTION("""COMPUTED_VALUE"""),0.0)</f>
        <v>0</v>
      </c>
      <c r="S163" s="12">
        <f>IFERROR(__xludf.DUMMYFUNCTION("""COMPUTED_VALUE"""),0.0)</f>
        <v>0</v>
      </c>
      <c r="T163" s="12">
        <f>IFERROR(__xludf.DUMMYFUNCTION("""COMPUTED_VALUE"""),3510000.0)</f>
        <v>3510000</v>
      </c>
      <c r="U163" s="13">
        <f>IFERROR(__xludf.DUMMYFUNCTION("""COMPUTED_VALUE"""),0.0)</f>
        <v>0</v>
      </c>
      <c r="V163" s="8"/>
      <c r="W163" s="8"/>
      <c r="X163" s="8">
        <f t="shared" si="1"/>
        <v>3</v>
      </c>
      <c r="AA163" s="10"/>
    </row>
    <row r="164">
      <c r="A164" s="8" t="str">
        <f>IFERROR(__xludf.DUMMYFUNCTION("""COMPUTED_VALUE"""),"9946/JL/UTM/0324")</f>
        <v>9946/JL/UTM/0324</v>
      </c>
      <c r="B164" s="11">
        <f>IFERROR(__xludf.DUMMYFUNCTION("""COMPUTED_VALUE"""),45366.664247685185)</f>
        <v>45366.66425</v>
      </c>
      <c r="C164" s="8" t="str">
        <f>IFERROR(__xludf.DUMMYFUNCTION("""COMPUTED_VALUE"""),"354")</f>
        <v>354</v>
      </c>
      <c r="D164" s="8" t="str">
        <f>IFERROR(__xludf.DUMMYFUNCTION("""COMPUTED_VALUE"""),"ANUGRAH JAYA")</f>
        <v>ANUGRAH JAYA</v>
      </c>
      <c r="E164" s="8" t="str">
        <f>IFERROR(__xludf.DUMMYFUNCTION("""COMPUTED_VALUE"""),"JUFRY")</f>
        <v>JUFRY</v>
      </c>
      <c r="F164" s="8"/>
      <c r="G164" s="8"/>
      <c r="H164" s="8"/>
      <c r="I164" s="8"/>
      <c r="J164" s="8" t="str">
        <f>IFERROR(__xludf.DUMMYFUNCTION("""COMPUTED_VALUE"""),"  ")</f>
        <v>  </v>
      </c>
      <c r="K164" s="8" t="str">
        <f>IFERROR(__xludf.DUMMYFUNCTION("""COMPUTED_VALUE"""),"20050")</f>
        <v>20050</v>
      </c>
      <c r="L164" s="8" t="str">
        <f>IFERROR(__xludf.DUMMYFUNCTION("""COMPUTED_VALUE"""),"LION FILING CABINET 3 LACI L43")</f>
        <v>LION FILING CABINET 3 LACI L43</v>
      </c>
      <c r="M164" s="12">
        <f>IFERROR(__xludf.DUMMYFUNCTION("""COMPUTED_VALUE"""),1.0)</f>
        <v>1</v>
      </c>
      <c r="N164" s="8" t="str">
        <f>IFERROR(__xludf.DUMMYFUNCTION("""COMPUTED_VALUE"""),"UNIT")</f>
        <v>UNIT</v>
      </c>
      <c r="O164" s="13">
        <f>IFERROR(__xludf.DUMMYFUNCTION("""COMPUTED_VALUE"""),3150000.0)</f>
        <v>3150000</v>
      </c>
      <c r="P164" s="12">
        <f>IFERROR(__xludf.DUMMYFUNCTION("""COMPUTED_VALUE"""),6345000.0)</f>
        <v>6345000</v>
      </c>
      <c r="Q164" s="8"/>
      <c r="R164" s="8">
        <f>IFERROR(__xludf.DUMMYFUNCTION("""COMPUTED_VALUE"""),0.0)</f>
        <v>0</v>
      </c>
      <c r="S164" s="12">
        <f>IFERROR(__xludf.DUMMYFUNCTION("""COMPUTED_VALUE"""),0.0)</f>
        <v>0</v>
      </c>
      <c r="T164" s="12">
        <f>IFERROR(__xludf.DUMMYFUNCTION("""COMPUTED_VALUE"""),2835000.0)</f>
        <v>2835000</v>
      </c>
      <c r="U164" s="13">
        <f>IFERROR(__xludf.DUMMYFUNCTION("""COMPUTED_VALUE"""),0.0)</f>
        <v>0</v>
      </c>
      <c r="V164" s="8"/>
      <c r="W164" s="8"/>
      <c r="X164" s="8">
        <f t="shared" si="1"/>
        <v>3</v>
      </c>
      <c r="AA164" s="10"/>
    </row>
    <row r="165">
      <c r="A165" s="8" t="str">
        <f>IFERROR(__xludf.DUMMYFUNCTION("""COMPUTED_VALUE"""),"9947/JL/UTM/0324")</f>
        <v>9947/JL/UTM/0324</v>
      </c>
      <c r="B165" s="11">
        <f>IFERROR(__xludf.DUMMYFUNCTION("""COMPUTED_VALUE"""),45367.6694675926)</f>
        <v>45367.66947</v>
      </c>
      <c r="C165" s="8" t="str">
        <f>IFERROR(__xludf.DUMMYFUNCTION("""COMPUTED_VALUE"""),"UMUM")</f>
        <v>UMUM</v>
      </c>
      <c r="D165" s="8" t="str">
        <f>IFERROR(__xludf.DUMMYFUNCTION("""COMPUTED_VALUE"""),"UMUM")</f>
        <v>UMUM</v>
      </c>
      <c r="E165" s="8" t="str">
        <f>IFERROR(__xludf.DUMMYFUNCTION("""COMPUTED_VALUE"""),"JUFRY")</f>
        <v>JUFRY</v>
      </c>
      <c r="F165" s="8"/>
      <c r="G165" s="8"/>
      <c r="H165" s="8"/>
      <c r="I165" s="8"/>
      <c r="J165" s="8" t="str">
        <f>IFERROR(__xludf.DUMMYFUNCTION("""COMPUTED_VALUE"""),"  ")</f>
        <v>  </v>
      </c>
      <c r="K165" s="8" t="str">
        <f>IFERROR(__xludf.DUMMYFUNCTION("""COMPUTED_VALUE"""),"706069")</f>
        <v>706069</v>
      </c>
      <c r="L165" s="8" t="str">
        <f>IFERROR(__xludf.DUMMYFUNCTION("""COMPUTED_VALUE"""),"MAESTRO KING BRANKAST SIZE VI")</f>
        <v>MAESTRO KING BRANKAST SIZE VI</v>
      </c>
      <c r="M165" s="12">
        <f>IFERROR(__xludf.DUMMYFUNCTION("""COMPUTED_VALUE"""),1.0)</f>
        <v>1</v>
      </c>
      <c r="N165" s="8" t="str">
        <f>IFERROR(__xludf.DUMMYFUNCTION("""COMPUTED_VALUE"""),"BH")</f>
        <v>BH</v>
      </c>
      <c r="O165" s="13">
        <f>IFERROR(__xludf.DUMMYFUNCTION("""COMPUTED_VALUE"""),2.65E7)</f>
        <v>26500000</v>
      </c>
      <c r="P165" s="12">
        <f>IFERROR(__xludf.DUMMYFUNCTION("""COMPUTED_VALUE"""),2.45E7)</f>
        <v>24500000</v>
      </c>
      <c r="Q165" s="8"/>
      <c r="R165" s="8">
        <f>IFERROR(__xludf.DUMMYFUNCTION("""COMPUTED_VALUE"""),0.0)</f>
        <v>0</v>
      </c>
      <c r="S165" s="12">
        <f>IFERROR(__xludf.DUMMYFUNCTION("""COMPUTED_VALUE"""),0.0)</f>
        <v>0</v>
      </c>
      <c r="T165" s="12">
        <f>IFERROR(__xludf.DUMMYFUNCTION("""COMPUTED_VALUE"""),2.65E7)</f>
        <v>26500000</v>
      </c>
      <c r="U165" s="13">
        <f>IFERROR(__xludf.DUMMYFUNCTION("""COMPUTED_VALUE"""),7.5471698113)</f>
        <v>7.547169811</v>
      </c>
      <c r="V165" s="8"/>
      <c r="W165" s="8"/>
      <c r="X165" s="8">
        <f t="shared" si="1"/>
        <v>3</v>
      </c>
      <c r="AA165" s="10"/>
    </row>
    <row r="166">
      <c r="A166" s="8" t="str">
        <f>IFERROR(__xludf.DUMMYFUNCTION("""COMPUTED_VALUE"""),"9948/JL/UTM/0324")</f>
        <v>9948/JL/UTM/0324</v>
      </c>
      <c r="B166" s="11">
        <f>IFERROR(__xludf.DUMMYFUNCTION("""COMPUTED_VALUE"""),45369.67890046297)</f>
        <v>45369.6789</v>
      </c>
      <c r="C166" s="8" t="str">
        <f>IFERROR(__xludf.DUMMYFUNCTION("""COMPUTED_VALUE"""),"UMUM")</f>
        <v>UMUM</v>
      </c>
      <c r="D166" s="8" t="str">
        <f>IFERROR(__xludf.DUMMYFUNCTION("""COMPUTED_VALUE"""),"UMUM")</f>
        <v>UMUM</v>
      </c>
      <c r="E166" s="8" t="str">
        <f>IFERROR(__xludf.DUMMYFUNCTION("""COMPUTED_VALUE"""),"JUFRY")</f>
        <v>JUFRY</v>
      </c>
      <c r="F166" s="8"/>
      <c r="G166" s="8"/>
      <c r="H166" s="8"/>
      <c r="I166" s="8"/>
      <c r="J166" s="8" t="str">
        <f>IFERROR(__xludf.DUMMYFUNCTION("""COMPUTED_VALUE"""),"  ")</f>
        <v>  </v>
      </c>
      <c r="K166" s="8" t="str">
        <f>IFERROR(__xludf.DUMMYFUNCTION("""COMPUTED_VALUE"""),"706150")</f>
        <v>706150</v>
      </c>
      <c r="L166" s="8" t="str">
        <f>IFERROR(__xludf.DUMMYFUNCTION("""COMPUTED_VALUE"""),"SECURE MONEY COUNTER LD 24M")</f>
        <v>SECURE MONEY COUNTER LD 24M</v>
      </c>
      <c r="M166" s="12">
        <f>IFERROR(__xludf.DUMMYFUNCTION("""COMPUTED_VALUE"""),1.0)</f>
        <v>1</v>
      </c>
      <c r="N166" s="8" t="str">
        <f>IFERROR(__xludf.DUMMYFUNCTION("""COMPUTED_VALUE"""),"BH")</f>
        <v>BH</v>
      </c>
      <c r="O166" s="13">
        <f>IFERROR(__xludf.DUMMYFUNCTION("""COMPUTED_VALUE"""),1750000.0)</f>
        <v>1750000</v>
      </c>
      <c r="P166" s="12">
        <f>IFERROR(__xludf.DUMMYFUNCTION("""COMPUTED_VALUE"""),1600000.0)</f>
        <v>1600000</v>
      </c>
      <c r="Q166" s="8"/>
      <c r="R166" s="8">
        <f>IFERROR(__xludf.DUMMYFUNCTION("""COMPUTED_VALUE"""),0.0)</f>
        <v>0</v>
      </c>
      <c r="S166" s="12">
        <f>IFERROR(__xludf.DUMMYFUNCTION("""COMPUTED_VALUE"""),0.0)</f>
        <v>0</v>
      </c>
      <c r="T166" s="12">
        <f>IFERROR(__xludf.DUMMYFUNCTION("""COMPUTED_VALUE"""),1750000.0)</f>
        <v>1750000</v>
      </c>
      <c r="U166" s="13">
        <f>IFERROR(__xludf.DUMMYFUNCTION("""COMPUTED_VALUE"""),8.5714285714)</f>
        <v>8.571428571</v>
      </c>
      <c r="V166" s="8"/>
      <c r="W166" s="8"/>
      <c r="X166" s="8">
        <f t="shared" si="1"/>
        <v>3</v>
      </c>
      <c r="AA166" s="10"/>
    </row>
    <row r="167">
      <c r="A167" s="8" t="str">
        <f>IFERROR(__xludf.DUMMYFUNCTION("""COMPUTED_VALUE"""),"9949/JL/UTM/0324")</f>
        <v>9949/JL/UTM/0324</v>
      </c>
      <c r="B167" s="11">
        <f>IFERROR(__xludf.DUMMYFUNCTION("""COMPUTED_VALUE"""),45369.679861111115)</f>
        <v>45369.67986</v>
      </c>
      <c r="C167" s="8" t="str">
        <f>IFERROR(__xludf.DUMMYFUNCTION("""COMPUTED_VALUE"""),"PL0927")</f>
        <v>PL0927</v>
      </c>
      <c r="D167" s="8" t="str">
        <f>IFERROR(__xludf.DUMMYFUNCTION("""COMPUTED_VALUE"""),"CV. SENTOSA ABADI")</f>
        <v>CV. SENTOSA ABADI</v>
      </c>
      <c r="E167" s="8" t="str">
        <f>IFERROR(__xludf.DUMMYFUNCTION("""COMPUTED_VALUE"""),"JUFRY")</f>
        <v>JUFRY</v>
      </c>
      <c r="F167" s="8"/>
      <c r="G167" s="8"/>
      <c r="H167" s="8"/>
      <c r="I167" s="8"/>
      <c r="J167" s="8" t="str">
        <f>IFERROR(__xludf.DUMMYFUNCTION("""COMPUTED_VALUE"""),"PALU  ")</f>
        <v>PALU  </v>
      </c>
      <c r="K167" s="8" t="str">
        <f>IFERROR(__xludf.DUMMYFUNCTION("""COMPUTED_VALUE"""),"20054")</f>
        <v>20054</v>
      </c>
      <c r="L167" s="8" t="str">
        <f>IFERROR(__xludf.DUMMYFUNCTION("""COMPUTED_VALUE"""),"BROTHER FILING CABINET 4 LACI B104")</f>
        <v>BROTHER FILING CABINET 4 LACI B104</v>
      </c>
      <c r="M167" s="12">
        <f>IFERROR(__xludf.DUMMYFUNCTION("""COMPUTED_VALUE"""),1.0)</f>
        <v>1</v>
      </c>
      <c r="N167" s="8" t="str">
        <f>IFERROR(__xludf.DUMMYFUNCTION("""COMPUTED_VALUE"""),"UNIT")</f>
        <v>UNIT</v>
      </c>
      <c r="O167" s="13">
        <f>IFERROR(__xludf.DUMMYFUNCTION("""COMPUTED_VALUE"""),2690000.0)</f>
        <v>2690000</v>
      </c>
      <c r="P167" s="12">
        <f>IFERROR(__xludf.DUMMYFUNCTION("""COMPUTED_VALUE"""),2690000.0)</f>
        <v>2690000</v>
      </c>
      <c r="Q167" s="8"/>
      <c r="R167" s="8">
        <f>IFERROR(__xludf.DUMMYFUNCTION("""COMPUTED_VALUE"""),0.0)</f>
        <v>0</v>
      </c>
      <c r="S167" s="12">
        <f>IFERROR(__xludf.DUMMYFUNCTION("""COMPUTED_VALUE"""),0.0)</f>
        <v>0</v>
      </c>
      <c r="T167" s="12">
        <f>IFERROR(__xludf.DUMMYFUNCTION("""COMPUTED_VALUE"""),2690000.0)</f>
        <v>2690000</v>
      </c>
      <c r="U167" s="13">
        <f>IFERROR(__xludf.DUMMYFUNCTION("""COMPUTED_VALUE"""),0.0)</f>
        <v>0</v>
      </c>
      <c r="V167" s="8" t="str">
        <f>IFERROR(__xludf.DUMMYFUNCTION("""COMPUTED_VALUE"""),"TRANSFER MANDIRI")</f>
        <v>TRANSFER MANDIRI</v>
      </c>
      <c r="W167" s="8"/>
      <c r="X167" s="8">
        <f t="shared" si="1"/>
        <v>3</v>
      </c>
      <c r="AA167" s="10"/>
    </row>
    <row r="168">
      <c r="A168" s="8" t="str">
        <f>IFERROR(__xludf.DUMMYFUNCTION("""COMPUTED_VALUE"""),"9950/JL/UTM/0324")</f>
        <v>9950/JL/UTM/0324</v>
      </c>
      <c r="B168" s="11">
        <f>IFERROR(__xludf.DUMMYFUNCTION("""COMPUTED_VALUE"""),45370.674108796295)</f>
        <v>45370.67411</v>
      </c>
      <c r="C168" s="8" t="str">
        <f>IFERROR(__xludf.DUMMYFUNCTION("""COMPUTED_VALUE"""),"UMUM")</f>
        <v>UMUM</v>
      </c>
      <c r="D168" s="8" t="str">
        <f>IFERROR(__xludf.DUMMYFUNCTION("""COMPUTED_VALUE"""),"UMUM")</f>
        <v>UMUM</v>
      </c>
      <c r="E168" s="8" t="str">
        <f>IFERROR(__xludf.DUMMYFUNCTION("""COMPUTED_VALUE"""),"JUFRY")</f>
        <v>JUFRY</v>
      </c>
      <c r="F168" s="8"/>
      <c r="G168" s="8"/>
      <c r="H168" s="8"/>
      <c r="I168" s="8"/>
      <c r="J168" s="8" t="str">
        <f>IFERROR(__xludf.DUMMYFUNCTION("""COMPUTED_VALUE"""),"  ")</f>
        <v>  </v>
      </c>
      <c r="K168" s="8" t="str">
        <f>IFERROR(__xludf.DUMMYFUNCTION("""COMPUTED_VALUE"""),"20383")</f>
        <v>20383</v>
      </c>
      <c r="L168" s="8" t="str">
        <f>IFERROR(__xludf.DUMMYFUNCTION("""COMPUTED_VALUE"""),"BROTHER PITA MESIN KETIK LISTRIK 1030")</f>
        <v>BROTHER PITA MESIN KETIK LISTRIK 1030</v>
      </c>
      <c r="M168" s="12">
        <f>IFERROR(__xludf.DUMMYFUNCTION("""COMPUTED_VALUE"""),2.0)</f>
        <v>2</v>
      </c>
      <c r="N168" s="8" t="str">
        <f>IFERROR(__xludf.DUMMYFUNCTION("""COMPUTED_VALUE"""),"PCS")</f>
        <v>PCS</v>
      </c>
      <c r="O168" s="13">
        <f>IFERROR(__xludf.DUMMYFUNCTION("""COMPUTED_VALUE"""),50000.0)</f>
        <v>50000</v>
      </c>
      <c r="P168" s="12">
        <f>IFERROR(__xludf.DUMMYFUNCTION("""COMPUTED_VALUE"""),250000.0)</f>
        <v>250000</v>
      </c>
      <c r="Q168" s="8"/>
      <c r="R168" s="8">
        <f>IFERROR(__xludf.DUMMYFUNCTION("""COMPUTED_VALUE"""),0.0)</f>
        <v>0</v>
      </c>
      <c r="S168" s="12">
        <f>IFERROR(__xludf.DUMMYFUNCTION("""COMPUTED_VALUE"""),0.0)</f>
        <v>0</v>
      </c>
      <c r="T168" s="12">
        <f>IFERROR(__xludf.DUMMYFUNCTION("""COMPUTED_VALUE"""),100000.0)</f>
        <v>100000</v>
      </c>
      <c r="U168" s="13">
        <f>IFERROR(__xludf.DUMMYFUNCTION("""COMPUTED_VALUE"""),0.0)</f>
        <v>0</v>
      </c>
      <c r="V168" s="8"/>
      <c r="W168" s="8"/>
      <c r="X168" s="8">
        <f t="shared" si="1"/>
        <v>3</v>
      </c>
      <c r="AA168" s="10"/>
    </row>
    <row r="169">
      <c r="A169" s="8" t="str">
        <f>IFERROR(__xludf.DUMMYFUNCTION("""COMPUTED_VALUE"""),"9950/JL/UTM/0324")</f>
        <v>9950/JL/UTM/0324</v>
      </c>
      <c r="B169" s="11">
        <f>IFERROR(__xludf.DUMMYFUNCTION("""COMPUTED_VALUE"""),45370.674108796295)</f>
        <v>45370.67411</v>
      </c>
      <c r="C169" s="8" t="str">
        <f>IFERROR(__xludf.DUMMYFUNCTION("""COMPUTED_VALUE"""),"UMUM")</f>
        <v>UMUM</v>
      </c>
      <c r="D169" s="8" t="str">
        <f>IFERROR(__xludf.DUMMYFUNCTION("""COMPUTED_VALUE"""),"UMUM")</f>
        <v>UMUM</v>
      </c>
      <c r="E169" s="8" t="str">
        <f>IFERROR(__xludf.DUMMYFUNCTION("""COMPUTED_VALUE"""),"JUFRY")</f>
        <v>JUFRY</v>
      </c>
      <c r="F169" s="8"/>
      <c r="G169" s="8"/>
      <c r="H169" s="8"/>
      <c r="I169" s="8"/>
      <c r="J169" s="8" t="str">
        <f>IFERROR(__xludf.DUMMYFUNCTION("""COMPUTED_VALUE"""),"  ")</f>
        <v>  </v>
      </c>
      <c r="K169" s="8" t="str">
        <f>IFERROR(__xludf.DUMMYFUNCTION("""COMPUTED_VALUE"""),"10231")</f>
        <v>10231</v>
      </c>
      <c r="L169" s="8" t="str">
        <f>IFERROR(__xludf.DUMMYFUNCTION("""COMPUTED_VALUE"""),"FULL MARK LIFT-OFF F-583 (GR 143/145)")</f>
        <v>FULL MARK LIFT-OFF F-583 (GR 143/145)</v>
      </c>
      <c r="M169" s="12">
        <f>IFERROR(__xludf.DUMMYFUNCTION("""COMPUTED_VALUE"""),6.0)</f>
        <v>6</v>
      </c>
      <c r="N169" s="8" t="str">
        <f>IFERROR(__xludf.DUMMYFUNCTION("""COMPUTED_VALUE"""),"BH")</f>
        <v>BH</v>
      </c>
      <c r="O169" s="13">
        <f>IFERROR(__xludf.DUMMYFUNCTION("""COMPUTED_VALUE"""),25000.0)</f>
        <v>25000</v>
      </c>
      <c r="P169" s="12">
        <f>IFERROR(__xludf.DUMMYFUNCTION("""COMPUTED_VALUE"""),250000.0)</f>
        <v>250000</v>
      </c>
      <c r="Q169" s="8"/>
      <c r="R169" s="8">
        <f>IFERROR(__xludf.DUMMYFUNCTION("""COMPUTED_VALUE"""),0.0)</f>
        <v>0</v>
      </c>
      <c r="S169" s="12">
        <f>IFERROR(__xludf.DUMMYFUNCTION("""COMPUTED_VALUE"""),0.0)</f>
        <v>0</v>
      </c>
      <c r="T169" s="12">
        <f>IFERROR(__xludf.DUMMYFUNCTION("""COMPUTED_VALUE"""),150000.0)</f>
        <v>150000</v>
      </c>
      <c r="U169" s="13">
        <f>IFERROR(__xludf.DUMMYFUNCTION("""COMPUTED_VALUE"""),0.0)</f>
        <v>0</v>
      </c>
      <c r="V169" s="8"/>
      <c r="W169" s="8"/>
      <c r="X169" s="8">
        <f t="shared" si="1"/>
        <v>3</v>
      </c>
      <c r="AA169" s="10"/>
    </row>
    <row r="170">
      <c r="A170" s="8" t="str">
        <f>IFERROR(__xludf.DUMMYFUNCTION("""COMPUTED_VALUE"""),"9951/JL/UTM/0324")</f>
        <v>9951/JL/UTM/0324</v>
      </c>
      <c r="B170" s="11">
        <f>IFERROR(__xludf.DUMMYFUNCTION("""COMPUTED_VALUE"""),45370.675057870365)</f>
        <v>45370.67506</v>
      </c>
      <c r="C170" s="8" t="str">
        <f>IFERROR(__xludf.DUMMYFUNCTION("""COMPUTED_VALUE"""),"UMUM")</f>
        <v>UMUM</v>
      </c>
      <c r="D170" s="8" t="str">
        <f>IFERROR(__xludf.DUMMYFUNCTION("""COMPUTED_VALUE"""),"UMUM")</f>
        <v>UMUM</v>
      </c>
      <c r="E170" s="8" t="str">
        <f>IFERROR(__xludf.DUMMYFUNCTION("""COMPUTED_VALUE"""),"JUFRY")</f>
        <v>JUFRY</v>
      </c>
      <c r="F170" s="8"/>
      <c r="G170" s="8"/>
      <c r="H170" s="8"/>
      <c r="I170" s="8"/>
      <c r="J170" s="8" t="str">
        <f>IFERROR(__xludf.DUMMYFUNCTION("""COMPUTED_VALUE"""),"  ")</f>
        <v>  </v>
      </c>
      <c r="K170" s="8" t="str">
        <f>IFERROR(__xludf.DUMMYFUNCTION("""COMPUTED_VALUE"""),"10247")</f>
        <v>10247</v>
      </c>
      <c r="L170" s="8" t="str">
        <f>IFERROR(__xludf.DUMMYFUNCTION("""COMPUTED_VALUE"""),"JOYKO PRICE LABELLER MX 6600 N")</f>
        <v>JOYKO PRICE LABELLER MX 6600 N</v>
      </c>
      <c r="M170" s="12">
        <f>IFERROR(__xludf.DUMMYFUNCTION("""COMPUTED_VALUE"""),2.0)</f>
        <v>2</v>
      </c>
      <c r="N170" s="8" t="str">
        <f>IFERROR(__xludf.DUMMYFUNCTION("""COMPUTED_VALUE"""),"BH")</f>
        <v>BH</v>
      </c>
      <c r="O170" s="13">
        <f>IFERROR(__xludf.DUMMYFUNCTION("""COMPUTED_VALUE"""),150000.0)</f>
        <v>150000</v>
      </c>
      <c r="P170" s="12">
        <f>IFERROR(__xludf.DUMMYFUNCTION("""COMPUTED_VALUE"""),300000.0)</f>
        <v>300000</v>
      </c>
      <c r="Q170" s="8"/>
      <c r="R170" s="8">
        <f>IFERROR(__xludf.DUMMYFUNCTION("""COMPUTED_VALUE"""),0.0)</f>
        <v>0</v>
      </c>
      <c r="S170" s="12">
        <f>IFERROR(__xludf.DUMMYFUNCTION("""COMPUTED_VALUE"""),0.0)</f>
        <v>0</v>
      </c>
      <c r="T170" s="12">
        <f>IFERROR(__xludf.DUMMYFUNCTION("""COMPUTED_VALUE"""),300000.0)</f>
        <v>300000</v>
      </c>
      <c r="U170" s="13">
        <f>IFERROR(__xludf.DUMMYFUNCTION("""COMPUTED_VALUE"""),0.0)</f>
        <v>0</v>
      </c>
      <c r="V170" s="8"/>
      <c r="W170" s="8"/>
      <c r="X170" s="8">
        <f t="shared" si="1"/>
        <v>3</v>
      </c>
      <c r="AA170" s="10"/>
    </row>
    <row r="171">
      <c r="A171" s="8" t="str">
        <f>IFERROR(__xludf.DUMMYFUNCTION("""COMPUTED_VALUE"""),"9952/JL/UTM/0324")</f>
        <v>9952/JL/UTM/0324</v>
      </c>
      <c r="B171" s="11">
        <f>IFERROR(__xludf.DUMMYFUNCTION("""COMPUTED_VALUE"""),45370.67611111111)</f>
        <v>45370.67611</v>
      </c>
      <c r="C171" s="8" t="str">
        <f>IFERROR(__xludf.DUMMYFUNCTION("""COMPUTED_VALUE"""),"UMUM")</f>
        <v>UMUM</v>
      </c>
      <c r="D171" s="8" t="str">
        <f>IFERROR(__xludf.DUMMYFUNCTION("""COMPUTED_VALUE"""),"UMUM")</f>
        <v>UMUM</v>
      </c>
      <c r="E171" s="8" t="str">
        <f>IFERROR(__xludf.DUMMYFUNCTION("""COMPUTED_VALUE"""),"JUFRY")</f>
        <v>JUFRY</v>
      </c>
      <c r="F171" s="8"/>
      <c r="G171" s="8"/>
      <c r="H171" s="8"/>
      <c r="I171" s="8"/>
      <c r="J171" s="8" t="str">
        <f>IFERROR(__xludf.DUMMYFUNCTION("""COMPUTED_VALUE"""),"  ")</f>
        <v>  </v>
      </c>
      <c r="K171" s="8" t="str">
        <f>IFERROR(__xludf.DUMMYFUNCTION("""COMPUTED_VALUE"""),"40189")</f>
        <v>40189</v>
      </c>
      <c r="L171" s="8" t="str">
        <f>IFERROR(__xludf.DUMMYFUNCTION("""COMPUTED_VALUE"""),"POP ONE WHITEBOARD 120X240")</f>
        <v>POP ONE WHITEBOARD 120X240</v>
      </c>
      <c r="M171" s="12">
        <f>IFERROR(__xludf.DUMMYFUNCTION("""COMPUTED_VALUE"""),1.0)</f>
        <v>1</v>
      </c>
      <c r="N171" s="8" t="str">
        <f>IFERROR(__xludf.DUMMYFUNCTION("""COMPUTED_VALUE"""),"BH")</f>
        <v>BH</v>
      </c>
      <c r="O171" s="13">
        <f>IFERROR(__xludf.DUMMYFUNCTION("""COMPUTED_VALUE"""),950000.0)</f>
        <v>950000</v>
      </c>
      <c r="P171" s="12">
        <f>IFERROR(__xludf.DUMMYFUNCTION("""COMPUTED_VALUE"""),950000.0)</f>
        <v>950000</v>
      </c>
      <c r="Q171" s="8"/>
      <c r="R171" s="8">
        <f>IFERROR(__xludf.DUMMYFUNCTION("""COMPUTED_VALUE"""),0.0)</f>
        <v>0</v>
      </c>
      <c r="S171" s="12">
        <f>IFERROR(__xludf.DUMMYFUNCTION("""COMPUTED_VALUE"""),0.0)</f>
        <v>0</v>
      </c>
      <c r="T171" s="12">
        <f>IFERROR(__xludf.DUMMYFUNCTION("""COMPUTED_VALUE"""),950000.0)</f>
        <v>950000</v>
      </c>
      <c r="U171" s="13">
        <f>IFERROR(__xludf.DUMMYFUNCTION("""COMPUTED_VALUE"""),0.0)</f>
        <v>0</v>
      </c>
      <c r="V171" s="8" t="str">
        <f>IFERROR(__xludf.DUMMYFUNCTION("""COMPUTED_VALUE"""),"TRANSFER MANDIRI")</f>
        <v>TRANSFER MANDIRI</v>
      </c>
      <c r="W171" s="8"/>
      <c r="X171" s="8">
        <f t="shared" si="1"/>
        <v>3</v>
      </c>
      <c r="AA171" s="10"/>
    </row>
    <row r="172">
      <c r="A172" s="8" t="str">
        <f>IFERROR(__xludf.DUMMYFUNCTION("""COMPUTED_VALUE"""),"9953/JL/UTM/0324")</f>
        <v>9953/JL/UTM/0324</v>
      </c>
      <c r="B172" s="11">
        <f>IFERROR(__xludf.DUMMYFUNCTION("""COMPUTED_VALUE"""),45370.678125)</f>
        <v>45370.67813</v>
      </c>
      <c r="C172" s="8" t="str">
        <f>IFERROR(__xludf.DUMMYFUNCTION("""COMPUTED_VALUE"""),"687")</f>
        <v>687</v>
      </c>
      <c r="D172" s="8" t="str">
        <f>IFERROR(__xludf.DUMMYFUNCTION("""COMPUTED_VALUE"""),"Dr. FRANKY")</f>
        <v>Dr. FRANKY</v>
      </c>
      <c r="E172" s="8" t="str">
        <f>IFERROR(__xludf.DUMMYFUNCTION("""COMPUTED_VALUE"""),"JUFRY")</f>
        <v>JUFRY</v>
      </c>
      <c r="F172" s="8"/>
      <c r="G172" s="8"/>
      <c r="H172" s="8"/>
      <c r="I172" s="8"/>
      <c r="J172" s="8" t="str">
        <f>IFERROR(__xludf.DUMMYFUNCTION("""COMPUTED_VALUE"""),"  ")</f>
        <v>  </v>
      </c>
      <c r="K172" s="8" t="str">
        <f>IFERROR(__xludf.DUMMYFUNCTION("""COMPUTED_VALUE"""),"40390")</f>
        <v>40390</v>
      </c>
      <c r="L172" s="8" t="str">
        <f>IFERROR(__xludf.DUMMYFUNCTION("""COMPUTED_VALUE"""),"BIAYA BAHAN INSTALASI CCTV")</f>
        <v>BIAYA BAHAN INSTALASI CCTV</v>
      </c>
      <c r="M172" s="12">
        <f>IFERROR(__xludf.DUMMYFUNCTION("""COMPUTED_VALUE"""),2.0)</f>
        <v>2</v>
      </c>
      <c r="N172" s="8" t="str">
        <f>IFERROR(__xludf.DUMMYFUNCTION("""COMPUTED_VALUE"""),"JASA")</f>
        <v>JASA</v>
      </c>
      <c r="O172" s="13">
        <f>IFERROR(__xludf.DUMMYFUNCTION("""COMPUTED_VALUE"""),300000.0)</f>
        <v>300000</v>
      </c>
      <c r="P172" s="12">
        <f>IFERROR(__xludf.DUMMYFUNCTION("""COMPUTED_VALUE"""),500000.0)</f>
        <v>500000</v>
      </c>
      <c r="Q172" s="8"/>
      <c r="R172" s="8">
        <f>IFERROR(__xludf.DUMMYFUNCTION("""COMPUTED_VALUE"""),0.0)</f>
        <v>0</v>
      </c>
      <c r="S172" s="12">
        <f>IFERROR(__xludf.DUMMYFUNCTION("""COMPUTED_VALUE"""),0.0)</f>
        <v>0</v>
      </c>
      <c r="T172" s="12">
        <f>IFERROR(__xludf.DUMMYFUNCTION("""COMPUTED_VALUE"""),600000.0)</f>
        <v>600000</v>
      </c>
      <c r="U172" s="13">
        <f>IFERROR(__xludf.DUMMYFUNCTION("""COMPUTED_VALUE"""),33.3333333333)</f>
        <v>33.33333333</v>
      </c>
      <c r="V172" s="8" t="str">
        <f>IFERROR(__xludf.DUMMYFUNCTION("""COMPUTED_VALUE"""),"TRANSFER BCA")</f>
        <v>TRANSFER BCA</v>
      </c>
      <c r="W172" s="8"/>
      <c r="X172" s="8">
        <f t="shared" si="1"/>
        <v>3</v>
      </c>
      <c r="AA172" s="10"/>
    </row>
    <row r="173">
      <c r="A173" s="8" t="str">
        <f>IFERROR(__xludf.DUMMYFUNCTION("""COMPUTED_VALUE"""),"9953/JL/UTM/0324")</f>
        <v>9953/JL/UTM/0324</v>
      </c>
      <c r="B173" s="11">
        <f>IFERROR(__xludf.DUMMYFUNCTION("""COMPUTED_VALUE"""),45370.678125)</f>
        <v>45370.67813</v>
      </c>
      <c r="C173" s="8" t="str">
        <f>IFERROR(__xludf.DUMMYFUNCTION("""COMPUTED_VALUE"""),"687")</f>
        <v>687</v>
      </c>
      <c r="D173" s="8" t="str">
        <f>IFERROR(__xludf.DUMMYFUNCTION("""COMPUTED_VALUE"""),"Dr. FRANKY")</f>
        <v>Dr. FRANKY</v>
      </c>
      <c r="E173" s="8" t="str">
        <f>IFERROR(__xludf.DUMMYFUNCTION("""COMPUTED_VALUE"""),"JUFRY")</f>
        <v>JUFRY</v>
      </c>
      <c r="F173" s="8"/>
      <c r="G173" s="8"/>
      <c r="H173" s="8"/>
      <c r="I173" s="8"/>
      <c r="J173" s="8" t="str">
        <f>IFERROR(__xludf.DUMMYFUNCTION("""COMPUTED_VALUE"""),"  ")</f>
        <v>  </v>
      </c>
      <c r="K173" s="8" t="str">
        <f>IFERROR(__xludf.DUMMYFUNCTION("""COMPUTED_VALUE"""),"706126")</f>
        <v>706126</v>
      </c>
      <c r="L173" s="8" t="str">
        <f>IFERROR(__xludf.DUMMYFUNCTION("""COMPUTED_VALUE"""),"kabel CCTV RG 6+POWER")</f>
        <v>kabel CCTV RG 6+POWER</v>
      </c>
      <c r="M173" s="12">
        <f>IFERROR(__xludf.DUMMYFUNCTION("""COMPUTED_VALUE"""),20.0)</f>
        <v>20</v>
      </c>
      <c r="N173" s="8" t="str">
        <f>IFERROR(__xludf.DUMMYFUNCTION("""COMPUTED_VALUE"""),"METER")</f>
        <v>METER</v>
      </c>
      <c r="O173" s="13">
        <f>IFERROR(__xludf.DUMMYFUNCTION("""COMPUTED_VALUE"""),7500.0)</f>
        <v>7500</v>
      </c>
      <c r="P173" s="12">
        <f>IFERROR(__xludf.DUMMYFUNCTION("""COMPUTED_VALUE"""),500000.0)</f>
        <v>500000</v>
      </c>
      <c r="Q173" s="8"/>
      <c r="R173" s="8">
        <f>IFERROR(__xludf.DUMMYFUNCTION("""COMPUTED_VALUE"""),0.0)</f>
        <v>0</v>
      </c>
      <c r="S173" s="12">
        <f>IFERROR(__xludf.DUMMYFUNCTION("""COMPUTED_VALUE"""),0.0)</f>
        <v>0</v>
      </c>
      <c r="T173" s="12">
        <f>IFERROR(__xludf.DUMMYFUNCTION("""COMPUTED_VALUE"""),150000.0)</f>
        <v>150000</v>
      </c>
      <c r="U173" s="13">
        <f>IFERROR(__xludf.DUMMYFUNCTION("""COMPUTED_VALUE"""),33.3333333333)</f>
        <v>33.33333333</v>
      </c>
      <c r="V173" s="8" t="str">
        <f>IFERROR(__xludf.DUMMYFUNCTION("""COMPUTED_VALUE"""),"TRANSFER BCA")</f>
        <v>TRANSFER BCA</v>
      </c>
      <c r="W173" s="8"/>
      <c r="X173" s="8">
        <f t="shared" si="1"/>
        <v>3</v>
      </c>
      <c r="AA173" s="10"/>
    </row>
    <row r="174">
      <c r="A174" s="8" t="str">
        <f>IFERROR(__xludf.DUMMYFUNCTION("""COMPUTED_VALUE"""),"9954/JL/UTM/0324")</f>
        <v>9954/JL/UTM/0324</v>
      </c>
      <c r="B174" s="11">
        <f>IFERROR(__xludf.DUMMYFUNCTION("""COMPUTED_VALUE"""),45372.68181712963)</f>
        <v>45372.68182</v>
      </c>
      <c r="C174" s="8" t="str">
        <f>IFERROR(__xludf.DUMMYFUNCTION("""COMPUTED_VALUE"""),"UMUM")</f>
        <v>UMUM</v>
      </c>
      <c r="D174" s="8" t="str">
        <f>IFERROR(__xludf.DUMMYFUNCTION("""COMPUTED_VALUE"""),"UMUM")</f>
        <v>UMUM</v>
      </c>
      <c r="E174" s="8" t="str">
        <f>IFERROR(__xludf.DUMMYFUNCTION("""COMPUTED_VALUE"""),"JUFRY")</f>
        <v>JUFRY</v>
      </c>
      <c r="F174" s="8"/>
      <c r="G174" s="8"/>
      <c r="H174" s="8"/>
      <c r="I174" s="8"/>
      <c r="J174" s="8" t="str">
        <f>IFERROR(__xludf.DUMMYFUNCTION("""COMPUTED_VALUE"""),"  ")</f>
        <v>  </v>
      </c>
      <c r="K174" s="8" t="str">
        <f>IFERROR(__xludf.DUMMYFUNCTION("""COMPUTED_VALUE"""),"505051")</f>
        <v>505051</v>
      </c>
      <c r="L174" s="8" t="str">
        <f>IFERROR(__xludf.DUMMYFUNCTION("""COMPUTED_VALUE"""),"General pemadam api 3 kg")</f>
        <v>General pemadam api 3 kg</v>
      </c>
      <c r="M174" s="12">
        <f>IFERROR(__xludf.DUMMYFUNCTION("""COMPUTED_VALUE"""),1.0)</f>
        <v>1</v>
      </c>
      <c r="N174" s="8" t="str">
        <f>IFERROR(__xludf.DUMMYFUNCTION("""COMPUTED_VALUE"""),"BH")</f>
        <v>BH</v>
      </c>
      <c r="O174" s="13">
        <f>IFERROR(__xludf.DUMMYFUNCTION("""COMPUTED_VALUE"""),550000.0)</f>
        <v>550000</v>
      </c>
      <c r="P174" s="12">
        <f>IFERROR(__xludf.DUMMYFUNCTION("""COMPUTED_VALUE"""),550000.0)</f>
        <v>550000</v>
      </c>
      <c r="Q174" s="8"/>
      <c r="R174" s="8">
        <f>IFERROR(__xludf.DUMMYFUNCTION("""COMPUTED_VALUE"""),0.0)</f>
        <v>0</v>
      </c>
      <c r="S174" s="12">
        <f>IFERROR(__xludf.DUMMYFUNCTION("""COMPUTED_VALUE"""),0.0)</f>
        <v>0</v>
      </c>
      <c r="T174" s="12">
        <f>IFERROR(__xludf.DUMMYFUNCTION("""COMPUTED_VALUE"""),550000.0)</f>
        <v>550000</v>
      </c>
      <c r="U174" s="13">
        <f>IFERROR(__xludf.DUMMYFUNCTION("""COMPUTED_VALUE"""),0.0)</f>
        <v>0</v>
      </c>
      <c r="V174" s="8" t="str">
        <f>IFERROR(__xludf.DUMMYFUNCTION("""COMPUTED_VALUE"""),"QRIS")</f>
        <v>QRIS</v>
      </c>
      <c r="W174" s="8"/>
      <c r="X174" s="8">
        <f t="shared" si="1"/>
        <v>3</v>
      </c>
      <c r="AA174" s="10"/>
    </row>
    <row r="175">
      <c r="A175" s="8" t="str">
        <f>IFERROR(__xludf.DUMMYFUNCTION("""COMPUTED_VALUE"""),"9955/JL/UTM/0324")</f>
        <v>9955/JL/UTM/0324</v>
      </c>
      <c r="B175" s="11">
        <f>IFERROR(__xludf.DUMMYFUNCTION("""COMPUTED_VALUE"""),45372.68381944444)</f>
        <v>45372.68382</v>
      </c>
      <c r="C175" s="8" t="str">
        <f>IFERROR(__xludf.DUMMYFUNCTION("""COMPUTED_VALUE"""),"UMUM")</f>
        <v>UMUM</v>
      </c>
      <c r="D175" s="8" t="str">
        <f>IFERROR(__xludf.DUMMYFUNCTION("""COMPUTED_VALUE"""),"UMUM")</f>
        <v>UMUM</v>
      </c>
      <c r="E175" s="8" t="str">
        <f>IFERROR(__xludf.DUMMYFUNCTION("""COMPUTED_VALUE"""),"JUFRY")</f>
        <v>JUFRY</v>
      </c>
      <c r="F175" s="8"/>
      <c r="G175" s="8"/>
      <c r="H175" s="8"/>
      <c r="I175" s="8"/>
      <c r="J175" s="8" t="str">
        <f>IFERROR(__xludf.DUMMYFUNCTION("""COMPUTED_VALUE"""),"  ")</f>
        <v>  </v>
      </c>
      <c r="K175" s="8" t="str">
        <f>IFERROR(__xludf.DUMMYFUNCTION("""COMPUTED_VALUE"""),"40538")</f>
        <v>40538</v>
      </c>
      <c r="L175" s="8" t="str">
        <f>IFERROR(__xludf.DUMMYFUNCTION("""COMPUTED_VALUE"""),"BRIGHT OFFICE PAPER CUTTER NO. 8293 B4")</f>
        <v>BRIGHT OFFICE PAPER CUTTER NO. 8293 B4</v>
      </c>
      <c r="M175" s="12">
        <f>IFERROR(__xludf.DUMMYFUNCTION("""COMPUTED_VALUE"""),1.0)</f>
        <v>1</v>
      </c>
      <c r="N175" s="8" t="str">
        <f>IFERROR(__xludf.DUMMYFUNCTION("""COMPUTED_VALUE"""),"BH")</f>
        <v>BH</v>
      </c>
      <c r="O175" s="13">
        <f>IFERROR(__xludf.DUMMYFUNCTION("""COMPUTED_VALUE"""),235000.0)</f>
        <v>235000</v>
      </c>
      <c r="P175" s="12">
        <f>IFERROR(__xludf.DUMMYFUNCTION("""COMPUTED_VALUE"""),235000.0)</f>
        <v>235000</v>
      </c>
      <c r="Q175" s="8"/>
      <c r="R175" s="8">
        <f>IFERROR(__xludf.DUMMYFUNCTION("""COMPUTED_VALUE"""),0.0)</f>
        <v>0</v>
      </c>
      <c r="S175" s="12">
        <f>IFERROR(__xludf.DUMMYFUNCTION("""COMPUTED_VALUE"""),0.0)</f>
        <v>0</v>
      </c>
      <c r="T175" s="12">
        <f>IFERROR(__xludf.DUMMYFUNCTION("""COMPUTED_VALUE"""),235000.0)</f>
        <v>235000</v>
      </c>
      <c r="U175" s="13">
        <f>IFERROR(__xludf.DUMMYFUNCTION("""COMPUTED_VALUE"""),0.0)</f>
        <v>0</v>
      </c>
      <c r="V175" s="8" t="str">
        <f>IFERROR(__xludf.DUMMYFUNCTION("""COMPUTED_VALUE"""),"TF MANDIRI")</f>
        <v>TF MANDIRI</v>
      </c>
      <c r="W175" s="8"/>
      <c r="X175" s="8">
        <f t="shared" si="1"/>
        <v>3</v>
      </c>
      <c r="AA175" s="10"/>
    </row>
    <row r="176">
      <c r="A176" s="8" t="str">
        <f>IFERROR(__xludf.DUMMYFUNCTION("""COMPUTED_VALUE"""),"9956/JL/UTM/0324")</f>
        <v>9956/JL/UTM/0324</v>
      </c>
      <c r="B176" s="11">
        <f>IFERROR(__xludf.DUMMYFUNCTION("""COMPUTED_VALUE"""),45372.706655092596)</f>
        <v>45372.70666</v>
      </c>
      <c r="C176" s="8" t="str">
        <f>IFERROR(__xludf.DUMMYFUNCTION("""COMPUTED_VALUE"""),"UMUM")</f>
        <v>UMUM</v>
      </c>
      <c r="D176" s="8" t="str">
        <f>IFERROR(__xludf.DUMMYFUNCTION("""COMPUTED_VALUE"""),"UMUM")</f>
        <v>UMUM</v>
      </c>
      <c r="E176" s="8" t="str">
        <f>IFERROR(__xludf.DUMMYFUNCTION("""COMPUTED_VALUE"""),"JUFRY")</f>
        <v>JUFRY</v>
      </c>
      <c r="F176" s="8"/>
      <c r="G176" s="8"/>
      <c r="H176" s="8"/>
      <c r="I176" s="8"/>
      <c r="J176" s="8" t="str">
        <f>IFERROR(__xludf.DUMMYFUNCTION("""COMPUTED_VALUE"""),"  ")</f>
        <v>  </v>
      </c>
      <c r="K176" s="8" t="str">
        <f>IFERROR(__xludf.DUMMYFUNCTION("""COMPUTED_VALUE"""),"40023")</f>
        <v>40023</v>
      </c>
      <c r="L176" s="8" t="str">
        <f>IFERROR(__xludf.DUMMYFUNCTION("""COMPUTED_VALUE"""),"ELEMEN PEMANAS PRESS TANGAN 30 CM")</f>
        <v>ELEMEN PEMANAS PRESS TANGAN 30 CM</v>
      </c>
      <c r="M176" s="12">
        <f>IFERROR(__xludf.DUMMYFUNCTION("""COMPUTED_VALUE"""),3.0)</f>
        <v>3</v>
      </c>
      <c r="N176" s="8" t="str">
        <f>IFERROR(__xludf.DUMMYFUNCTION("""COMPUTED_VALUE"""),"BH")</f>
        <v>BH</v>
      </c>
      <c r="O176" s="13">
        <f>IFERROR(__xludf.DUMMYFUNCTION("""COMPUTED_VALUE"""),25000.0)</f>
        <v>25000</v>
      </c>
      <c r="P176" s="12">
        <f>IFERROR(__xludf.DUMMYFUNCTION("""COMPUTED_VALUE"""),75000.0)</f>
        <v>75000</v>
      </c>
      <c r="Q176" s="8"/>
      <c r="R176" s="8">
        <f>IFERROR(__xludf.DUMMYFUNCTION("""COMPUTED_VALUE"""),0.0)</f>
        <v>0</v>
      </c>
      <c r="S176" s="12">
        <f>IFERROR(__xludf.DUMMYFUNCTION("""COMPUTED_VALUE"""),0.0)</f>
        <v>0</v>
      </c>
      <c r="T176" s="12">
        <f>IFERROR(__xludf.DUMMYFUNCTION("""COMPUTED_VALUE"""),75000.0)</f>
        <v>75000</v>
      </c>
      <c r="U176" s="13">
        <f>IFERROR(__xludf.DUMMYFUNCTION("""COMPUTED_VALUE"""),0.0)</f>
        <v>0</v>
      </c>
      <c r="V176" s="8" t="str">
        <f>IFERROR(__xludf.DUMMYFUNCTION("""COMPUTED_VALUE"""),"QRIS")</f>
        <v>QRIS</v>
      </c>
      <c r="W176" s="8"/>
      <c r="X176" s="8">
        <f t="shared" si="1"/>
        <v>3</v>
      </c>
      <c r="AA176" s="10"/>
    </row>
    <row r="177">
      <c r="A177" s="8" t="str">
        <f>IFERROR(__xludf.DUMMYFUNCTION("""COMPUTED_VALUE"""),"9957/JL/UTM/0324")</f>
        <v>9957/JL/UTM/0324</v>
      </c>
      <c r="B177" s="11">
        <f>IFERROR(__xludf.DUMMYFUNCTION("""COMPUTED_VALUE"""),45374.65924768518)</f>
        <v>45374.65925</v>
      </c>
      <c r="C177" s="8" t="str">
        <f>IFERROR(__xludf.DUMMYFUNCTION("""COMPUTED_VALUE"""),"UMUM")</f>
        <v>UMUM</v>
      </c>
      <c r="D177" s="8" t="str">
        <f>IFERROR(__xludf.DUMMYFUNCTION("""COMPUTED_VALUE"""),"UMUM")</f>
        <v>UMUM</v>
      </c>
      <c r="E177" s="8" t="str">
        <f>IFERROR(__xludf.DUMMYFUNCTION("""COMPUTED_VALUE"""),"JUFRY")</f>
        <v>JUFRY</v>
      </c>
      <c r="F177" s="8"/>
      <c r="G177" s="8"/>
      <c r="H177" s="8"/>
      <c r="I177" s="8"/>
      <c r="J177" s="8" t="str">
        <f>IFERROR(__xludf.DUMMYFUNCTION("""COMPUTED_VALUE"""),"  ")</f>
        <v>  </v>
      </c>
      <c r="K177" s="8" t="str">
        <f>IFERROR(__xludf.DUMMYFUNCTION("""COMPUTED_VALUE"""),"40299")</f>
        <v>40299</v>
      </c>
      <c r="L177" s="8" t="str">
        <f>IFERROR(__xludf.DUMMYFUNCTION("""COMPUTED_VALUE"""),"BRIGHT OFFICE PAPER CUTTER F4 NO. 8200")</f>
        <v>BRIGHT OFFICE PAPER CUTTER F4 NO. 8200</v>
      </c>
      <c r="M177" s="12">
        <f>IFERROR(__xludf.DUMMYFUNCTION("""COMPUTED_VALUE"""),1.0)</f>
        <v>1</v>
      </c>
      <c r="N177" s="8" t="str">
        <f>IFERROR(__xludf.DUMMYFUNCTION("""COMPUTED_VALUE"""),"BH")</f>
        <v>BH</v>
      </c>
      <c r="O177" s="13">
        <f>IFERROR(__xludf.DUMMYFUNCTION("""COMPUTED_VALUE"""),225000.0)</f>
        <v>225000</v>
      </c>
      <c r="P177" s="12">
        <f>IFERROR(__xludf.DUMMYFUNCTION("""COMPUTED_VALUE"""),225000.0)</f>
        <v>225000</v>
      </c>
      <c r="Q177" s="8"/>
      <c r="R177" s="8">
        <f>IFERROR(__xludf.DUMMYFUNCTION("""COMPUTED_VALUE"""),0.0)</f>
        <v>0</v>
      </c>
      <c r="S177" s="12">
        <f>IFERROR(__xludf.DUMMYFUNCTION("""COMPUTED_VALUE"""),0.0)</f>
        <v>0</v>
      </c>
      <c r="T177" s="12">
        <f>IFERROR(__xludf.DUMMYFUNCTION("""COMPUTED_VALUE"""),225000.0)</f>
        <v>225000</v>
      </c>
      <c r="U177" s="13">
        <f>IFERROR(__xludf.DUMMYFUNCTION("""COMPUTED_VALUE"""),0.0)</f>
        <v>0</v>
      </c>
      <c r="V177" s="8"/>
      <c r="W177" s="8"/>
      <c r="X177" s="8">
        <f t="shared" si="1"/>
        <v>3</v>
      </c>
      <c r="AA177" s="10"/>
    </row>
    <row r="178">
      <c r="A178" s="8" t="str">
        <f>IFERROR(__xludf.DUMMYFUNCTION("""COMPUTED_VALUE"""),"9958/JL/UTM/0324")</f>
        <v>9958/JL/UTM/0324</v>
      </c>
      <c r="B178" s="11">
        <f>IFERROR(__xludf.DUMMYFUNCTION("""COMPUTED_VALUE"""),45374.66009259259)</f>
        <v>45374.66009</v>
      </c>
      <c r="C178" s="8" t="str">
        <f>IFERROR(__xludf.DUMMYFUNCTION("""COMPUTED_VALUE"""),"UMUM")</f>
        <v>UMUM</v>
      </c>
      <c r="D178" s="8" t="str">
        <f>IFERROR(__xludf.DUMMYFUNCTION("""COMPUTED_VALUE"""),"UMUM")</f>
        <v>UMUM</v>
      </c>
      <c r="E178" s="8" t="str">
        <f>IFERROR(__xludf.DUMMYFUNCTION("""COMPUTED_VALUE"""),"JUFRY")</f>
        <v>JUFRY</v>
      </c>
      <c r="F178" s="8"/>
      <c r="G178" s="8"/>
      <c r="H178" s="8"/>
      <c r="I178" s="8"/>
      <c r="J178" s="8" t="str">
        <f>IFERROR(__xludf.DUMMYFUNCTION("""COMPUTED_VALUE"""),"  ")</f>
        <v>  </v>
      </c>
      <c r="K178" s="8" t="str">
        <f>IFERROR(__xludf.DUMMYFUNCTION("""COMPUTED_VALUE"""),"40023")</f>
        <v>40023</v>
      </c>
      <c r="L178" s="8" t="str">
        <f>IFERROR(__xludf.DUMMYFUNCTION("""COMPUTED_VALUE"""),"ELEMEN PEMANAS PRESS TANGAN 30 CM")</f>
        <v>ELEMEN PEMANAS PRESS TANGAN 30 CM</v>
      </c>
      <c r="M178" s="12">
        <f>IFERROR(__xludf.DUMMYFUNCTION("""COMPUTED_VALUE"""),1.0)</f>
        <v>1</v>
      </c>
      <c r="N178" s="8" t="str">
        <f>IFERROR(__xludf.DUMMYFUNCTION("""COMPUTED_VALUE"""),"BH")</f>
        <v>BH</v>
      </c>
      <c r="O178" s="13">
        <f>IFERROR(__xludf.DUMMYFUNCTION("""COMPUTED_VALUE"""),25000.0)</f>
        <v>25000</v>
      </c>
      <c r="P178" s="12">
        <f>IFERROR(__xludf.DUMMYFUNCTION("""COMPUTED_VALUE"""),25000.0)</f>
        <v>25000</v>
      </c>
      <c r="Q178" s="8"/>
      <c r="R178" s="8">
        <f>IFERROR(__xludf.DUMMYFUNCTION("""COMPUTED_VALUE"""),0.0)</f>
        <v>0</v>
      </c>
      <c r="S178" s="12">
        <f>IFERROR(__xludf.DUMMYFUNCTION("""COMPUTED_VALUE"""),0.0)</f>
        <v>0</v>
      </c>
      <c r="T178" s="12">
        <f>IFERROR(__xludf.DUMMYFUNCTION("""COMPUTED_VALUE"""),25000.0)</f>
        <v>25000</v>
      </c>
      <c r="U178" s="13">
        <f>IFERROR(__xludf.DUMMYFUNCTION("""COMPUTED_VALUE"""),0.0)</f>
        <v>0</v>
      </c>
      <c r="V178" s="8"/>
      <c r="W178" s="8"/>
      <c r="X178" s="8">
        <f t="shared" si="1"/>
        <v>3</v>
      </c>
      <c r="AA178" s="10"/>
    </row>
    <row r="179">
      <c r="A179" s="8" t="str">
        <f>IFERROR(__xludf.DUMMYFUNCTION("""COMPUTED_VALUE"""),"9959/JL/UTM/0324")</f>
        <v>9959/JL/UTM/0324</v>
      </c>
      <c r="B179" s="11">
        <f>IFERROR(__xludf.DUMMYFUNCTION("""COMPUTED_VALUE"""),45374.66071759259)</f>
        <v>45374.66072</v>
      </c>
      <c r="C179" s="8" t="str">
        <f>IFERROR(__xludf.DUMMYFUNCTION("""COMPUTED_VALUE"""),"UMUM")</f>
        <v>UMUM</v>
      </c>
      <c r="D179" s="8" t="str">
        <f>IFERROR(__xludf.DUMMYFUNCTION("""COMPUTED_VALUE"""),"UMUM")</f>
        <v>UMUM</v>
      </c>
      <c r="E179" s="8" t="str">
        <f>IFERROR(__xludf.DUMMYFUNCTION("""COMPUTED_VALUE"""),"JUFRY")</f>
        <v>JUFRY</v>
      </c>
      <c r="F179" s="8"/>
      <c r="G179" s="8"/>
      <c r="H179" s="8"/>
      <c r="I179" s="8"/>
      <c r="J179" s="8" t="str">
        <f>IFERROR(__xludf.DUMMYFUNCTION("""COMPUTED_VALUE"""),"  ")</f>
        <v>  </v>
      </c>
      <c r="K179" s="8" t="str">
        <f>IFERROR(__xludf.DUMMYFUNCTION("""COMPUTED_VALUE"""),"706189")</f>
        <v>706189</v>
      </c>
      <c r="L179" s="8" t="str">
        <f>IFERROR(__xludf.DUMMYFUNCTION("""COMPUTED_VALUE"""),"AZ IMPULSE SEALER 300i")</f>
        <v>AZ IMPULSE SEALER 300i</v>
      </c>
      <c r="M179" s="12">
        <f>IFERROR(__xludf.DUMMYFUNCTION("""COMPUTED_VALUE"""),1.0)</f>
        <v>1</v>
      </c>
      <c r="N179" s="8" t="str">
        <f>IFERROR(__xludf.DUMMYFUNCTION("""COMPUTED_VALUE"""),"BH")</f>
        <v>BH</v>
      </c>
      <c r="O179" s="13">
        <f>IFERROR(__xludf.DUMMYFUNCTION("""COMPUTED_VALUE"""),340000.0)</f>
        <v>340000</v>
      </c>
      <c r="P179" s="12">
        <f>IFERROR(__xludf.DUMMYFUNCTION("""COMPUTED_VALUE"""),340000.0)</f>
        <v>340000</v>
      </c>
      <c r="Q179" s="8"/>
      <c r="R179" s="8">
        <f>IFERROR(__xludf.DUMMYFUNCTION("""COMPUTED_VALUE"""),0.0)</f>
        <v>0</v>
      </c>
      <c r="S179" s="12">
        <f>IFERROR(__xludf.DUMMYFUNCTION("""COMPUTED_VALUE"""),0.0)</f>
        <v>0</v>
      </c>
      <c r="T179" s="12">
        <f>IFERROR(__xludf.DUMMYFUNCTION("""COMPUTED_VALUE"""),340000.0)</f>
        <v>340000</v>
      </c>
      <c r="U179" s="13">
        <f>IFERROR(__xludf.DUMMYFUNCTION("""COMPUTED_VALUE"""),0.0)</f>
        <v>0</v>
      </c>
      <c r="V179" s="8"/>
      <c r="W179" s="8"/>
      <c r="X179" s="8">
        <f t="shared" si="1"/>
        <v>3</v>
      </c>
      <c r="AA179" s="10"/>
    </row>
    <row r="180">
      <c r="A180" s="8" t="str">
        <f>IFERROR(__xludf.DUMMYFUNCTION("""COMPUTED_VALUE"""),"9960/JL/UTM/0324")</f>
        <v>9960/JL/UTM/0324</v>
      </c>
      <c r="B180" s="11">
        <f>IFERROR(__xludf.DUMMYFUNCTION("""COMPUTED_VALUE"""),45374.66285879629)</f>
        <v>45374.66286</v>
      </c>
      <c r="C180" s="8" t="str">
        <f>IFERROR(__xludf.DUMMYFUNCTION("""COMPUTED_VALUE"""),"PL0928")</f>
        <v>PL0928</v>
      </c>
      <c r="D180" s="8" t="str">
        <f>IFERROR(__xludf.DUMMYFUNCTION("""COMPUTED_VALUE"""),"PT. AKM")</f>
        <v>PT. AKM</v>
      </c>
      <c r="E180" s="8" t="str">
        <f>IFERROR(__xludf.DUMMYFUNCTION("""COMPUTED_VALUE"""),"JUFRY")</f>
        <v>JUFRY</v>
      </c>
      <c r="F180" s="8"/>
      <c r="G180" s="8"/>
      <c r="H180" s="8"/>
      <c r="I180" s="8"/>
      <c r="J180" s="8" t="str">
        <f>IFERROR(__xludf.DUMMYFUNCTION("""COMPUTED_VALUE"""),"Palu  ")</f>
        <v>Palu  </v>
      </c>
      <c r="K180" s="8" t="str">
        <f>IFERROR(__xludf.DUMMYFUNCTION("""COMPUTED_VALUE"""),"40189")</f>
        <v>40189</v>
      </c>
      <c r="L180" s="8" t="str">
        <f>IFERROR(__xludf.DUMMYFUNCTION("""COMPUTED_VALUE"""),"POP ONE WHITEBOARD 120X240")</f>
        <v>POP ONE WHITEBOARD 120X240</v>
      </c>
      <c r="M180" s="12">
        <f>IFERROR(__xludf.DUMMYFUNCTION("""COMPUTED_VALUE"""),1.0)</f>
        <v>1</v>
      </c>
      <c r="N180" s="8" t="str">
        <f>IFERROR(__xludf.DUMMYFUNCTION("""COMPUTED_VALUE"""),"BH")</f>
        <v>BH</v>
      </c>
      <c r="O180" s="13">
        <f>IFERROR(__xludf.DUMMYFUNCTION("""COMPUTED_VALUE"""),950000.0)</f>
        <v>950000</v>
      </c>
      <c r="P180" s="12">
        <f>IFERROR(__xludf.DUMMYFUNCTION("""COMPUTED_VALUE"""),0.0)</f>
        <v>0</v>
      </c>
      <c r="Q180" s="8"/>
      <c r="R180" s="8">
        <f>IFERROR(__xludf.DUMMYFUNCTION("""COMPUTED_VALUE"""),0.0)</f>
        <v>0</v>
      </c>
      <c r="S180" s="12">
        <f>IFERROR(__xludf.DUMMYFUNCTION("""COMPUTED_VALUE"""),950000.0)</f>
        <v>950000</v>
      </c>
      <c r="T180" s="12">
        <f>IFERROR(__xludf.DUMMYFUNCTION("""COMPUTED_VALUE"""),950000.0)</f>
        <v>950000</v>
      </c>
      <c r="U180" s="13">
        <f>IFERROR(__xludf.DUMMYFUNCTION("""COMPUTED_VALUE"""),0.0)</f>
        <v>0</v>
      </c>
      <c r="V180" s="8"/>
      <c r="W180" s="8"/>
      <c r="X180" s="8">
        <f t="shared" si="1"/>
        <v>3</v>
      </c>
      <c r="AA180" s="10"/>
    </row>
    <row r="181">
      <c r="A181" s="8" t="str">
        <f>IFERROR(__xludf.DUMMYFUNCTION("""COMPUTED_VALUE"""),"9961/JL/UTM/0324")</f>
        <v>9961/JL/UTM/0324</v>
      </c>
      <c r="B181" s="11">
        <f>IFERROR(__xludf.DUMMYFUNCTION("""COMPUTED_VALUE"""),45374.663564814815)</f>
        <v>45374.66356</v>
      </c>
      <c r="C181" s="8" t="str">
        <f>IFERROR(__xludf.DUMMYFUNCTION("""COMPUTED_VALUE"""),"PL0903")</f>
        <v>PL0903</v>
      </c>
      <c r="D181" s="8" t="str">
        <f>IFERROR(__xludf.DUMMYFUNCTION("""COMPUTED_VALUE"""),"RS. TOMBOLOTUTU")</f>
        <v>RS. TOMBOLOTUTU</v>
      </c>
      <c r="E181" s="8" t="str">
        <f>IFERROR(__xludf.DUMMYFUNCTION("""COMPUTED_VALUE"""),"JUFRY")</f>
        <v>JUFRY</v>
      </c>
      <c r="F181" s="8"/>
      <c r="G181" s="8"/>
      <c r="H181" s="8"/>
      <c r="I181" s="8"/>
      <c r="J181" s="8" t="str">
        <f>IFERROR(__xludf.DUMMYFUNCTION("""COMPUTED_VALUE"""),"PARIGI  ")</f>
        <v>PARIGI  </v>
      </c>
      <c r="K181" s="8" t="str">
        <f>IFERROR(__xludf.DUMMYFUNCTION("""COMPUTED_VALUE"""),"606072")</f>
        <v>606072</v>
      </c>
      <c r="L181" s="8" t="str">
        <f>IFERROR(__xludf.DUMMYFUNCTION("""COMPUTED_VALUE"""),"KINGCO WHITEBOARD 60X90")</f>
        <v>KINGCO WHITEBOARD 60X90</v>
      </c>
      <c r="M181" s="12">
        <f>IFERROR(__xludf.DUMMYFUNCTION("""COMPUTED_VALUE"""),6.0)</f>
        <v>6</v>
      </c>
      <c r="N181" s="8" t="str">
        <f>IFERROR(__xludf.DUMMYFUNCTION("""COMPUTED_VALUE"""),"BH")</f>
        <v>BH</v>
      </c>
      <c r="O181" s="13">
        <f>IFERROR(__xludf.DUMMYFUNCTION("""COMPUTED_VALUE"""),150000.0)</f>
        <v>150000</v>
      </c>
      <c r="P181" s="12">
        <f>IFERROR(__xludf.DUMMYFUNCTION("""COMPUTED_VALUE"""),0.0)</f>
        <v>0</v>
      </c>
      <c r="Q181" s="8"/>
      <c r="R181" s="8">
        <f>IFERROR(__xludf.DUMMYFUNCTION("""COMPUTED_VALUE"""),0.0)</f>
        <v>0</v>
      </c>
      <c r="S181" s="12">
        <f>IFERROR(__xludf.DUMMYFUNCTION("""COMPUTED_VALUE"""),900000.0)</f>
        <v>900000</v>
      </c>
      <c r="T181" s="12">
        <f>IFERROR(__xludf.DUMMYFUNCTION("""COMPUTED_VALUE"""),900000.0)</f>
        <v>900000</v>
      </c>
      <c r="U181" s="13">
        <f>IFERROR(__xludf.DUMMYFUNCTION("""COMPUTED_VALUE"""),0.0)</f>
        <v>0</v>
      </c>
      <c r="V181" s="8"/>
      <c r="W181" s="8"/>
      <c r="X181" s="8">
        <f t="shared" si="1"/>
        <v>3</v>
      </c>
      <c r="AA181" s="10"/>
    </row>
    <row r="182">
      <c r="A182" s="8" t="str">
        <f>IFERROR(__xludf.DUMMYFUNCTION("""COMPUTED_VALUE"""),"9962/JL/UTM/0324")</f>
        <v>9962/JL/UTM/0324</v>
      </c>
      <c r="B182" s="11">
        <f>IFERROR(__xludf.DUMMYFUNCTION("""COMPUTED_VALUE"""),45377.67244212963)</f>
        <v>45377.67244</v>
      </c>
      <c r="C182" s="8" t="str">
        <f>IFERROR(__xludf.DUMMYFUNCTION("""COMPUTED_VALUE"""),"UMUM")</f>
        <v>UMUM</v>
      </c>
      <c r="D182" s="8" t="str">
        <f>IFERROR(__xludf.DUMMYFUNCTION("""COMPUTED_VALUE"""),"UMUM")</f>
        <v>UMUM</v>
      </c>
      <c r="E182" s="8" t="str">
        <f>IFERROR(__xludf.DUMMYFUNCTION("""COMPUTED_VALUE"""),"JUFRY")</f>
        <v>JUFRY</v>
      </c>
      <c r="F182" s="8"/>
      <c r="G182" s="8"/>
      <c r="H182" s="8"/>
      <c r="I182" s="8"/>
      <c r="J182" s="8" t="str">
        <f>IFERROR(__xludf.DUMMYFUNCTION("""COMPUTED_VALUE"""),"  ")</f>
        <v>  </v>
      </c>
      <c r="K182" s="8" t="str">
        <f>IFERROR(__xludf.DUMMYFUNCTION("""COMPUTED_VALUE"""),"40299")</f>
        <v>40299</v>
      </c>
      <c r="L182" s="8" t="str">
        <f>IFERROR(__xludf.DUMMYFUNCTION("""COMPUTED_VALUE"""),"BRIGHT OFFICE PAPER CUTTER F4 NO. 8200")</f>
        <v>BRIGHT OFFICE PAPER CUTTER F4 NO. 8200</v>
      </c>
      <c r="M182" s="12">
        <f>IFERROR(__xludf.DUMMYFUNCTION("""COMPUTED_VALUE"""),1.0)</f>
        <v>1</v>
      </c>
      <c r="N182" s="8" t="str">
        <f>IFERROR(__xludf.DUMMYFUNCTION("""COMPUTED_VALUE"""),"BH")</f>
        <v>BH</v>
      </c>
      <c r="O182" s="13">
        <f>IFERROR(__xludf.DUMMYFUNCTION("""COMPUTED_VALUE"""),225000.0)</f>
        <v>225000</v>
      </c>
      <c r="P182" s="12">
        <f>IFERROR(__xludf.DUMMYFUNCTION("""COMPUTED_VALUE"""),225000.0)</f>
        <v>225000</v>
      </c>
      <c r="Q182" s="8"/>
      <c r="R182" s="8">
        <f>IFERROR(__xludf.DUMMYFUNCTION("""COMPUTED_VALUE"""),0.0)</f>
        <v>0</v>
      </c>
      <c r="S182" s="12">
        <f>IFERROR(__xludf.DUMMYFUNCTION("""COMPUTED_VALUE"""),0.0)</f>
        <v>0</v>
      </c>
      <c r="T182" s="12">
        <f>IFERROR(__xludf.DUMMYFUNCTION("""COMPUTED_VALUE"""),225000.0)</f>
        <v>225000</v>
      </c>
      <c r="U182" s="13">
        <f>IFERROR(__xludf.DUMMYFUNCTION("""COMPUTED_VALUE"""),0.0)</f>
        <v>0</v>
      </c>
      <c r="V182" s="8"/>
      <c r="W182" s="8"/>
      <c r="X182" s="8">
        <f t="shared" si="1"/>
        <v>3</v>
      </c>
      <c r="AA182" s="10"/>
    </row>
    <row r="183">
      <c r="A183" s="8" t="str">
        <f>IFERROR(__xludf.DUMMYFUNCTION("""COMPUTED_VALUE"""),"9963/JL/UTM/0324")</f>
        <v>9963/JL/UTM/0324</v>
      </c>
      <c r="B183" s="11">
        <f>IFERROR(__xludf.DUMMYFUNCTION("""COMPUTED_VALUE"""),45377.67321759259)</f>
        <v>45377.67322</v>
      </c>
      <c r="C183" s="8" t="str">
        <f>IFERROR(__xludf.DUMMYFUNCTION("""COMPUTED_VALUE"""),"UMUM")</f>
        <v>UMUM</v>
      </c>
      <c r="D183" s="8" t="str">
        <f>IFERROR(__xludf.DUMMYFUNCTION("""COMPUTED_VALUE"""),"UMUM")</f>
        <v>UMUM</v>
      </c>
      <c r="E183" s="8" t="str">
        <f>IFERROR(__xludf.DUMMYFUNCTION("""COMPUTED_VALUE"""),"JUFRY")</f>
        <v>JUFRY</v>
      </c>
      <c r="F183" s="8"/>
      <c r="G183" s="8"/>
      <c r="H183" s="8"/>
      <c r="I183" s="8"/>
      <c r="J183" s="8" t="str">
        <f>IFERROR(__xludf.DUMMYFUNCTION("""COMPUTED_VALUE"""),"  ")</f>
        <v>  </v>
      </c>
      <c r="K183" s="8" t="str">
        <f>IFERROR(__xludf.DUMMYFUNCTION("""COMPUTED_VALUE"""),"40538")</f>
        <v>40538</v>
      </c>
      <c r="L183" s="8" t="str">
        <f>IFERROR(__xludf.DUMMYFUNCTION("""COMPUTED_VALUE"""),"BRIGHT OFFICE PAPER CUTTER NO. 8293 B4")</f>
        <v>BRIGHT OFFICE PAPER CUTTER NO. 8293 B4</v>
      </c>
      <c r="M183" s="12">
        <f>IFERROR(__xludf.DUMMYFUNCTION("""COMPUTED_VALUE"""),1.0)</f>
        <v>1</v>
      </c>
      <c r="N183" s="8" t="str">
        <f>IFERROR(__xludf.DUMMYFUNCTION("""COMPUTED_VALUE"""),"BH")</f>
        <v>BH</v>
      </c>
      <c r="O183" s="13">
        <f>IFERROR(__xludf.DUMMYFUNCTION("""COMPUTED_VALUE"""),235000.0)</f>
        <v>235000</v>
      </c>
      <c r="P183" s="12">
        <f>IFERROR(__xludf.DUMMYFUNCTION("""COMPUTED_VALUE"""),235000.0)</f>
        <v>235000</v>
      </c>
      <c r="Q183" s="8"/>
      <c r="R183" s="8">
        <f>IFERROR(__xludf.DUMMYFUNCTION("""COMPUTED_VALUE"""),0.0)</f>
        <v>0</v>
      </c>
      <c r="S183" s="12">
        <f>IFERROR(__xludf.DUMMYFUNCTION("""COMPUTED_VALUE"""),0.0)</f>
        <v>0</v>
      </c>
      <c r="T183" s="12">
        <f>IFERROR(__xludf.DUMMYFUNCTION("""COMPUTED_VALUE"""),235000.0)</f>
        <v>235000</v>
      </c>
      <c r="U183" s="13">
        <f>IFERROR(__xludf.DUMMYFUNCTION("""COMPUTED_VALUE"""),0.0)</f>
        <v>0</v>
      </c>
      <c r="V183" s="8"/>
      <c r="W183" s="8"/>
      <c r="X183" s="8">
        <f t="shared" si="1"/>
        <v>3</v>
      </c>
      <c r="AA183" s="10"/>
    </row>
    <row r="184">
      <c r="A184" s="8" t="str">
        <f>IFERROR(__xludf.DUMMYFUNCTION("""COMPUTED_VALUE"""),"9964/JL/UTM/0324")</f>
        <v>9964/JL/UTM/0324</v>
      </c>
      <c r="B184" s="11">
        <f>IFERROR(__xludf.DUMMYFUNCTION("""COMPUTED_VALUE"""),45379.61457175926)</f>
        <v>45379.61457</v>
      </c>
      <c r="C184" s="8" t="str">
        <f>IFERROR(__xludf.DUMMYFUNCTION("""COMPUTED_VALUE"""),"UMUM")</f>
        <v>UMUM</v>
      </c>
      <c r="D184" s="8" t="str">
        <f>IFERROR(__xludf.DUMMYFUNCTION("""COMPUTED_VALUE"""),"UMUM")</f>
        <v>UMUM</v>
      </c>
      <c r="E184" s="8" t="str">
        <f>IFERROR(__xludf.DUMMYFUNCTION("""COMPUTED_VALUE"""),"JUFRY")</f>
        <v>JUFRY</v>
      </c>
      <c r="F184" s="8"/>
      <c r="G184" s="8"/>
      <c r="H184" s="8"/>
      <c r="I184" s="8"/>
      <c r="J184" s="8" t="str">
        <f>IFERROR(__xludf.DUMMYFUNCTION("""COMPUTED_VALUE"""),"  ")</f>
        <v>  </v>
      </c>
      <c r="K184" s="8" t="str">
        <f>IFERROR(__xludf.DUMMYFUNCTION("""COMPUTED_VALUE"""),"40568")</f>
        <v>40568</v>
      </c>
      <c r="L184" s="8" t="str">
        <f>IFERROR(__xludf.DUMMYFUNCTION("""COMPUTED_VALUE"""),"EMPORIUM LEMARI ARSIP 2 PINTU EC-01")</f>
        <v>EMPORIUM LEMARI ARSIP 2 PINTU EC-01</v>
      </c>
      <c r="M184" s="12">
        <f>IFERROR(__xludf.DUMMYFUNCTION("""COMPUTED_VALUE"""),1.0)</f>
        <v>1</v>
      </c>
      <c r="N184" s="8" t="str">
        <f>IFERROR(__xludf.DUMMYFUNCTION("""COMPUTED_VALUE"""),"UNIT")</f>
        <v>UNIT</v>
      </c>
      <c r="O184" s="13">
        <f>IFERROR(__xludf.DUMMYFUNCTION("""COMPUTED_VALUE"""),2400000.0)</f>
        <v>2400000</v>
      </c>
      <c r="P184" s="12">
        <f>IFERROR(__xludf.DUMMYFUNCTION("""COMPUTED_VALUE"""),2400000.0)</f>
        <v>2400000</v>
      </c>
      <c r="Q184" s="8"/>
      <c r="R184" s="8">
        <f>IFERROR(__xludf.DUMMYFUNCTION("""COMPUTED_VALUE"""),0.0)</f>
        <v>0</v>
      </c>
      <c r="S184" s="12">
        <f>IFERROR(__xludf.DUMMYFUNCTION("""COMPUTED_VALUE"""),0.0)</f>
        <v>0</v>
      </c>
      <c r="T184" s="12">
        <f>IFERROR(__xludf.DUMMYFUNCTION("""COMPUTED_VALUE"""),2400000.0)</f>
        <v>2400000</v>
      </c>
      <c r="U184" s="13">
        <f>IFERROR(__xludf.DUMMYFUNCTION("""COMPUTED_VALUE"""),0.0)</f>
        <v>0</v>
      </c>
      <c r="V184" s="8" t="str">
        <f>IFERROR(__xludf.DUMMYFUNCTION("""COMPUTED_VALUE"""),"TF.MANDIRI")</f>
        <v>TF.MANDIRI</v>
      </c>
      <c r="W184" s="8"/>
      <c r="X184" s="8">
        <f t="shared" si="1"/>
        <v>3</v>
      </c>
      <c r="AA184" s="10"/>
    </row>
    <row r="185">
      <c r="A185" s="8" t="str">
        <f>IFERROR(__xludf.DUMMYFUNCTION("""COMPUTED_VALUE"""),"9965/JL/UTM/0324")</f>
        <v>9965/JL/UTM/0324</v>
      </c>
      <c r="B185" s="11">
        <f>IFERROR(__xludf.DUMMYFUNCTION("""COMPUTED_VALUE"""),45379.616944444446)</f>
        <v>45379.61694</v>
      </c>
      <c r="C185" s="8" t="str">
        <f>IFERROR(__xludf.DUMMYFUNCTION("""COMPUTED_VALUE"""),"UMUM")</f>
        <v>UMUM</v>
      </c>
      <c r="D185" s="8" t="str">
        <f>IFERROR(__xludf.DUMMYFUNCTION("""COMPUTED_VALUE"""),"UMUM")</f>
        <v>UMUM</v>
      </c>
      <c r="E185" s="8" t="str">
        <f>IFERROR(__xludf.DUMMYFUNCTION("""COMPUTED_VALUE"""),"JUFRY")</f>
        <v>JUFRY</v>
      </c>
      <c r="F185" s="8"/>
      <c r="G185" s="8"/>
      <c r="H185" s="8"/>
      <c r="I185" s="8"/>
      <c r="J185" s="8" t="str">
        <f>IFERROR(__xludf.DUMMYFUNCTION("""COMPUTED_VALUE"""),"  ")</f>
        <v>  </v>
      </c>
      <c r="K185" s="8" t="str">
        <f>IFERROR(__xludf.DUMMYFUNCTION("""COMPUTED_VALUE"""),"706262")</f>
        <v>706262</v>
      </c>
      <c r="L185" s="8" t="str">
        <f>IFERROR(__xludf.DUMMYFUNCTION("""COMPUTED_VALUE"""),"TOPAS SAFETY BOX FD 200")</f>
        <v>TOPAS SAFETY BOX FD 200</v>
      </c>
      <c r="M185" s="12">
        <f>IFERROR(__xludf.DUMMYFUNCTION("""COMPUTED_VALUE"""),1.0)</f>
        <v>1</v>
      </c>
      <c r="N185" s="8" t="str">
        <f>IFERROR(__xludf.DUMMYFUNCTION("""COMPUTED_VALUE"""),"BH")</f>
        <v>BH</v>
      </c>
      <c r="O185" s="13">
        <f>IFERROR(__xludf.DUMMYFUNCTION("""COMPUTED_VALUE"""),950000.0)</f>
        <v>950000</v>
      </c>
      <c r="P185" s="12">
        <f>IFERROR(__xludf.DUMMYFUNCTION("""COMPUTED_VALUE"""),1850000.0)</f>
        <v>1850000</v>
      </c>
      <c r="Q185" s="8"/>
      <c r="R185" s="8">
        <f>IFERROR(__xludf.DUMMYFUNCTION("""COMPUTED_VALUE"""),0.0)</f>
        <v>0</v>
      </c>
      <c r="S185" s="12">
        <f>IFERROR(__xludf.DUMMYFUNCTION("""COMPUTED_VALUE"""),0.0)</f>
        <v>0</v>
      </c>
      <c r="T185" s="12">
        <f>IFERROR(__xludf.DUMMYFUNCTION("""COMPUTED_VALUE"""),950000.0)</f>
        <v>950000</v>
      </c>
      <c r="U185" s="13">
        <f>IFERROR(__xludf.DUMMYFUNCTION("""COMPUTED_VALUE"""),7.5)</f>
        <v>7.5</v>
      </c>
      <c r="V185" s="8" t="str">
        <f>IFERROR(__xludf.DUMMYFUNCTION("""COMPUTED_VALUE"""),"QRIS")</f>
        <v>QRIS</v>
      </c>
      <c r="W185" s="8"/>
      <c r="X185" s="8">
        <f t="shared" si="1"/>
        <v>3</v>
      </c>
      <c r="AA185" s="10"/>
    </row>
    <row r="186">
      <c r="A186" s="8" t="str">
        <f>IFERROR(__xludf.DUMMYFUNCTION("""COMPUTED_VALUE"""),"9965/JL/UTM/0324")</f>
        <v>9965/JL/UTM/0324</v>
      </c>
      <c r="B186" s="11">
        <f>IFERROR(__xludf.DUMMYFUNCTION("""COMPUTED_VALUE"""),45379.616944444446)</f>
        <v>45379.61694</v>
      </c>
      <c r="C186" s="8" t="str">
        <f>IFERROR(__xludf.DUMMYFUNCTION("""COMPUTED_VALUE"""),"UMUM")</f>
        <v>UMUM</v>
      </c>
      <c r="D186" s="8" t="str">
        <f>IFERROR(__xludf.DUMMYFUNCTION("""COMPUTED_VALUE"""),"UMUM")</f>
        <v>UMUM</v>
      </c>
      <c r="E186" s="8" t="str">
        <f>IFERROR(__xludf.DUMMYFUNCTION("""COMPUTED_VALUE"""),"JUFRY")</f>
        <v>JUFRY</v>
      </c>
      <c r="F186" s="8"/>
      <c r="G186" s="8"/>
      <c r="H186" s="8"/>
      <c r="I186" s="8"/>
      <c r="J186" s="8" t="str">
        <f>IFERROR(__xludf.DUMMYFUNCTION("""COMPUTED_VALUE"""),"  ")</f>
        <v>  </v>
      </c>
      <c r="K186" s="8" t="str">
        <f>IFERROR(__xludf.DUMMYFUNCTION("""COMPUTED_VALUE"""),"505059")</f>
        <v>505059</v>
      </c>
      <c r="L186" s="8" t="str">
        <f>IFERROR(__xludf.DUMMYFUNCTION("""COMPUTED_VALUE"""),"General pemadam api 6 kg")</f>
        <v>General pemadam api 6 kg</v>
      </c>
      <c r="M186" s="12">
        <f>IFERROR(__xludf.DUMMYFUNCTION("""COMPUTED_VALUE"""),1.0)</f>
        <v>1</v>
      </c>
      <c r="N186" s="8" t="str">
        <f>IFERROR(__xludf.DUMMYFUNCTION("""COMPUTED_VALUE"""),"BH")</f>
        <v>BH</v>
      </c>
      <c r="O186" s="13">
        <f>IFERROR(__xludf.DUMMYFUNCTION("""COMPUTED_VALUE"""),1050000.0)</f>
        <v>1050000</v>
      </c>
      <c r="P186" s="12">
        <f>IFERROR(__xludf.DUMMYFUNCTION("""COMPUTED_VALUE"""),1850000.0)</f>
        <v>1850000</v>
      </c>
      <c r="Q186" s="8"/>
      <c r="R186" s="8">
        <f>IFERROR(__xludf.DUMMYFUNCTION("""COMPUTED_VALUE"""),0.0)</f>
        <v>0</v>
      </c>
      <c r="S186" s="12">
        <f>IFERROR(__xludf.DUMMYFUNCTION("""COMPUTED_VALUE"""),0.0)</f>
        <v>0</v>
      </c>
      <c r="T186" s="12">
        <f>IFERROR(__xludf.DUMMYFUNCTION("""COMPUTED_VALUE"""),1050000.0)</f>
        <v>1050000</v>
      </c>
      <c r="U186" s="13">
        <f>IFERROR(__xludf.DUMMYFUNCTION("""COMPUTED_VALUE"""),7.5)</f>
        <v>7.5</v>
      </c>
      <c r="V186" s="8" t="str">
        <f>IFERROR(__xludf.DUMMYFUNCTION("""COMPUTED_VALUE"""),"QRIS")</f>
        <v>QRIS</v>
      </c>
      <c r="W186" s="8"/>
      <c r="X186" s="8">
        <f t="shared" si="1"/>
        <v>3</v>
      </c>
      <c r="AA186" s="10"/>
    </row>
    <row r="187">
      <c r="A187" s="8" t="str">
        <f>IFERROR(__xludf.DUMMYFUNCTION("""COMPUTED_VALUE"""),"9966/JL/UTM/0324")</f>
        <v>9966/JL/UTM/0324</v>
      </c>
      <c r="B187" s="11">
        <f>IFERROR(__xludf.DUMMYFUNCTION("""COMPUTED_VALUE"""),45379.617847222224)</f>
        <v>45379.61785</v>
      </c>
      <c r="C187" s="8" t="str">
        <f>IFERROR(__xludf.DUMMYFUNCTION("""COMPUTED_VALUE"""),"PL0926")</f>
        <v>PL0926</v>
      </c>
      <c r="D187" s="8" t="str">
        <f>IFERROR(__xludf.DUMMYFUNCTION("""COMPUTED_VALUE"""),"PT. MACMAHON MINING SERVICES")</f>
        <v>PT. MACMAHON MINING SERVICES</v>
      </c>
      <c r="E187" s="8" t="str">
        <f>IFERROR(__xludf.DUMMYFUNCTION("""COMPUTED_VALUE"""),"JUFRY")</f>
        <v>JUFRY</v>
      </c>
      <c r="F187" s="8"/>
      <c r="G187" s="8"/>
      <c r="H187" s="8"/>
      <c r="I187" s="8"/>
      <c r="J187" s="8" t="str">
        <f>IFERROR(__xludf.DUMMYFUNCTION("""COMPUTED_VALUE"""),"PALU  ")</f>
        <v>PALU  </v>
      </c>
      <c r="K187" s="8" t="str">
        <f>IFERROR(__xludf.DUMMYFUNCTION("""COMPUTED_VALUE"""),"20372")</f>
        <v>20372</v>
      </c>
      <c r="L187" s="8" t="str">
        <f>IFERROR(__xludf.DUMMYFUNCTION("""COMPUTED_VALUE"""),"SECURE INSTAN MESIN LAMINATING")</f>
        <v>SECURE INSTAN MESIN LAMINATING</v>
      </c>
      <c r="M187" s="12">
        <f>IFERROR(__xludf.DUMMYFUNCTION("""COMPUTED_VALUE"""),1.0)</f>
        <v>1</v>
      </c>
      <c r="N187" s="8" t="str">
        <f>IFERROR(__xludf.DUMMYFUNCTION("""COMPUTED_VALUE"""),"BH")</f>
        <v>BH</v>
      </c>
      <c r="O187" s="13">
        <f>IFERROR(__xludf.DUMMYFUNCTION("""COMPUTED_VALUE"""),950000.0)</f>
        <v>950000</v>
      </c>
      <c r="P187" s="12">
        <f>IFERROR(__xludf.DUMMYFUNCTION("""COMPUTED_VALUE"""),0.0)</f>
        <v>0</v>
      </c>
      <c r="Q187" s="8"/>
      <c r="R187" s="8">
        <f>IFERROR(__xludf.DUMMYFUNCTION("""COMPUTED_VALUE"""),0.0)</f>
        <v>0</v>
      </c>
      <c r="S187" s="12">
        <f>IFERROR(__xludf.DUMMYFUNCTION("""COMPUTED_VALUE"""),1900000.0)</f>
        <v>1900000</v>
      </c>
      <c r="T187" s="12">
        <f>IFERROR(__xludf.DUMMYFUNCTION("""COMPUTED_VALUE"""),950000.0)</f>
        <v>950000</v>
      </c>
      <c r="U187" s="13">
        <f>IFERROR(__xludf.DUMMYFUNCTION("""COMPUTED_VALUE"""),0.0)</f>
        <v>0</v>
      </c>
      <c r="V187" s="8"/>
      <c r="W187" s="8"/>
      <c r="X187" s="8">
        <f t="shared" si="1"/>
        <v>3</v>
      </c>
      <c r="AA187" s="10"/>
    </row>
    <row r="188">
      <c r="A188" s="8" t="str">
        <f>IFERROR(__xludf.DUMMYFUNCTION("""COMPUTED_VALUE"""),"9966/JL/UTM/0324")</f>
        <v>9966/JL/UTM/0324</v>
      </c>
      <c r="B188" s="11">
        <f>IFERROR(__xludf.DUMMYFUNCTION("""COMPUTED_VALUE"""),45379.617847222224)</f>
        <v>45379.61785</v>
      </c>
      <c r="C188" s="8" t="str">
        <f>IFERROR(__xludf.DUMMYFUNCTION("""COMPUTED_VALUE"""),"PL0926")</f>
        <v>PL0926</v>
      </c>
      <c r="D188" s="8" t="str">
        <f>IFERROR(__xludf.DUMMYFUNCTION("""COMPUTED_VALUE"""),"PT. MACMAHON MINING SERVICES")</f>
        <v>PT. MACMAHON MINING SERVICES</v>
      </c>
      <c r="E188" s="8" t="str">
        <f>IFERROR(__xludf.DUMMYFUNCTION("""COMPUTED_VALUE"""),"JUFRY")</f>
        <v>JUFRY</v>
      </c>
      <c r="F188" s="8"/>
      <c r="G188" s="8"/>
      <c r="H188" s="8"/>
      <c r="I188" s="8"/>
      <c r="J188" s="8" t="str">
        <f>IFERROR(__xludf.DUMMYFUNCTION("""COMPUTED_VALUE"""),"PALU  ")</f>
        <v>PALU  </v>
      </c>
      <c r="K188" s="8" t="str">
        <f>IFERROR(__xludf.DUMMYFUNCTION("""COMPUTED_VALUE"""),"40624")</f>
        <v>40624</v>
      </c>
      <c r="L188" s="8" t="str">
        <f>IFERROR(__xludf.DUMMYFUNCTION("""COMPUTED_VALUE"""),"BRIGHT OFFICE LAMINATING FGK-330")</f>
        <v>BRIGHT OFFICE LAMINATING FGK-330</v>
      </c>
      <c r="M188" s="12">
        <f>IFERROR(__xludf.DUMMYFUNCTION("""COMPUTED_VALUE"""),1.0)</f>
        <v>1</v>
      </c>
      <c r="N188" s="8" t="str">
        <f>IFERROR(__xludf.DUMMYFUNCTION("""COMPUTED_VALUE"""),"UNIT")</f>
        <v>UNIT</v>
      </c>
      <c r="O188" s="13">
        <f>IFERROR(__xludf.DUMMYFUNCTION("""COMPUTED_VALUE"""),950000.0)</f>
        <v>950000</v>
      </c>
      <c r="P188" s="12">
        <f>IFERROR(__xludf.DUMMYFUNCTION("""COMPUTED_VALUE"""),0.0)</f>
        <v>0</v>
      </c>
      <c r="Q188" s="8"/>
      <c r="R188" s="8">
        <f>IFERROR(__xludf.DUMMYFUNCTION("""COMPUTED_VALUE"""),0.0)</f>
        <v>0</v>
      </c>
      <c r="S188" s="12">
        <f>IFERROR(__xludf.DUMMYFUNCTION("""COMPUTED_VALUE"""),1900000.0)</f>
        <v>1900000</v>
      </c>
      <c r="T188" s="12">
        <f>IFERROR(__xludf.DUMMYFUNCTION("""COMPUTED_VALUE"""),950000.0)</f>
        <v>950000</v>
      </c>
      <c r="U188" s="13">
        <f>IFERROR(__xludf.DUMMYFUNCTION("""COMPUTED_VALUE"""),0.0)</f>
        <v>0</v>
      </c>
      <c r="V188" s="8"/>
      <c r="W188" s="8"/>
      <c r="X188" s="8">
        <f t="shared" si="1"/>
        <v>3</v>
      </c>
      <c r="AA188" s="10"/>
    </row>
    <row r="189">
      <c r="A189" s="8" t="str">
        <f>IFERROR(__xludf.DUMMYFUNCTION("""COMPUTED_VALUE"""),"9967/JL/UTM/0324")</f>
        <v>9967/JL/UTM/0324</v>
      </c>
      <c r="B189" s="11">
        <f>IFERROR(__xludf.DUMMYFUNCTION("""COMPUTED_VALUE"""),45379.61928240741)</f>
        <v>45379.61928</v>
      </c>
      <c r="C189" s="8" t="str">
        <f>IFERROR(__xludf.DUMMYFUNCTION("""COMPUTED_VALUE"""),"PL0930")</f>
        <v>PL0930</v>
      </c>
      <c r="D189" s="8" t="str">
        <f>IFERROR(__xludf.DUMMYFUNCTION("""COMPUTED_VALUE"""),"PAK AHMAD BUOL")</f>
        <v>PAK AHMAD BUOL</v>
      </c>
      <c r="E189" s="8" t="str">
        <f>IFERROR(__xludf.DUMMYFUNCTION("""COMPUTED_VALUE"""),"JUFRY")</f>
        <v>JUFRY</v>
      </c>
      <c r="F189" s="8"/>
      <c r="G189" s="8"/>
      <c r="H189" s="8"/>
      <c r="I189" s="8"/>
      <c r="J189" s="8" t="str">
        <f>IFERROR(__xludf.DUMMYFUNCTION("""COMPUTED_VALUE"""),"BUOL  ")</f>
        <v>BUOL  </v>
      </c>
      <c r="K189" s="8" t="str">
        <f>IFERROR(__xludf.DUMMYFUNCTION("""COMPUTED_VALUE"""),"706294")</f>
        <v>706294</v>
      </c>
      <c r="L189" s="8" t="str">
        <f>IFERROR(__xludf.DUMMYFUNCTION("""COMPUTED_VALUE"""),"MITSUBISHI W, BOARD 90 X 180 CM")</f>
        <v>MITSUBISHI W, BOARD 90 X 180 CM</v>
      </c>
      <c r="M189" s="12">
        <f>IFERROR(__xludf.DUMMYFUNCTION("""COMPUTED_VALUE"""),6.0)</f>
        <v>6</v>
      </c>
      <c r="N189" s="8" t="str">
        <f>IFERROR(__xludf.DUMMYFUNCTION("""COMPUTED_VALUE"""),"BH")</f>
        <v>BH</v>
      </c>
      <c r="O189" s="13">
        <f>IFERROR(__xludf.DUMMYFUNCTION("""COMPUTED_VALUE"""),550000.0)</f>
        <v>550000</v>
      </c>
      <c r="P189" s="12">
        <f>IFERROR(__xludf.DUMMYFUNCTION("""COMPUTED_VALUE"""),0.0)</f>
        <v>0</v>
      </c>
      <c r="Q189" s="8"/>
      <c r="R189" s="8">
        <f>IFERROR(__xludf.DUMMYFUNCTION("""COMPUTED_VALUE"""),0.0)</f>
        <v>0</v>
      </c>
      <c r="S189" s="12">
        <f>IFERROR(__xludf.DUMMYFUNCTION("""COMPUTED_VALUE"""),3300000.0)</f>
        <v>3300000</v>
      </c>
      <c r="T189" s="12">
        <f>IFERROR(__xludf.DUMMYFUNCTION("""COMPUTED_VALUE"""),3300000.0)</f>
        <v>3300000</v>
      </c>
      <c r="U189" s="13">
        <f>IFERROR(__xludf.DUMMYFUNCTION("""COMPUTED_VALUE"""),0.0)</f>
        <v>0</v>
      </c>
      <c r="V189" s="8"/>
      <c r="W189" s="8"/>
      <c r="X189" s="8">
        <f t="shared" si="1"/>
        <v>3</v>
      </c>
      <c r="AA189" s="10"/>
    </row>
    <row r="190">
      <c r="A190" s="8" t="str">
        <f>IFERROR(__xludf.DUMMYFUNCTION("""COMPUTED_VALUE"""),"9968/JL/UTM/0324")</f>
        <v>9968/JL/UTM/0324</v>
      </c>
      <c r="B190" s="11">
        <f>IFERROR(__xludf.DUMMYFUNCTION("""COMPUTED_VALUE"""),45379.67030092592)</f>
        <v>45379.6703</v>
      </c>
      <c r="C190" s="8" t="str">
        <f>IFERROR(__xludf.DUMMYFUNCTION("""COMPUTED_VALUE"""),"PL0928")</f>
        <v>PL0928</v>
      </c>
      <c r="D190" s="8" t="str">
        <f>IFERROR(__xludf.DUMMYFUNCTION("""COMPUTED_VALUE"""),"PT. AKM")</f>
        <v>PT. AKM</v>
      </c>
      <c r="E190" s="8" t="str">
        <f>IFERROR(__xludf.DUMMYFUNCTION("""COMPUTED_VALUE"""),"JUFRY")</f>
        <v>JUFRY</v>
      </c>
      <c r="F190" s="8"/>
      <c r="G190" s="8"/>
      <c r="H190" s="8"/>
      <c r="I190" s="8"/>
      <c r="J190" s="8" t="str">
        <f>IFERROR(__xludf.DUMMYFUNCTION("""COMPUTED_VALUE"""),"Palu  ")</f>
        <v>Palu  </v>
      </c>
      <c r="K190" s="8" t="str">
        <f>IFERROR(__xludf.DUMMYFUNCTION("""COMPUTED_VALUE"""),"40359")</f>
        <v>40359</v>
      </c>
      <c r="L190" s="8" t="str">
        <f>IFERROR(__xludf.DUMMYFUNCTION("""COMPUTED_VALUE"""),"POP ONE WHITEBOARD 120X180")</f>
        <v>POP ONE WHITEBOARD 120X180</v>
      </c>
      <c r="M190" s="12">
        <f>IFERROR(__xludf.DUMMYFUNCTION("""COMPUTED_VALUE"""),1.0)</f>
        <v>1</v>
      </c>
      <c r="N190" s="8" t="str">
        <f>IFERROR(__xludf.DUMMYFUNCTION("""COMPUTED_VALUE"""),"BH")</f>
        <v>BH</v>
      </c>
      <c r="O190" s="13">
        <f>IFERROR(__xludf.DUMMYFUNCTION("""COMPUTED_VALUE"""),800000.0)</f>
        <v>800000</v>
      </c>
      <c r="P190" s="12">
        <f>IFERROR(__xludf.DUMMYFUNCTION("""COMPUTED_VALUE"""),0.0)</f>
        <v>0</v>
      </c>
      <c r="Q190" s="8"/>
      <c r="R190" s="8">
        <f>IFERROR(__xludf.DUMMYFUNCTION("""COMPUTED_VALUE"""),0.0)</f>
        <v>0</v>
      </c>
      <c r="S190" s="12">
        <f>IFERROR(__xludf.DUMMYFUNCTION("""COMPUTED_VALUE"""),1050000.0)</f>
        <v>1050000</v>
      </c>
      <c r="T190" s="12">
        <f>IFERROR(__xludf.DUMMYFUNCTION("""COMPUTED_VALUE"""),800000.0)</f>
        <v>800000</v>
      </c>
      <c r="U190" s="13">
        <f>IFERROR(__xludf.DUMMYFUNCTION("""COMPUTED_VALUE"""),0.0)</f>
        <v>0</v>
      </c>
      <c r="V190" s="8"/>
      <c r="W190" s="8"/>
      <c r="X190" s="8">
        <f t="shared" si="1"/>
        <v>3</v>
      </c>
      <c r="AA190" s="10"/>
    </row>
    <row r="191">
      <c r="A191" s="8" t="str">
        <f>IFERROR(__xludf.DUMMYFUNCTION("""COMPUTED_VALUE"""),"9968/JL/UTM/0324")</f>
        <v>9968/JL/UTM/0324</v>
      </c>
      <c r="B191" s="11">
        <f>IFERROR(__xludf.DUMMYFUNCTION("""COMPUTED_VALUE"""),45379.67030092592)</f>
        <v>45379.6703</v>
      </c>
      <c r="C191" s="8" t="str">
        <f>IFERROR(__xludf.DUMMYFUNCTION("""COMPUTED_VALUE"""),"PL0928")</f>
        <v>PL0928</v>
      </c>
      <c r="D191" s="8" t="str">
        <f>IFERROR(__xludf.DUMMYFUNCTION("""COMPUTED_VALUE"""),"PT. AKM")</f>
        <v>PT. AKM</v>
      </c>
      <c r="E191" s="8" t="str">
        <f>IFERROR(__xludf.DUMMYFUNCTION("""COMPUTED_VALUE"""),"JUFRY")</f>
        <v>JUFRY</v>
      </c>
      <c r="F191" s="8"/>
      <c r="G191" s="8"/>
      <c r="H191" s="8"/>
      <c r="I191" s="8"/>
      <c r="J191" s="8" t="str">
        <f>IFERROR(__xludf.DUMMYFUNCTION("""COMPUTED_VALUE"""),"Palu  ")</f>
        <v>Palu  </v>
      </c>
      <c r="K191" s="8" t="str">
        <f>IFERROR(__xludf.DUMMYFUNCTION("""COMPUTED_VALUE"""),"606071")</f>
        <v>606071</v>
      </c>
      <c r="L191" s="8" t="str">
        <f>IFERROR(__xludf.DUMMYFUNCTION("""COMPUTED_VALUE"""),"KINGCO WHITEBOARD 90X120")</f>
        <v>KINGCO WHITEBOARD 90X120</v>
      </c>
      <c r="M191" s="12">
        <f>IFERROR(__xludf.DUMMYFUNCTION("""COMPUTED_VALUE"""),1.0)</f>
        <v>1</v>
      </c>
      <c r="N191" s="8" t="str">
        <f>IFERROR(__xludf.DUMMYFUNCTION("""COMPUTED_VALUE"""),"BH")</f>
        <v>BH</v>
      </c>
      <c r="O191" s="13">
        <f>IFERROR(__xludf.DUMMYFUNCTION("""COMPUTED_VALUE"""),250000.0)</f>
        <v>250000</v>
      </c>
      <c r="P191" s="12">
        <f>IFERROR(__xludf.DUMMYFUNCTION("""COMPUTED_VALUE"""),0.0)</f>
        <v>0</v>
      </c>
      <c r="Q191" s="8"/>
      <c r="R191" s="8">
        <f>IFERROR(__xludf.DUMMYFUNCTION("""COMPUTED_VALUE"""),0.0)</f>
        <v>0</v>
      </c>
      <c r="S191" s="12">
        <f>IFERROR(__xludf.DUMMYFUNCTION("""COMPUTED_VALUE"""),1050000.0)</f>
        <v>1050000</v>
      </c>
      <c r="T191" s="12">
        <f>IFERROR(__xludf.DUMMYFUNCTION("""COMPUTED_VALUE"""),250000.0)</f>
        <v>250000</v>
      </c>
      <c r="U191" s="13">
        <f>IFERROR(__xludf.DUMMYFUNCTION("""COMPUTED_VALUE"""),0.0)</f>
        <v>0</v>
      </c>
      <c r="V191" s="8"/>
      <c r="W191" s="8"/>
      <c r="X191" s="8">
        <f t="shared" si="1"/>
        <v>3</v>
      </c>
      <c r="AA191" s="10"/>
    </row>
    <row r="192">
      <c r="A192" s="8" t="str">
        <f>IFERROR(__xludf.DUMMYFUNCTION("""COMPUTED_VALUE"""),"9969/JL/UTM/0324")</f>
        <v>9969/JL/UTM/0324</v>
      </c>
      <c r="B192" s="11">
        <f>IFERROR(__xludf.DUMMYFUNCTION("""COMPUTED_VALUE"""),45379.67114583333)</f>
        <v>45379.67115</v>
      </c>
      <c r="C192" s="8" t="str">
        <f>IFERROR(__xludf.DUMMYFUNCTION("""COMPUTED_VALUE"""),"044")</f>
        <v>044</v>
      </c>
      <c r="D192" s="8" t="str">
        <f>IFERROR(__xludf.DUMMYFUNCTION("""COMPUTED_VALUE"""),"BANK SULTENG KC PALU")</f>
        <v>BANK SULTENG KC PALU</v>
      </c>
      <c r="E192" s="8" t="str">
        <f>IFERROR(__xludf.DUMMYFUNCTION("""COMPUTED_VALUE"""),"JUFRY")</f>
        <v>JUFRY</v>
      </c>
      <c r="F192" s="8"/>
      <c r="G192" s="8"/>
      <c r="H192" s="8"/>
      <c r="I192" s="8"/>
      <c r="J192" s="8" t="str">
        <f>IFERROR(__xludf.DUMMYFUNCTION("""COMPUTED_VALUE"""),"  ")</f>
        <v>  </v>
      </c>
      <c r="K192" s="8" t="str">
        <f>IFERROR(__xludf.DUMMYFUNCTION("""COMPUTED_VALUE"""),"10060")</f>
        <v>10060</v>
      </c>
      <c r="L192" s="8" t="str">
        <f>IFERROR(__xludf.DUMMYFUNCTION("""COMPUTED_VALUE"""),"VTEC FLIP CHART 60X90")</f>
        <v>VTEC FLIP CHART 60X90</v>
      </c>
      <c r="M192" s="12">
        <f>IFERROR(__xludf.DUMMYFUNCTION("""COMPUTED_VALUE"""),1.0)</f>
        <v>1</v>
      </c>
      <c r="N192" s="8" t="str">
        <f>IFERROR(__xludf.DUMMYFUNCTION("""COMPUTED_VALUE"""),"BH")</f>
        <v>BH</v>
      </c>
      <c r="O192" s="13">
        <f>IFERROR(__xludf.DUMMYFUNCTION("""COMPUTED_VALUE"""),1175000.0)</f>
        <v>1175000</v>
      </c>
      <c r="P192" s="12">
        <f>IFERROR(__xludf.DUMMYFUNCTION("""COMPUTED_VALUE"""),0.0)</f>
        <v>0</v>
      </c>
      <c r="Q192" s="8"/>
      <c r="R192" s="8">
        <f>IFERROR(__xludf.DUMMYFUNCTION("""COMPUTED_VALUE"""),0.0)</f>
        <v>0</v>
      </c>
      <c r="S192" s="12">
        <f>IFERROR(__xludf.DUMMYFUNCTION("""COMPUTED_VALUE"""),1175000.0)</f>
        <v>1175000</v>
      </c>
      <c r="T192" s="12">
        <f>IFERROR(__xludf.DUMMYFUNCTION("""COMPUTED_VALUE"""),1175000.0)</f>
        <v>1175000</v>
      </c>
      <c r="U192" s="13">
        <f>IFERROR(__xludf.DUMMYFUNCTION("""COMPUTED_VALUE"""),0.0)</f>
        <v>0</v>
      </c>
      <c r="V192" s="8" t="str">
        <f>IFERROR(__xludf.DUMMYFUNCTION("""COMPUTED_VALUE"""),"DEV. KREDIT")</f>
        <v>DEV. KREDIT</v>
      </c>
      <c r="W192" s="8"/>
      <c r="X192" s="8">
        <f t="shared" si="1"/>
        <v>3</v>
      </c>
      <c r="AA192" s="10"/>
    </row>
    <row r="193">
      <c r="A193" s="8" t="str">
        <f>IFERROR(__xludf.DUMMYFUNCTION("""COMPUTED_VALUE"""),"9970/JL/UTM/0324")</f>
        <v>9970/JL/UTM/0324</v>
      </c>
      <c r="B193" s="11">
        <f>IFERROR(__xludf.DUMMYFUNCTION("""COMPUTED_VALUE"""),45381.527453703704)</f>
        <v>45381.52745</v>
      </c>
      <c r="C193" s="8" t="str">
        <f>IFERROR(__xludf.DUMMYFUNCTION("""COMPUTED_VALUE"""),"UMUM")</f>
        <v>UMUM</v>
      </c>
      <c r="D193" s="8" t="str">
        <f>IFERROR(__xludf.DUMMYFUNCTION("""COMPUTED_VALUE"""),"UMUM")</f>
        <v>UMUM</v>
      </c>
      <c r="E193" s="8" t="str">
        <f>IFERROR(__xludf.DUMMYFUNCTION("""COMPUTED_VALUE"""),"JUFRY")</f>
        <v>JUFRY</v>
      </c>
      <c r="F193" s="8"/>
      <c r="G193" s="8"/>
      <c r="H193" s="8"/>
      <c r="I193" s="8"/>
      <c r="J193" s="8" t="str">
        <f>IFERROR(__xludf.DUMMYFUNCTION("""COMPUTED_VALUE"""),"  ")</f>
        <v>  </v>
      </c>
      <c r="K193" s="8" t="str">
        <f>IFERROR(__xludf.DUMMYFUNCTION("""COMPUTED_VALUE"""),"40524")</f>
        <v>40524</v>
      </c>
      <c r="L193" s="8" t="str">
        <f>IFERROR(__xludf.DUMMYFUNCTION("""COMPUTED_VALUE"""),"UCHIDA BRANKAS BK-S")</f>
        <v>UCHIDA BRANKAS BK-S</v>
      </c>
      <c r="M193" s="12">
        <f>IFERROR(__xludf.DUMMYFUNCTION("""COMPUTED_VALUE"""),1.0)</f>
        <v>1</v>
      </c>
      <c r="N193" s="8" t="str">
        <f>IFERROR(__xludf.DUMMYFUNCTION("""COMPUTED_VALUE"""),"UNIT")</f>
        <v>UNIT</v>
      </c>
      <c r="O193" s="13">
        <f>IFERROR(__xludf.DUMMYFUNCTION("""COMPUTED_VALUE"""),4450000.0)</f>
        <v>4450000</v>
      </c>
      <c r="P193" s="12">
        <f>IFERROR(__xludf.DUMMYFUNCTION("""COMPUTED_VALUE"""),4200000.0)</f>
        <v>4200000</v>
      </c>
      <c r="Q193" s="8"/>
      <c r="R193" s="8">
        <f>IFERROR(__xludf.DUMMYFUNCTION("""COMPUTED_VALUE"""),0.0)</f>
        <v>0</v>
      </c>
      <c r="S193" s="12">
        <f>IFERROR(__xludf.DUMMYFUNCTION("""COMPUTED_VALUE"""),0.0)</f>
        <v>0</v>
      </c>
      <c r="T193" s="12">
        <f>IFERROR(__xludf.DUMMYFUNCTION("""COMPUTED_VALUE"""),4450000.0)</f>
        <v>4450000</v>
      </c>
      <c r="U193" s="13">
        <f>IFERROR(__xludf.DUMMYFUNCTION("""COMPUTED_VALUE"""),5.6179775281)</f>
        <v>5.617977528</v>
      </c>
      <c r="V193" s="8"/>
      <c r="W193" s="8"/>
      <c r="X193" s="8">
        <f t="shared" si="1"/>
        <v>3</v>
      </c>
      <c r="AA193" s="10"/>
    </row>
    <row r="194">
      <c r="A194" s="8" t="str">
        <f>IFERROR(__xludf.DUMMYFUNCTION("""COMPUTED_VALUE"""),"9971/JL/UTM/0424")</f>
        <v>9971/JL/UTM/0424</v>
      </c>
      <c r="B194" s="11">
        <f>IFERROR(__xludf.DUMMYFUNCTION("""COMPUTED_VALUE"""),45384.6878587963)</f>
        <v>45384.68786</v>
      </c>
      <c r="C194" s="8" t="str">
        <f>IFERROR(__xludf.DUMMYFUNCTION("""COMPUTED_VALUE"""),"UMUM")</f>
        <v>UMUM</v>
      </c>
      <c r="D194" s="8" t="str">
        <f>IFERROR(__xludf.DUMMYFUNCTION("""COMPUTED_VALUE"""),"UMUM")</f>
        <v>UMUM</v>
      </c>
      <c r="E194" s="8" t="str">
        <f>IFERROR(__xludf.DUMMYFUNCTION("""COMPUTED_VALUE"""),"JUFRY")</f>
        <v>JUFRY</v>
      </c>
      <c r="F194" s="8"/>
      <c r="G194" s="8"/>
      <c r="H194" s="8"/>
      <c r="I194" s="8"/>
      <c r="J194" s="8" t="str">
        <f>IFERROR(__xludf.DUMMYFUNCTION("""COMPUTED_VALUE"""),"  ")</f>
        <v>  </v>
      </c>
      <c r="K194" s="8" t="str">
        <f>IFERROR(__xludf.DUMMYFUNCTION("""COMPUTED_VALUE"""),"706254")</f>
        <v>706254</v>
      </c>
      <c r="L194" s="8" t="str">
        <f>IFERROR(__xludf.DUMMYFUNCTION("""COMPUTED_VALUE"""),"VTEC W. BOARD STAND NON MAGNET D/F 90 X 120")</f>
        <v>VTEC W. BOARD STAND NON MAGNET D/F 90 X 120</v>
      </c>
      <c r="M194" s="12">
        <f>IFERROR(__xludf.DUMMYFUNCTION("""COMPUTED_VALUE"""),1.0)</f>
        <v>1</v>
      </c>
      <c r="N194" s="8" t="str">
        <f>IFERROR(__xludf.DUMMYFUNCTION("""COMPUTED_VALUE"""),"UNIT")</f>
        <v>UNIT</v>
      </c>
      <c r="O194" s="13">
        <f>IFERROR(__xludf.DUMMYFUNCTION("""COMPUTED_VALUE"""),1500000.0)</f>
        <v>1500000</v>
      </c>
      <c r="P194" s="12">
        <f>IFERROR(__xludf.DUMMYFUNCTION("""COMPUTED_VALUE"""),1500000.0)</f>
        <v>1500000</v>
      </c>
      <c r="Q194" s="8"/>
      <c r="R194" s="8">
        <f>IFERROR(__xludf.DUMMYFUNCTION("""COMPUTED_VALUE"""),0.0)</f>
        <v>0</v>
      </c>
      <c r="S194" s="12">
        <f>IFERROR(__xludf.DUMMYFUNCTION("""COMPUTED_VALUE"""),0.0)</f>
        <v>0</v>
      </c>
      <c r="T194" s="12">
        <f>IFERROR(__xludf.DUMMYFUNCTION("""COMPUTED_VALUE"""),1500000.0)</f>
        <v>1500000</v>
      </c>
      <c r="U194" s="13">
        <f>IFERROR(__xludf.DUMMYFUNCTION("""COMPUTED_VALUE"""),0.0)</f>
        <v>0</v>
      </c>
      <c r="V194" s="8" t="str">
        <f>IFERROR(__xludf.DUMMYFUNCTION("""COMPUTED_VALUE"""),"TUNAI 1.000.000N QRIS 500.000")</f>
        <v>TUNAI 1.000.000N QRIS 500.000</v>
      </c>
      <c r="W194" s="8"/>
      <c r="X194" s="8">
        <f t="shared" si="1"/>
        <v>4</v>
      </c>
      <c r="AA194" s="10"/>
    </row>
    <row r="195">
      <c r="A195" s="8" t="str">
        <f>IFERROR(__xludf.DUMMYFUNCTION("""COMPUTED_VALUE"""),"9972/JL/UTM/0424")</f>
        <v>9972/JL/UTM/0424</v>
      </c>
      <c r="B195" s="11">
        <f>IFERROR(__xludf.DUMMYFUNCTION("""COMPUTED_VALUE"""),45388.58880787037)</f>
        <v>45388.58881</v>
      </c>
      <c r="C195" s="8" t="str">
        <f>IFERROR(__xludf.DUMMYFUNCTION("""COMPUTED_VALUE"""),"PL0931")</f>
        <v>PL0931</v>
      </c>
      <c r="D195" s="8" t="str">
        <f>IFERROR(__xludf.DUMMYFUNCTION("""COMPUTED_VALUE"""),"YACHIYO ENGINEERING.CO")</f>
        <v>YACHIYO ENGINEERING.CO</v>
      </c>
      <c r="E195" s="8" t="str">
        <f>IFERROR(__xludf.DUMMYFUNCTION("""COMPUTED_VALUE"""),"JUFRY")</f>
        <v>JUFRY</v>
      </c>
      <c r="F195" s="8"/>
      <c r="G195" s="8"/>
      <c r="H195" s="8"/>
      <c r="I195" s="8"/>
      <c r="J195" s="8" t="str">
        <f>IFERROR(__xludf.DUMMYFUNCTION("""COMPUTED_VALUE"""),"PALU  ")</f>
        <v>PALU  </v>
      </c>
      <c r="K195" s="8" t="str">
        <f>IFERROR(__xludf.DUMMYFUNCTION("""COMPUTED_VALUE"""),"706211")</f>
        <v>706211</v>
      </c>
      <c r="L195" s="8" t="str">
        <f>IFERROR(__xludf.DUMMYFUNCTION("""COMPUTED_VALUE"""),"AKTIV MEJA 1/2 BIRO VINO MT 121")</f>
        <v>AKTIV MEJA 1/2 BIRO VINO MT 121</v>
      </c>
      <c r="M195" s="12">
        <f>IFERROR(__xludf.DUMMYFUNCTION("""COMPUTED_VALUE"""),12.0)</f>
        <v>12</v>
      </c>
      <c r="N195" s="8" t="str">
        <f>IFERROR(__xludf.DUMMYFUNCTION("""COMPUTED_VALUE"""),"BH")</f>
        <v>BH</v>
      </c>
      <c r="O195" s="13">
        <f>IFERROR(__xludf.DUMMYFUNCTION("""COMPUTED_VALUE"""),850000.0)</f>
        <v>850000</v>
      </c>
      <c r="P195" s="12">
        <f>IFERROR(__xludf.DUMMYFUNCTION("""COMPUTED_VALUE"""),1.65E7)</f>
        <v>16500000</v>
      </c>
      <c r="Q195" s="8"/>
      <c r="R195" s="8">
        <f>IFERROR(__xludf.DUMMYFUNCTION("""COMPUTED_VALUE"""),0.0)</f>
        <v>0</v>
      </c>
      <c r="S195" s="12">
        <f>IFERROR(__xludf.DUMMYFUNCTION("""COMPUTED_VALUE"""),0.0)</f>
        <v>0</v>
      </c>
      <c r="T195" s="12">
        <f>IFERROR(__xludf.DUMMYFUNCTION("""COMPUTED_VALUE"""),1.02E7)</f>
        <v>10200000</v>
      </c>
      <c r="U195" s="13">
        <f>IFERROR(__xludf.DUMMYFUNCTION("""COMPUTED_VALUE"""),0.0)</f>
        <v>0</v>
      </c>
      <c r="V195" s="8" t="str">
        <f>IFERROR(__xludf.DUMMYFUNCTION("""COMPUTED_VALUE"""),"TRANSFER 4-4-24 BRI TOTAL 23 .643,000")</f>
        <v>TRANSFER 4-4-24 BRI TOTAL 23 .643,000</v>
      </c>
      <c r="W195" s="8"/>
      <c r="X195" s="8">
        <f t="shared" si="1"/>
        <v>4</v>
      </c>
      <c r="AA195" s="10"/>
    </row>
    <row r="196">
      <c r="A196" s="8" t="str">
        <f>IFERROR(__xludf.DUMMYFUNCTION("""COMPUTED_VALUE"""),"9972/JL/UTM/0424")</f>
        <v>9972/JL/UTM/0424</v>
      </c>
      <c r="B196" s="11">
        <f>IFERROR(__xludf.DUMMYFUNCTION("""COMPUTED_VALUE"""),45388.58880787037)</f>
        <v>45388.58881</v>
      </c>
      <c r="C196" s="8" t="str">
        <f>IFERROR(__xludf.DUMMYFUNCTION("""COMPUTED_VALUE"""),"PL0931")</f>
        <v>PL0931</v>
      </c>
      <c r="D196" s="8" t="str">
        <f>IFERROR(__xludf.DUMMYFUNCTION("""COMPUTED_VALUE"""),"YACHIYO ENGINEERING.CO")</f>
        <v>YACHIYO ENGINEERING.CO</v>
      </c>
      <c r="E196" s="8" t="str">
        <f>IFERROR(__xludf.DUMMYFUNCTION("""COMPUTED_VALUE"""),"JUFRY")</f>
        <v>JUFRY</v>
      </c>
      <c r="F196" s="8"/>
      <c r="G196" s="8"/>
      <c r="H196" s="8"/>
      <c r="I196" s="8"/>
      <c r="J196" s="8" t="str">
        <f>IFERROR(__xludf.DUMMYFUNCTION("""COMPUTED_VALUE"""),"PALU  ")</f>
        <v>PALU  </v>
      </c>
      <c r="K196" s="8" t="str">
        <f>IFERROR(__xludf.DUMMYFUNCTION("""COMPUTED_VALUE"""),"706233")</f>
        <v>706233</v>
      </c>
      <c r="L196" s="8" t="str">
        <f>IFERROR(__xludf.DUMMYFUNCTION("""COMPUTED_VALUE"""),"AVERY KURSI STAF OMC 006")</f>
        <v>AVERY KURSI STAF OMC 006</v>
      </c>
      <c r="M196" s="12">
        <f>IFERROR(__xludf.DUMMYFUNCTION("""COMPUTED_VALUE"""),12.0)</f>
        <v>12</v>
      </c>
      <c r="N196" s="8" t="str">
        <f>IFERROR(__xludf.DUMMYFUNCTION("""COMPUTED_VALUE"""),"UNIT")</f>
        <v>UNIT</v>
      </c>
      <c r="O196" s="13">
        <f>IFERROR(__xludf.DUMMYFUNCTION("""COMPUTED_VALUE"""),525000.0)</f>
        <v>525000</v>
      </c>
      <c r="P196" s="12">
        <f>IFERROR(__xludf.DUMMYFUNCTION("""COMPUTED_VALUE"""),1.65E7)</f>
        <v>16500000</v>
      </c>
      <c r="Q196" s="8"/>
      <c r="R196" s="8">
        <f>IFERROR(__xludf.DUMMYFUNCTION("""COMPUTED_VALUE"""),0.0)</f>
        <v>0</v>
      </c>
      <c r="S196" s="12">
        <f>IFERROR(__xludf.DUMMYFUNCTION("""COMPUTED_VALUE"""),0.0)</f>
        <v>0</v>
      </c>
      <c r="T196" s="12">
        <f>IFERROR(__xludf.DUMMYFUNCTION("""COMPUTED_VALUE"""),6300000.0)</f>
        <v>6300000</v>
      </c>
      <c r="U196" s="13">
        <f>IFERROR(__xludf.DUMMYFUNCTION("""COMPUTED_VALUE"""),0.0)</f>
        <v>0</v>
      </c>
      <c r="V196" s="8" t="str">
        <f>IFERROR(__xludf.DUMMYFUNCTION("""COMPUTED_VALUE"""),"TRANSFER 4-4-24 BRI TOTAL 23 .643,000")</f>
        <v>TRANSFER 4-4-24 BRI TOTAL 23 .643,000</v>
      </c>
      <c r="W196" s="8"/>
      <c r="X196" s="8">
        <f t="shared" si="1"/>
        <v>4</v>
      </c>
      <c r="AA196" s="10"/>
    </row>
    <row r="197">
      <c r="A197" s="8" t="str">
        <f>IFERROR(__xludf.DUMMYFUNCTION("""COMPUTED_VALUE"""),"9973/JL/UTM/0424")</f>
        <v>9973/JL/UTM/0424</v>
      </c>
      <c r="B197" s="11">
        <f>IFERROR(__xludf.DUMMYFUNCTION("""COMPUTED_VALUE"""),45388.60575231482)</f>
        <v>45388.60575</v>
      </c>
      <c r="C197" s="8" t="str">
        <f>IFERROR(__xludf.DUMMYFUNCTION("""COMPUTED_VALUE"""),"PL0909")</f>
        <v>PL0909</v>
      </c>
      <c r="D197" s="8" t="str">
        <f>IFERROR(__xludf.DUMMYFUNCTION("""COMPUTED_VALUE"""),"BPSDM PROV.SULTENG")</f>
        <v>BPSDM PROV.SULTENG</v>
      </c>
      <c r="E197" s="8" t="str">
        <f>IFERROR(__xludf.DUMMYFUNCTION("""COMPUTED_VALUE"""),"JUFRY")</f>
        <v>JUFRY</v>
      </c>
      <c r="F197" s="8"/>
      <c r="G197" s="8"/>
      <c r="H197" s="8"/>
      <c r="I197" s="8"/>
      <c r="J197" s="8" t="str">
        <f>IFERROR(__xludf.DUMMYFUNCTION("""COMPUTED_VALUE"""),"PALU  ")</f>
        <v>PALU  </v>
      </c>
      <c r="K197" s="8" t="str">
        <f>IFERROR(__xludf.DUMMYFUNCTION("""COMPUTED_VALUE"""),"706297")</f>
        <v>706297</v>
      </c>
      <c r="L197" s="8" t="str">
        <f>IFERROR(__xludf.DUMMYFUNCTION("""COMPUTED_VALUE"""),"ALAT GYM")</f>
        <v>ALAT GYM</v>
      </c>
      <c r="M197" s="12">
        <f>IFERROR(__xludf.DUMMYFUNCTION("""COMPUTED_VALUE"""),1.0)</f>
        <v>1</v>
      </c>
      <c r="N197" s="8" t="str">
        <f>IFERROR(__xludf.DUMMYFUNCTION("""COMPUTED_VALUE"""),"BH")</f>
        <v>BH</v>
      </c>
      <c r="O197" s="13">
        <f>IFERROR(__xludf.DUMMYFUNCTION("""COMPUTED_VALUE"""),1.425E7)</f>
        <v>14250000</v>
      </c>
      <c r="P197" s="12">
        <f>IFERROR(__xludf.DUMMYFUNCTION("""COMPUTED_VALUE"""),5.835E7)</f>
        <v>58350000</v>
      </c>
      <c r="Q197" s="8"/>
      <c r="R197" s="8">
        <f>IFERROR(__xludf.DUMMYFUNCTION("""COMPUTED_VALUE"""),0.0)</f>
        <v>0</v>
      </c>
      <c r="S197" s="12">
        <f>IFERROR(__xludf.DUMMYFUNCTION("""COMPUTED_VALUE"""),0.0)</f>
        <v>0</v>
      </c>
      <c r="T197" s="12">
        <f>IFERROR(__xludf.DUMMYFUNCTION("""COMPUTED_VALUE"""),1.425E7)</f>
        <v>14250000</v>
      </c>
      <c r="U197" s="13">
        <f>IFERROR(__xludf.DUMMYFUNCTION("""COMPUTED_VALUE"""),0.0)</f>
        <v>0</v>
      </c>
      <c r="V197" s="8" t="str">
        <f>IFERROR(__xludf.DUMMYFUNCTION("""COMPUTED_VALUE"""),"SP2D BPD")</f>
        <v>SP2D BPD</v>
      </c>
      <c r="W197" s="8"/>
      <c r="X197" s="8">
        <f t="shared" si="1"/>
        <v>4</v>
      </c>
      <c r="AA197" s="10"/>
    </row>
    <row r="198">
      <c r="A198" s="8" t="str">
        <f>IFERROR(__xludf.DUMMYFUNCTION("""COMPUTED_VALUE"""),"9973/JL/UTM/0424")</f>
        <v>9973/JL/UTM/0424</v>
      </c>
      <c r="B198" s="11">
        <f>IFERROR(__xludf.DUMMYFUNCTION("""COMPUTED_VALUE"""),45388.60575231482)</f>
        <v>45388.60575</v>
      </c>
      <c r="C198" s="8" t="str">
        <f>IFERROR(__xludf.DUMMYFUNCTION("""COMPUTED_VALUE"""),"PL0909")</f>
        <v>PL0909</v>
      </c>
      <c r="D198" s="8" t="str">
        <f>IFERROR(__xludf.DUMMYFUNCTION("""COMPUTED_VALUE"""),"BPSDM PROV.SULTENG")</f>
        <v>BPSDM PROV.SULTENG</v>
      </c>
      <c r="E198" s="8" t="str">
        <f>IFERROR(__xludf.DUMMYFUNCTION("""COMPUTED_VALUE"""),"JUFRY")</f>
        <v>JUFRY</v>
      </c>
      <c r="F198" s="8"/>
      <c r="G198" s="8"/>
      <c r="H198" s="8"/>
      <c r="I198" s="8"/>
      <c r="J198" s="8" t="str">
        <f>IFERROR(__xludf.DUMMYFUNCTION("""COMPUTED_VALUE"""),"PALU  ")</f>
        <v>PALU  </v>
      </c>
      <c r="K198" s="8" t="str">
        <f>IFERROR(__xludf.DUMMYFUNCTION("""COMPUTED_VALUE"""),"706298")</f>
        <v>706298</v>
      </c>
      <c r="L198" s="8" t="str">
        <f>IFERROR(__xludf.DUMMYFUNCTION("""COMPUTED_VALUE"""),"ALAT SIT UP")</f>
        <v>ALAT SIT UP</v>
      </c>
      <c r="M198" s="12">
        <f>IFERROR(__xludf.DUMMYFUNCTION("""COMPUTED_VALUE"""),1.0)</f>
        <v>1</v>
      </c>
      <c r="N198" s="8" t="str">
        <f>IFERROR(__xludf.DUMMYFUNCTION("""COMPUTED_VALUE"""),"BH")</f>
        <v>BH</v>
      </c>
      <c r="O198" s="13">
        <f>IFERROR(__xludf.DUMMYFUNCTION("""COMPUTED_VALUE"""),1800000.0)</f>
        <v>1800000</v>
      </c>
      <c r="P198" s="12">
        <f>IFERROR(__xludf.DUMMYFUNCTION("""COMPUTED_VALUE"""),5.835E7)</f>
        <v>58350000</v>
      </c>
      <c r="Q198" s="8"/>
      <c r="R198" s="8">
        <f>IFERROR(__xludf.DUMMYFUNCTION("""COMPUTED_VALUE"""),0.0)</f>
        <v>0</v>
      </c>
      <c r="S198" s="12">
        <f>IFERROR(__xludf.DUMMYFUNCTION("""COMPUTED_VALUE"""),0.0)</f>
        <v>0</v>
      </c>
      <c r="T198" s="12">
        <f>IFERROR(__xludf.DUMMYFUNCTION("""COMPUTED_VALUE"""),1800000.0)</f>
        <v>1800000</v>
      </c>
      <c r="U198" s="13">
        <f>IFERROR(__xludf.DUMMYFUNCTION("""COMPUTED_VALUE"""),0.0)</f>
        <v>0</v>
      </c>
      <c r="V198" s="8" t="str">
        <f>IFERROR(__xludf.DUMMYFUNCTION("""COMPUTED_VALUE"""),"SP2D BPD")</f>
        <v>SP2D BPD</v>
      </c>
      <c r="W198" s="8"/>
      <c r="X198" s="8">
        <f t="shared" si="1"/>
        <v>4</v>
      </c>
      <c r="AA198" s="10"/>
    </row>
    <row r="199">
      <c r="A199" s="8" t="str">
        <f>IFERROR(__xludf.DUMMYFUNCTION("""COMPUTED_VALUE"""),"9973/JL/UTM/0424")</f>
        <v>9973/JL/UTM/0424</v>
      </c>
      <c r="B199" s="11">
        <f>IFERROR(__xludf.DUMMYFUNCTION("""COMPUTED_VALUE"""),45388.60575231482)</f>
        <v>45388.60575</v>
      </c>
      <c r="C199" s="8" t="str">
        <f>IFERROR(__xludf.DUMMYFUNCTION("""COMPUTED_VALUE"""),"PL0909")</f>
        <v>PL0909</v>
      </c>
      <c r="D199" s="8" t="str">
        <f>IFERROR(__xludf.DUMMYFUNCTION("""COMPUTED_VALUE"""),"BPSDM PROV.SULTENG")</f>
        <v>BPSDM PROV.SULTENG</v>
      </c>
      <c r="E199" s="8" t="str">
        <f>IFERROR(__xludf.DUMMYFUNCTION("""COMPUTED_VALUE"""),"JUFRY")</f>
        <v>JUFRY</v>
      </c>
      <c r="F199" s="8"/>
      <c r="G199" s="8"/>
      <c r="H199" s="8"/>
      <c r="I199" s="8"/>
      <c r="J199" s="8" t="str">
        <f>IFERROR(__xludf.DUMMYFUNCTION("""COMPUTED_VALUE"""),"PALU  ")</f>
        <v>PALU  </v>
      </c>
      <c r="K199" s="8" t="str">
        <f>IFERROR(__xludf.DUMMYFUNCTION("""COMPUTED_VALUE"""),"706295")</f>
        <v>706295</v>
      </c>
      <c r="L199" s="8" t="str">
        <f>IFERROR(__xludf.DUMMYFUNCTION("""COMPUTED_VALUE"""),"TREADMILL")</f>
        <v>TREADMILL</v>
      </c>
      <c r="M199" s="12">
        <f>IFERROR(__xludf.DUMMYFUNCTION("""COMPUTED_VALUE"""),2.0)</f>
        <v>2</v>
      </c>
      <c r="N199" s="8" t="str">
        <f>IFERROR(__xludf.DUMMYFUNCTION("""COMPUTED_VALUE"""),"BH")</f>
        <v>BH</v>
      </c>
      <c r="O199" s="13">
        <f>IFERROR(__xludf.DUMMYFUNCTION("""COMPUTED_VALUE"""),9750000.0)</f>
        <v>9750000</v>
      </c>
      <c r="P199" s="12">
        <f>IFERROR(__xludf.DUMMYFUNCTION("""COMPUTED_VALUE"""),5.835E7)</f>
        <v>58350000</v>
      </c>
      <c r="Q199" s="8"/>
      <c r="R199" s="8">
        <f>IFERROR(__xludf.DUMMYFUNCTION("""COMPUTED_VALUE"""),0.0)</f>
        <v>0</v>
      </c>
      <c r="S199" s="12">
        <f>IFERROR(__xludf.DUMMYFUNCTION("""COMPUTED_VALUE"""),0.0)</f>
        <v>0</v>
      </c>
      <c r="T199" s="12">
        <f>IFERROR(__xludf.DUMMYFUNCTION("""COMPUTED_VALUE"""),1.95E7)</f>
        <v>19500000</v>
      </c>
      <c r="U199" s="13">
        <f>IFERROR(__xludf.DUMMYFUNCTION("""COMPUTED_VALUE"""),0.0)</f>
        <v>0</v>
      </c>
      <c r="V199" s="8" t="str">
        <f>IFERROR(__xludf.DUMMYFUNCTION("""COMPUTED_VALUE"""),"SP2D BPD")</f>
        <v>SP2D BPD</v>
      </c>
      <c r="W199" s="8"/>
      <c r="X199" s="8">
        <f t="shared" si="1"/>
        <v>4</v>
      </c>
      <c r="AA199" s="10"/>
    </row>
    <row r="200">
      <c r="A200" s="8" t="str">
        <f>IFERROR(__xludf.DUMMYFUNCTION("""COMPUTED_VALUE"""),"9973/JL/UTM/0424")</f>
        <v>9973/JL/UTM/0424</v>
      </c>
      <c r="B200" s="11">
        <f>IFERROR(__xludf.DUMMYFUNCTION("""COMPUTED_VALUE"""),45388.60575231482)</f>
        <v>45388.60575</v>
      </c>
      <c r="C200" s="8" t="str">
        <f>IFERROR(__xludf.DUMMYFUNCTION("""COMPUTED_VALUE"""),"PL0909")</f>
        <v>PL0909</v>
      </c>
      <c r="D200" s="8" t="str">
        <f>IFERROR(__xludf.DUMMYFUNCTION("""COMPUTED_VALUE"""),"BPSDM PROV.SULTENG")</f>
        <v>BPSDM PROV.SULTENG</v>
      </c>
      <c r="E200" s="8" t="str">
        <f>IFERROR(__xludf.DUMMYFUNCTION("""COMPUTED_VALUE"""),"JUFRY")</f>
        <v>JUFRY</v>
      </c>
      <c r="F200" s="8"/>
      <c r="G200" s="8"/>
      <c r="H200" s="8"/>
      <c r="I200" s="8"/>
      <c r="J200" s="8" t="str">
        <f>IFERROR(__xludf.DUMMYFUNCTION("""COMPUTED_VALUE"""),"PALU  ")</f>
        <v>PALU  </v>
      </c>
      <c r="K200" s="8" t="str">
        <f>IFERROR(__xludf.DUMMYFUNCTION("""COMPUTED_VALUE"""),"706296")</f>
        <v>706296</v>
      </c>
      <c r="L200" s="8" t="str">
        <f>IFERROR(__xludf.DUMMYFUNCTION("""COMPUTED_VALUE"""),"SEPEDA STATIS")</f>
        <v>SEPEDA STATIS</v>
      </c>
      <c r="M200" s="12">
        <f>IFERROR(__xludf.DUMMYFUNCTION("""COMPUTED_VALUE"""),2.0)</f>
        <v>2</v>
      </c>
      <c r="N200" s="8" t="str">
        <f>IFERROR(__xludf.DUMMYFUNCTION("""COMPUTED_VALUE"""),"BH")</f>
        <v>BH</v>
      </c>
      <c r="O200" s="13">
        <f>IFERROR(__xludf.DUMMYFUNCTION("""COMPUTED_VALUE"""),5250000.0)</f>
        <v>5250000</v>
      </c>
      <c r="P200" s="12">
        <f>IFERROR(__xludf.DUMMYFUNCTION("""COMPUTED_VALUE"""),5.835E7)</f>
        <v>58350000</v>
      </c>
      <c r="Q200" s="8"/>
      <c r="R200" s="8">
        <f>IFERROR(__xludf.DUMMYFUNCTION("""COMPUTED_VALUE"""),0.0)</f>
        <v>0</v>
      </c>
      <c r="S200" s="12">
        <f>IFERROR(__xludf.DUMMYFUNCTION("""COMPUTED_VALUE"""),0.0)</f>
        <v>0</v>
      </c>
      <c r="T200" s="12">
        <f>IFERROR(__xludf.DUMMYFUNCTION("""COMPUTED_VALUE"""),1.05E7)</f>
        <v>10500000</v>
      </c>
      <c r="U200" s="13">
        <f>IFERROR(__xludf.DUMMYFUNCTION("""COMPUTED_VALUE"""),0.0)</f>
        <v>0</v>
      </c>
      <c r="V200" s="8" t="str">
        <f>IFERROR(__xludf.DUMMYFUNCTION("""COMPUTED_VALUE"""),"SP2D BPD")</f>
        <v>SP2D BPD</v>
      </c>
      <c r="W200" s="8"/>
      <c r="X200" s="8">
        <f t="shared" si="1"/>
        <v>4</v>
      </c>
      <c r="AA200" s="10"/>
    </row>
    <row r="201">
      <c r="A201" s="8" t="str">
        <f>IFERROR(__xludf.DUMMYFUNCTION("""COMPUTED_VALUE"""),"9973/JL/UTM/0424")</f>
        <v>9973/JL/UTM/0424</v>
      </c>
      <c r="B201" s="11">
        <f>IFERROR(__xludf.DUMMYFUNCTION("""COMPUTED_VALUE"""),45388.60575231482)</f>
        <v>45388.60575</v>
      </c>
      <c r="C201" s="8" t="str">
        <f>IFERROR(__xludf.DUMMYFUNCTION("""COMPUTED_VALUE"""),"PL0909")</f>
        <v>PL0909</v>
      </c>
      <c r="D201" s="8" t="str">
        <f>IFERROR(__xludf.DUMMYFUNCTION("""COMPUTED_VALUE"""),"BPSDM PROV.SULTENG")</f>
        <v>BPSDM PROV.SULTENG</v>
      </c>
      <c r="E201" s="8" t="str">
        <f>IFERROR(__xludf.DUMMYFUNCTION("""COMPUTED_VALUE"""),"JUFRY")</f>
        <v>JUFRY</v>
      </c>
      <c r="F201" s="8"/>
      <c r="G201" s="8"/>
      <c r="H201" s="8"/>
      <c r="I201" s="8"/>
      <c r="J201" s="8" t="str">
        <f>IFERROR(__xludf.DUMMYFUNCTION("""COMPUTED_VALUE"""),"PALU  ")</f>
        <v>PALU  </v>
      </c>
      <c r="K201" s="8" t="str">
        <f>IFERROR(__xludf.DUMMYFUNCTION("""COMPUTED_VALUE"""),"40417")</f>
        <v>40417</v>
      </c>
      <c r="L201" s="8" t="str">
        <f>IFERROR(__xludf.DUMMYFUNCTION("""COMPUTED_VALUE"""),"KURSI TUNGGU 4 SEAT (STAINLESS) KT-04")</f>
        <v>KURSI TUNGGU 4 SEAT (STAINLESS) KT-04</v>
      </c>
      <c r="M201" s="12">
        <f>IFERROR(__xludf.DUMMYFUNCTION("""COMPUTED_VALUE"""),4.0)</f>
        <v>4</v>
      </c>
      <c r="N201" s="8" t="str">
        <f>IFERROR(__xludf.DUMMYFUNCTION("""COMPUTED_VALUE"""),"UNIT")</f>
        <v>UNIT</v>
      </c>
      <c r="O201" s="13">
        <f>IFERROR(__xludf.DUMMYFUNCTION("""COMPUTED_VALUE"""),1650000.0)</f>
        <v>1650000</v>
      </c>
      <c r="P201" s="12">
        <f>IFERROR(__xludf.DUMMYFUNCTION("""COMPUTED_VALUE"""),5.835E7)</f>
        <v>58350000</v>
      </c>
      <c r="Q201" s="8"/>
      <c r="R201" s="8">
        <f>IFERROR(__xludf.DUMMYFUNCTION("""COMPUTED_VALUE"""),0.0)</f>
        <v>0</v>
      </c>
      <c r="S201" s="12">
        <f>IFERROR(__xludf.DUMMYFUNCTION("""COMPUTED_VALUE"""),0.0)</f>
        <v>0</v>
      </c>
      <c r="T201" s="12">
        <f>IFERROR(__xludf.DUMMYFUNCTION("""COMPUTED_VALUE"""),6600000.0)</f>
        <v>6600000</v>
      </c>
      <c r="U201" s="13">
        <f>IFERROR(__xludf.DUMMYFUNCTION("""COMPUTED_VALUE"""),0.0)</f>
        <v>0</v>
      </c>
      <c r="V201" s="8" t="str">
        <f>IFERROR(__xludf.DUMMYFUNCTION("""COMPUTED_VALUE"""),"SP2D BPD")</f>
        <v>SP2D BPD</v>
      </c>
      <c r="W201" s="8"/>
      <c r="X201" s="8">
        <f t="shared" si="1"/>
        <v>4</v>
      </c>
      <c r="AA201" s="10"/>
    </row>
    <row r="202">
      <c r="A202" s="8" t="str">
        <f>IFERROR(__xludf.DUMMYFUNCTION("""COMPUTED_VALUE"""),"9973/JL/UTM/0424")</f>
        <v>9973/JL/UTM/0424</v>
      </c>
      <c r="B202" s="11">
        <f>IFERROR(__xludf.DUMMYFUNCTION("""COMPUTED_VALUE"""),45388.60575231482)</f>
        <v>45388.60575</v>
      </c>
      <c r="C202" s="8" t="str">
        <f>IFERROR(__xludf.DUMMYFUNCTION("""COMPUTED_VALUE"""),"PL0909")</f>
        <v>PL0909</v>
      </c>
      <c r="D202" s="8" t="str">
        <f>IFERROR(__xludf.DUMMYFUNCTION("""COMPUTED_VALUE"""),"BPSDM PROV.SULTENG")</f>
        <v>BPSDM PROV.SULTENG</v>
      </c>
      <c r="E202" s="8" t="str">
        <f>IFERROR(__xludf.DUMMYFUNCTION("""COMPUTED_VALUE"""),"JUFRY")</f>
        <v>JUFRY</v>
      </c>
      <c r="F202" s="8"/>
      <c r="G202" s="8"/>
      <c r="H202" s="8"/>
      <c r="I202" s="8"/>
      <c r="J202" s="8" t="str">
        <f>IFERROR(__xludf.DUMMYFUNCTION("""COMPUTED_VALUE"""),"PALU  ")</f>
        <v>PALU  </v>
      </c>
      <c r="K202" s="8" t="str">
        <f>IFERROR(__xludf.DUMMYFUNCTION("""COMPUTED_VALUE"""),"706299")</f>
        <v>706299</v>
      </c>
      <c r="L202" s="8" t="str">
        <f>IFERROR(__xludf.DUMMYFUNCTION("""COMPUTED_VALUE"""),"TEMPAT SAMPAH RODA  120 L")</f>
        <v>TEMPAT SAMPAH RODA  120 L</v>
      </c>
      <c r="M202" s="12">
        <f>IFERROR(__xludf.DUMMYFUNCTION("""COMPUTED_VALUE"""),6.0)</f>
        <v>6</v>
      </c>
      <c r="N202" s="8" t="str">
        <f>IFERROR(__xludf.DUMMYFUNCTION("""COMPUTED_VALUE"""),"BH")</f>
        <v>BH</v>
      </c>
      <c r="O202" s="13">
        <f>IFERROR(__xludf.DUMMYFUNCTION("""COMPUTED_VALUE"""),950000.0)</f>
        <v>950000</v>
      </c>
      <c r="P202" s="12">
        <f>IFERROR(__xludf.DUMMYFUNCTION("""COMPUTED_VALUE"""),5.835E7)</f>
        <v>58350000</v>
      </c>
      <c r="Q202" s="8"/>
      <c r="R202" s="8">
        <f>IFERROR(__xludf.DUMMYFUNCTION("""COMPUTED_VALUE"""),0.0)</f>
        <v>0</v>
      </c>
      <c r="S202" s="12">
        <f>IFERROR(__xludf.DUMMYFUNCTION("""COMPUTED_VALUE"""),0.0)</f>
        <v>0</v>
      </c>
      <c r="T202" s="12">
        <f>IFERROR(__xludf.DUMMYFUNCTION("""COMPUTED_VALUE"""),5700000.0)</f>
        <v>5700000</v>
      </c>
      <c r="U202" s="13">
        <f>IFERROR(__xludf.DUMMYFUNCTION("""COMPUTED_VALUE"""),0.0)</f>
        <v>0</v>
      </c>
      <c r="V202" s="8" t="str">
        <f>IFERROR(__xludf.DUMMYFUNCTION("""COMPUTED_VALUE"""),"SP2D BPD")</f>
        <v>SP2D BPD</v>
      </c>
      <c r="W202" s="8"/>
      <c r="X202" s="8">
        <f t="shared" si="1"/>
        <v>4</v>
      </c>
      <c r="AA202" s="10"/>
    </row>
    <row r="203">
      <c r="A203" s="8" t="str">
        <f>IFERROR(__xludf.DUMMYFUNCTION("""COMPUTED_VALUE"""),"9974/JL/UTM/0424")</f>
        <v>9974/JL/UTM/0424</v>
      </c>
      <c r="B203" s="11">
        <f>IFERROR(__xludf.DUMMYFUNCTION("""COMPUTED_VALUE"""),45388.60710648148)</f>
        <v>45388.60711</v>
      </c>
      <c r="C203" s="8" t="str">
        <f>IFERROR(__xludf.DUMMYFUNCTION("""COMPUTED_VALUE"""),"PL0884")</f>
        <v>PL0884</v>
      </c>
      <c r="D203" s="8" t="str">
        <f>IFERROR(__xludf.DUMMYFUNCTION("""COMPUTED_VALUE"""),"BAPPEDA PROV.(P"" ILHAM)")</f>
        <v>BAPPEDA PROV.(P" ILHAM)</v>
      </c>
      <c r="E203" s="8" t="str">
        <f>IFERROR(__xludf.DUMMYFUNCTION("""COMPUTED_VALUE"""),"JUFRY")</f>
        <v>JUFRY</v>
      </c>
      <c r="F203" s="8"/>
      <c r="G203" s="8"/>
      <c r="H203" s="8"/>
      <c r="I203" s="8"/>
      <c r="J203" s="8" t="str">
        <f>IFERROR(__xludf.DUMMYFUNCTION("""COMPUTED_VALUE"""),"PALU  ")</f>
        <v>PALU  </v>
      </c>
      <c r="K203" s="8" t="str">
        <f>IFERROR(__xludf.DUMMYFUNCTION("""COMPUTED_VALUE"""),"20383")</f>
        <v>20383</v>
      </c>
      <c r="L203" s="8" t="str">
        <f>IFERROR(__xludf.DUMMYFUNCTION("""COMPUTED_VALUE"""),"BROTHER PITA MESIN KETIK LISTRIK 1030")</f>
        <v>BROTHER PITA MESIN KETIK LISTRIK 1030</v>
      </c>
      <c r="M203" s="12">
        <f>IFERROR(__xludf.DUMMYFUNCTION("""COMPUTED_VALUE"""),2.0)</f>
        <v>2</v>
      </c>
      <c r="N203" s="8" t="str">
        <f>IFERROR(__xludf.DUMMYFUNCTION("""COMPUTED_VALUE"""),"PCS")</f>
        <v>PCS</v>
      </c>
      <c r="O203" s="13">
        <f>IFERROR(__xludf.DUMMYFUNCTION("""COMPUTED_VALUE"""),50000.0)</f>
        <v>50000</v>
      </c>
      <c r="P203" s="12">
        <f>IFERROR(__xludf.DUMMYFUNCTION("""COMPUTED_VALUE"""),0.0)</f>
        <v>0</v>
      </c>
      <c r="Q203" s="8"/>
      <c r="R203" s="8">
        <f>IFERROR(__xludf.DUMMYFUNCTION("""COMPUTED_VALUE"""),0.0)</f>
        <v>0</v>
      </c>
      <c r="S203" s="12">
        <f>IFERROR(__xludf.DUMMYFUNCTION("""COMPUTED_VALUE"""),100000.0)</f>
        <v>100000</v>
      </c>
      <c r="T203" s="12">
        <f>IFERROR(__xludf.DUMMYFUNCTION("""COMPUTED_VALUE"""),100000.0)</f>
        <v>100000</v>
      </c>
      <c r="U203" s="13">
        <f>IFERROR(__xludf.DUMMYFUNCTION("""COMPUTED_VALUE"""),0.0)</f>
        <v>0</v>
      </c>
      <c r="V203" s="8"/>
      <c r="W203" s="8"/>
      <c r="X203" s="8">
        <f t="shared" si="1"/>
        <v>4</v>
      </c>
      <c r="AA203" s="10"/>
    </row>
    <row r="204">
      <c r="A204" s="8" t="str">
        <f>IFERROR(__xludf.DUMMYFUNCTION("""COMPUTED_VALUE"""),"9975/JL/UTM/0424")</f>
        <v>9975/JL/UTM/0424</v>
      </c>
      <c r="B204" s="11">
        <f>IFERROR(__xludf.DUMMYFUNCTION("""COMPUTED_VALUE"""),45397.71225694445)</f>
        <v>45397.71226</v>
      </c>
      <c r="C204" s="8" t="str">
        <f>IFERROR(__xludf.DUMMYFUNCTION("""COMPUTED_VALUE"""),"UMUM")</f>
        <v>UMUM</v>
      </c>
      <c r="D204" s="8" t="str">
        <f>IFERROR(__xludf.DUMMYFUNCTION("""COMPUTED_VALUE"""),"UMUM")</f>
        <v>UMUM</v>
      </c>
      <c r="E204" s="8" t="str">
        <f>IFERROR(__xludf.DUMMYFUNCTION("""COMPUTED_VALUE"""),"JUFRY")</f>
        <v>JUFRY</v>
      </c>
      <c r="F204" s="8"/>
      <c r="G204" s="8"/>
      <c r="H204" s="8"/>
      <c r="I204" s="8"/>
      <c r="J204" s="8" t="str">
        <f>IFERROR(__xludf.DUMMYFUNCTION("""COMPUTED_VALUE"""),"  ")</f>
        <v>  </v>
      </c>
      <c r="K204" s="8" t="str">
        <f>IFERROR(__xludf.DUMMYFUNCTION("""COMPUTED_VALUE"""),"40624")</f>
        <v>40624</v>
      </c>
      <c r="L204" s="8" t="str">
        <f>IFERROR(__xludf.DUMMYFUNCTION("""COMPUTED_VALUE"""),"BRIGHT OFFICE LAMINATING FGK-330")</f>
        <v>BRIGHT OFFICE LAMINATING FGK-330</v>
      </c>
      <c r="M204" s="12">
        <f>IFERROR(__xludf.DUMMYFUNCTION("""COMPUTED_VALUE"""),1.0)</f>
        <v>1</v>
      </c>
      <c r="N204" s="8" t="str">
        <f>IFERROR(__xludf.DUMMYFUNCTION("""COMPUTED_VALUE"""),"UNIT")</f>
        <v>UNIT</v>
      </c>
      <c r="O204" s="13">
        <f>IFERROR(__xludf.DUMMYFUNCTION("""COMPUTED_VALUE"""),950000.0)</f>
        <v>950000</v>
      </c>
      <c r="P204" s="12">
        <f>IFERROR(__xludf.DUMMYFUNCTION("""COMPUTED_VALUE"""),930000.0)</f>
        <v>930000</v>
      </c>
      <c r="Q204" s="8"/>
      <c r="R204" s="8">
        <f>IFERROR(__xludf.DUMMYFUNCTION("""COMPUTED_VALUE"""),0.0)</f>
        <v>0</v>
      </c>
      <c r="S204" s="12">
        <f>IFERROR(__xludf.DUMMYFUNCTION("""COMPUTED_VALUE"""),0.0)</f>
        <v>0</v>
      </c>
      <c r="T204" s="12">
        <f>IFERROR(__xludf.DUMMYFUNCTION("""COMPUTED_VALUE"""),950000.0)</f>
        <v>950000</v>
      </c>
      <c r="U204" s="13">
        <f>IFERROR(__xludf.DUMMYFUNCTION("""COMPUTED_VALUE"""),2.1052631579)</f>
        <v>2.105263158</v>
      </c>
      <c r="V204" s="8" t="str">
        <f>IFERROR(__xludf.DUMMYFUNCTION("""COMPUTED_VALUE"""),"EDC BRI")</f>
        <v>EDC BRI</v>
      </c>
      <c r="W204" s="8"/>
      <c r="X204" s="8">
        <f t="shared" si="1"/>
        <v>4</v>
      </c>
      <c r="AA204" s="10"/>
    </row>
    <row r="205">
      <c r="A205" s="8" t="str">
        <f>IFERROR(__xludf.DUMMYFUNCTION("""COMPUTED_VALUE"""),"9976/JL/UTM/0424")</f>
        <v>9976/JL/UTM/0424</v>
      </c>
      <c r="B205" s="11">
        <f>IFERROR(__xludf.DUMMYFUNCTION("""COMPUTED_VALUE"""),45397.71304398148)</f>
        <v>45397.71304</v>
      </c>
      <c r="C205" s="8" t="str">
        <f>IFERROR(__xludf.DUMMYFUNCTION("""COMPUTED_VALUE"""),"UMUM")</f>
        <v>UMUM</v>
      </c>
      <c r="D205" s="8" t="str">
        <f>IFERROR(__xludf.DUMMYFUNCTION("""COMPUTED_VALUE"""),"UMUM")</f>
        <v>UMUM</v>
      </c>
      <c r="E205" s="8" t="str">
        <f>IFERROR(__xludf.DUMMYFUNCTION("""COMPUTED_VALUE"""),"JUFRY")</f>
        <v>JUFRY</v>
      </c>
      <c r="F205" s="8"/>
      <c r="G205" s="8"/>
      <c r="H205" s="8"/>
      <c r="I205" s="8"/>
      <c r="J205" s="8" t="str">
        <f>IFERROR(__xludf.DUMMYFUNCTION("""COMPUTED_VALUE"""),"  ")</f>
        <v>  </v>
      </c>
      <c r="K205" s="8" t="str">
        <f>IFERROR(__xludf.DUMMYFUNCTION("""COMPUTED_VALUE"""),"706119")</f>
        <v>706119</v>
      </c>
      <c r="L205" s="8" t="str">
        <f>IFERROR(__xludf.DUMMYFUNCTION("""COMPUTED_VALUE"""),"KINGCO WHITE BOARD 60 X 120")</f>
        <v>KINGCO WHITE BOARD 60 X 120</v>
      </c>
      <c r="M205" s="12">
        <f>IFERROR(__xludf.DUMMYFUNCTION("""COMPUTED_VALUE"""),1.0)</f>
        <v>1</v>
      </c>
      <c r="N205" s="8" t="str">
        <f>IFERROR(__xludf.DUMMYFUNCTION("""COMPUTED_VALUE"""),"BH")</f>
        <v>BH</v>
      </c>
      <c r="O205" s="13">
        <f>IFERROR(__xludf.DUMMYFUNCTION("""COMPUTED_VALUE"""),175000.0)</f>
        <v>175000</v>
      </c>
      <c r="P205" s="12">
        <f>IFERROR(__xludf.DUMMYFUNCTION("""COMPUTED_VALUE"""),175000.0)</f>
        <v>175000</v>
      </c>
      <c r="Q205" s="8"/>
      <c r="R205" s="8">
        <f>IFERROR(__xludf.DUMMYFUNCTION("""COMPUTED_VALUE"""),0.0)</f>
        <v>0</v>
      </c>
      <c r="S205" s="12">
        <f>IFERROR(__xludf.DUMMYFUNCTION("""COMPUTED_VALUE"""),0.0)</f>
        <v>0</v>
      </c>
      <c r="T205" s="12">
        <f>IFERROR(__xludf.DUMMYFUNCTION("""COMPUTED_VALUE"""),175000.0)</f>
        <v>175000</v>
      </c>
      <c r="U205" s="13">
        <f>IFERROR(__xludf.DUMMYFUNCTION("""COMPUTED_VALUE"""),0.0)</f>
        <v>0</v>
      </c>
      <c r="V205" s="8"/>
      <c r="W205" s="8"/>
      <c r="X205" s="8">
        <f t="shared" si="1"/>
        <v>4</v>
      </c>
      <c r="AA205" s="10"/>
    </row>
    <row r="206">
      <c r="A206" s="8" t="str">
        <f>IFERROR(__xludf.DUMMYFUNCTION("""COMPUTED_VALUE"""),"9977/JL/UTM/0424")</f>
        <v>9977/JL/UTM/0424</v>
      </c>
      <c r="B206" s="11">
        <f>IFERROR(__xludf.DUMMYFUNCTION("""COMPUTED_VALUE"""),45399.715960648144)</f>
        <v>45399.71596</v>
      </c>
      <c r="C206" s="8" t="str">
        <f>IFERROR(__xludf.DUMMYFUNCTION("""COMPUTED_VALUE"""),"522")</f>
        <v>522</v>
      </c>
      <c r="D206" s="8" t="str">
        <f>IFERROR(__xludf.DUMMYFUNCTION("""COMPUTED_VALUE"""),"PT. PALU AGRO LESTARI")</f>
        <v>PT. PALU AGRO LESTARI</v>
      </c>
      <c r="E206" s="8" t="str">
        <f>IFERROR(__xludf.DUMMYFUNCTION("""COMPUTED_VALUE"""),"JUFRY")</f>
        <v>JUFRY</v>
      </c>
      <c r="F206" s="8"/>
      <c r="G206" s="8"/>
      <c r="H206" s="8"/>
      <c r="I206" s="8"/>
      <c r="J206" s="8" t="str">
        <f>IFERROR(__xludf.DUMMYFUNCTION("""COMPUTED_VALUE"""),"  ")</f>
        <v>  </v>
      </c>
      <c r="K206" s="8" t="str">
        <f>IFERROR(__xludf.DUMMYFUNCTION("""COMPUTED_VALUE"""),"706274")</f>
        <v>706274</v>
      </c>
      <c r="L206" s="8" t="str">
        <f>IFERROR(__xludf.DUMMYFUNCTION("""COMPUTED_VALUE"""),"SECURE PAPER SHREDDER AUTO60")</f>
        <v>SECURE PAPER SHREDDER AUTO60</v>
      </c>
      <c r="M206" s="12">
        <f>IFERROR(__xludf.DUMMYFUNCTION("""COMPUTED_VALUE"""),1.0)</f>
        <v>1</v>
      </c>
      <c r="N206" s="8" t="str">
        <f>IFERROR(__xludf.DUMMYFUNCTION("""COMPUTED_VALUE"""),"BH")</f>
        <v>BH</v>
      </c>
      <c r="O206" s="13">
        <f>IFERROR(__xludf.DUMMYFUNCTION("""COMPUTED_VALUE"""),2750000.0)</f>
        <v>2750000</v>
      </c>
      <c r="P206" s="12">
        <f>IFERROR(__xludf.DUMMYFUNCTION("""COMPUTED_VALUE"""),0.0)</f>
        <v>0</v>
      </c>
      <c r="Q206" s="8"/>
      <c r="R206" s="8">
        <f>IFERROR(__xludf.DUMMYFUNCTION("""COMPUTED_VALUE"""),0.0)</f>
        <v>0</v>
      </c>
      <c r="S206" s="12">
        <f>IFERROR(__xludf.DUMMYFUNCTION("""COMPUTED_VALUE"""),2750000.0)</f>
        <v>2750000</v>
      </c>
      <c r="T206" s="12">
        <f>IFERROR(__xludf.DUMMYFUNCTION("""COMPUTED_VALUE"""),2750000.0)</f>
        <v>2750000</v>
      </c>
      <c r="U206" s="13">
        <f>IFERROR(__xludf.DUMMYFUNCTION("""COMPUTED_VALUE"""),0.0)</f>
        <v>0</v>
      </c>
      <c r="V206" s="8"/>
      <c r="W206" s="8"/>
      <c r="X206" s="8">
        <f t="shared" si="1"/>
        <v>4</v>
      </c>
      <c r="AA206" s="10"/>
    </row>
    <row r="207">
      <c r="A207" s="8" t="str">
        <f>IFERROR(__xludf.DUMMYFUNCTION("""COMPUTED_VALUE"""),"9978/JL/UTM/0424")</f>
        <v>9978/JL/UTM/0424</v>
      </c>
      <c r="B207" s="11">
        <f>IFERROR(__xludf.DUMMYFUNCTION("""COMPUTED_VALUE"""),45399.716840277775)</f>
        <v>45399.71684</v>
      </c>
      <c r="C207" s="8" t="str">
        <f>IFERROR(__xludf.DUMMYFUNCTION("""COMPUTED_VALUE"""),"PL0928")</f>
        <v>PL0928</v>
      </c>
      <c r="D207" s="8" t="str">
        <f>IFERROR(__xludf.DUMMYFUNCTION("""COMPUTED_VALUE"""),"PT. AKM")</f>
        <v>PT. AKM</v>
      </c>
      <c r="E207" s="8" t="str">
        <f>IFERROR(__xludf.DUMMYFUNCTION("""COMPUTED_VALUE"""),"JUFRY")</f>
        <v>JUFRY</v>
      </c>
      <c r="F207" s="8"/>
      <c r="G207" s="8"/>
      <c r="H207" s="8"/>
      <c r="I207" s="8"/>
      <c r="J207" s="8" t="str">
        <f>IFERROR(__xludf.DUMMYFUNCTION("""COMPUTED_VALUE"""),"Palu  ")</f>
        <v>Palu  </v>
      </c>
      <c r="K207" s="8" t="str">
        <f>IFERROR(__xludf.DUMMYFUNCTION("""COMPUTED_VALUE"""),"606071")</f>
        <v>606071</v>
      </c>
      <c r="L207" s="8" t="str">
        <f>IFERROR(__xludf.DUMMYFUNCTION("""COMPUTED_VALUE"""),"KINGCO WHITEBOARD 90X120")</f>
        <v>KINGCO WHITEBOARD 90X120</v>
      </c>
      <c r="M207" s="12">
        <f>IFERROR(__xludf.DUMMYFUNCTION("""COMPUTED_VALUE"""),1.0)</f>
        <v>1</v>
      </c>
      <c r="N207" s="8" t="str">
        <f>IFERROR(__xludf.DUMMYFUNCTION("""COMPUTED_VALUE"""),"BH")</f>
        <v>BH</v>
      </c>
      <c r="O207" s="13">
        <f>IFERROR(__xludf.DUMMYFUNCTION("""COMPUTED_VALUE"""),250000.0)</f>
        <v>250000</v>
      </c>
      <c r="P207" s="12">
        <f>IFERROR(__xludf.DUMMYFUNCTION("""COMPUTED_VALUE"""),0.0)</f>
        <v>0</v>
      </c>
      <c r="Q207" s="8"/>
      <c r="R207" s="8">
        <f>IFERROR(__xludf.DUMMYFUNCTION("""COMPUTED_VALUE"""),0.0)</f>
        <v>0</v>
      </c>
      <c r="S207" s="12">
        <f>IFERROR(__xludf.DUMMYFUNCTION("""COMPUTED_VALUE"""),250000.0)</f>
        <v>250000</v>
      </c>
      <c r="T207" s="12">
        <f>IFERROR(__xludf.DUMMYFUNCTION("""COMPUTED_VALUE"""),250000.0)</f>
        <v>250000</v>
      </c>
      <c r="U207" s="13">
        <f>IFERROR(__xludf.DUMMYFUNCTION("""COMPUTED_VALUE"""),0.0)</f>
        <v>0</v>
      </c>
      <c r="V207" s="8"/>
      <c r="W207" s="8"/>
      <c r="X207" s="8">
        <f t="shared" si="1"/>
        <v>4</v>
      </c>
      <c r="AA207" s="10"/>
    </row>
    <row r="208">
      <c r="A208" s="8" t="str">
        <f>IFERROR(__xludf.DUMMYFUNCTION("""COMPUTED_VALUE"""),"9979/JL/UTM/0424")</f>
        <v>9979/JL/UTM/0424</v>
      </c>
      <c r="B208" s="11">
        <f>IFERROR(__xludf.DUMMYFUNCTION("""COMPUTED_VALUE"""),45399.71774305556)</f>
        <v>45399.71774</v>
      </c>
      <c r="C208" s="8" t="str">
        <f>IFERROR(__xludf.DUMMYFUNCTION("""COMPUTED_VALUE"""),"646")</f>
        <v>646</v>
      </c>
      <c r="D208" s="8" t="str">
        <f>IFERROR(__xludf.DUMMYFUNCTION("""COMPUTED_VALUE"""),"BAPPEDA R.M (EMMA)")</f>
        <v>BAPPEDA R.M (EMMA)</v>
      </c>
      <c r="E208" s="8" t="str">
        <f>IFERROR(__xludf.DUMMYFUNCTION("""COMPUTED_VALUE"""),"JUFRY")</f>
        <v>JUFRY</v>
      </c>
      <c r="F208" s="8"/>
      <c r="G208" s="8"/>
      <c r="H208" s="8"/>
      <c r="I208" s="8"/>
      <c r="J208" s="8" t="str">
        <f>IFERROR(__xludf.DUMMYFUNCTION("""COMPUTED_VALUE"""),"  ")</f>
        <v>  </v>
      </c>
      <c r="K208" s="8" t="str">
        <f>IFERROR(__xludf.DUMMYFUNCTION("""COMPUTED_VALUE"""),"706187")</f>
        <v>706187</v>
      </c>
      <c r="L208" s="8" t="str">
        <f>IFERROR(__xludf.DUMMYFUNCTION("""COMPUTED_VALUE"""),"KINGCO WHITE BOARD 50 X 70 CM")</f>
        <v>KINGCO WHITE BOARD 50 X 70 CM</v>
      </c>
      <c r="M208" s="12">
        <f>IFERROR(__xludf.DUMMYFUNCTION("""COMPUTED_VALUE"""),1.0)</f>
        <v>1</v>
      </c>
      <c r="N208" s="8" t="str">
        <f>IFERROR(__xludf.DUMMYFUNCTION("""COMPUTED_VALUE"""),"BH")</f>
        <v>BH</v>
      </c>
      <c r="O208" s="13">
        <f>IFERROR(__xludf.DUMMYFUNCTION("""COMPUTED_VALUE"""),100000.0)</f>
        <v>100000</v>
      </c>
      <c r="P208" s="12">
        <f>IFERROR(__xludf.DUMMYFUNCTION("""COMPUTED_VALUE"""),0.0)</f>
        <v>0</v>
      </c>
      <c r="Q208" s="8"/>
      <c r="R208" s="8">
        <f>IFERROR(__xludf.DUMMYFUNCTION("""COMPUTED_VALUE"""),0.0)</f>
        <v>0</v>
      </c>
      <c r="S208" s="12">
        <f>IFERROR(__xludf.DUMMYFUNCTION("""COMPUTED_VALUE"""),100000.0)</f>
        <v>100000</v>
      </c>
      <c r="T208" s="12">
        <f>IFERROR(__xludf.DUMMYFUNCTION("""COMPUTED_VALUE"""),100000.0)</f>
        <v>100000</v>
      </c>
      <c r="U208" s="13">
        <f>IFERROR(__xludf.DUMMYFUNCTION("""COMPUTED_VALUE"""),0.0)</f>
        <v>0</v>
      </c>
      <c r="V208" s="8"/>
      <c r="W208" s="8"/>
      <c r="X208" s="8">
        <f t="shared" si="1"/>
        <v>4</v>
      </c>
      <c r="AA208" s="10"/>
    </row>
    <row r="209">
      <c r="A209" s="8" t="str">
        <f>IFERROR(__xludf.DUMMYFUNCTION("""COMPUTED_VALUE"""),"9980/JL/UTM/0424")</f>
        <v>9980/JL/UTM/0424</v>
      </c>
      <c r="B209" s="11">
        <f>IFERROR(__xludf.DUMMYFUNCTION("""COMPUTED_VALUE"""),45400.63354166667)</f>
        <v>45400.63354</v>
      </c>
      <c r="C209" s="8" t="str">
        <f>IFERROR(__xludf.DUMMYFUNCTION("""COMPUTED_VALUE"""),"PL0914")</f>
        <v>PL0914</v>
      </c>
      <c r="D209" s="8" t="str">
        <f>IFERROR(__xludf.DUMMYFUNCTION("""COMPUTED_VALUE"""),"BPR MODERN EXPRESS")</f>
        <v>BPR MODERN EXPRESS</v>
      </c>
      <c r="E209" s="8" t="str">
        <f>IFERROR(__xludf.DUMMYFUNCTION("""COMPUTED_VALUE"""),"JUFRY")</f>
        <v>JUFRY</v>
      </c>
      <c r="F209" s="8"/>
      <c r="G209" s="8"/>
      <c r="H209" s="8"/>
      <c r="I209" s="8"/>
      <c r="J209" s="8" t="str">
        <f>IFERROR(__xludf.DUMMYFUNCTION("""COMPUTED_VALUE"""),"PALU  ")</f>
        <v>PALU  </v>
      </c>
      <c r="K209" s="8" t="str">
        <f>IFERROR(__xludf.DUMMYFUNCTION("""COMPUTED_VALUE"""),"20054")</f>
        <v>20054</v>
      </c>
      <c r="L209" s="8" t="str">
        <f>IFERROR(__xludf.DUMMYFUNCTION("""COMPUTED_VALUE"""),"BROTHER FILING CABINET 4 LACI B104")</f>
        <v>BROTHER FILING CABINET 4 LACI B104</v>
      </c>
      <c r="M209" s="12">
        <f>IFERROR(__xludf.DUMMYFUNCTION("""COMPUTED_VALUE"""),10.0)</f>
        <v>10</v>
      </c>
      <c r="N209" s="8" t="str">
        <f>IFERROR(__xludf.DUMMYFUNCTION("""COMPUTED_VALUE"""),"UNIT")</f>
        <v>UNIT</v>
      </c>
      <c r="O209" s="13">
        <f>IFERROR(__xludf.DUMMYFUNCTION("""COMPUTED_VALUE"""),2690000.0)</f>
        <v>2690000</v>
      </c>
      <c r="P209" s="12">
        <f>IFERROR(__xludf.DUMMYFUNCTION("""COMPUTED_VALUE"""),2.5E7)</f>
        <v>25000000</v>
      </c>
      <c r="Q209" s="8"/>
      <c r="R209" s="8">
        <f>IFERROR(__xludf.DUMMYFUNCTION("""COMPUTED_VALUE"""),0.0)</f>
        <v>0</v>
      </c>
      <c r="S209" s="12">
        <f>IFERROR(__xludf.DUMMYFUNCTION("""COMPUTED_VALUE"""),0.0)</f>
        <v>0</v>
      </c>
      <c r="T209" s="12">
        <f>IFERROR(__xludf.DUMMYFUNCTION("""COMPUTED_VALUE"""),2.69E7)</f>
        <v>26900000</v>
      </c>
      <c r="U209" s="13">
        <f>IFERROR(__xludf.DUMMYFUNCTION("""COMPUTED_VALUE"""),7.063197026)</f>
        <v>7.063197026</v>
      </c>
      <c r="V209" s="8"/>
      <c r="W209" s="8"/>
      <c r="X209" s="8">
        <f t="shared" si="1"/>
        <v>4</v>
      </c>
      <c r="AA209" s="10"/>
    </row>
    <row r="210">
      <c r="A210" s="8" t="str">
        <f>IFERROR(__xludf.DUMMYFUNCTION("""COMPUTED_VALUE"""),"9981/JL/UTM/0424")</f>
        <v>9981/JL/UTM/0424</v>
      </c>
      <c r="B210" s="11">
        <f>IFERROR(__xludf.DUMMYFUNCTION("""COMPUTED_VALUE"""),45400.63438657408)</f>
        <v>45400.63439</v>
      </c>
      <c r="C210" s="8" t="str">
        <f>IFERROR(__xludf.DUMMYFUNCTION("""COMPUTED_VALUE"""),"UMUM")</f>
        <v>UMUM</v>
      </c>
      <c r="D210" s="8" t="str">
        <f>IFERROR(__xludf.DUMMYFUNCTION("""COMPUTED_VALUE"""),"UMUM")</f>
        <v>UMUM</v>
      </c>
      <c r="E210" s="8" t="str">
        <f>IFERROR(__xludf.DUMMYFUNCTION("""COMPUTED_VALUE"""),"JUFRY")</f>
        <v>JUFRY</v>
      </c>
      <c r="F210" s="8"/>
      <c r="G210" s="8"/>
      <c r="H210" s="8"/>
      <c r="I210" s="8"/>
      <c r="J210" s="8" t="str">
        <f>IFERROR(__xludf.DUMMYFUNCTION("""COMPUTED_VALUE"""),"  ")</f>
        <v>  </v>
      </c>
      <c r="K210" s="8" t="str">
        <f>IFERROR(__xludf.DUMMYFUNCTION("""COMPUTED_VALUE"""),"40332")</f>
        <v>40332</v>
      </c>
      <c r="L210" s="8" t="str">
        <f>IFERROR(__xludf.DUMMYFUNCTION("""COMPUTED_VALUE"""),"V-TEC CASH BOX 867")</f>
        <v>V-TEC CASH BOX 867</v>
      </c>
      <c r="M210" s="12">
        <f>IFERROR(__xludf.DUMMYFUNCTION("""COMPUTED_VALUE"""),1.0)</f>
        <v>1</v>
      </c>
      <c r="N210" s="8" t="str">
        <f>IFERROR(__xludf.DUMMYFUNCTION("""COMPUTED_VALUE"""),"BH")</f>
        <v>BH</v>
      </c>
      <c r="O210" s="13">
        <f>IFERROR(__xludf.DUMMYFUNCTION("""COMPUTED_VALUE"""),600000.0)</f>
        <v>600000</v>
      </c>
      <c r="P210" s="12">
        <f>IFERROR(__xludf.DUMMYFUNCTION("""COMPUTED_VALUE"""),570000.0)</f>
        <v>570000</v>
      </c>
      <c r="Q210" s="8"/>
      <c r="R210" s="8">
        <f>IFERROR(__xludf.DUMMYFUNCTION("""COMPUTED_VALUE"""),0.0)</f>
        <v>0</v>
      </c>
      <c r="S210" s="12">
        <f>IFERROR(__xludf.DUMMYFUNCTION("""COMPUTED_VALUE"""),0.0)</f>
        <v>0</v>
      </c>
      <c r="T210" s="12">
        <f>IFERROR(__xludf.DUMMYFUNCTION("""COMPUTED_VALUE"""),570000.0)</f>
        <v>570000</v>
      </c>
      <c r="U210" s="13">
        <f>IFERROR(__xludf.DUMMYFUNCTION("""COMPUTED_VALUE"""),0.0)</f>
        <v>0</v>
      </c>
      <c r="V210" s="8"/>
      <c r="W210" s="8"/>
      <c r="X210" s="8">
        <f t="shared" si="1"/>
        <v>4</v>
      </c>
      <c r="AA210" s="10"/>
    </row>
    <row r="211">
      <c r="A211" s="8" t="str">
        <f>IFERROR(__xludf.DUMMYFUNCTION("""COMPUTED_VALUE"""),"9982/JL/UTM/0424")</f>
        <v>9982/JL/UTM/0424</v>
      </c>
      <c r="B211" s="11">
        <f>IFERROR(__xludf.DUMMYFUNCTION("""COMPUTED_VALUE"""),45400.745671296296)</f>
        <v>45400.74567</v>
      </c>
      <c r="C211" s="8" t="str">
        <f>IFERROR(__xludf.DUMMYFUNCTION("""COMPUTED_VALUE"""),"PL0928")</f>
        <v>PL0928</v>
      </c>
      <c r="D211" s="8" t="str">
        <f>IFERROR(__xludf.DUMMYFUNCTION("""COMPUTED_VALUE"""),"PT. AKM")</f>
        <v>PT. AKM</v>
      </c>
      <c r="E211" s="8" t="str">
        <f>IFERROR(__xludf.DUMMYFUNCTION("""COMPUTED_VALUE"""),"JUFRY")</f>
        <v>JUFRY</v>
      </c>
      <c r="F211" s="8"/>
      <c r="G211" s="8"/>
      <c r="H211" s="8"/>
      <c r="I211" s="8"/>
      <c r="J211" s="8" t="str">
        <f>IFERROR(__xludf.DUMMYFUNCTION("""COMPUTED_VALUE"""),"Palu  ")</f>
        <v>Palu  </v>
      </c>
      <c r="K211" s="8" t="str">
        <f>IFERROR(__xludf.DUMMYFUNCTION("""COMPUTED_VALUE"""),"606071")</f>
        <v>606071</v>
      </c>
      <c r="L211" s="8" t="str">
        <f>IFERROR(__xludf.DUMMYFUNCTION("""COMPUTED_VALUE"""),"KINGCO WHITEBOARD 90X120")</f>
        <v>KINGCO WHITEBOARD 90X120</v>
      </c>
      <c r="M211" s="12">
        <f>IFERROR(__xludf.DUMMYFUNCTION("""COMPUTED_VALUE"""),2.0)</f>
        <v>2</v>
      </c>
      <c r="N211" s="8" t="str">
        <f>IFERROR(__xludf.DUMMYFUNCTION("""COMPUTED_VALUE"""),"BH")</f>
        <v>BH</v>
      </c>
      <c r="O211" s="13">
        <f>IFERROR(__xludf.DUMMYFUNCTION("""COMPUTED_VALUE"""),250000.0)</f>
        <v>250000</v>
      </c>
      <c r="P211" s="12">
        <f>IFERROR(__xludf.DUMMYFUNCTION("""COMPUTED_VALUE"""),0.0)</f>
        <v>0</v>
      </c>
      <c r="Q211" s="8"/>
      <c r="R211" s="8">
        <f>IFERROR(__xludf.DUMMYFUNCTION("""COMPUTED_VALUE"""),0.0)</f>
        <v>0</v>
      </c>
      <c r="S211" s="12">
        <f>IFERROR(__xludf.DUMMYFUNCTION("""COMPUTED_VALUE"""),500000.0)</f>
        <v>500000</v>
      </c>
      <c r="T211" s="12">
        <f>IFERROR(__xludf.DUMMYFUNCTION("""COMPUTED_VALUE"""),500000.0)</f>
        <v>500000</v>
      </c>
      <c r="U211" s="13">
        <f>IFERROR(__xludf.DUMMYFUNCTION("""COMPUTED_VALUE"""),0.0)</f>
        <v>0</v>
      </c>
      <c r="V211" s="8"/>
      <c r="W211" s="8"/>
      <c r="X211" s="8">
        <f t="shared" si="1"/>
        <v>4</v>
      </c>
      <c r="AA211" s="10"/>
    </row>
    <row r="212">
      <c r="A212" s="8" t="str">
        <f>IFERROR(__xludf.DUMMYFUNCTION("""COMPUTED_VALUE"""),"9983/JL/UTM/0424")</f>
        <v>9983/JL/UTM/0424</v>
      </c>
      <c r="B212" s="11">
        <f>IFERROR(__xludf.DUMMYFUNCTION("""COMPUTED_VALUE"""),45401.71842592592)</f>
        <v>45401.71843</v>
      </c>
      <c r="C212" s="8" t="str">
        <f>IFERROR(__xludf.DUMMYFUNCTION("""COMPUTED_VALUE"""),"UMUM")</f>
        <v>UMUM</v>
      </c>
      <c r="D212" s="8" t="str">
        <f>IFERROR(__xludf.DUMMYFUNCTION("""COMPUTED_VALUE"""),"UMUM")</f>
        <v>UMUM</v>
      </c>
      <c r="E212" s="8" t="str">
        <f>IFERROR(__xludf.DUMMYFUNCTION("""COMPUTED_VALUE"""),"JUFRY")</f>
        <v>JUFRY</v>
      </c>
      <c r="F212" s="8"/>
      <c r="G212" s="8"/>
      <c r="H212" s="8"/>
      <c r="I212" s="8"/>
      <c r="J212" s="8" t="str">
        <f>IFERROR(__xludf.DUMMYFUNCTION("""COMPUTED_VALUE"""),"  ")</f>
        <v>  </v>
      </c>
      <c r="K212" s="8" t="str">
        <f>IFERROR(__xludf.DUMMYFUNCTION("""COMPUTED_VALUE"""),"40624")</f>
        <v>40624</v>
      </c>
      <c r="L212" s="8" t="str">
        <f>IFERROR(__xludf.DUMMYFUNCTION("""COMPUTED_VALUE"""),"BRIGHT OFFICE LAMINATING FGK-330")</f>
        <v>BRIGHT OFFICE LAMINATING FGK-330</v>
      </c>
      <c r="M212" s="12">
        <f>IFERROR(__xludf.DUMMYFUNCTION("""COMPUTED_VALUE"""),1.0)</f>
        <v>1</v>
      </c>
      <c r="N212" s="8" t="str">
        <f>IFERROR(__xludf.DUMMYFUNCTION("""COMPUTED_VALUE"""),"UNIT")</f>
        <v>UNIT</v>
      </c>
      <c r="O212" s="13">
        <f>IFERROR(__xludf.DUMMYFUNCTION("""COMPUTED_VALUE"""),950000.0)</f>
        <v>950000</v>
      </c>
      <c r="P212" s="12">
        <f>IFERROR(__xludf.DUMMYFUNCTION("""COMPUTED_VALUE"""),950000.0)</f>
        <v>950000</v>
      </c>
      <c r="Q212" s="8"/>
      <c r="R212" s="8">
        <f>IFERROR(__xludf.DUMMYFUNCTION("""COMPUTED_VALUE"""),0.0)</f>
        <v>0</v>
      </c>
      <c r="S212" s="12">
        <f>IFERROR(__xludf.DUMMYFUNCTION("""COMPUTED_VALUE"""),0.0)</f>
        <v>0</v>
      </c>
      <c r="T212" s="12">
        <f>IFERROR(__xludf.DUMMYFUNCTION("""COMPUTED_VALUE"""),950000.0)</f>
        <v>950000</v>
      </c>
      <c r="U212" s="13">
        <f>IFERROR(__xludf.DUMMYFUNCTION("""COMPUTED_VALUE"""),0.0)</f>
        <v>0</v>
      </c>
      <c r="V212" s="8" t="str">
        <f>IFERROR(__xludf.DUMMYFUNCTION("""COMPUTED_VALUE"""),"QRIS")</f>
        <v>QRIS</v>
      </c>
      <c r="W212" s="8"/>
      <c r="X212" s="8">
        <f t="shared" si="1"/>
        <v>4</v>
      </c>
      <c r="AA212" s="10"/>
    </row>
    <row r="213">
      <c r="A213" s="8" t="str">
        <f>IFERROR(__xludf.DUMMYFUNCTION("""COMPUTED_VALUE"""),"9984/JL/UTM/0424")</f>
        <v>9984/JL/UTM/0424</v>
      </c>
      <c r="B213" s="11">
        <f>IFERROR(__xludf.DUMMYFUNCTION("""COMPUTED_VALUE"""),45401.71962962963)</f>
        <v>45401.71963</v>
      </c>
      <c r="C213" s="8" t="str">
        <f>IFERROR(__xludf.DUMMYFUNCTION("""COMPUTED_VALUE"""),"UMUM")</f>
        <v>UMUM</v>
      </c>
      <c r="D213" s="8" t="str">
        <f>IFERROR(__xludf.DUMMYFUNCTION("""COMPUTED_VALUE"""),"UMUM")</f>
        <v>UMUM</v>
      </c>
      <c r="E213" s="8" t="str">
        <f>IFERROR(__xludf.DUMMYFUNCTION("""COMPUTED_VALUE"""),"JUFRY")</f>
        <v>JUFRY</v>
      </c>
      <c r="F213" s="8"/>
      <c r="G213" s="8"/>
      <c r="H213" s="8"/>
      <c r="I213" s="8"/>
      <c r="J213" s="8" t="str">
        <f>IFERROR(__xludf.DUMMYFUNCTION("""COMPUTED_VALUE"""),"  ")</f>
        <v>  </v>
      </c>
      <c r="K213" s="8" t="str">
        <f>IFERROR(__xludf.DUMMYFUNCTION("""COMPUTED_VALUE"""),"40359")</f>
        <v>40359</v>
      </c>
      <c r="L213" s="8" t="str">
        <f>IFERROR(__xludf.DUMMYFUNCTION("""COMPUTED_VALUE"""),"POP ONE WHITEBOARD 120X180")</f>
        <v>POP ONE WHITEBOARD 120X180</v>
      </c>
      <c r="M213" s="12">
        <f>IFERROR(__xludf.DUMMYFUNCTION("""COMPUTED_VALUE"""),1.0)</f>
        <v>1</v>
      </c>
      <c r="N213" s="8" t="str">
        <f>IFERROR(__xludf.DUMMYFUNCTION("""COMPUTED_VALUE"""),"BH")</f>
        <v>BH</v>
      </c>
      <c r="O213" s="13">
        <f>IFERROR(__xludf.DUMMYFUNCTION("""COMPUTED_VALUE"""),800000.0)</f>
        <v>800000</v>
      </c>
      <c r="P213" s="12">
        <f>IFERROR(__xludf.DUMMYFUNCTION("""COMPUTED_VALUE"""),750000.0)</f>
        <v>750000</v>
      </c>
      <c r="Q213" s="8"/>
      <c r="R213" s="8">
        <f>IFERROR(__xludf.DUMMYFUNCTION("""COMPUTED_VALUE"""),0.0)</f>
        <v>0</v>
      </c>
      <c r="S213" s="12">
        <f>IFERROR(__xludf.DUMMYFUNCTION("""COMPUTED_VALUE"""),0.0)</f>
        <v>0</v>
      </c>
      <c r="T213" s="12">
        <f>IFERROR(__xludf.DUMMYFUNCTION("""COMPUTED_VALUE"""),800000.0)</f>
        <v>800000</v>
      </c>
      <c r="U213" s="13">
        <f>IFERROR(__xludf.DUMMYFUNCTION("""COMPUTED_VALUE"""),6.25)</f>
        <v>6.25</v>
      </c>
      <c r="V213" s="8" t="str">
        <f>IFERROR(__xludf.DUMMYFUNCTION("""COMPUTED_VALUE"""),"TF. BRI LO KUI DJENG")</f>
        <v>TF. BRI LO KUI DJENG</v>
      </c>
      <c r="W213" s="8"/>
      <c r="X213" s="8">
        <f t="shared" si="1"/>
        <v>4</v>
      </c>
      <c r="AA213" s="10"/>
    </row>
    <row r="214">
      <c r="A214" s="8" t="str">
        <f>IFERROR(__xludf.DUMMYFUNCTION("""COMPUTED_VALUE"""),"9985/JL/UTM/0424")</f>
        <v>9985/JL/UTM/0424</v>
      </c>
      <c r="B214" s="11">
        <f>IFERROR(__xludf.DUMMYFUNCTION("""COMPUTED_VALUE"""),45401.72170138889)</f>
        <v>45401.7217</v>
      </c>
      <c r="C214" s="8" t="str">
        <f>IFERROR(__xludf.DUMMYFUNCTION("""COMPUTED_VALUE"""),"PL0932")</f>
        <v>PL0932</v>
      </c>
      <c r="D214" s="8" t="str">
        <f>IFERROR(__xludf.DUMMYFUNCTION("""COMPUTED_VALUE"""),"PT. MERANTI SARANA NIAGA")</f>
        <v>PT. MERANTI SARANA NIAGA</v>
      </c>
      <c r="E214" s="8" t="str">
        <f>IFERROR(__xludf.DUMMYFUNCTION("""COMPUTED_VALUE"""),"JUFRY")</f>
        <v>JUFRY</v>
      </c>
      <c r="F214" s="8"/>
      <c r="G214" s="8"/>
      <c r="H214" s="8"/>
      <c r="I214" s="8"/>
      <c r="J214" s="8" t="str">
        <f>IFERROR(__xludf.DUMMYFUNCTION("""COMPUTED_VALUE"""),"PALU  ")</f>
        <v>PALU  </v>
      </c>
      <c r="K214" s="8" t="str">
        <f>IFERROR(__xludf.DUMMYFUNCTION("""COMPUTED_VALUE"""),"606071")</f>
        <v>606071</v>
      </c>
      <c r="L214" s="8" t="str">
        <f>IFERROR(__xludf.DUMMYFUNCTION("""COMPUTED_VALUE"""),"KINGCO WHITEBOARD 90X120")</f>
        <v>KINGCO WHITEBOARD 90X120</v>
      </c>
      <c r="M214" s="12">
        <f>IFERROR(__xludf.DUMMYFUNCTION("""COMPUTED_VALUE"""),1.0)</f>
        <v>1</v>
      </c>
      <c r="N214" s="8" t="str">
        <f>IFERROR(__xludf.DUMMYFUNCTION("""COMPUTED_VALUE"""),"BH")</f>
        <v>BH</v>
      </c>
      <c r="O214" s="13">
        <f>IFERROR(__xludf.DUMMYFUNCTION("""COMPUTED_VALUE"""),250000.0)</f>
        <v>250000</v>
      </c>
      <c r="P214" s="12">
        <f>IFERROR(__xludf.DUMMYFUNCTION("""COMPUTED_VALUE"""),250000.0)</f>
        <v>250000</v>
      </c>
      <c r="Q214" s="8"/>
      <c r="R214" s="8">
        <f>IFERROR(__xludf.DUMMYFUNCTION("""COMPUTED_VALUE"""),0.0)</f>
        <v>0</v>
      </c>
      <c r="S214" s="12">
        <f>IFERROR(__xludf.DUMMYFUNCTION("""COMPUTED_VALUE"""),0.0)</f>
        <v>0</v>
      </c>
      <c r="T214" s="12">
        <f>IFERROR(__xludf.DUMMYFUNCTION("""COMPUTED_VALUE"""),250000.0)</f>
        <v>250000</v>
      </c>
      <c r="U214" s="13">
        <f>IFERROR(__xludf.DUMMYFUNCTION("""COMPUTED_VALUE"""),0.0)</f>
        <v>0</v>
      </c>
      <c r="V214" s="8" t="str">
        <f>IFERROR(__xludf.DUMMYFUNCTION("""COMPUTED_VALUE"""),"TF.BRI TOTAL 310.000 GABUNG ATK DAN PPN")</f>
        <v>TF.BRI TOTAL 310.000 GABUNG ATK DAN PPN</v>
      </c>
      <c r="W214" s="8"/>
      <c r="X214" s="8">
        <f t="shared" si="1"/>
        <v>4</v>
      </c>
      <c r="AA214" s="10"/>
    </row>
    <row r="215">
      <c r="A215" s="8" t="str">
        <f>IFERROR(__xludf.DUMMYFUNCTION("""COMPUTED_VALUE"""),"9986/JL/UTM/0424")</f>
        <v>9986/JL/UTM/0424</v>
      </c>
      <c r="B215" s="11">
        <f>IFERROR(__xludf.DUMMYFUNCTION("""COMPUTED_VALUE"""),45404.60912037037)</f>
        <v>45404.60912</v>
      </c>
      <c r="C215" s="8" t="str">
        <f>IFERROR(__xludf.DUMMYFUNCTION("""COMPUTED_VALUE"""),"UMUM")</f>
        <v>UMUM</v>
      </c>
      <c r="D215" s="8" t="str">
        <f>IFERROR(__xludf.DUMMYFUNCTION("""COMPUTED_VALUE"""),"UMUM")</f>
        <v>UMUM</v>
      </c>
      <c r="E215" s="8" t="str">
        <f>IFERROR(__xludf.DUMMYFUNCTION("""COMPUTED_VALUE"""),"JUFRY")</f>
        <v>JUFRY</v>
      </c>
      <c r="F215" s="8"/>
      <c r="G215" s="8"/>
      <c r="H215" s="8"/>
      <c r="I215" s="8"/>
      <c r="J215" s="8" t="str">
        <f>IFERROR(__xludf.DUMMYFUNCTION("""COMPUTED_VALUE"""),"  ")</f>
        <v>  </v>
      </c>
      <c r="K215" s="8" t="str">
        <f>IFERROR(__xludf.DUMMYFUNCTION("""COMPUTED_VALUE"""),"706082")</f>
        <v>706082</v>
      </c>
      <c r="L215" s="8" t="str">
        <f>IFERROR(__xludf.DUMMYFUNCTION("""COMPUTED_VALUE"""),"INTAGSTAR FC A18 INT LEMARI ARSIP 2 PINTU AYUN")</f>
        <v>INTAGSTAR FC A18 INT LEMARI ARSIP 2 PINTU AYUN</v>
      </c>
      <c r="M215" s="12">
        <f>IFERROR(__xludf.DUMMYFUNCTION("""COMPUTED_VALUE"""),1.0)</f>
        <v>1</v>
      </c>
      <c r="N215" s="8" t="str">
        <f>IFERROR(__xludf.DUMMYFUNCTION("""COMPUTED_VALUE"""),"UNIT")</f>
        <v>UNIT</v>
      </c>
      <c r="O215" s="13">
        <f>IFERROR(__xludf.DUMMYFUNCTION("""COMPUTED_VALUE"""),2600000.0)</f>
        <v>2600000</v>
      </c>
      <c r="P215" s="12">
        <f>IFERROR(__xludf.DUMMYFUNCTION("""COMPUTED_VALUE"""),1.06E7)</f>
        <v>10600000</v>
      </c>
      <c r="Q215" s="8"/>
      <c r="R215" s="8">
        <f>IFERROR(__xludf.DUMMYFUNCTION("""COMPUTED_VALUE"""),0.0)</f>
        <v>0</v>
      </c>
      <c r="S215" s="12">
        <f>IFERROR(__xludf.DUMMYFUNCTION("""COMPUTED_VALUE"""),0.0)</f>
        <v>0</v>
      </c>
      <c r="T215" s="12">
        <f>IFERROR(__xludf.DUMMYFUNCTION("""COMPUTED_VALUE"""),2600000.0)</f>
        <v>2600000</v>
      </c>
      <c r="U215" s="13">
        <f>IFERROR(__xludf.DUMMYFUNCTION("""COMPUTED_VALUE"""),0.0)</f>
        <v>0</v>
      </c>
      <c r="V215" s="8" t="str">
        <f>IFERROR(__xludf.DUMMYFUNCTION("""COMPUTED_VALUE"""),"TF BRI TGL 20-04-24")</f>
        <v>TF BRI TGL 20-04-24</v>
      </c>
      <c r="W215" s="8"/>
      <c r="X215" s="8">
        <f t="shared" si="1"/>
        <v>4</v>
      </c>
      <c r="AA215" s="10"/>
    </row>
    <row r="216">
      <c r="A216" s="8" t="str">
        <f>IFERROR(__xludf.DUMMYFUNCTION("""COMPUTED_VALUE"""),"9986/JL/UTM/0424")</f>
        <v>9986/JL/UTM/0424</v>
      </c>
      <c r="B216" s="11">
        <f>IFERROR(__xludf.DUMMYFUNCTION("""COMPUTED_VALUE"""),45404.60912037037)</f>
        <v>45404.60912</v>
      </c>
      <c r="C216" s="8" t="str">
        <f>IFERROR(__xludf.DUMMYFUNCTION("""COMPUTED_VALUE"""),"UMUM")</f>
        <v>UMUM</v>
      </c>
      <c r="D216" s="8" t="str">
        <f>IFERROR(__xludf.DUMMYFUNCTION("""COMPUTED_VALUE"""),"UMUM")</f>
        <v>UMUM</v>
      </c>
      <c r="E216" s="8" t="str">
        <f>IFERROR(__xludf.DUMMYFUNCTION("""COMPUTED_VALUE"""),"JUFRY")</f>
        <v>JUFRY</v>
      </c>
      <c r="F216" s="8"/>
      <c r="G216" s="8"/>
      <c r="H216" s="8"/>
      <c r="I216" s="8"/>
      <c r="J216" s="8" t="str">
        <f>IFERROR(__xludf.DUMMYFUNCTION("""COMPUTED_VALUE"""),"  ")</f>
        <v>  </v>
      </c>
      <c r="K216" s="8" t="str">
        <f>IFERROR(__xludf.DUMMYFUNCTION("""COMPUTED_VALUE"""),"20057")</f>
        <v>20057</v>
      </c>
      <c r="L216" s="8" t="str">
        <f>IFERROR(__xludf.DUMMYFUNCTION("""COMPUTED_VALUE"""),"BROTHER LEMARI ARSIP 2 PINTU B203")</f>
        <v>BROTHER LEMARI ARSIP 2 PINTU B203</v>
      </c>
      <c r="M216" s="12">
        <f>IFERROR(__xludf.DUMMYFUNCTION("""COMPUTED_VALUE"""),1.0)</f>
        <v>1</v>
      </c>
      <c r="N216" s="8" t="str">
        <f>IFERROR(__xludf.DUMMYFUNCTION("""COMPUTED_VALUE"""),"UNIT")</f>
        <v>UNIT</v>
      </c>
      <c r="O216" s="13">
        <f>IFERROR(__xludf.DUMMYFUNCTION("""COMPUTED_VALUE"""),2600000.0)</f>
        <v>2600000</v>
      </c>
      <c r="P216" s="12">
        <f>IFERROR(__xludf.DUMMYFUNCTION("""COMPUTED_VALUE"""),1.06E7)</f>
        <v>10600000</v>
      </c>
      <c r="Q216" s="8"/>
      <c r="R216" s="8">
        <f>IFERROR(__xludf.DUMMYFUNCTION("""COMPUTED_VALUE"""),0.0)</f>
        <v>0</v>
      </c>
      <c r="S216" s="12">
        <f>IFERROR(__xludf.DUMMYFUNCTION("""COMPUTED_VALUE"""),0.0)</f>
        <v>0</v>
      </c>
      <c r="T216" s="12">
        <f>IFERROR(__xludf.DUMMYFUNCTION("""COMPUTED_VALUE"""),2600000.0)</f>
        <v>2600000</v>
      </c>
      <c r="U216" s="13">
        <f>IFERROR(__xludf.DUMMYFUNCTION("""COMPUTED_VALUE"""),0.0)</f>
        <v>0</v>
      </c>
      <c r="V216" s="8" t="str">
        <f>IFERROR(__xludf.DUMMYFUNCTION("""COMPUTED_VALUE"""),"TF BRI TGL 20-04-24")</f>
        <v>TF BRI TGL 20-04-24</v>
      </c>
      <c r="W216" s="8"/>
      <c r="X216" s="8">
        <f t="shared" si="1"/>
        <v>4</v>
      </c>
      <c r="AA216" s="10"/>
    </row>
    <row r="217">
      <c r="A217" s="8" t="str">
        <f>IFERROR(__xludf.DUMMYFUNCTION("""COMPUTED_VALUE"""),"9986/JL/UTM/0424")</f>
        <v>9986/JL/UTM/0424</v>
      </c>
      <c r="B217" s="11">
        <f>IFERROR(__xludf.DUMMYFUNCTION("""COMPUTED_VALUE"""),45404.60912037037)</f>
        <v>45404.60912</v>
      </c>
      <c r="C217" s="8" t="str">
        <f>IFERROR(__xludf.DUMMYFUNCTION("""COMPUTED_VALUE"""),"UMUM")</f>
        <v>UMUM</v>
      </c>
      <c r="D217" s="8" t="str">
        <f>IFERROR(__xludf.DUMMYFUNCTION("""COMPUTED_VALUE"""),"UMUM")</f>
        <v>UMUM</v>
      </c>
      <c r="E217" s="8" t="str">
        <f>IFERROR(__xludf.DUMMYFUNCTION("""COMPUTED_VALUE"""),"JUFRY")</f>
        <v>JUFRY</v>
      </c>
      <c r="F217" s="8"/>
      <c r="G217" s="8"/>
      <c r="H217" s="8"/>
      <c r="I217" s="8"/>
      <c r="J217" s="8" t="str">
        <f>IFERROR(__xludf.DUMMYFUNCTION("""COMPUTED_VALUE"""),"  ")</f>
        <v>  </v>
      </c>
      <c r="K217" s="8" t="str">
        <f>IFERROR(__xludf.DUMMYFUNCTION("""COMPUTED_VALUE"""),"706290")</f>
        <v>706290</v>
      </c>
      <c r="L217" s="8" t="str">
        <f>IFERROR(__xludf.DUMMYFUNCTION("""COMPUTED_VALUE"""),"KURSI TUNGGU BUSA 4 SEAT")</f>
        <v>KURSI TUNGGU BUSA 4 SEAT</v>
      </c>
      <c r="M217" s="12">
        <f>IFERROR(__xludf.DUMMYFUNCTION("""COMPUTED_VALUE"""),2.0)</f>
        <v>2</v>
      </c>
      <c r="N217" s="8" t="str">
        <f>IFERROR(__xludf.DUMMYFUNCTION("""COMPUTED_VALUE"""),"BH")</f>
        <v>BH</v>
      </c>
      <c r="O217" s="13">
        <f>IFERROR(__xludf.DUMMYFUNCTION("""COMPUTED_VALUE"""),2700000.0)</f>
        <v>2700000</v>
      </c>
      <c r="P217" s="12">
        <f>IFERROR(__xludf.DUMMYFUNCTION("""COMPUTED_VALUE"""),1.06E7)</f>
        <v>10600000</v>
      </c>
      <c r="Q217" s="8"/>
      <c r="R217" s="8">
        <f>IFERROR(__xludf.DUMMYFUNCTION("""COMPUTED_VALUE"""),0.0)</f>
        <v>0</v>
      </c>
      <c r="S217" s="12">
        <f>IFERROR(__xludf.DUMMYFUNCTION("""COMPUTED_VALUE"""),0.0)</f>
        <v>0</v>
      </c>
      <c r="T217" s="12">
        <f>IFERROR(__xludf.DUMMYFUNCTION("""COMPUTED_VALUE"""),5400000.0)</f>
        <v>5400000</v>
      </c>
      <c r="U217" s="13">
        <f>IFERROR(__xludf.DUMMYFUNCTION("""COMPUTED_VALUE"""),0.0)</f>
        <v>0</v>
      </c>
      <c r="V217" s="8" t="str">
        <f>IFERROR(__xludf.DUMMYFUNCTION("""COMPUTED_VALUE"""),"TF BRI TGL 20-04-24")</f>
        <v>TF BRI TGL 20-04-24</v>
      </c>
      <c r="W217" s="8"/>
      <c r="X217" s="8">
        <f t="shared" si="1"/>
        <v>4</v>
      </c>
      <c r="AA217" s="10"/>
    </row>
    <row r="218">
      <c r="A218" s="8" t="str">
        <f>IFERROR(__xludf.DUMMYFUNCTION("""COMPUTED_VALUE"""),"9987/JL/UTM/0424")</f>
        <v>9987/JL/UTM/0424</v>
      </c>
      <c r="B218" s="11">
        <f>IFERROR(__xludf.DUMMYFUNCTION("""COMPUTED_VALUE"""),45404.7390625)</f>
        <v>45404.73906</v>
      </c>
      <c r="C218" s="8" t="str">
        <f>IFERROR(__xludf.DUMMYFUNCTION("""COMPUTED_VALUE"""),"UMUM")</f>
        <v>UMUM</v>
      </c>
      <c r="D218" s="8" t="str">
        <f>IFERROR(__xludf.DUMMYFUNCTION("""COMPUTED_VALUE"""),"UMUM")</f>
        <v>UMUM</v>
      </c>
      <c r="E218" s="8" t="str">
        <f>IFERROR(__xludf.DUMMYFUNCTION("""COMPUTED_VALUE"""),"JUFRY")</f>
        <v>JUFRY</v>
      </c>
      <c r="F218" s="8"/>
      <c r="G218" s="8"/>
      <c r="H218" s="8"/>
      <c r="I218" s="8"/>
      <c r="J218" s="8" t="str">
        <f>IFERROR(__xludf.DUMMYFUNCTION("""COMPUTED_VALUE"""),"  ")</f>
        <v>  </v>
      </c>
      <c r="K218" s="8" t="str">
        <f>IFERROR(__xludf.DUMMYFUNCTION("""COMPUTED_VALUE"""),"20383")</f>
        <v>20383</v>
      </c>
      <c r="L218" s="8" t="str">
        <f>IFERROR(__xludf.DUMMYFUNCTION("""COMPUTED_VALUE"""),"BROTHER PITA MESIN KETIK LISTRIK 1030")</f>
        <v>BROTHER PITA MESIN KETIK LISTRIK 1030</v>
      </c>
      <c r="M218" s="12">
        <f>IFERROR(__xludf.DUMMYFUNCTION("""COMPUTED_VALUE"""),3.0)</f>
        <v>3</v>
      </c>
      <c r="N218" s="8" t="str">
        <f>IFERROR(__xludf.DUMMYFUNCTION("""COMPUTED_VALUE"""),"PCS")</f>
        <v>PCS</v>
      </c>
      <c r="O218" s="13">
        <f>IFERROR(__xludf.DUMMYFUNCTION("""COMPUTED_VALUE"""),50000.0)</f>
        <v>50000</v>
      </c>
      <c r="P218" s="12">
        <f>IFERROR(__xludf.DUMMYFUNCTION("""COMPUTED_VALUE"""),150000.0)</f>
        <v>150000</v>
      </c>
      <c r="Q218" s="8"/>
      <c r="R218" s="8">
        <f>IFERROR(__xludf.DUMMYFUNCTION("""COMPUTED_VALUE"""),0.0)</f>
        <v>0</v>
      </c>
      <c r="S218" s="12">
        <f>IFERROR(__xludf.DUMMYFUNCTION("""COMPUTED_VALUE"""),0.0)</f>
        <v>0</v>
      </c>
      <c r="T218" s="12">
        <f>IFERROR(__xludf.DUMMYFUNCTION("""COMPUTED_VALUE"""),150000.0)</f>
        <v>150000</v>
      </c>
      <c r="U218" s="13">
        <f>IFERROR(__xludf.DUMMYFUNCTION("""COMPUTED_VALUE"""),0.0)</f>
        <v>0</v>
      </c>
      <c r="V218" s="8"/>
      <c r="W218" s="8"/>
      <c r="X218" s="8">
        <f t="shared" si="1"/>
        <v>4</v>
      </c>
      <c r="AA218" s="10"/>
    </row>
    <row r="219">
      <c r="A219" s="8" t="str">
        <f>IFERROR(__xludf.DUMMYFUNCTION("""COMPUTED_VALUE"""),"9988/JL/UTM/0424")</f>
        <v>9988/JL/UTM/0424</v>
      </c>
      <c r="B219" s="11">
        <f>IFERROR(__xludf.DUMMYFUNCTION("""COMPUTED_VALUE"""),45404.740995370375)</f>
        <v>45404.741</v>
      </c>
      <c r="C219" s="8" t="str">
        <f>IFERROR(__xludf.DUMMYFUNCTION("""COMPUTED_VALUE"""),"PL0933")</f>
        <v>PL0933</v>
      </c>
      <c r="D219" s="8" t="str">
        <f>IFERROR(__xludf.DUMMYFUNCTION("""COMPUTED_VALUE"""),"SD INPRES TANAMODINDI")</f>
        <v>SD INPRES TANAMODINDI</v>
      </c>
      <c r="E219" s="8" t="str">
        <f>IFERROR(__xludf.DUMMYFUNCTION("""COMPUTED_VALUE"""),"JUFRY")</f>
        <v>JUFRY</v>
      </c>
      <c r="F219" s="8"/>
      <c r="G219" s="8"/>
      <c r="H219" s="8"/>
      <c r="I219" s="8"/>
      <c r="J219" s="8" t="str">
        <f>IFERROR(__xludf.DUMMYFUNCTION("""COMPUTED_VALUE"""),"PALU  ")</f>
        <v>PALU  </v>
      </c>
      <c r="K219" s="8" t="str">
        <f>IFERROR(__xludf.DUMMYFUNCTION("""COMPUTED_VALUE"""),"40568")</f>
        <v>40568</v>
      </c>
      <c r="L219" s="8" t="str">
        <f>IFERROR(__xludf.DUMMYFUNCTION("""COMPUTED_VALUE"""),"EMPORIUM LEMARI ARSIP 2 PINTU EC-01")</f>
        <v>EMPORIUM LEMARI ARSIP 2 PINTU EC-01</v>
      </c>
      <c r="M219" s="12">
        <f>IFERROR(__xludf.DUMMYFUNCTION("""COMPUTED_VALUE"""),1.0)</f>
        <v>1</v>
      </c>
      <c r="N219" s="8" t="str">
        <f>IFERROR(__xludf.DUMMYFUNCTION("""COMPUTED_VALUE"""),"UNIT")</f>
        <v>UNIT</v>
      </c>
      <c r="O219" s="13">
        <f>IFERROR(__xludf.DUMMYFUNCTION("""COMPUTED_VALUE"""),2200000.0)</f>
        <v>2200000</v>
      </c>
      <c r="P219" s="12">
        <f>IFERROR(__xludf.DUMMYFUNCTION("""COMPUTED_VALUE"""),3700000.0)</f>
        <v>3700000</v>
      </c>
      <c r="Q219" s="8"/>
      <c r="R219" s="8">
        <f>IFERROR(__xludf.DUMMYFUNCTION("""COMPUTED_VALUE"""),0.0)</f>
        <v>0</v>
      </c>
      <c r="S219" s="12">
        <f>IFERROR(__xludf.DUMMYFUNCTION("""COMPUTED_VALUE"""),0.0)</f>
        <v>0</v>
      </c>
      <c r="T219" s="12">
        <f>IFERROR(__xludf.DUMMYFUNCTION("""COMPUTED_VALUE"""),2200000.0)</f>
        <v>2200000</v>
      </c>
      <c r="U219" s="13">
        <f>IFERROR(__xludf.DUMMYFUNCTION("""COMPUTED_VALUE"""),0.0)</f>
        <v>0</v>
      </c>
      <c r="V219" s="8"/>
      <c r="W219" s="8"/>
      <c r="X219" s="8">
        <f t="shared" si="1"/>
        <v>4</v>
      </c>
      <c r="AA219" s="10"/>
    </row>
    <row r="220">
      <c r="A220" s="8" t="str">
        <f>IFERROR(__xludf.DUMMYFUNCTION("""COMPUTED_VALUE"""),"9988/JL/UTM/0424")</f>
        <v>9988/JL/UTM/0424</v>
      </c>
      <c r="B220" s="11">
        <f>IFERROR(__xludf.DUMMYFUNCTION("""COMPUTED_VALUE"""),45404.740995370375)</f>
        <v>45404.741</v>
      </c>
      <c r="C220" s="8" t="str">
        <f>IFERROR(__xludf.DUMMYFUNCTION("""COMPUTED_VALUE"""),"PL0933")</f>
        <v>PL0933</v>
      </c>
      <c r="D220" s="8" t="str">
        <f>IFERROR(__xludf.DUMMYFUNCTION("""COMPUTED_VALUE"""),"SD INPRES TANAMODINDI")</f>
        <v>SD INPRES TANAMODINDI</v>
      </c>
      <c r="E220" s="8" t="str">
        <f>IFERROR(__xludf.DUMMYFUNCTION("""COMPUTED_VALUE"""),"JUFRY")</f>
        <v>JUFRY</v>
      </c>
      <c r="F220" s="8"/>
      <c r="G220" s="8"/>
      <c r="H220" s="8"/>
      <c r="I220" s="8"/>
      <c r="J220" s="8" t="str">
        <f>IFERROR(__xludf.DUMMYFUNCTION("""COMPUTED_VALUE"""),"PALU  ")</f>
        <v>PALU  </v>
      </c>
      <c r="K220" s="8" t="str">
        <f>IFERROR(__xludf.DUMMYFUNCTION("""COMPUTED_VALUE"""),"706184")</f>
        <v>706184</v>
      </c>
      <c r="L220" s="8" t="str">
        <f>IFERROR(__xludf.DUMMYFUNCTION("""COMPUTED_VALUE"""),"EMPORIUM LOKER 4 PINTU EL-4")</f>
        <v>EMPORIUM LOKER 4 PINTU EL-4</v>
      </c>
      <c r="M220" s="12">
        <f>IFERROR(__xludf.DUMMYFUNCTION("""COMPUTED_VALUE"""),1.0)</f>
        <v>1</v>
      </c>
      <c r="N220" s="8" t="str">
        <f>IFERROR(__xludf.DUMMYFUNCTION("""COMPUTED_VALUE"""),"UNIT")</f>
        <v>UNIT</v>
      </c>
      <c r="O220" s="13">
        <f>IFERROR(__xludf.DUMMYFUNCTION("""COMPUTED_VALUE"""),1500000.0)</f>
        <v>1500000</v>
      </c>
      <c r="P220" s="12">
        <f>IFERROR(__xludf.DUMMYFUNCTION("""COMPUTED_VALUE"""),3700000.0)</f>
        <v>3700000</v>
      </c>
      <c r="Q220" s="8"/>
      <c r="R220" s="8">
        <f>IFERROR(__xludf.DUMMYFUNCTION("""COMPUTED_VALUE"""),0.0)</f>
        <v>0</v>
      </c>
      <c r="S220" s="12">
        <f>IFERROR(__xludf.DUMMYFUNCTION("""COMPUTED_VALUE"""),0.0)</f>
        <v>0</v>
      </c>
      <c r="T220" s="12">
        <f>IFERROR(__xludf.DUMMYFUNCTION("""COMPUTED_VALUE"""),1500000.0)</f>
        <v>1500000</v>
      </c>
      <c r="U220" s="13">
        <f>IFERROR(__xludf.DUMMYFUNCTION("""COMPUTED_VALUE"""),0.0)</f>
        <v>0</v>
      </c>
      <c r="V220" s="8"/>
      <c r="W220" s="8"/>
      <c r="X220" s="8">
        <f t="shared" si="1"/>
        <v>4</v>
      </c>
      <c r="AA220" s="10"/>
    </row>
    <row r="221">
      <c r="A221" s="8" t="str">
        <f>IFERROR(__xludf.DUMMYFUNCTION("""COMPUTED_VALUE"""),"9989/JL/UTM/0424")</f>
        <v>9989/JL/UTM/0424</v>
      </c>
      <c r="B221" s="11">
        <f>IFERROR(__xludf.DUMMYFUNCTION("""COMPUTED_VALUE"""),45405.716215277775)</f>
        <v>45405.71622</v>
      </c>
      <c r="C221" s="8" t="str">
        <f>IFERROR(__xludf.DUMMYFUNCTION("""COMPUTED_VALUE"""),"PL0889")</f>
        <v>PL0889</v>
      </c>
      <c r="D221" s="8" t="str">
        <f>IFERROR(__xludf.DUMMYFUNCTION("""COMPUTED_VALUE"""),"SMK NEG 3 PALU")</f>
        <v>SMK NEG 3 PALU</v>
      </c>
      <c r="E221" s="8" t="str">
        <f>IFERROR(__xludf.DUMMYFUNCTION("""COMPUTED_VALUE"""),"JUFRY")</f>
        <v>JUFRY</v>
      </c>
      <c r="F221" s="8"/>
      <c r="G221" s="8"/>
      <c r="H221" s="8"/>
      <c r="I221" s="8"/>
      <c r="J221" s="8" t="str">
        <f>IFERROR(__xludf.DUMMYFUNCTION("""COMPUTED_VALUE"""),"PALU  ")</f>
        <v>PALU  </v>
      </c>
      <c r="K221" s="8" t="str">
        <f>IFERROR(__xludf.DUMMYFUNCTION("""COMPUTED_VALUE"""),"706183")</f>
        <v>706183</v>
      </c>
      <c r="L221" s="8" t="str">
        <f>IFERROR(__xludf.DUMMYFUNCTION("""COMPUTED_VALUE"""),"EMPORIUM LOKER 15 PINTU EL-15")</f>
        <v>EMPORIUM LOKER 15 PINTU EL-15</v>
      </c>
      <c r="M221" s="12">
        <f>IFERROR(__xludf.DUMMYFUNCTION("""COMPUTED_VALUE"""),5.0)</f>
        <v>5</v>
      </c>
      <c r="N221" s="8" t="str">
        <f>IFERROR(__xludf.DUMMYFUNCTION("""COMPUTED_VALUE"""),"UNIT")</f>
        <v>UNIT</v>
      </c>
      <c r="O221" s="13">
        <f>IFERROR(__xludf.DUMMYFUNCTION("""COMPUTED_VALUE"""),3000000.0)</f>
        <v>3000000</v>
      </c>
      <c r="P221" s="12">
        <f>IFERROR(__xludf.DUMMYFUNCTION("""COMPUTED_VALUE"""),1.5E7)</f>
        <v>15000000</v>
      </c>
      <c r="Q221" s="8"/>
      <c r="R221" s="8">
        <f>IFERROR(__xludf.DUMMYFUNCTION("""COMPUTED_VALUE"""),0.0)</f>
        <v>0</v>
      </c>
      <c r="S221" s="12">
        <f>IFERROR(__xludf.DUMMYFUNCTION("""COMPUTED_VALUE"""),0.0)</f>
        <v>0</v>
      </c>
      <c r="T221" s="12">
        <f>IFERROR(__xludf.DUMMYFUNCTION("""COMPUTED_VALUE"""),1.5E7)</f>
        <v>15000000</v>
      </c>
      <c r="U221" s="13">
        <f>IFERROR(__xludf.DUMMYFUNCTION("""COMPUTED_VALUE"""),0.0)</f>
        <v>0</v>
      </c>
      <c r="V221" s="8" t="str">
        <f>IFERROR(__xludf.DUMMYFUNCTION("""COMPUTED_VALUE"""),"SIPLAH")</f>
        <v>SIPLAH</v>
      </c>
      <c r="W221" s="8"/>
      <c r="X221" s="8">
        <f t="shared" si="1"/>
        <v>4</v>
      </c>
      <c r="AA221" s="10"/>
    </row>
    <row r="222">
      <c r="A222" s="8" t="str">
        <f>IFERROR(__xludf.DUMMYFUNCTION("""COMPUTED_VALUE"""),"9990/JL/UTM/0424")</f>
        <v>9990/JL/UTM/0424</v>
      </c>
      <c r="B222" s="11">
        <f>IFERROR(__xludf.DUMMYFUNCTION("""COMPUTED_VALUE"""),45405.7169675926)</f>
        <v>45405.71697</v>
      </c>
      <c r="C222" s="8" t="str">
        <f>IFERROR(__xludf.DUMMYFUNCTION("""COMPUTED_VALUE"""),"UMUM")</f>
        <v>UMUM</v>
      </c>
      <c r="D222" s="8" t="str">
        <f>IFERROR(__xludf.DUMMYFUNCTION("""COMPUTED_VALUE"""),"UMUM")</f>
        <v>UMUM</v>
      </c>
      <c r="E222" s="8" t="str">
        <f>IFERROR(__xludf.DUMMYFUNCTION("""COMPUTED_VALUE"""),"JUFRY")</f>
        <v>JUFRY</v>
      </c>
      <c r="F222" s="8"/>
      <c r="G222" s="8"/>
      <c r="H222" s="8"/>
      <c r="I222" s="8"/>
      <c r="J222" s="8" t="str">
        <f>IFERROR(__xludf.DUMMYFUNCTION("""COMPUTED_VALUE"""),"  ")</f>
        <v>  </v>
      </c>
      <c r="K222" s="8" t="str">
        <f>IFERROR(__xludf.DUMMYFUNCTION("""COMPUTED_VALUE"""),"606071")</f>
        <v>606071</v>
      </c>
      <c r="L222" s="8" t="str">
        <f>IFERROR(__xludf.DUMMYFUNCTION("""COMPUTED_VALUE"""),"KINGCO WHITEBOARD 90X120")</f>
        <v>KINGCO WHITEBOARD 90X120</v>
      </c>
      <c r="M222" s="12">
        <f>IFERROR(__xludf.DUMMYFUNCTION("""COMPUTED_VALUE"""),1.0)</f>
        <v>1</v>
      </c>
      <c r="N222" s="8" t="str">
        <f>IFERROR(__xludf.DUMMYFUNCTION("""COMPUTED_VALUE"""),"BH")</f>
        <v>BH</v>
      </c>
      <c r="O222" s="13">
        <f>IFERROR(__xludf.DUMMYFUNCTION("""COMPUTED_VALUE"""),250000.0)</f>
        <v>250000</v>
      </c>
      <c r="P222" s="12">
        <f>IFERROR(__xludf.DUMMYFUNCTION("""COMPUTED_VALUE"""),250000.0)</f>
        <v>250000</v>
      </c>
      <c r="Q222" s="8"/>
      <c r="R222" s="8">
        <f>IFERROR(__xludf.DUMMYFUNCTION("""COMPUTED_VALUE"""),0.0)</f>
        <v>0</v>
      </c>
      <c r="S222" s="12">
        <f>IFERROR(__xludf.DUMMYFUNCTION("""COMPUTED_VALUE"""),0.0)</f>
        <v>0</v>
      </c>
      <c r="T222" s="12">
        <f>IFERROR(__xludf.DUMMYFUNCTION("""COMPUTED_VALUE"""),250000.0)</f>
        <v>250000</v>
      </c>
      <c r="U222" s="13">
        <f>IFERROR(__xludf.DUMMYFUNCTION("""COMPUTED_VALUE"""),0.0)</f>
        <v>0</v>
      </c>
      <c r="V222" s="8"/>
      <c r="W222" s="8"/>
      <c r="X222" s="8">
        <f t="shared" si="1"/>
        <v>4</v>
      </c>
      <c r="AA222" s="10"/>
    </row>
    <row r="223">
      <c r="A223" s="8" t="str">
        <f>IFERROR(__xludf.DUMMYFUNCTION("""COMPUTED_VALUE"""),"9991/JL/UTM/0424")</f>
        <v>9991/JL/UTM/0424</v>
      </c>
      <c r="B223" s="11">
        <f>IFERROR(__xludf.DUMMYFUNCTION("""COMPUTED_VALUE"""),45405.717465277776)</f>
        <v>45405.71747</v>
      </c>
      <c r="C223" s="8" t="str">
        <f>IFERROR(__xludf.DUMMYFUNCTION("""COMPUTED_VALUE"""),"PL0928")</f>
        <v>PL0928</v>
      </c>
      <c r="D223" s="8" t="str">
        <f>IFERROR(__xludf.DUMMYFUNCTION("""COMPUTED_VALUE"""),"PT. AKM")</f>
        <v>PT. AKM</v>
      </c>
      <c r="E223" s="8" t="str">
        <f>IFERROR(__xludf.DUMMYFUNCTION("""COMPUTED_VALUE"""),"JUFRY")</f>
        <v>JUFRY</v>
      </c>
      <c r="F223" s="8"/>
      <c r="G223" s="8"/>
      <c r="H223" s="8"/>
      <c r="I223" s="8"/>
      <c r="J223" s="8" t="str">
        <f>IFERROR(__xludf.DUMMYFUNCTION("""COMPUTED_VALUE"""),"Palu  ")</f>
        <v>Palu  </v>
      </c>
      <c r="K223" s="8" t="str">
        <f>IFERROR(__xludf.DUMMYFUNCTION("""COMPUTED_VALUE"""),"606071")</f>
        <v>606071</v>
      </c>
      <c r="L223" s="8" t="str">
        <f>IFERROR(__xludf.DUMMYFUNCTION("""COMPUTED_VALUE"""),"KINGCO WHITEBOARD 90X120")</f>
        <v>KINGCO WHITEBOARD 90X120</v>
      </c>
      <c r="M223" s="12">
        <f>IFERROR(__xludf.DUMMYFUNCTION("""COMPUTED_VALUE"""),1.0)</f>
        <v>1</v>
      </c>
      <c r="N223" s="8" t="str">
        <f>IFERROR(__xludf.DUMMYFUNCTION("""COMPUTED_VALUE"""),"BH")</f>
        <v>BH</v>
      </c>
      <c r="O223" s="13">
        <f>IFERROR(__xludf.DUMMYFUNCTION("""COMPUTED_VALUE"""),250000.0)</f>
        <v>250000</v>
      </c>
      <c r="P223" s="12">
        <f>IFERROR(__xludf.DUMMYFUNCTION("""COMPUTED_VALUE"""),0.0)</f>
        <v>0</v>
      </c>
      <c r="Q223" s="8"/>
      <c r="R223" s="8">
        <f>IFERROR(__xludf.DUMMYFUNCTION("""COMPUTED_VALUE"""),0.0)</f>
        <v>0</v>
      </c>
      <c r="S223" s="12">
        <f>IFERROR(__xludf.DUMMYFUNCTION("""COMPUTED_VALUE"""),250000.0)</f>
        <v>250000</v>
      </c>
      <c r="T223" s="12">
        <f>IFERROR(__xludf.DUMMYFUNCTION("""COMPUTED_VALUE"""),250000.0)</f>
        <v>250000</v>
      </c>
      <c r="U223" s="13">
        <f>IFERROR(__xludf.DUMMYFUNCTION("""COMPUTED_VALUE"""),0.0)</f>
        <v>0</v>
      </c>
      <c r="V223" s="8"/>
      <c r="W223" s="8"/>
      <c r="X223" s="8">
        <f t="shared" si="1"/>
        <v>4</v>
      </c>
      <c r="AA223" s="10"/>
    </row>
    <row r="224">
      <c r="A224" s="8" t="str">
        <f>IFERROR(__xludf.DUMMYFUNCTION("""COMPUTED_VALUE"""),"9992/JL/UTM/0424")</f>
        <v>9992/JL/UTM/0424</v>
      </c>
      <c r="B224" s="11">
        <f>IFERROR(__xludf.DUMMYFUNCTION("""COMPUTED_VALUE"""),45405.717997685184)</f>
        <v>45405.718</v>
      </c>
      <c r="C224" s="8" t="str">
        <f>IFERROR(__xludf.DUMMYFUNCTION("""COMPUTED_VALUE"""),"PL0926")</f>
        <v>PL0926</v>
      </c>
      <c r="D224" s="8" t="str">
        <f>IFERROR(__xludf.DUMMYFUNCTION("""COMPUTED_VALUE"""),"PT. MACMAHON MINING SERVICES")</f>
        <v>PT. MACMAHON MINING SERVICES</v>
      </c>
      <c r="E224" s="8" t="str">
        <f>IFERROR(__xludf.DUMMYFUNCTION("""COMPUTED_VALUE"""),"JUFRY")</f>
        <v>JUFRY</v>
      </c>
      <c r="F224" s="8"/>
      <c r="G224" s="8"/>
      <c r="H224" s="8"/>
      <c r="I224" s="8"/>
      <c r="J224" s="8" t="str">
        <f>IFERROR(__xludf.DUMMYFUNCTION("""COMPUTED_VALUE"""),"PALU  ")</f>
        <v>PALU  </v>
      </c>
      <c r="K224" s="8" t="str">
        <f>IFERROR(__xludf.DUMMYFUNCTION("""COMPUTED_VALUE"""),"606072")</f>
        <v>606072</v>
      </c>
      <c r="L224" s="8" t="str">
        <f>IFERROR(__xludf.DUMMYFUNCTION("""COMPUTED_VALUE"""),"KINGCO WHITEBOARD 60X90")</f>
        <v>KINGCO WHITEBOARD 60X90</v>
      </c>
      <c r="M224" s="12">
        <f>IFERROR(__xludf.DUMMYFUNCTION("""COMPUTED_VALUE"""),1.0)</f>
        <v>1</v>
      </c>
      <c r="N224" s="8" t="str">
        <f>IFERROR(__xludf.DUMMYFUNCTION("""COMPUTED_VALUE"""),"BH")</f>
        <v>BH</v>
      </c>
      <c r="O224" s="13">
        <f>IFERROR(__xludf.DUMMYFUNCTION("""COMPUTED_VALUE"""),150000.0)</f>
        <v>150000</v>
      </c>
      <c r="P224" s="12">
        <f>IFERROR(__xludf.DUMMYFUNCTION("""COMPUTED_VALUE"""),0.0)</f>
        <v>0</v>
      </c>
      <c r="Q224" s="8"/>
      <c r="R224" s="8">
        <f>IFERROR(__xludf.DUMMYFUNCTION("""COMPUTED_VALUE"""),0.0)</f>
        <v>0</v>
      </c>
      <c r="S224" s="12">
        <f>IFERROR(__xludf.DUMMYFUNCTION("""COMPUTED_VALUE"""),150000.0)</f>
        <v>150000</v>
      </c>
      <c r="T224" s="12">
        <f>IFERROR(__xludf.DUMMYFUNCTION("""COMPUTED_VALUE"""),150000.0)</f>
        <v>150000</v>
      </c>
      <c r="U224" s="13">
        <f>IFERROR(__xludf.DUMMYFUNCTION("""COMPUTED_VALUE"""),0.0)</f>
        <v>0</v>
      </c>
      <c r="V224" s="8"/>
      <c r="W224" s="8"/>
      <c r="X224" s="8">
        <f t="shared" si="1"/>
        <v>4</v>
      </c>
      <c r="AA224" s="10"/>
    </row>
    <row r="225">
      <c r="A225" s="8" t="str">
        <f>IFERROR(__xludf.DUMMYFUNCTION("""COMPUTED_VALUE"""),"9993/JL/UTM/0424")</f>
        <v>9993/JL/UTM/0424</v>
      </c>
      <c r="B225" s="11">
        <f>IFERROR(__xludf.DUMMYFUNCTION("""COMPUTED_VALUE"""),45409.776249999995)</f>
        <v>45409.77625</v>
      </c>
      <c r="C225" s="8" t="str">
        <f>IFERROR(__xludf.DUMMYFUNCTION("""COMPUTED_VALUE"""),"UMUM")</f>
        <v>UMUM</v>
      </c>
      <c r="D225" s="8" t="str">
        <f>IFERROR(__xludf.DUMMYFUNCTION("""COMPUTED_VALUE"""),"UMUM")</f>
        <v>UMUM</v>
      </c>
      <c r="E225" s="8" t="str">
        <f>IFERROR(__xludf.DUMMYFUNCTION("""COMPUTED_VALUE"""),"JUFRY")</f>
        <v>JUFRY</v>
      </c>
      <c r="F225" s="8"/>
      <c r="G225" s="8"/>
      <c r="H225" s="8"/>
      <c r="I225" s="8"/>
      <c r="J225" s="8" t="str">
        <f>IFERROR(__xludf.DUMMYFUNCTION("""COMPUTED_VALUE"""),"  ")</f>
        <v>  </v>
      </c>
      <c r="K225" s="8" t="str">
        <f>IFERROR(__xludf.DUMMYFUNCTION("""COMPUTED_VALUE"""),"706201")</f>
        <v>706201</v>
      </c>
      <c r="L225" s="8" t="str">
        <f>IFERROR(__xludf.DUMMYFUNCTION("""COMPUTED_VALUE"""),"SECURE MONEY COUNTER LD26M")</f>
        <v>SECURE MONEY COUNTER LD26M</v>
      </c>
      <c r="M225" s="12">
        <f>IFERROR(__xludf.DUMMYFUNCTION("""COMPUTED_VALUE"""),1.0)</f>
        <v>1</v>
      </c>
      <c r="N225" s="8" t="str">
        <f>IFERROR(__xludf.DUMMYFUNCTION("""COMPUTED_VALUE"""),"BH")</f>
        <v>BH</v>
      </c>
      <c r="O225" s="13">
        <f>IFERROR(__xludf.DUMMYFUNCTION("""COMPUTED_VALUE"""),2850000.0)</f>
        <v>2850000</v>
      </c>
      <c r="P225" s="12">
        <f>IFERROR(__xludf.DUMMYFUNCTION("""COMPUTED_VALUE"""),2600000.0)</f>
        <v>2600000</v>
      </c>
      <c r="Q225" s="8"/>
      <c r="R225" s="8">
        <f>IFERROR(__xludf.DUMMYFUNCTION("""COMPUTED_VALUE"""),0.0)</f>
        <v>0</v>
      </c>
      <c r="S225" s="12">
        <f>IFERROR(__xludf.DUMMYFUNCTION("""COMPUTED_VALUE"""),0.0)</f>
        <v>0</v>
      </c>
      <c r="T225" s="12">
        <f>IFERROR(__xludf.DUMMYFUNCTION("""COMPUTED_VALUE"""),2850000.0)</f>
        <v>2850000</v>
      </c>
      <c r="U225" s="13">
        <f>IFERROR(__xludf.DUMMYFUNCTION("""COMPUTED_VALUE"""),8.7719298246)</f>
        <v>8.771929825</v>
      </c>
      <c r="V225" s="8"/>
      <c r="W225" s="8"/>
      <c r="X225" s="8">
        <f t="shared" si="1"/>
        <v>4</v>
      </c>
      <c r="AA225" s="10"/>
    </row>
    <row r="226">
      <c r="A226" s="8" t="str">
        <f>IFERROR(__xludf.DUMMYFUNCTION("""COMPUTED_VALUE"""),"9994/JL/UTM/0424")</f>
        <v>9994/JL/UTM/0424</v>
      </c>
      <c r="B226" s="11">
        <f>IFERROR(__xludf.DUMMYFUNCTION("""COMPUTED_VALUE"""),45409.77725694445)</f>
        <v>45409.77726</v>
      </c>
      <c r="C226" s="8" t="str">
        <f>IFERROR(__xludf.DUMMYFUNCTION("""COMPUTED_VALUE"""),"UMUM")</f>
        <v>UMUM</v>
      </c>
      <c r="D226" s="8" t="str">
        <f>IFERROR(__xludf.DUMMYFUNCTION("""COMPUTED_VALUE"""),"UMUM")</f>
        <v>UMUM</v>
      </c>
      <c r="E226" s="8" t="str">
        <f>IFERROR(__xludf.DUMMYFUNCTION("""COMPUTED_VALUE"""),"JUFRY")</f>
        <v>JUFRY</v>
      </c>
      <c r="F226" s="8"/>
      <c r="G226" s="8"/>
      <c r="H226" s="8"/>
      <c r="I226" s="8"/>
      <c r="J226" s="8" t="str">
        <f>IFERROR(__xludf.DUMMYFUNCTION("""COMPUTED_VALUE"""),"  ")</f>
        <v>  </v>
      </c>
      <c r="K226" s="8" t="str">
        <f>IFERROR(__xludf.DUMMYFUNCTION("""COMPUTED_VALUE"""),"706116")</f>
        <v>706116</v>
      </c>
      <c r="L226" s="8" t="str">
        <f>IFERROR(__xludf.DUMMYFUNCTION("""COMPUTED_VALUE"""),"JOYKO MSN LEBEL HARGA MX5500")</f>
        <v>JOYKO MSN LEBEL HARGA MX5500</v>
      </c>
      <c r="M226" s="12">
        <f>IFERROR(__xludf.DUMMYFUNCTION("""COMPUTED_VALUE"""),1.0)</f>
        <v>1</v>
      </c>
      <c r="N226" s="8" t="str">
        <f>IFERROR(__xludf.DUMMYFUNCTION("""COMPUTED_VALUE"""),"BH")</f>
        <v>BH</v>
      </c>
      <c r="O226" s="13">
        <f>IFERROR(__xludf.DUMMYFUNCTION("""COMPUTED_VALUE"""),70000.0)</f>
        <v>70000</v>
      </c>
      <c r="P226" s="12">
        <f>IFERROR(__xludf.DUMMYFUNCTION("""COMPUTED_VALUE"""),95000.0)</f>
        <v>95000</v>
      </c>
      <c r="Q226" s="8"/>
      <c r="R226" s="8">
        <f>IFERROR(__xludf.DUMMYFUNCTION("""COMPUTED_VALUE"""),0.0)</f>
        <v>0</v>
      </c>
      <c r="S226" s="12">
        <f>IFERROR(__xludf.DUMMYFUNCTION("""COMPUTED_VALUE"""),0.0)</f>
        <v>0</v>
      </c>
      <c r="T226" s="12">
        <f>IFERROR(__xludf.DUMMYFUNCTION("""COMPUTED_VALUE"""),70000.0)</f>
        <v>70000</v>
      </c>
      <c r="U226" s="13">
        <f>IFERROR(__xludf.DUMMYFUNCTION("""COMPUTED_VALUE"""),0.0)</f>
        <v>0</v>
      </c>
      <c r="V226" s="8"/>
      <c r="W226" s="8"/>
      <c r="X226" s="8">
        <f t="shared" si="1"/>
        <v>4</v>
      </c>
      <c r="AA226" s="10"/>
    </row>
    <row r="227">
      <c r="A227" s="8" t="str">
        <f>IFERROR(__xludf.DUMMYFUNCTION("""COMPUTED_VALUE"""),"9994/JL/UTM/0424")</f>
        <v>9994/JL/UTM/0424</v>
      </c>
      <c r="B227" s="11">
        <f>IFERROR(__xludf.DUMMYFUNCTION("""COMPUTED_VALUE"""),45409.77725694445)</f>
        <v>45409.77726</v>
      </c>
      <c r="C227" s="8" t="str">
        <f>IFERROR(__xludf.DUMMYFUNCTION("""COMPUTED_VALUE"""),"UMUM")</f>
        <v>UMUM</v>
      </c>
      <c r="D227" s="8" t="str">
        <f>IFERROR(__xludf.DUMMYFUNCTION("""COMPUTED_VALUE"""),"UMUM")</f>
        <v>UMUM</v>
      </c>
      <c r="E227" s="8" t="str">
        <f>IFERROR(__xludf.DUMMYFUNCTION("""COMPUTED_VALUE"""),"JUFRY")</f>
        <v>JUFRY</v>
      </c>
      <c r="F227" s="8"/>
      <c r="G227" s="8"/>
      <c r="H227" s="8"/>
      <c r="I227" s="8"/>
      <c r="J227" s="8" t="str">
        <f>IFERROR(__xludf.DUMMYFUNCTION("""COMPUTED_VALUE"""),"  ")</f>
        <v>  </v>
      </c>
      <c r="K227" s="8" t="str">
        <f>IFERROR(__xludf.DUMMYFUNCTION("""COMPUTED_VALUE"""),"20273")</f>
        <v>20273</v>
      </c>
      <c r="L227" s="8" t="str">
        <f>IFERROR(__xludf.DUMMYFUNCTION("""COMPUTED_VALUE"""),"BEST LABEL BESAR")</f>
        <v>BEST LABEL BESAR</v>
      </c>
      <c r="M227" s="12">
        <f>IFERROR(__xludf.DUMMYFUNCTION("""COMPUTED_VALUE"""),1.0)</f>
        <v>1</v>
      </c>
      <c r="N227" s="8" t="str">
        <f>IFERROR(__xludf.DUMMYFUNCTION("""COMPUTED_VALUE"""),"PCS")</f>
        <v>PCS</v>
      </c>
      <c r="O227" s="13">
        <f>IFERROR(__xludf.DUMMYFUNCTION("""COMPUTED_VALUE"""),25000.0)</f>
        <v>25000</v>
      </c>
      <c r="P227" s="12">
        <f>IFERROR(__xludf.DUMMYFUNCTION("""COMPUTED_VALUE"""),95000.0)</f>
        <v>95000</v>
      </c>
      <c r="Q227" s="8"/>
      <c r="R227" s="8">
        <f>IFERROR(__xludf.DUMMYFUNCTION("""COMPUTED_VALUE"""),0.0)</f>
        <v>0</v>
      </c>
      <c r="S227" s="12">
        <f>IFERROR(__xludf.DUMMYFUNCTION("""COMPUTED_VALUE"""),0.0)</f>
        <v>0</v>
      </c>
      <c r="T227" s="12">
        <f>IFERROR(__xludf.DUMMYFUNCTION("""COMPUTED_VALUE"""),25000.0)</f>
        <v>25000</v>
      </c>
      <c r="U227" s="13">
        <f>IFERROR(__xludf.DUMMYFUNCTION("""COMPUTED_VALUE"""),0.0)</f>
        <v>0</v>
      </c>
      <c r="V227" s="8"/>
      <c r="W227" s="8"/>
      <c r="X227" s="8">
        <f t="shared" si="1"/>
        <v>4</v>
      </c>
      <c r="AA227" s="10"/>
    </row>
    <row r="228">
      <c r="A228" s="8" t="str">
        <f>IFERROR(__xludf.DUMMYFUNCTION("""COMPUTED_VALUE"""),"9995/JL/UTM/0424")</f>
        <v>9995/JL/UTM/0424</v>
      </c>
      <c r="B228" s="11">
        <f>IFERROR(__xludf.DUMMYFUNCTION("""COMPUTED_VALUE"""),45409.77777777778)</f>
        <v>45409.77778</v>
      </c>
      <c r="C228" s="8" t="str">
        <f>IFERROR(__xludf.DUMMYFUNCTION("""COMPUTED_VALUE"""),"UMUM")</f>
        <v>UMUM</v>
      </c>
      <c r="D228" s="8" t="str">
        <f>IFERROR(__xludf.DUMMYFUNCTION("""COMPUTED_VALUE"""),"UMUM")</f>
        <v>UMUM</v>
      </c>
      <c r="E228" s="8" t="str">
        <f>IFERROR(__xludf.DUMMYFUNCTION("""COMPUTED_VALUE"""),"JUFRY")</f>
        <v>JUFRY</v>
      </c>
      <c r="F228" s="8"/>
      <c r="G228" s="8"/>
      <c r="H228" s="8"/>
      <c r="I228" s="8"/>
      <c r="J228" s="8" t="str">
        <f>IFERROR(__xludf.DUMMYFUNCTION("""COMPUTED_VALUE"""),"  ")</f>
        <v>  </v>
      </c>
      <c r="K228" s="8" t="str">
        <f>IFERROR(__xludf.DUMMYFUNCTION("""COMPUTED_VALUE"""),"20383")</f>
        <v>20383</v>
      </c>
      <c r="L228" s="8" t="str">
        <f>IFERROR(__xludf.DUMMYFUNCTION("""COMPUTED_VALUE"""),"BROTHER PITA MESIN KETIK LISTRIK 1030")</f>
        <v>BROTHER PITA MESIN KETIK LISTRIK 1030</v>
      </c>
      <c r="M228" s="12">
        <f>IFERROR(__xludf.DUMMYFUNCTION("""COMPUTED_VALUE"""),1.0)</f>
        <v>1</v>
      </c>
      <c r="N228" s="8" t="str">
        <f>IFERROR(__xludf.DUMMYFUNCTION("""COMPUTED_VALUE"""),"PCS")</f>
        <v>PCS</v>
      </c>
      <c r="O228" s="13">
        <f>IFERROR(__xludf.DUMMYFUNCTION("""COMPUTED_VALUE"""),50000.0)</f>
        <v>50000</v>
      </c>
      <c r="P228" s="12">
        <f>IFERROR(__xludf.DUMMYFUNCTION("""COMPUTED_VALUE"""),50000.0)</f>
        <v>50000</v>
      </c>
      <c r="Q228" s="8"/>
      <c r="R228" s="8">
        <f>IFERROR(__xludf.DUMMYFUNCTION("""COMPUTED_VALUE"""),0.0)</f>
        <v>0</v>
      </c>
      <c r="S228" s="12">
        <f>IFERROR(__xludf.DUMMYFUNCTION("""COMPUTED_VALUE"""),0.0)</f>
        <v>0</v>
      </c>
      <c r="T228" s="12">
        <f>IFERROR(__xludf.DUMMYFUNCTION("""COMPUTED_VALUE"""),50000.0)</f>
        <v>50000</v>
      </c>
      <c r="U228" s="13">
        <f>IFERROR(__xludf.DUMMYFUNCTION("""COMPUTED_VALUE"""),0.0)</f>
        <v>0</v>
      </c>
      <c r="V228" s="8"/>
      <c r="W228" s="8"/>
      <c r="X228" s="8">
        <f t="shared" si="1"/>
        <v>4</v>
      </c>
      <c r="AA228" s="10"/>
    </row>
    <row r="229">
      <c r="A229" s="8" t="str">
        <f>IFERROR(__xludf.DUMMYFUNCTION("""COMPUTED_VALUE"""),"9996/JL/UTM/0424")</f>
        <v>9996/JL/UTM/0424</v>
      </c>
      <c r="B229" s="11">
        <f>IFERROR(__xludf.DUMMYFUNCTION("""COMPUTED_VALUE"""),45411.76546296296)</f>
        <v>45411.76546</v>
      </c>
      <c r="C229" s="8" t="str">
        <f>IFERROR(__xludf.DUMMYFUNCTION("""COMPUTED_VALUE"""),"UMUM")</f>
        <v>UMUM</v>
      </c>
      <c r="D229" s="8" t="str">
        <f>IFERROR(__xludf.DUMMYFUNCTION("""COMPUTED_VALUE"""),"UMUM")</f>
        <v>UMUM</v>
      </c>
      <c r="E229" s="8" t="str">
        <f>IFERROR(__xludf.DUMMYFUNCTION("""COMPUTED_VALUE"""),"JUFRY")</f>
        <v>JUFRY</v>
      </c>
      <c r="F229" s="8"/>
      <c r="G229" s="8"/>
      <c r="H229" s="8"/>
      <c r="I229" s="8"/>
      <c r="J229" s="8" t="str">
        <f>IFERROR(__xludf.DUMMYFUNCTION("""COMPUTED_VALUE"""),"  ")</f>
        <v>  </v>
      </c>
      <c r="K229" s="8" t="str">
        <f>IFERROR(__xludf.DUMMYFUNCTION("""COMPUTED_VALUE"""),"706093")</f>
        <v>706093</v>
      </c>
      <c r="L229" s="8" t="str">
        <f>IFERROR(__xludf.DUMMYFUNCTION("""COMPUTED_VALUE"""),"TOPAS SAFETY BOX FD250")</f>
        <v>TOPAS SAFETY BOX FD250</v>
      </c>
      <c r="M229" s="12">
        <f>IFERROR(__xludf.DUMMYFUNCTION("""COMPUTED_VALUE"""),1.0)</f>
        <v>1</v>
      </c>
      <c r="N229" s="8" t="str">
        <f>IFERROR(__xludf.DUMMYFUNCTION("""COMPUTED_VALUE"""),"BH")</f>
        <v>BH</v>
      </c>
      <c r="O229" s="13">
        <f>IFERROR(__xludf.DUMMYFUNCTION("""COMPUTED_VALUE"""),1150000.0)</f>
        <v>1150000</v>
      </c>
      <c r="P229" s="12">
        <f>IFERROR(__xludf.DUMMYFUNCTION("""COMPUTED_VALUE"""),1150000.0)</f>
        <v>1150000</v>
      </c>
      <c r="Q229" s="8"/>
      <c r="R229" s="8">
        <f>IFERROR(__xludf.DUMMYFUNCTION("""COMPUTED_VALUE"""),0.0)</f>
        <v>0</v>
      </c>
      <c r="S229" s="12">
        <f>IFERROR(__xludf.DUMMYFUNCTION("""COMPUTED_VALUE"""),0.0)</f>
        <v>0</v>
      </c>
      <c r="T229" s="12">
        <f>IFERROR(__xludf.DUMMYFUNCTION("""COMPUTED_VALUE"""),1150000.0)</f>
        <v>1150000</v>
      </c>
      <c r="U229" s="13">
        <f>IFERROR(__xludf.DUMMYFUNCTION("""COMPUTED_VALUE"""),0.0)</f>
        <v>0</v>
      </c>
      <c r="V229" s="8" t="str">
        <f>IFERROR(__xludf.DUMMYFUNCTION("""COMPUTED_VALUE"""),"QRIS")</f>
        <v>QRIS</v>
      </c>
      <c r="W229" s="8"/>
      <c r="X229" s="8">
        <f t="shared" si="1"/>
        <v>4</v>
      </c>
      <c r="AA229" s="10"/>
    </row>
    <row r="230">
      <c r="A230" s="8" t="str">
        <f>IFERROR(__xludf.DUMMYFUNCTION("""COMPUTED_VALUE"""),"9997/JL/UTM/0424")</f>
        <v>9997/JL/UTM/0424</v>
      </c>
      <c r="B230" s="11">
        <f>IFERROR(__xludf.DUMMYFUNCTION("""COMPUTED_VALUE"""),45411.767280092594)</f>
        <v>45411.76728</v>
      </c>
      <c r="C230" s="8" t="str">
        <f>IFERROR(__xludf.DUMMYFUNCTION("""COMPUTED_VALUE"""),"PL0934")</f>
        <v>PL0934</v>
      </c>
      <c r="D230" s="8" t="str">
        <f>IFERROR(__xludf.DUMMYFUNCTION("""COMPUTED_VALUE"""),"TK. GAMALIEL")</f>
        <v>TK. GAMALIEL</v>
      </c>
      <c r="E230" s="8" t="str">
        <f>IFERROR(__xludf.DUMMYFUNCTION("""COMPUTED_VALUE"""),"JUFRY")</f>
        <v>JUFRY</v>
      </c>
      <c r="F230" s="8"/>
      <c r="G230" s="8"/>
      <c r="H230" s="8"/>
      <c r="I230" s="8"/>
      <c r="J230" s="8" t="str">
        <f>IFERROR(__xludf.DUMMYFUNCTION("""COMPUTED_VALUE"""),"PALU  ")</f>
        <v>PALU  </v>
      </c>
      <c r="K230" s="8" t="str">
        <f>IFERROR(__xludf.DUMMYFUNCTION("""COMPUTED_VALUE"""),"706197")</f>
        <v>706197</v>
      </c>
      <c r="L230" s="8" t="str">
        <f>IFERROR(__xludf.DUMMYFUNCTION("""COMPUTED_VALUE"""),"SECURE CASH BOX C 250")</f>
        <v>SECURE CASH BOX C 250</v>
      </c>
      <c r="M230" s="12">
        <f>IFERROR(__xludf.DUMMYFUNCTION("""COMPUTED_VALUE"""),1.0)</f>
        <v>1</v>
      </c>
      <c r="N230" s="8" t="str">
        <f>IFERROR(__xludf.DUMMYFUNCTION("""COMPUTED_VALUE"""),"BH")</f>
        <v>BH</v>
      </c>
      <c r="O230" s="13">
        <f>IFERROR(__xludf.DUMMYFUNCTION("""COMPUTED_VALUE"""),250000.0)</f>
        <v>250000</v>
      </c>
      <c r="P230" s="12">
        <f>IFERROR(__xludf.DUMMYFUNCTION("""COMPUTED_VALUE"""),250000.0)</f>
        <v>250000</v>
      </c>
      <c r="Q230" s="8"/>
      <c r="R230" s="8">
        <f>IFERROR(__xludf.DUMMYFUNCTION("""COMPUTED_VALUE"""),0.0)</f>
        <v>0</v>
      </c>
      <c r="S230" s="12">
        <f>IFERROR(__xludf.DUMMYFUNCTION("""COMPUTED_VALUE"""),0.0)</f>
        <v>0</v>
      </c>
      <c r="T230" s="12">
        <f>IFERROR(__xludf.DUMMYFUNCTION("""COMPUTED_VALUE"""),250000.0)</f>
        <v>250000</v>
      </c>
      <c r="U230" s="13">
        <f>IFERROR(__xludf.DUMMYFUNCTION("""COMPUTED_VALUE"""),0.0)</f>
        <v>0</v>
      </c>
      <c r="V230" s="8"/>
      <c r="W230" s="8"/>
      <c r="X230" s="8">
        <f t="shared" si="1"/>
        <v>4</v>
      </c>
      <c r="AA230" s="10"/>
    </row>
    <row r="231">
      <c r="A231" s="8" t="str">
        <f>IFERROR(__xludf.DUMMYFUNCTION("""COMPUTED_VALUE"""),"9998/JL/UTM/0424")</f>
        <v>9998/JL/UTM/0424</v>
      </c>
      <c r="B231" s="11">
        <f>IFERROR(__xludf.DUMMYFUNCTION("""COMPUTED_VALUE"""),45411.76788194444)</f>
        <v>45411.76788</v>
      </c>
      <c r="C231" s="8" t="str">
        <f>IFERROR(__xludf.DUMMYFUNCTION("""COMPUTED_VALUE"""),"UMUM")</f>
        <v>UMUM</v>
      </c>
      <c r="D231" s="8" t="str">
        <f>IFERROR(__xludf.DUMMYFUNCTION("""COMPUTED_VALUE"""),"UMUM")</f>
        <v>UMUM</v>
      </c>
      <c r="E231" s="8" t="str">
        <f>IFERROR(__xludf.DUMMYFUNCTION("""COMPUTED_VALUE"""),"JUFRY")</f>
        <v>JUFRY</v>
      </c>
      <c r="F231" s="8"/>
      <c r="G231" s="8"/>
      <c r="H231" s="8"/>
      <c r="I231" s="8"/>
      <c r="J231" s="8" t="str">
        <f>IFERROR(__xludf.DUMMYFUNCTION("""COMPUTED_VALUE"""),"  ")</f>
        <v>  </v>
      </c>
      <c r="K231" s="8" t="str">
        <f>IFERROR(__xludf.DUMMYFUNCTION("""COMPUTED_VALUE"""),"706116")</f>
        <v>706116</v>
      </c>
      <c r="L231" s="8" t="str">
        <f>IFERROR(__xludf.DUMMYFUNCTION("""COMPUTED_VALUE"""),"JOYKO MSN LEBEL HARGA MX5500")</f>
        <v>JOYKO MSN LEBEL HARGA MX5500</v>
      </c>
      <c r="M231" s="12">
        <f>IFERROR(__xludf.DUMMYFUNCTION("""COMPUTED_VALUE"""),1.0)</f>
        <v>1</v>
      </c>
      <c r="N231" s="8" t="str">
        <f>IFERROR(__xludf.DUMMYFUNCTION("""COMPUTED_VALUE"""),"BH")</f>
        <v>BH</v>
      </c>
      <c r="O231" s="13">
        <f>IFERROR(__xludf.DUMMYFUNCTION("""COMPUTED_VALUE"""),70000.0)</f>
        <v>70000</v>
      </c>
      <c r="P231" s="12">
        <f>IFERROR(__xludf.DUMMYFUNCTION("""COMPUTED_VALUE"""),70000.0)</f>
        <v>70000</v>
      </c>
      <c r="Q231" s="8"/>
      <c r="R231" s="8">
        <f>IFERROR(__xludf.DUMMYFUNCTION("""COMPUTED_VALUE"""),0.0)</f>
        <v>0</v>
      </c>
      <c r="S231" s="12">
        <f>IFERROR(__xludf.DUMMYFUNCTION("""COMPUTED_VALUE"""),0.0)</f>
        <v>0</v>
      </c>
      <c r="T231" s="12">
        <f>IFERROR(__xludf.DUMMYFUNCTION("""COMPUTED_VALUE"""),70000.0)</f>
        <v>70000</v>
      </c>
      <c r="U231" s="13">
        <f>IFERROR(__xludf.DUMMYFUNCTION("""COMPUTED_VALUE"""),0.0)</f>
        <v>0</v>
      </c>
      <c r="V231" s="8"/>
      <c r="W231" s="8"/>
      <c r="X231" s="8">
        <f t="shared" si="1"/>
        <v>4</v>
      </c>
      <c r="AA231" s="10"/>
    </row>
    <row r="232">
      <c r="A232" s="8" t="str">
        <f>IFERROR(__xludf.DUMMYFUNCTION("""COMPUTED_VALUE"""),"9999/JL/UTM/0424")</f>
        <v>9999/JL/UTM/0424</v>
      </c>
      <c r="B232" s="11">
        <f>IFERROR(__xludf.DUMMYFUNCTION("""COMPUTED_VALUE"""),45412.73868055556)</f>
        <v>45412.73868</v>
      </c>
      <c r="C232" s="8" t="str">
        <f>IFERROR(__xludf.DUMMYFUNCTION("""COMPUTED_VALUE"""),"PL0932")</f>
        <v>PL0932</v>
      </c>
      <c r="D232" s="8" t="str">
        <f>IFERROR(__xludf.DUMMYFUNCTION("""COMPUTED_VALUE"""),"PT. MERANTI SARANA NIAGA")</f>
        <v>PT. MERANTI SARANA NIAGA</v>
      </c>
      <c r="E232" s="8" t="str">
        <f>IFERROR(__xludf.DUMMYFUNCTION("""COMPUTED_VALUE"""),"JUFRY")</f>
        <v>JUFRY</v>
      </c>
      <c r="F232" s="8"/>
      <c r="G232" s="8"/>
      <c r="H232" s="8"/>
      <c r="I232" s="8"/>
      <c r="J232" s="8" t="str">
        <f>IFERROR(__xludf.DUMMYFUNCTION("""COMPUTED_VALUE"""),"PALU  ")</f>
        <v>PALU  </v>
      </c>
      <c r="K232" s="8" t="str">
        <f>IFERROR(__xludf.DUMMYFUNCTION("""COMPUTED_VALUE"""),"40188")</f>
        <v>40188</v>
      </c>
      <c r="L232" s="8" t="str">
        <f>IFERROR(__xludf.DUMMYFUNCTION("""COMPUTED_VALUE"""),"POP ONE WHITEBOARD 90X180")</f>
        <v>POP ONE WHITEBOARD 90X180</v>
      </c>
      <c r="M232" s="12">
        <f>IFERROR(__xludf.DUMMYFUNCTION("""COMPUTED_VALUE"""),1.0)</f>
        <v>1</v>
      </c>
      <c r="N232" s="8" t="str">
        <f>IFERROR(__xludf.DUMMYFUNCTION("""COMPUTED_VALUE"""),"BH")</f>
        <v>BH</v>
      </c>
      <c r="O232" s="13">
        <f>IFERROR(__xludf.DUMMYFUNCTION("""COMPUTED_VALUE"""),725000.0)</f>
        <v>725000</v>
      </c>
      <c r="P232" s="12">
        <f>IFERROR(__xludf.DUMMYFUNCTION("""COMPUTED_VALUE"""),725000.0)</f>
        <v>725000</v>
      </c>
      <c r="Q232" s="8"/>
      <c r="R232" s="8">
        <f>IFERROR(__xludf.DUMMYFUNCTION("""COMPUTED_VALUE"""),0.0)</f>
        <v>0</v>
      </c>
      <c r="S232" s="12">
        <f>IFERROR(__xludf.DUMMYFUNCTION("""COMPUTED_VALUE"""),0.0)</f>
        <v>0</v>
      </c>
      <c r="T232" s="12">
        <f>IFERROR(__xludf.DUMMYFUNCTION("""COMPUTED_VALUE"""),725000.0)</f>
        <v>725000</v>
      </c>
      <c r="U232" s="13">
        <f>IFERROR(__xludf.DUMMYFUNCTION("""COMPUTED_VALUE"""),0.0)</f>
        <v>0</v>
      </c>
      <c r="V232" s="8" t="str">
        <f>IFERROR(__xludf.DUMMYFUNCTION("""COMPUTED_VALUE"""),"TF. BRI")</f>
        <v>TF. BRI</v>
      </c>
      <c r="W232" s="8"/>
      <c r="X232" s="8">
        <f t="shared" si="1"/>
        <v>4</v>
      </c>
      <c r="AA232" s="10"/>
    </row>
    <row r="233">
      <c r="A233" s="8" t="str">
        <f>IFERROR(__xludf.DUMMYFUNCTION("""COMPUTED_VALUE"""),"10000/JL/UTM/0424")</f>
        <v>10000/JL/UTM/0424</v>
      </c>
      <c r="B233" s="11">
        <f>IFERROR(__xludf.DUMMYFUNCTION("""COMPUTED_VALUE"""),45412.7418287037)</f>
        <v>45412.74183</v>
      </c>
      <c r="C233" s="8" t="str">
        <f>IFERROR(__xludf.DUMMYFUNCTION("""COMPUTED_VALUE"""),"317")</f>
        <v>317</v>
      </c>
      <c r="D233" s="8" t="str">
        <f>IFERROR(__xludf.DUMMYFUNCTION("""COMPUTED_VALUE"""),"WVI")</f>
        <v>WVI</v>
      </c>
      <c r="E233" s="8" t="str">
        <f>IFERROR(__xludf.DUMMYFUNCTION("""COMPUTED_VALUE"""),"JUFRY")</f>
        <v>JUFRY</v>
      </c>
      <c r="F233" s="8"/>
      <c r="G233" s="8"/>
      <c r="H233" s="8"/>
      <c r="I233" s="8"/>
      <c r="J233" s="8" t="str">
        <f>IFERROR(__xludf.DUMMYFUNCTION("""COMPUTED_VALUE"""),"  ")</f>
        <v>  </v>
      </c>
      <c r="K233" s="8" t="str">
        <f>IFERROR(__xludf.DUMMYFUNCTION("""COMPUTED_VALUE"""),"706279")</f>
        <v>706279</v>
      </c>
      <c r="L233" s="8" t="str">
        <f>IFERROR(__xludf.DUMMYFUNCTION("""COMPUTED_VALUE"""),"INCO KURSI STAF CASOVA I")</f>
        <v>INCO KURSI STAF CASOVA I</v>
      </c>
      <c r="M233" s="12">
        <f>IFERROR(__xludf.DUMMYFUNCTION("""COMPUTED_VALUE"""),2.0)</f>
        <v>2</v>
      </c>
      <c r="N233" s="8" t="str">
        <f>IFERROR(__xludf.DUMMYFUNCTION("""COMPUTED_VALUE"""),"BH")</f>
        <v>BH</v>
      </c>
      <c r="O233" s="13">
        <f>IFERROR(__xludf.DUMMYFUNCTION("""COMPUTED_VALUE"""),950000.0)</f>
        <v>950000</v>
      </c>
      <c r="P233" s="12">
        <f>IFERROR(__xludf.DUMMYFUNCTION("""COMPUTED_VALUE"""),0.0)</f>
        <v>0</v>
      </c>
      <c r="Q233" s="8"/>
      <c r="R233" s="8">
        <f>IFERROR(__xludf.DUMMYFUNCTION("""COMPUTED_VALUE"""),0.0)</f>
        <v>0</v>
      </c>
      <c r="S233" s="12">
        <f>IFERROR(__xludf.DUMMYFUNCTION("""COMPUTED_VALUE"""),4610000.0)</f>
        <v>4610000</v>
      </c>
      <c r="T233" s="12">
        <f>IFERROR(__xludf.DUMMYFUNCTION("""COMPUTED_VALUE"""),1900000.0)</f>
        <v>1900000</v>
      </c>
      <c r="U233" s="13">
        <f>IFERROR(__xludf.DUMMYFUNCTION("""COMPUTED_VALUE"""),0.0)</f>
        <v>0</v>
      </c>
      <c r="V233" s="8" t="str">
        <f>IFERROR(__xludf.DUMMYFUNCTION("""COMPUTED_VALUE"""),"PO. PID  2024100")</f>
        <v>PO. PID  2024100</v>
      </c>
      <c r="W233" s="8"/>
      <c r="X233" s="8">
        <f t="shared" si="1"/>
        <v>4</v>
      </c>
      <c r="AA233" s="10"/>
    </row>
    <row r="234">
      <c r="A234" s="8" t="str">
        <f>IFERROR(__xludf.DUMMYFUNCTION("""COMPUTED_VALUE"""),"10000/JL/UTM/0424")</f>
        <v>10000/JL/UTM/0424</v>
      </c>
      <c r="B234" s="11">
        <f>IFERROR(__xludf.DUMMYFUNCTION("""COMPUTED_VALUE"""),45412.7418287037)</f>
        <v>45412.74183</v>
      </c>
      <c r="C234" s="8" t="str">
        <f>IFERROR(__xludf.DUMMYFUNCTION("""COMPUTED_VALUE"""),"317")</f>
        <v>317</v>
      </c>
      <c r="D234" s="8" t="str">
        <f>IFERROR(__xludf.DUMMYFUNCTION("""COMPUTED_VALUE"""),"WVI")</f>
        <v>WVI</v>
      </c>
      <c r="E234" s="8" t="str">
        <f>IFERROR(__xludf.DUMMYFUNCTION("""COMPUTED_VALUE"""),"JUFRY")</f>
        <v>JUFRY</v>
      </c>
      <c r="F234" s="8"/>
      <c r="G234" s="8"/>
      <c r="H234" s="8"/>
      <c r="I234" s="8"/>
      <c r="J234" s="8" t="str">
        <f>IFERROR(__xludf.DUMMYFUNCTION("""COMPUTED_VALUE"""),"  ")</f>
        <v>  </v>
      </c>
      <c r="K234" s="8" t="str">
        <f>IFERROR(__xludf.DUMMYFUNCTION("""COMPUTED_VALUE"""),"706227")</f>
        <v>706227</v>
      </c>
      <c r="L234" s="8" t="str">
        <f>IFERROR(__xludf.DUMMYFUNCTION("""COMPUTED_VALUE"""),"INCO JAVICO I  KURSI STAF")</f>
        <v>INCO JAVICO I  KURSI STAF</v>
      </c>
      <c r="M234" s="12">
        <f>IFERROR(__xludf.DUMMYFUNCTION("""COMPUTED_VALUE"""),2.0)</f>
        <v>2</v>
      </c>
      <c r="N234" s="8" t="str">
        <f>IFERROR(__xludf.DUMMYFUNCTION("""COMPUTED_VALUE"""),"BH")</f>
        <v>BH</v>
      </c>
      <c r="O234" s="13">
        <f>IFERROR(__xludf.DUMMYFUNCTION("""COMPUTED_VALUE"""),880000.0)</f>
        <v>880000</v>
      </c>
      <c r="P234" s="12">
        <f>IFERROR(__xludf.DUMMYFUNCTION("""COMPUTED_VALUE"""),0.0)</f>
        <v>0</v>
      </c>
      <c r="Q234" s="8"/>
      <c r="R234" s="8">
        <f>IFERROR(__xludf.DUMMYFUNCTION("""COMPUTED_VALUE"""),0.0)</f>
        <v>0</v>
      </c>
      <c r="S234" s="12">
        <f>IFERROR(__xludf.DUMMYFUNCTION("""COMPUTED_VALUE"""),4610000.0)</f>
        <v>4610000</v>
      </c>
      <c r="T234" s="12">
        <f>IFERROR(__xludf.DUMMYFUNCTION("""COMPUTED_VALUE"""),1760000.0)</f>
        <v>1760000</v>
      </c>
      <c r="U234" s="13">
        <f>IFERROR(__xludf.DUMMYFUNCTION("""COMPUTED_VALUE"""),0.0)</f>
        <v>0</v>
      </c>
      <c r="V234" s="8" t="str">
        <f>IFERROR(__xludf.DUMMYFUNCTION("""COMPUTED_VALUE"""),"PO. PID  2024100")</f>
        <v>PO. PID  2024100</v>
      </c>
      <c r="W234" s="8"/>
      <c r="X234" s="8">
        <f t="shared" si="1"/>
        <v>4</v>
      </c>
      <c r="AA234" s="10"/>
    </row>
    <row r="235">
      <c r="A235" s="8" t="str">
        <f>IFERROR(__xludf.DUMMYFUNCTION("""COMPUTED_VALUE"""),"10000/JL/UTM/0424")</f>
        <v>10000/JL/UTM/0424</v>
      </c>
      <c r="B235" s="11">
        <f>IFERROR(__xludf.DUMMYFUNCTION("""COMPUTED_VALUE"""),45412.7418287037)</f>
        <v>45412.74183</v>
      </c>
      <c r="C235" s="8" t="str">
        <f>IFERROR(__xludf.DUMMYFUNCTION("""COMPUTED_VALUE"""),"317")</f>
        <v>317</v>
      </c>
      <c r="D235" s="8" t="str">
        <f>IFERROR(__xludf.DUMMYFUNCTION("""COMPUTED_VALUE"""),"WVI")</f>
        <v>WVI</v>
      </c>
      <c r="E235" s="8" t="str">
        <f>IFERROR(__xludf.DUMMYFUNCTION("""COMPUTED_VALUE"""),"JUFRY")</f>
        <v>JUFRY</v>
      </c>
      <c r="F235" s="8"/>
      <c r="G235" s="8"/>
      <c r="H235" s="8"/>
      <c r="I235" s="8"/>
      <c r="J235" s="8" t="str">
        <f>IFERROR(__xludf.DUMMYFUNCTION("""COMPUTED_VALUE"""),"  ")</f>
        <v>  </v>
      </c>
      <c r="K235" s="8" t="str">
        <f>IFERROR(__xludf.DUMMYFUNCTION("""COMPUTED_VALUE"""),"706288")</f>
        <v>706288</v>
      </c>
      <c r="L235" s="8" t="str">
        <f>IFERROR(__xludf.DUMMYFUNCTION("""COMPUTED_VALUE"""),"BROTHER KURSI BR 206 AH")</f>
        <v>BROTHER KURSI BR 206 AH</v>
      </c>
      <c r="M235" s="12">
        <f>IFERROR(__xludf.DUMMYFUNCTION("""COMPUTED_VALUE"""),1.0)</f>
        <v>1</v>
      </c>
      <c r="N235" s="8" t="str">
        <f>IFERROR(__xludf.DUMMYFUNCTION("""COMPUTED_VALUE"""),"BH")</f>
        <v>BH</v>
      </c>
      <c r="O235" s="13">
        <f>IFERROR(__xludf.DUMMYFUNCTION("""COMPUTED_VALUE"""),950000.0)</f>
        <v>950000</v>
      </c>
      <c r="P235" s="12">
        <f>IFERROR(__xludf.DUMMYFUNCTION("""COMPUTED_VALUE"""),0.0)</f>
        <v>0</v>
      </c>
      <c r="Q235" s="8"/>
      <c r="R235" s="8">
        <f>IFERROR(__xludf.DUMMYFUNCTION("""COMPUTED_VALUE"""),0.0)</f>
        <v>0</v>
      </c>
      <c r="S235" s="12">
        <f>IFERROR(__xludf.DUMMYFUNCTION("""COMPUTED_VALUE"""),4610000.0)</f>
        <v>4610000</v>
      </c>
      <c r="T235" s="12">
        <f>IFERROR(__xludf.DUMMYFUNCTION("""COMPUTED_VALUE"""),950000.0)</f>
        <v>950000</v>
      </c>
      <c r="U235" s="13">
        <f>IFERROR(__xludf.DUMMYFUNCTION("""COMPUTED_VALUE"""),0.0)</f>
        <v>0</v>
      </c>
      <c r="V235" s="8" t="str">
        <f>IFERROR(__xludf.DUMMYFUNCTION("""COMPUTED_VALUE"""),"PO. PID  2024100")</f>
        <v>PO. PID  2024100</v>
      </c>
      <c r="W235" s="8"/>
      <c r="X235" s="8">
        <f t="shared" si="1"/>
        <v>4</v>
      </c>
      <c r="AA235" s="10"/>
    </row>
    <row r="236">
      <c r="A236" s="8" t="str">
        <f>IFERROR(__xludf.DUMMYFUNCTION("""COMPUTED_VALUE"""),"10001/JL/UTM/0424")</f>
        <v>10001/JL/UTM/0424</v>
      </c>
      <c r="B236" s="11">
        <f>IFERROR(__xludf.DUMMYFUNCTION("""COMPUTED_VALUE"""),45412.7680787037)</f>
        <v>45412.76808</v>
      </c>
      <c r="C236" s="8" t="str">
        <f>IFERROR(__xludf.DUMMYFUNCTION("""COMPUTED_VALUE"""),"UMUM")</f>
        <v>UMUM</v>
      </c>
      <c r="D236" s="8" t="str">
        <f>IFERROR(__xludf.DUMMYFUNCTION("""COMPUTED_VALUE"""),"UMUM")</f>
        <v>UMUM</v>
      </c>
      <c r="E236" s="8" t="str">
        <f>IFERROR(__xludf.DUMMYFUNCTION("""COMPUTED_VALUE"""),"JUFRY")</f>
        <v>JUFRY</v>
      </c>
      <c r="F236" s="8"/>
      <c r="G236" s="8"/>
      <c r="H236" s="8"/>
      <c r="I236" s="8"/>
      <c r="J236" s="8" t="str">
        <f>IFERROR(__xludf.DUMMYFUNCTION("""COMPUTED_VALUE"""),"  ")</f>
        <v>  </v>
      </c>
      <c r="K236" s="8" t="str">
        <f>IFERROR(__xludf.DUMMYFUNCTION("""COMPUTED_VALUE"""),"40555")</f>
        <v>40555</v>
      </c>
      <c r="L236" s="8" t="str">
        <f>IFERROR(__xludf.DUMMYFUNCTION("""COMPUTED_VALUE"""),"AKTIV MEJA 1 BIRO GALANT MTO 161")</f>
        <v>AKTIV MEJA 1 BIRO GALANT MTO 161</v>
      </c>
      <c r="M236" s="12">
        <f>IFERROR(__xludf.DUMMYFUNCTION("""COMPUTED_VALUE"""),1.0)</f>
        <v>1</v>
      </c>
      <c r="N236" s="8" t="str">
        <f>IFERROR(__xludf.DUMMYFUNCTION("""COMPUTED_VALUE"""),"UNIT")</f>
        <v>UNIT</v>
      </c>
      <c r="O236" s="13">
        <f>IFERROR(__xludf.DUMMYFUNCTION("""COMPUTED_VALUE"""),1800000.0)</f>
        <v>1800000</v>
      </c>
      <c r="P236" s="12">
        <f>IFERROR(__xludf.DUMMYFUNCTION("""COMPUTED_VALUE"""),3200000.0)</f>
        <v>3200000</v>
      </c>
      <c r="Q236" s="8"/>
      <c r="R236" s="8">
        <f>IFERROR(__xludf.DUMMYFUNCTION("""COMPUTED_VALUE"""),0.0)</f>
        <v>0</v>
      </c>
      <c r="S236" s="12">
        <f>IFERROR(__xludf.DUMMYFUNCTION("""COMPUTED_VALUE"""),0.0)</f>
        <v>0</v>
      </c>
      <c r="T236" s="12">
        <f>IFERROR(__xludf.DUMMYFUNCTION("""COMPUTED_VALUE"""),1800000.0)</f>
        <v>1800000</v>
      </c>
      <c r="U236" s="13">
        <f>IFERROR(__xludf.DUMMYFUNCTION("""COMPUTED_VALUE"""),8.5714285714)</f>
        <v>8.571428571</v>
      </c>
      <c r="V236" s="8"/>
      <c r="W236" s="8"/>
      <c r="X236" s="8">
        <f t="shared" si="1"/>
        <v>4</v>
      </c>
      <c r="AA236" s="10"/>
    </row>
    <row r="237">
      <c r="A237" s="8" t="str">
        <f>IFERROR(__xludf.DUMMYFUNCTION("""COMPUTED_VALUE"""),"10001/JL/UTM/0424")</f>
        <v>10001/JL/UTM/0424</v>
      </c>
      <c r="B237" s="11">
        <f>IFERROR(__xludf.DUMMYFUNCTION("""COMPUTED_VALUE"""),45412.7680787037)</f>
        <v>45412.76808</v>
      </c>
      <c r="C237" s="8" t="str">
        <f>IFERROR(__xludf.DUMMYFUNCTION("""COMPUTED_VALUE"""),"UMUM")</f>
        <v>UMUM</v>
      </c>
      <c r="D237" s="8" t="str">
        <f>IFERROR(__xludf.DUMMYFUNCTION("""COMPUTED_VALUE"""),"UMUM")</f>
        <v>UMUM</v>
      </c>
      <c r="E237" s="8" t="str">
        <f>IFERROR(__xludf.DUMMYFUNCTION("""COMPUTED_VALUE"""),"JUFRY")</f>
        <v>JUFRY</v>
      </c>
      <c r="F237" s="8"/>
      <c r="G237" s="8"/>
      <c r="H237" s="8"/>
      <c r="I237" s="8"/>
      <c r="J237" s="8" t="str">
        <f>IFERROR(__xludf.DUMMYFUNCTION("""COMPUTED_VALUE"""),"  ")</f>
        <v>  </v>
      </c>
      <c r="K237" s="8" t="str">
        <f>IFERROR(__xludf.DUMMYFUNCTION("""COMPUTED_VALUE"""),"70617")</f>
        <v>70617</v>
      </c>
      <c r="L237" s="8" t="str">
        <f>IFERROR(__xludf.DUMMYFUNCTION("""COMPUTED_VALUE"""),"INCO KURSI STAF AERON I CR")</f>
        <v>INCO KURSI STAF AERON I CR</v>
      </c>
      <c r="M237" s="12">
        <f>IFERROR(__xludf.DUMMYFUNCTION("""COMPUTED_VALUE"""),1.0)</f>
        <v>1</v>
      </c>
      <c r="N237" s="8" t="str">
        <f>IFERROR(__xludf.DUMMYFUNCTION("""COMPUTED_VALUE"""),"UNIT")</f>
        <v>UNIT</v>
      </c>
      <c r="O237" s="13">
        <f>IFERROR(__xludf.DUMMYFUNCTION("""COMPUTED_VALUE"""),1700000.0)</f>
        <v>1700000</v>
      </c>
      <c r="P237" s="12">
        <f>IFERROR(__xludf.DUMMYFUNCTION("""COMPUTED_VALUE"""),3200000.0)</f>
        <v>3200000</v>
      </c>
      <c r="Q237" s="8"/>
      <c r="R237" s="8">
        <f>IFERROR(__xludf.DUMMYFUNCTION("""COMPUTED_VALUE"""),0.0)</f>
        <v>0</v>
      </c>
      <c r="S237" s="12">
        <f>IFERROR(__xludf.DUMMYFUNCTION("""COMPUTED_VALUE"""),0.0)</f>
        <v>0</v>
      </c>
      <c r="T237" s="12">
        <f>IFERROR(__xludf.DUMMYFUNCTION("""COMPUTED_VALUE"""),1700000.0)</f>
        <v>1700000</v>
      </c>
      <c r="U237" s="13">
        <f>IFERROR(__xludf.DUMMYFUNCTION("""COMPUTED_VALUE"""),8.5714285714)</f>
        <v>8.571428571</v>
      </c>
      <c r="V237" s="8"/>
      <c r="W237" s="8"/>
      <c r="X237" s="8">
        <f t="shared" si="1"/>
        <v>4</v>
      </c>
      <c r="AA237" s="10"/>
    </row>
    <row r="238">
      <c r="A238" s="8" t="str">
        <f>IFERROR(__xludf.DUMMYFUNCTION("""COMPUTED_VALUE"""),"10002/JL/UTM/0524")</f>
        <v>10002/JL/UTM/0524</v>
      </c>
      <c r="B238" s="11">
        <f>IFERROR(__xludf.DUMMYFUNCTION("""COMPUTED_VALUE"""),45414.786250000005)</f>
        <v>45414.78625</v>
      </c>
      <c r="C238" s="8" t="str">
        <f>IFERROR(__xludf.DUMMYFUNCTION("""COMPUTED_VALUE"""),"PL0927")</f>
        <v>PL0927</v>
      </c>
      <c r="D238" s="8" t="str">
        <f>IFERROR(__xludf.DUMMYFUNCTION("""COMPUTED_VALUE"""),"CV. SENTOSA ABADI")</f>
        <v>CV. SENTOSA ABADI</v>
      </c>
      <c r="E238" s="8" t="str">
        <f>IFERROR(__xludf.DUMMYFUNCTION("""COMPUTED_VALUE"""),"JUFRY")</f>
        <v>JUFRY</v>
      </c>
      <c r="F238" s="8"/>
      <c r="G238" s="8"/>
      <c r="H238" s="8"/>
      <c r="I238" s="8"/>
      <c r="J238" s="8" t="str">
        <f>IFERROR(__xludf.DUMMYFUNCTION("""COMPUTED_VALUE"""),"PALU  ")</f>
        <v>PALU  </v>
      </c>
      <c r="K238" s="8" t="str">
        <f>IFERROR(__xludf.DUMMYFUNCTION("""COMPUTED_VALUE"""),"20058")</f>
        <v>20058</v>
      </c>
      <c r="L238" s="8" t="str">
        <f>IFERROR(__xludf.DUMMYFUNCTION("""COMPUTED_VALUE"""),"BROTHER LEMARI ARSIP PINTU KACA B304")</f>
        <v>BROTHER LEMARI ARSIP PINTU KACA B304</v>
      </c>
      <c r="M238" s="12">
        <f>IFERROR(__xludf.DUMMYFUNCTION("""COMPUTED_VALUE"""),1.0)</f>
        <v>1</v>
      </c>
      <c r="N238" s="8" t="str">
        <f>IFERROR(__xludf.DUMMYFUNCTION("""COMPUTED_VALUE"""),"UNIT")</f>
        <v>UNIT</v>
      </c>
      <c r="O238" s="13">
        <f>IFERROR(__xludf.DUMMYFUNCTION("""COMPUTED_VALUE"""),3625000.0)</f>
        <v>3625000</v>
      </c>
      <c r="P238" s="12">
        <f>IFERROR(__xludf.DUMMYFUNCTION("""COMPUTED_VALUE"""),4425000.0)</f>
        <v>4425000</v>
      </c>
      <c r="Q238" s="8"/>
      <c r="R238" s="8">
        <f>IFERROR(__xludf.DUMMYFUNCTION("""COMPUTED_VALUE"""),0.0)</f>
        <v>0</v>
      </c>
      <c r="S238" s="12">
        <f>IFERROR(__xludf.DUMMYFUNCTION("""COMPUTED_VALUE"""),0.0)</f>
        <v>0</v>
      </c>
      <c r="T238" s="12">
        <f>IFERROR(__xludf.DUMMYFUNCTION("""COMPUTED_VALUE"""),3625000.0)</f>
        <v>3625000</v>
      </c>
      <c r="U238" s="13">
        <f>IFERROR(__xludf.DUMMYFUNCTION("""COMPUTED_VALUE"""),0.0)</f>
        <v>0</v>
      </c>
      <c r="V238" s="8" t="str">
        <f>IFERROR(__xludf.DUMMYFUNCTION("""COMPUTED_VALUE"""),"TF. MANDIRI")</f>
        <v>TF. MANDIRI</v>
      </c>
      <c r="W238" s="8"/>
      <c r="X238" s="8">
        <f t="shared" si="1"/>
        <v>5</v>
      </c>
      <c r="AA238" s="10"/>
    </row>
    <row r="239">
      <c r="A239" s="8" t="str">
        <f>IFERROR(__xludf.DUMMYFUNCTION("""COMPUTED_VALUE"""),"10002/JL/UTM/0524")</f>
        <v>10002/JL/UTM/0524</v>
      </c>
      <c r="B239" s="11">
        <f>IFERROR(__xludf.DUMMYFUNCTION("""COMPUTED_VALUE"""),45414.786250000005)</f>
        <v>45414.78625</v>
      </c>
      <c r="C239" s="8" t="str">
        <f>IFERROR(__xludf.DUMMYFUNCTION("""COMPUTED_VALUE"""),"PL0927")</f>
        <v>PL0927</v>
      </c>
      <c r="D239" s="8" t="str">
        <f>IFERROR(__xludf.DUMMYFUNCTION("""COMPUTED_VALUE"""),"CV. SENTOSA ABADI")</f>
        <v>CV. SENTOSA ABADI</v>
      </c>
      <c r="E239" s="8" t="str">
        <f>IFERROR(__xludf.DUMMYFUNCTION("""COMPUTED_VALUE"""),"JUFRY")</f>
        <v>JUFRY</v>
      </c>
      <c r="F239" s="8"/>
      <c r="G239" s="8"/>
      <c r="H239" s="8"/>
      <c r="I239" s="8"/>
      <c r="J239" s="8" t="str">
        <f>IFERROR(__xludf.DUMMYFUNCTION("""COMPUTED_VALUE"""),"PALU  ")</f>
        <v>PALU  </v>
      </c>
      <c r="K239" s="8" t="str">
        <f>IFERROR(__xludf.DUMMYFUNCTION("""COMPUTED_VALUE"""),"40359")</f>
        <v>40359</v>
      </c>
      <c r="L239" s="8" t="str">
        <f>IFERROR(__xludf.DUMMYFUNCTION("""COMPUTED_VALUE"""),"POP ONE WHITEBOARD 120X180")</f>
        <v>POP ONE WHITEBOARD 120X180</v>
      </c>
      <c r="M239" s="12">
        <f>IFERROR(__xludf.DUMMYFUNCTION("""COMPUTED_VALUE"""),1.0)</f>
        <v>1</v>
      </c>
      <c r="N239" s="8" t="str">
        <f>IFERROR(__xludf.DUMMYFUNCTION("""COMPUTED_VALUE"""),"BH")</f>
        <v>BH</v>
      </c>
      <c r="O239" s="13">
        <f>IFERROR(__xludf.DUMMYFUNCTION("""COMPUTED_VALUE"""),800000.0)</f>
        <v>800000</v>
      </c>
      <c r="P239" s="12">
        <f>IFERROR(__xludf.DUMMYFUNCTION("""COMPUTED_VALUE"""),4425000.0)</f>
        <v>4425000</v>
      </c>
      <c r="Q239" s="8"/>
      <c r="R239" s="8">
        <f>IFERROR(__xludf.DUMMYFUNCTION("""COMPUTED_VALUE"""),0.0)</f>
        <v>0</v>
      </c>
      <c r="S239" s="12">
        <f>IFERROR(__xludf.DUMMYFUNCTION("""COMPUTED_VALUE"""),0.0)</f>
        <v>0</v>
      </c>
      <c r="T239" s="12">
        <f>IFERROR(__xludf.DUMMYFUNCTION("""COMPUTED_VALUE"""),800000.0)</f>
        <v>800000</v>
      </c>
      <c r="U239" s="13">
        <f>IFERROR(__xludf.DUMMYFUNCTION("""COMPUTED_VALUE"""),0.0)</f>
        <v>0</v>
      </c>
      <c r="V239" s="8" t="str">
        <f>IFERROR(__xludf.DUMMYFUNCTION("""COMPUTED_VALUE"""),"TF. MANDIRI")</f>
        <v>TF. MANDIRI</v>
      </c>
      <c r="W239" s="8"/>
      <c r="X239" s="8">
        <f t="shared" si="1"/>
        <v>5</v>
      </c>
      <c r="AA239" s="10"/>
    </row>
    <row r="240">
      <c r="A240" s="8" t="str">
        <f>IFERROR(__xludf.DUMMYFUNCTION("""COMPUTED_VALUE"""),"10003/JL/UTM/0524")</f>
        <v>10003/JL/UTM/0524</v>
      </c>
      <c r="B240" s="11">
        <f>IFERROR(__xludf.DUMMYFUNCTION("""COMPUTED_VALUE"""),45414.78765046297)</f>
        <v>45414.78765</v>
      </c>
      <c r="C240" s="8" t="str">
        <f>IFERROR(__xludf.DUMMYFUNCTION("""COMPUTED_VALUE"""),"372")</f>
        <v>372</v>
      </c>
      <c r="D240" s="8" t="str">
        <f>IFERROR(__xludf.DUMMYFUNCTION("""COMPUTED_VALUE"""),"LIBRA COMPUTER")</f>
        <v>LIBRA COMPUTER</v>
      </c>
      <c r="E240" s="8" t="str">
        <f>IFERROR(__xludf.DUMMYFUNCTION("""COMPUTED_VALUE"""),"JUFRY")</f>
        <v>JUFRY</v>
      </c>
      <c r="F240" s="8"/>
      <c r="G240" s="8"/>
      <c r="H240" s="8"/>
      <c r="I240" s="8"/>
      <c r="J240" s="8" t="str">
        <f>IFERROR(__xludf.DUMMYFUNCTION("""COMPUTED_VALUE"""),"JL. OTISTA NO. 78  ")</f>
        <v>JL. OTISTA NO. 78  </v>
      </c>
      <c r="K240" s="8" t="str">
        <f>IFERROR(__xludf.DUMMYFUNCTION("""COMPUTED_VALUE"""),"20055")</f>
        <v>20055</v>
      </c>
      <c r="L240" s="8" t="str">
        <f>IFERROR(__xludf.DUMMYFUNCTION("""COMPUTED_VALUE"""),"BROTHER FILING CABINET 3 LACI B103")</f>
        <v>BROTHER FILING CABINET 3 LACI B103</v>
      </c>
      <c r="M240" s="12">
        <f>IFERROR(__xludf.DUMMYFUNCTION("""COMPUTED_VALUE"""),1.0)</f>
        <v>1</v>
      </c>
      <c r="N240" s="8" t="str">
        <f>IFERROR(__xludf.DUMMYFUNCTION("""COMPUTED_VALUE"""),"UNIT")</f>
        <v>UNIT</v>
      </c>
      <c r="O240" s="13">
        <f>IFERROR(__xludf.DUMMYFUNCTION("""COMPUTED_VALUE"""),2230000.0)</f>
        <v>2230000</v>
      </c>
      <c r="P240" s="12">
        <f>IFERROR(__xludf.DUMMYFUNCTION("""COMPUTED_VALUE"""),2007000.0)</f>
        <v>2007000</v>
      </c>
      <c r="Q240" s="8"/>
      <c r="R240" s="8">
        <f>IFERROR(__xludf.DUMMYFUNCTION("""COMPUTED_VALUE"""),0.0)</f>
        <v>0</v>
      </c>
      <c r="S240" s="12">
        <f>IFERROR(__xludf.DUMMYFUNCTION("""COMPUTED_VALUE"""),0.0)</f>
        <v>0</v>
      </c>
      <c r="T240" s="12">
        <f>IFERROR(__xludf.DUMMYFUNCTION("""COMPUTED_VALUE"""),2007000.0)</f>
        <v>2007000</v>
      </c>
      <c r="U240" s="13">
        <f>IFERROR(__xludf.DUMMYFUNCTION("""COMPUTED_VALUE"""),0.0)</f>
        <v>0</v>
      </c>
      <c r="V240" s="8" t="str">
        <f>IFERROR(__xludf.DUMMYFUNCTION("""COMPUTED_VALUE"""),"TF.MANDIRI")</f>
        <v>TF.MANDIRI</v>
      </c>
      <c r="W240" s="8"/>
      <c r="X240" s="8">
        <f t="shared" si="1"/>
        <v>5</v>
      </c>
      <c r="AA240" s="10"/>
    </row>
    <row r="241">
      <c r="A241" s="8" t="str">
        <f>IFERROR(__xludf.DUMMYFUNCTION("""COMPUTED_VALUE"""),"10004/JL/UTM/0524")</f>
        <v>10004/JL/UTM/0524</v>
      </c>
      <c r="B241" s="11">
        <f>IFERROR(__xludf.DUMMYFUNCTION("""COMPUTED_VALUE"""),45414.78832175926)</f>
        <v>45414.78832</v>
      </c>
      <c r="C241" s="8" t="str">
        <f>IFERROR(__xludf.DUMMYFUNCTION("""COMPUTED_VALUE"""),"UMUM")</f>
        <v>UMUM</v>
      </c>
      <c r="D241" s="8" t="str">
        <f>IFERROR(__xludf.DUMMYFUNCTION("""COMPUTED_VALUE"""),"UMUM")</f>
        <v>UMUM</v>
      </c>
      <c r="E241" s="8" t="str">
        <f>IFERROR(__xludf.DUMMYFUNCTION("""COMPUTED_VALUE"""),"JUFRY")</f>
        <v>JUFRY</v>
      </c>
      <c r="F241" s="8"/>
      <c r="G241" s="8"/>
      <c r="H241" s="8"/>
      <c r="I241" s="8"/>
      <c r="J241" s="8" t="str">
        <f>IFERROR(__xludf.DUMMYFUNCTION("""COMPUTED_VALUE"""),"  ")</f>
        <v>  </v>
      </c>
      <c r="K241" s="8" t="str">
        <f>IFERROR(__xludf.DUMMYFUNCTION("""COMPUTED_VALUE"""),"40556")</f>
        <v>40556</v>
      </c>
      <c r="L241" s="8" t="str">
        <f>IFERROR(__xludf.DUMMYFUNCTION("""COMPUTED_VALUE"""),"OCEAN CITY MONEY DETECTOR OCI-2820")</f>
        <v>OCEAN CITY MONEY DETECTOR OCI-2820</v>
      </c>
      <c r="M241" s="12">
        <f>IFERROR(__xludf.DUMMYFUNCTION("""COMPUTED_VALUE"""),1.0)</f>
        <v>1</v>
      </c>
      <c r="N241" s="8" t="str">
        <f>IFERROR(__xludf.DUMMYFUNCTION("""COMPUTED_VALUE"""),"BH")</f>
        <v>BH</v>
      </c>
      <c r="O241" s="13">
        <f>IFERROR(__xludf.DUMMYFUNCTION("""COMPUTED_VALUE"""),165000.0)</f>
        <v>165000</v>
      </c>
      <c r="P241" s="12">
        <f>IFERROR(__xludf.DUMMYFUNCTION("""COMPUTED_VALUE"""),165000.0)</f>
        <v>165000</v>
      </c>
      <c r="Q241" s="8"/>
      <c r="R241" s="8">
        <f>IFERROR(__xludf.DUMMYFUNCTION("""COMPUTED_VALUE"""),0.0)</f>
        <v>0</v>
      </c>
      <c r="S241" s="12">
        <f>IFERROR(__xludf.DUMMYFUNCTION("""COMPUTED_VALUE"""),0.0)</f>
        <v>0</v>
      </c>
      <c r="T241" s="12">
        <f>IFERROR(__xludf.DUMMYFUNCTION("""COMPUTED_VALUE"""),165000.0)</f>
        <v>165000</v>
      </c>
      <c r="U241" s="13">
        <f>IFERROR(__xludf.DUMMYFUNCTION("""COMPUTED_VALUE"""),0.0)</f>
        <v>0</v>
      </c>
      <c r="V241" s="8"/>
      <c r="W241" s="8"/>
      <c r="X241" s="8">
        <f t="shared" si="1"/>
        <v>5</v>
      </c>
      <c r="AA241" s="10"/>
    </row>
    <row r="242">
      <c r="A242" s="8" t="str">
        <f>IFERROR(__xludf.DUMMYFUNCTION("""COMPUTED_VALUE"""),"10005/JL/UTM/0524")</f>
        <v>10005/JL/UTM/0524</v>
      </c>
      <c r="B242" s="11">
        <f>IFERROR(__xludf.DUMMYFUNCTION("""COMPUTED_VALUE"""),45414.79075231482)</f>
        <v>45414.79075</v>
      </c>
      <c r="C242" s="8" t="str">
        <f>IFERROR(__xludf.DUMMYFUNCTION("""COMPUTED_VALUE"""),"PL0937")</f>
        <v>PL0937</v>
      </c>
      <c r="D242" s="8" t="str">
        <f>IFERROR(__xludf.DUMMYFUNCTION("""COMPUTED_VALUE"""),"BPPID (AGUSTIN MARIA)")</f>
        <v>BPPID (AGUSTIN MARIA)</v>
      </c>
      <c r="E242" s="8" t="str">
        <f>IFERROR(__xludf.DUMMYFUNCTION("""COMPUTED_VALUE"""),"JUFRY")</f>
        <v>JUFRY</v>
      </c>
      <c r="F242" s="8"/>
      <c r="G242" s="8"/>
      <c r="H242" s="8"/>
      <c r="I242" s="8"/>
      <c r="J242" s="8" t="str">
        <f>IFERROR(__xludf.DUMMYFUNCTION("""COMPUTED_VALUE"""),"PALU  ")</f>
        <v>PALU  </v>
      </c>
      <c r="K242" s="8" t="str">
        <f>IFERROR(__xludf.DUMMYFUNCTION("""COMPUTED_VALUE"""),"706119")</f>
        <v>706119</v>
      </c>
      <c r="L242" s="8" t="str">
        <f>IFERROR(__xludf.DUMMYFUNCTION("""COMPUTED_VALUE"""),"KINGCO WHITE BOARD 60 X 120")</f>
        <v>KINGCO WHITE BOARD 60 X 120</v>
      </c>
      <c r="M242" s="12">
        <f>IFERROR(__xludf.DUMMYFUNCTION("""COMPUTED_VALUE"""),1.0)</f>
        <v>1</v>
      </c>
      <c r="N242" s="8" t="str">
        <f>IFERROR(__xludf.DUMMYFUNCTION("""COMPUTED_VALUE"""),"BH")</f>
        <v>BH</v>
      </c>
      <c r="O242" s="13">
        <f>IFERROR(__xludf.DUMMYFUNCTION("""COMPUTED_VALUE"""),175000.0)</f>
        <v>175000</v>
      </c>
      <c r="P242" s="12">
        <f>IFERROR(__xludf.DUMMYFUNCTION("""COMPUTED_VALUE"""),0.0)</f>
        <v>0</v>
      </c>
      <c r="Q242" s="8"/>
      <c r="R242" s="8">
        <f>IFERROR(__xludf.DUMMYFUNCTION("""COMPUTED_VALUE"""),0.0)</f>
        <v>0</v>
      </c>
      <c r="S242" s="12">
        <f>IFERROR(__xludf.DUMMYFUNCTION("""COMPUTED_VALUE"""),175000.0)</f>
        <v>175000</v>
      </c>
      <c r="T242" s="12">
        <f>IFERROR(__xludf.DUMMYFUNCTION("""COMPUTED_VALUE"""),175000.0)</f>
        <v>175000</v>
      </c>
      <c r="U242" s="13">
        <f>IFERROR(__xludf.DUMMYFUNCTION("""COMPUTED_VALUE"""),0.0)</f>
        <v>0</v>
      </c>
      <c r="V242" s="8"/>
      <c r="W242" s="8"/>
      <c r="X242" s="8">
        <f t="shared" si="1"/>
        <v>5</v>
      </c>
      <c r="AA242" s="10"/>
    </row>
    <row r="243">
      <c r="A243" s="8" t="str">
        <f>IFERROR(__xludf.DUMMYFUNCTION("""COMPUTED_VALUE"""),"10006/JL/UTM/0524")</f>
        <v>10006/JL/UTM/0524</v>
      </c>
      <c r="B243" s="11">
        <f>IFERROR(__xludf.DUMMYFUNCTION("""COMPUTED_VALUE"""),45415.808020833334)</f>
        <v>45415.80802</v>
      </c>
      <c r="C243" s="8" t="str">
        <f>IFERROR(__xludf.DUMMYFUNCTION("""COMPUTED_VALUE"""),"UMUM")</f>
        <v>UMUM</v>
      </c>
      <c r="D243" s="8" t="str">
        <f>IFERROR(__xludf.DUMMYFUNCTION("""COMPUTED_VALUE"""),"UMUM")</f>
        <v>UMUM</v>
      </c>
      <c r="E243" s="8" t="str">
        <f>IFERROR(__xludf.DUMMYFUNCTION("""COMPUTED_VALUE"""),"JUFRY")</f>
        <v>JUFRY</v>
      </c>
      <c r="F243" s="8"/>
      <c r="G243" s="8"/>
      <c r="H243" s="8"/>
      <c r="I243" s="8"/>
      <c r="J243" s="8" t="str">
        <f>IFERROR(__xludf.DUMMYFUNCTION("""COMPUTED_VALUE"""),"  ")</f>
        <v>  </v>
      </c>
      <c r="K243" s="8" t="str">
        <f>IFERROR(__xludf.DUMMYFUNCTION("""COMPUTED_VALUE"""),"706149")</f>
        <v>706149</v>
      </c>
      <c r="L243" s="8" t="str">
        <f>IFERROR(__xludf.DUMMYFUNCTION("""COMPUTED_VALUE"""),"V-TEC PEMOTONG ID CARD")</f>
        <v>V-TEC PEMOTONG ID CARD</v>
      </c>
      <c r="M243" s="12">
        <f>IFERROR(__xludf.DUMMYFUNCTION("""COMPUTED_VALUE"""),1.0)</f>
        <v>1</v>
      </c>
      <c r="N243" s="8" t="str">
        <f>IFERROR(__xludf.DUMMYFUNCTION("""COMPUTED_VALUE"""),"BH")</f>
        <v>BH</v>
      </c>
      <c r="O243" s="13">
        <f>IFERROR(__xludf.DUMMYFUNCTION("""COMPUTED_VALUE"""),650000.0)</f>
        <v>650000</v>
      </c>
      <c r="P243" s="12">
        <f>IFERROR(__xludf.DUMMYFUNCTION("""COMPUTED_VALUE"""),630000.0)</f>
        <v>630000</v>
      </c>
      <c r="Q243" s="8"/>
      <c r="R243" s="8">
        <f>IFERROR(__xludf.DUMMYFUNCTION("""COMPUTED_VALUE"""),0.0)</f>
        <v>0</v>
      </c>
      <c r="S243" s="12">
        <f>IFERROR(__xludf.DUMMYFUNCTION("""COMPUTED_VALUE"""),0.0)</f>
        <v>0</v>
      </c>
      <c r="T243" s="12">
        <f>IFERROR(__xludf.DUMMYFUNCTION("""COMPUTED_VALUE"""),650000.0)</f>
        <v>650000</v>
      </c>
      <c r="U243" s="13">
        <f>IFERROR(__xludf.DUMMYFUNCTION("""COMPUTED_VALUE"""),3.0769230769)</f>
        <v>3.076923077</v>
      </c>
      <c r="V243" s="8"/>
      <c r="W243" s="8"/>
      <c r="X243" s="8">
        <f t="shared" si="1"/>
        <v>5</v>
      </c>
      <c r="AA243" s="10"/>
    </row>
    <row r="244">
      <c r="A244" s="8" t="str">
        <f>IFERROR(__xludf.DUMMYFUNCTION("""COMPUTED_VALUE"""),"10007/JL/UTM/0524")</f>
        <v>10007/JL/UTM/0524</v>
      </c>
      <c r="B244" s="11">
        <f>IFERROR(__xludf.DUMMYFUNCTION("""COMPUTED_VALUE"""),45415.81040509259)</f>
        <v>45415.81041</v>
      </c>
      <c r="C244" s="8" t="str">
        <f>IFERROR(__xludf.DUMMYFUNCTION("""COMPUTED_VALUE"""),"UMUM")</f>
        <v>UMUM</v>
      </c>
      <c r="D244" s="8" t="str">
        <f>IFERROR(__xludf.DUMMYFUNCTION("""COMPUTED_VALUE"""),"UMUM")</f>
        <v>UMUM</v>
      </c>
      <c r="E244" s="8" t="str">
        <f>IFERROR(__xludf.DUMMYFUNCTION("""COMPUTED_VALUE"""),"JUFRY")</f>
        <v>JUFRY</v>
      </c>
      <c r="F244" s="8"/>
      <c r="G244" s="8"/>
      <c r="H244" s="8"/>
      <c r="I244" s="8"/>
      <c r="J244" s="8" t="str">
        <f>IFERROR(__xludf.DUMMYFUNCTION("""COMPUTED_VALUE"""),"  ")</f>
        <v>  </v>
      </c>
      <c r="K244" s="8" t="str">
        <f>IFERROR(__xludf.DUMMYFUNCTION("""COMPUTED_VALUE"""),"20087")</f>
        <v>20087</v>
      </c>
      <c r="L244" s="8" t="str">
        <f>IFERROR(__xludf.DUMMYFUNCTION("""COMPUTED_VALUE"""),"V-TEC ALAT POTONG A3")</f>
        <v>V-TEC ALAT POTONG A3</v>
      </c>
      <c r="M244" s="12">
        <f>IFERROR(__xludf.DUMMYFUNCTION("""COMPUTED_VALUE"""),1.0)</f>
        <v>1</v>
      </c>
      <c r="N244" s="8" t="str">
        <f>IFERROR(__xludf.DUMMYFUNCTION("""COMPUTED_VALUE"""),"BH")</f>
        <v>BH</v>
      </c>
      <c r="O244" s="13">
        <f>IFERROR(__xludf.DUMMYFUNCTION("""COMPUTED_VALUE"""),325000.0)</f>
        <v>325000</v>
      </c>
      <c r="P244" s="12">
        <f>IFERROR(__xludf.DUMMYFUNCTION("""COMPUTED_VALUE"""),325000.0)</f>
        <v>325000</v>
      </c>
      <c r="Q244" s="8"/>
      <c r="R244" s="8">
        <f>IFERROR(__xludf.DUMMYFUNCTION("""COMPUTED_VALUE"""),0.0)</f>
        <v>0</v>
      </c>
      <c r="S244" s="12">
        <f>IFERROR(__xludf.DUMMYFUNCTION("""COMPUTED_VALUE"""),0.0)</f>
        <v>0</v>
      </c>
      <c r="T244" s="12">
        <f>IFERROR(__xludf.DUMMYFUNCTION("""COMPUTED_VALUE"""),325000.0)</f>
        <v>325000</v>
      </c>
      <c r="U244" s="13">
        <f>IFERROR(__xludf.DUMMYFUNCTION("""COMPUTED_VALUE"""),0.0)</f>
        <v>0</v>
      </c>
      <c r="V244" s="8" t="str">
        <f>IFERROR(__xludf.DUMMYFUNCTION("""COMPUTED_VALUE"""),"TF.MANDIRI TGL 2-5-2024")</f>
        <v>TF.MANDIRI TGL 2-5-2024</v>
      </c>
      <c r="W244" s="8"/>
      <c r="X244" s="8">
        <f t="shared" si="1"/>
        <v>5</v>
      </c>
      <c r="AA244" s="10"/>
    </row>
    <row r="245">
      <c r="A245" s="8" t="str">
        <f>IFERROR(__xludf.DUMMYFUNCTION("""COMPUTED_VALUE"""),"10008/JL/UTM/0524")</f>
        <v>10008/JL/UTM/0524</v>
      </c>
      <c r="B245" s="11">
        <f>IFERROR(__xludf.DUMMYFUNCTION("""COMPUTED_VALUE"""),45418.79545138888)</f>
        <v>45418.79545</v>
      </c>
      <c r="C245" s="8" t="str">
        <f>IFERROR(__xludf.DUMMYFUNCTION("""COMPUTED_VALUE"""),"UMUM")</f>
        <v>UMUM</v>
      </c>
      <c r="D245" s="8" t="str">
        <f>IFERROR(__xludf.DUMMYFUNCTION("""COMPUTED_VALUE"""),"UMUM")</f>
        <v>UMUM</v>
      </c>
      <c r="E245" s="8" t="str">
        <f>IFERROR(__xludf.DUMMYFUNCTION("""COMPUTED_VALUE"""),"JUFRY")</f>
        <v>JUFRY</v>
      </c>
      <c r="F245" s="8"/>
      <c r="G245" s="8"/>
      <c r="H245" s="8"/>
      <c r="I245" s="8"/>
      <c r="J245" s="8" t="str">
        <f>IFERROR(__xludf.DUMMYFUNCTION("""COMPUTED_VALUE"""),"  ")</f>
        <v>  </v>
      </c>
      <c r="K245" s="8" t="str">
        <f>IFERROR(__xludf.DUMMYFUNCTION("""COMPUTED_VALUE"""),"706201")</f>
        <v>706201</v>
      </c>
      <c r="L245" s="8" t="str">
        <f>IFERROR(__xludf.DUMMYFUNCTION("""COMPUTED_VALUE"""),"SECURE MONEY COUNTER LD26M")</f>
        <v>SECURE MONEY COUNTER LD26M</v>
      </c>
      <c r="M245" s="12">
        <f>IFERROR(__xludf.DUMMYFUNCTION("""COMPUTED_VALUE"""),1.0)</f>
        <v>1</v>
      </c>
      <c r="N245" s="8" t="str">
        <f>IFERROR(__xludf.DUMMYFUNCTION("""COMPUTED_VALUE"""),"BH")</f>
        <v>BH</v>
      </c>
      <c r="O245" s="13">
        <f>IFERROR(__xludf.DUMMYFUNCTION("""COMPUTED_VALUE"""),2850000.0)</f>
        <v>2850000</v>
      </c>
      <c r="P245" s="12">
        <f>IFERROR(__xludf.DUMMYFUNCTION("""COMPUTED_VALUE"""),2700000.0)</f>
        <v>2700000</v>
      </c>
      <c r="Q245" s="8"/>
      <c r="R245" s="8">
        <f>IFERROR(__xludf.DUMMYFUNCTION("""COMPUTED_VALUE"""),0.0)</f>
        <v>0</v>
      </c>
      <c r="S245" s="12">
        <f>IFERROR(__xludf.DUMMYFUNCTION("""COMPUTED_VALUE"""),0.0)</f>
        <v>0</v>
      </c>
      <c r="T245" s="12">
        <f>IFERROR(__xludf.DUMMYFUNCTION("""COMPUTED_VALUE"""),2850000.0)</f>
        <v>2850000</v>
      </c>
      <c r="U245" s="13">
        <f>IFERROR(__xludf.DUMMYFUNCTION("""COMPUTED_VALUE"""),5.2631578947)</f>
        <v>5.263157895</v>
      </c>
      <c r="V245" s="8"/>
      <c r="W245" s="8"/>
      <c r="X245" s="8">
        <f t="shared" si="1"/>
        <v>5</v>
      </c>
      <c r="AA245" s="10"/>
    </row>
    <row r="246">
      <c r="A246" s="8" t="str">
        <f>IFERROR(__xludf.DUMMYFUNCTION("""COMPUTED_VALUE"""),"10009/JL/UTM/0524")</f>
        <v>10009/JL/UTM/0524</v>
      </c>
      <c r="B246" s="11">
        <f>IFERROR(__xludf.DUMMYFUNCTION("""COMPUTED_VALUE"""),45418.79635416667)</f>
        <v>45418.79635</v>
      </c>
      <c r="C246" s="8" t="str">
        <f>IFERROR(__xludf.DUMMYFUNCTION("""COMPUTED_VALUE"""),"UMUM")</f>
        <v>UMUM</v>
      </c>
      <c r="D246" s="8" t="str">
        <f>IFERROR(__xludf.DUMMYFUNCTION("""COMPUTED_VALUE"""),"UMUM")</f>
        <v>UMUM</v>
      </c>
      <c r="E246" s="8" t="str">
        <f>IFERROR(__xludf.DUMMYFUNCTION("""COMPUTED_VALUE"""),"JUFRY")</f>
        <v>JUFRY</v>
      </c>
      <c r="F246" s="8"/>
      <c r="G246" s="8"/>
      <c r="H246" s="8"/>
      <c r="I246" s="8"/>
      <c r="J246" s="8" t="str">
        <f>IFERROR(__xludf.DUMMYFUNCTION("""COMPUTED_VALUE"""),"  ")</f>
        <v>  </v>
      </c>
      <c r="K246" s="8" t="str">
        <f>IFERROR(__xludf.DUMMYFUNCTION("""COMPUTED_VALUE"""),"606072")</f>
        <v>606072</v>
      </c>
      <c r="L246" s="8" t="str">
        <f>IFERROR(__xludf.DUMMYFUNCTION("""COMPUTED_VALUE"""),"KINGCO WHITEBOARD 60X90")</f>
        <v>KINGCO WHITEBOARD 60X90</v>
      </c>
      <c r="M246" s="12">
        <f>IFERROR(__xludf.DUMMYFUNCTION("""COMPUTED_VALUE"""),1.0)</f>
        <v>1</v>
      </c>
      <c r="N246" s="8" t="str">
        <f>IFERROR(__xludf.DUMMYFUNCTION("""COMPUTED_VALUE"""),"BH")</f>
        <v>BH</v>
      </c>
      <c r="O246" s="13">
        <f>IFERROR(__xludf.DUMMYFUNCTION("""COMPUTED_VALUE"""),150000.0)</f>
        <v>150000</v>
      </c>
      <c r="P246" s="12">
        <f>IFERROR(__xludf.DUMMYFUNCTION("""COMPUTED_VALUE"""),150000.0)</f>
        <v>150000</v>
      </c>
      <c r="Q246" s="8"/>
      <c r="R246" s="8">
        <f>IFERROR(__xludf.DUMMYFUNCTION("""COMPUTED_VALUE"""),0.0)</f>
        <v>0</v>
      </c>
      <c r="S246" s="12">
        <f>IFERROR(__xludf.DUMMYFUNCTION("""COMPUTED_VALUE"""),0.0)</f>
        <v>0</v>
      </c>
      <c r="T246" s="12">
        <f>IFERROR(__xludf.DUMMYFUNCTION("""COMPUTED_VALUE"""),150000.0)</f>
        <v>150000</v>
      </c>
      <c r="U246" s="13">
        <f>IFERROR(__xludf.DUMMYFUNCTION("""COMPUTED_VALUE"""),0.0)</f>
        <v>0</v>
      </c>
      <c r="V246" s="8"/>
      <c r="W246" s="8"/>
      <c r="X246" s="8">
        <f t="shared" si="1"/>
        <v>5</v>
      </c>
      <c r="AA246" s="10"/>
    </row>
    <row r="247">
      <c r="A247" s="8" t="str">
        <f>IFERROR(__xludf.DUMMYFUNCTION("""COMPUTED_VALUE"""),"10010/JL/UTM/0524")</f>
        <v>10010/JL/UTM/0524</v>
      </c>
      <c r="B247" s="11">
        <f>IFERROR(__xludf.DUMMYFUNCTION("""COMPUTED_VALUE"""),45418.79684027778)</f>
        <v>45418.79684</v>
      </c>
      <c r="C247" s="8" t="str">
        <f>IFERROR(__xludf.DUMMYFUNCTION("""COMPUTED_VALUE"""),"UMUM")</f>
        <v>UMUM</v>
      </c>
      <c r="D247" s="8" t="str">
        <f>IFERROR(__xludf.DUMMYFUNCTION("""COMPUTED_VALUE"""),"UMUM")</f>
        <v>UMUM</v>
      </c>
      <c r="E247" s="8" t="str">
        <f>IFERROR(__xludf.DUMMYFUNCTION("""COMPUTED_VALUE"""),"JUFRY")</f>
        <v>JUFRY</v>
      </c>
      <c r="F247" s="8"/>
      <c r="G247" s="8"/>
      <c r="H247" s="8"/>
      <c r="I247" s="8"/>
      <c r="J247" s="8" t="str">
        <f>IFERROR(__xludf.DUMMYFUNCTION("""COMPUTED_VALUE"""),"  ")</f>
        <v>  </v>
      </c>
      <c r="K247" s="8" t="str">
        <f>IFERROR(__xludf.DUMMYFUNCTION("""COMPUTED_VALUE"""),"706116")</f>
        <v>706116</v>
      </c>
      <c r="L247" s="8" t="str">
        <f>IFERROR(__xludf.DUMMYFUNCTION("""COMPUTED_VALUE"""),"JOYKO MSN LEBEL HARGA MX5500")</f>
        <v>JOYKO MSN LEBEL HARGA MX5500</v>
      </c>
      <c r="M247" s="12">
        <f>IFERROR(__xludf.DUMMYFUNCTION("""COMPUTED_VALUE"""),1.0)</f>
        <v>1</v>
      </c>
      <c r="N247" s="8" t="str">
        <f>IFERROR(__xludf.DUMMYFUNCTION("""COMPUTED_VALUE"""),"BH")</f>
        <v>BH</v>
      </c>
      <c r="O247" s="13">
        <f>IFERROR(__xludf.DUMMYFUNCTION("""COMPUTED_VALUE"""),70000.0)</f>
        <v>70000</v>
      </c>
      <c r="P247" s="12">
        <f>IFERROR(__xludf.DUMMYFUNCTION("""COMPUTED_VALUE"""),70000.0)</f>
        <v>70000</v>
      </c>
      <c r="Q247" s="8"/>
      <c r="R247" s="8">
        <f>IFERROR(__xludf.DUMMYFUNCTION("""COMPUTED_VALUE"""),0.0)</f>
        <v>0</v>
      </c>
      <c r="S247" s="12">
        <f>IFERROR(__xludf.DUMMYFUNCTION("""COMPUTED_VALUE"""),0.0)</f>
        <v>0</v>
      </c>
      <c r="T247" s="12">
        <f>IFERROR(__xludf.DUMMYFUNCTION("""COMPUTED_VALUE"""),70000.0)</f>
        <v>70000</v>
      </c>
      <c r="U247" s="13">
        <f>IFERROR(__xludf.DUMMYFUNCTION("""COMPUTED_VALUE"""),0.0)</f>
        <v>0</v>
      </c>
      <c r="V247" s="8"/>
      <c r="W247" s="8"/>
      <c r="X247" s="8">
        <f t="shared" si="1"/>
        <v>5</v>
      </c>
      <c r="AA247" s="10"/>
    </row>
    <row r="248">
      <c r="A248" s="8" t="str">
        <f>IFERROR(__xludf.DUMMYFUNCTION("""COMPUTED_VALUE"""),"10011/JL/UTM/0524")</f>
        <v>10011/JL/UTM/0524</v>
      </c>
      <c r="B248" s="11">
        <f>IFERROR(__xludf.DUMMYFUNCTION("""COMPUTED_VALUE"""),45418.797534722224)</f>
        <v>45418.79753</v>
      </c>
      <c r="C248" s="8" t="str">
        <f>IFERROR(__xludf.DUMMYFUNCTION("""COMPUTED_VALUE"""),"UMUM")</f>
        <v>UMUM</v>
      </c>
      <c r="D248" s="8" t="str">
        <f>IFERROR(__xludf.DUMMYFUNCTION("""COMPUTED_VALUE"""),"UMUM")</f>
        <v>UMUM</v>
      </c>
      <c r="E248" s="8" t="str">
        <f>IFERROR(__xludf.DUMMYFUNCTION("""COMPUTED_VALUE"""),"JUFRY")</f>
        <v>JUFRY</v>
      </c>
      <c r="F248" s="8"/>
      <c r="G248" s="8"/>
      <c r="H248" s="8"/>
      <c r="I248" s="8"/>
      <c r="J248" s="8" t="str">
        <f>IFERROR(__xludf.DUMMYFUNCTION("""COMPUTED_VALUE"""),"  ")</f>
        <v>  </v>
      </c>
      <c r="K248" s="8" t="str">
        <f>IFERROR(__xludf.DUMMYFUNCTION("""COMPUTED_VALUE"""),"10060")</f>
        <v>10060</v>
      </c>
      <c r="L248" s="8" t="str">
        <f>IFERROR(__xludf.DUMMYFUNCTION("""COMPUTED_VALUE"""),"VTEC FLIP CHART 60X90")</f>
        <v>VTEC FLIP CHART 60X90</v>
      </c>
      <c r="M248" s="12">
        <f>IFERROR(__xludf.DUMMYFUNCTION("""COMPUTED_VALUE"""),1.0)</f>
        <v>1</v>
      </c>
      <c r="N248" s="8" t="str">
        <f>IFERROR(__xludf.DUMMYFUNCTION("""COMPUTED_VALUE"""),"BH")</f>
        <v>BH</v>
      </c>
      <c r="O248" s="13">
        <f>IFERROR(__xludf.DUMMYFUNCTION("""COMPUTED_VALUE"""),1175000.0)</f>
        <v>1175000</v>
      </c>
      <c r="P248" s="12">
        <f>IFERROR(__xludf.DUMMYFUNCTION("""COMPUTED_VALUE"""),1100000.0)</f>
        <v>1100000</v>
      </c>
      <c r="Q248" s="8"/>
      <c r="R248" s="8">
        <f>IFERROR(__xludf.DUMMYFUNCTION("""COMPUTED_VALUE"""),0.0)</f>
        <v>0</v>
      </c>
      <c r="S248" s="12">
        <f>IFERROR(__xludf.DUMMYFUNCTION("""COMPUTED_VALUE"""),0.0)</f>
        <v>0</v>
      </c>
      <c r="T248" s="12">
        <f>IFERROR(__xludf.DUMMYFUNCTION("""COMPUTED_VALUE"""),1175000.0)</f>
        <v>1175000</v>
      </c>
      <c r="U248" s="13">
        <f>IFERROR(__xludf.DUMMYFUNCTION("""COMPUTED_VALUE"""),6.3829787234)</f>
        <v>6.382978723</v>
      </c>
      <c r="V248" s="8" t="str">
        <f>IFERROR(__xludf.DUMMYFUNCTION("""COMPUTED_VALUE"""),"QRIS")</f>
        <v>QRIS</v>
      </c>
      <c r="W248" s="8"/>
      <c r="X248" s="8">
        <f t="shared" si="1"/>
        <v>5</v>
      </c>
      <c r="AA248" s="10"/>
    </row>
    <row r="249">
      <c r="A249" s="8" t="str">
        <f>IFERROR(__xludf.DUMMYFUNCTION("""COMPUTED_VALUE"""),"10012/JL/UTM/0524")</f>
        <v>10012/JL/UTM/0524</v>
      </c>
      <c r="B249" s="11">
        <f>IFERROR(__xludf.DUMMYFUNCTION("""COMPUTED_VALUE"""),45423.61200231481)</f>
        <v>45423.612</v>
      </c>
      <c r="C249" s="8" t="str">
        <f>IFERROR(__xludf.DUMMYFUNCTION("""COMPUTED_VALUE"""),"PL0889")</f>
        <v>PL0889</v>
      </c>
      <c r="D249" s="8" t="str">
        <f>IFERROR(__xludf.DUMMYFUNCTION("""COMPUTED_VALUE"""),"SMK NEG 3 PALU")</f>
        <v>SMK NEG 3 PALU</v>
      </c>
      <c r="E249" s="8" t="str">
        <f>IFERROR(__xludf.DUMMYFUNCTION("""COMPUTED_VALUE"""),"ADM")</f>
        <v>ADM</v>
      </c>
      <c r="F249" s="8"/>
      <c r="G249" s="8"/>
      <c r="H249" s="8"/>
      <c r="I249" s="8"/>
      <c r="J249" s="8" t="str">
        <f>IFERROR(__xludf.DUMMYFUNCTION("""COMPUTED_VALUE"""),"PALU  ")</f>
        <v>PALU  </v>
      </c>
      <c r="K249" s="8" t="str">
        <f>IFERROR(__xludf.DUMMYFUNCTION("""COMPUTED_VALUE"""),"706291")</f>
        <v>706291</v>
      </c>
      <c r="L249" s="8" t="str">
        <f>IFERROR(__xludf.DUMMYFUNCTION("""COMPUTED_VALUE"""),"INCO VOLCAN 3 KURSI HADAP")</f>
        <v>INCO VOLCAN 3 KURSI HADAP</v>
      </c>
      <c r="M249" s="12">
        <f>IFERROR(__xludf.DUMMYFUNCTION("""COMPUTED_VALUE"""),5.0)</f>
        <v>5</v>
      </c>
      <c r="N249" s="8" t="str">
        <f>IFERROR(__xludf.DUMMYFUNCTION("""COMPUTED_VALUE"""),"BH")</f>
        <v>BH</v>
      </c>
      <c r="O249" s="13">
        <f>IFERROR(__xludf.DUMMYFUNCTION("""COMPUTED_VALUE"""),1000000.0)</f>
        <v>1000000</v>
      </c>
      <c r="P249" s="12">
        <f>IFERROR(__xludf.DUMMYFUNCTION("""COMPUTED_VALUE"""),5000000.0)</f>
        <v>5000000</v>
      </c>
      <c r="Q249" s="8"/>
      <c r="R249" s="8">
        <f>IFERROR(__xludf.DUMMYFUNCTION("""COMPUTED_VALUE"""),0.0)</f>
        <v>0</v>
      </c>
      <c r="S249" s="12">
        <f>IFERROR(__xludf.DUMMYFUNCTION("""COMPUTED_VALUE"""),0.0)</f>
        <v>0</v>
      </c>
      <c r="T249" s="12">
        <f>IFERROR(__xludf.DUMMYFUNCTION("""COMPUTED_VALUE"""),5000000.0)</f>
        <v>5000000</v>
      </c>
      <c r="U249" s="13">
        <f>IFERROR(__xludf.DUMMYFUNCTION("""COMPUTED_VALUE"""),0.0)</f>
        <v>0</v>
      </c>
      <c r="V249" s="8" t="str">
        <f>IFERROR(__xludf.DUMMYFUNCTION("""COMPUTED_VALUE"""),"SIPLAH")</f>
        <v>SIPLAH</v>
      </c>
      <c r="W249" s="8"/>
      <c r="X249" s="8">
        <f t="shared" si="1"/>
        <v>5</v>
      </c>
      <c r="AA249" s="10"/>
    </row>
    <row r="250">
      <c r="A250" s="8" t="str">
        <f>IFERROR(__xludf.DUMMYFUNCTION("""COMPUTED_VALUE"""),"10013/JL/UTM/0524")</f>
        <v>10013/JL/UTM/0524</v>
      </c>
      <c r="B250" s="11">
        <f>IFERROR(__xludf.DUMMYFUNCTION("""COMPUTED_VALUE"""),45423.61300925926)</f>
        <v>45423.61301</v>
      </c>
      <c r="C250" s="8" t="str">
        <f>IFERROR(__xludf.DUMMYFUNCTION("""COMPUTED_VALUE"""),"PL0932")</f>
        <v>PL0932</v>
      </c>
      <c r="D250" s="8" t="str">
        <f>IFERROR(__xludf.DUMMYFUNCTION("""COMPUTED_VALUE"""),"PT. MERANTI SARANA NIAGA")</f>
        <v>PT. MERANTI SARANA NIAGA</v>
      </c>
      <c r="E250" s="8" t="str">
        <f>IFERROR(__xludf.DUMMYFUNCTION("""COMPUTED_VALUE"""),"ADM")</f>
        <v>ADM</v>
      </c>
      <c r="F250" s="8"/>
      <c r="G250" s="8"/>
      <c r="H250" s="8"/>
      <c r="I250" s="8"/>
      <c r="J250" s="8" t="str">
        <f>IFERROR(__xludf.DUMMYFUNCTION("""COMPUTED_VALUE"""),"PALU  ")</f>
        <v>PALU  </v>
      </c>
      <c r="K250" s="8" t="str">
        <f>IFERROR(__xludf.DUMMYFUNCTION("""COMPUTED_VALUE"""),"706294")</f>
        <v>706294</v>
      </c>
      <c r="L250" s="8" t="str">
        <f>IFERROR(__xludf.DUMMYFUNCTION("""COMPUTED_VALUE"""),"MITSUBISHI W, BOARD 90 X 180 CM")</f>
        <v>MITSUBISHI W, BOARD 90 X 180 CM</v>
      </c>
      <c r="M250" s="12">
        <f>IFERROR(__xludf.DUMMYFUNCTION("""COMPUTED_VALUE"""),1.0)</f>
        <v>1</v>
      </c>
      <c r="N250" s="8" t="str">
        <f>IFERROR(__xludf.DUMMYFUNCTION("""COMPUTED_VALUE"""),"BH")</f>
        <v>BH</v>
      </c>
      <c r="O250" s="13">
        <f>IFERROR(__xludf.DUMMYFUNCTION("""COMPUTED_VALUE"""),550000.0)</f>
        <v>550000</v>
      </c>
      <c r="P250" s="12">
        <f>IFERROR(__xludf.DUMMYFUNCTION("""COMPUTED_VALUE"""),804750.0)</f>
        <v>804750</v>
      </c>
      <c r="Q250" s="8"/>
      <c r="R250" s="8">
        <f>IFERROR(__xludf.DUMMYFUNCTION("""COMPUTED_VALUE"""),0.0)</f>
        <v>0</v>
      </c>
      <c r="S250" s="12">
        <f>IFERROR(__xludf.DUMMYFUNCTION("""COMPUTED_VALUE"""),0.0)</f>
        <v>0</v>
      </c>
      <c r="T250" s="12">
        <f>IFERROR(__xludf.DUMMYFUNCTION("""COMPUTED_VALUE"""),550000.0)</f>
        <v>550000</v>
      </c>
      <c r="U250" s="13">
        <f>IFERROR(__xludf.DUMMYFUNCTION("""COMPUTED_VALUE"""),0.0)</f>
        <v>0</v>
      </c>
      <c r="V250" s="8" t="str">
        <f>IFERROR(__xludf.DUMMYFUNCTION("""COMPUTED_VALUE"""),"TF BRI")</f>
        <v>TF BRI</v>
      </c>
      <c r="W250" s="8"/>
      <c r="X250" s="8">
        <f t="shared" si="1"/>
        <v>5</v>
      </c>
      <c r="AA250" s="10"/>
    </row>
    <row r="251">
      <c r="A251" s="8" t="str">
        <f>IFERROR(__xludf.DUMMYFUNCTION("""COMPUTED_VALUE"""),"10013/JL/UTM/0524")</f>
        <v>10013/JL/UTM/0524</v>
      </c>
      <c r="B251" s="11">
        <f>IFERROR(__xludf.DUMMYFUNCTION("""COMPUTED_VALUE"""),45423.61300925926)</f>
        <v>45423.61301</v>
      </c>
      <c r="C251" s="8" t="str">
        <f>IFERROR(__xludf.DUMMYFUNCTION("""COMPUTED_VALUE"""),"PL0932")</f>
        <v>PL0932</v>
      </c>
      <c r="D251" s="8" t="str">
        <f>IFERROR(__xludf.DUMMYFUNCTION("""COMPUTED_VALUE"""),"PT. MERANTI SARANA NIAGA")</f>
        <v>PT. MERANTI SARANA NIAGA</v>
      </c>
      <c r="E251" s="8" t="str">
        <f>IFERROR(__xludf.DUMMYFUNCTION("""COMPUTED_VALUE"""),"ADM")</f>
        <v>ADM</v>
      </c>
      <c r="F251" s="8"/>
      <c r="G251" s="8"/>
      <c r="H251" s="8"/>
      <c r="I251" s="8"/>
      <c r="J251" s="8" t="str">
        <f>IFERROR(__xludf.DUMMYFUNCTION("""COMPUTED_VALUE"""),"PALU  ")</f>
        <v>PALU  </v>
      </c>
      <c r="K251" s="8" t="str">
        <f>IFERROR(__xludf.DUMMYFUNCTION("""COMPUTED_VALUE"""),"706119")</f>
        <v>706119</v>
      </c>
      <c r="L251" s="8" t="str">
        <f>IFERROR(__xludf.DUMMYFUNCTION("""COMPUTED_VALUE"""),"KINGCO WHITE BOARD 60 X 120")</f>
        <v>KINGCO WHITE BOARD 60 X 120</v>
      </c>
      <c r="M251" s="12">
        <f>IFERROR(__xludf.DUMMYFUNCTION("""COMPUTED_VALUE"""),1.0)</f>
        <v>1</v>
      </c>
      <c r="N251" s="8" t="str">
        <f>IFERROR(__xludf.DUMMYFUNCTION("""COMPUTED_VALUE"""),"BH")</f>
        <v>BH</v>
      </c>
      <c r="O251" s="13">
        <f>IFERROR(__xludf.DUMMYFUNCTION("""COMPUTED_VALUE"""),175000.0)</f>
        <v>175000</v>
      </c>
      <c r="P251" s="12">
        <f>IFERROR(__xludf.DUMMYFUNCTION("""COMPUTED_VALUE"""),804750.0)</f>
        <v>804750</v>
      </c>
      <c r="Q251" s="8"/>
      <c r="R251" s="8">
        <f>IFERROR(__xludf.DUMMYFUNCTION("""COMPUTED_VALUE"""),0.0)</f>
        <v>0</v>
      </c>
      <c r="S251" s="12">
        <f>IFERROR(__xludf.DUMMYFUNCTION("""COMPUTED_VALUE"""),0.0)</f>
        <v>0</v>
      </c>
      <c r="T251" s="12">
        <f>IFERROR(__xludf.DUMMYFUNCTION("""COMPUTED_VALUE"""),175000.0)</f>
        <v>175000</v>
      </c>
      <c r="U251" s="13">
        <f>IFERROR(__xludf.DUMMYFUNCTION("""COMPUTED_VALUE"""),0.0)</f>
        <v>0</v>
      </c>
      <c r="V251" s="8" t="str">
        <f>IFERROR(__xludf.DUMMYFUNCTION("""COMPUTED_VALUE"""),"TF BRI")</f>
        <v>TF BRI</v>
      </c>
      <c r="W251" s="8"/>
      <c r="X251" s="8">
        <f t="shared" si="1"/>
        <v>5</v>
      </c>
      <c r="AA251" s="10"/>
    </row>
    <row r="252">
      <c r="A252" s="8" t="str">
        <f>IFERROR(__xludf.DUMMYFUNCTION("""COMPUTED_VALUE"""),"10014/JL/UTM/0524")</f>
        <v>10014/JL/UTM/0524</v>
      </c>
      <c r="B252" s="11">
        <f>IFERROR(__xludf.DUMMYFUNCTION("""COMPUTED_VALUE"""),45423.61450231481)</f>
        <v>45423.6145</v>
      </c>
      <c r="C252" s="8" t="str">
        <f>IFERROR(__xludf.DUMMYFUNCTION("""COMPUTED_VALUE"""),"814")</f>
        <v>814</v>
      </c>
      <c r="D252" s="8" t="str">
        <f>IFERROR(__xludf.DUMMYFUNCTION("""COMPUTED_VALUE"""),"BPKAD (IBU IRA)")</f>
        <v>BPKAD (IBU IRA)</v>
      </c>
      <c r="E252" s="8" t="str">
        <f>IFERROR(__xludf.DUMMYFUNCTION("""COMPUTED_VALUE"""),"ADM")</f>
        <v>ADM</v>
      </c>
      <c r="F252" s="8"/>
      <c r="G252" s="8"/>
      <c r="H252" s="8"/>
      <c r="I252" s="8"/>
      <c r="J252" s="8" t="str">
        <f>IFERROR(__xludf.DUMMYFUNCTION("""COMPUTED_VALUE"""),"  ")</f>
        <v>  </v>
      </c>
      <c r="K252" s="8" t="str">
        <f>IFERROR(__xludf.DUMMYFUNCTION("""COMPUTED_VALUE"""),"706119")</f>
        <v>706119</v>
      </c>
      <c r="L252" s="8" t="str">
        <f>IFERROR(__xludf.DUMMYFUNCTION("""COMPUTED_VALUE"""),"KINGCO WHITE BOARD 60 X 120")</f>
        <v>KINGCO WHITE BOARD 60 X 120</v>
      </c>
      <c r="M252" s="12">
        <f>IFERROR(__xludf.DUMMYFUNCTION("""COMPUTED_VALUE"""),1.0)</f>
        <v>1</v>
      </c>
      <c r="N252" s="8" t="str">
        <f>IFERROR(__xludf.DUMMYFUNCTION("""COMPUTED_VALUE"""),"BH")</f>
        <v>BH</v>
      </c>
      <c r="O252" s="13">
        <f>IFERROR(__xludf.DUMMYFUNCTION("""COMPUTED_VALUE"""),175000.0)</f>
        <v>175000</v>
      </c>
      <c r="P252" s="12">
        <f>IFERROR(__xludf.DUMMYFUNCTION("""COMPUTED_VALUE"""),0.0)</f>
        <v>0</v>
      </c>
      <c r="Q252" s="8"/>
      <c r="R252" s="8">
        <f>IFERROR(__xludf.DUMMYFUNCTION("""COMPUTED_VALUE"""),0.0)</f>
        <v>0</v>
      </c>
      <c r="S252" s="12">
        <f>IFERROR(__xludf.DUMMYFUNCTION("""COMPUTED_VALUE"""),175000.0)</f>
        <v>175000</v>
      </c>
      <c r="T252" s="12">
        <f>IFERROR(__xludf.DUMMYFUNCTION("""COMPUTED_VALUE"""),175000.0)</f>
        <v>175000</v>
      </c>
      <c r="U252" s="13">
        <f>IFERROR(__xludf.DUMMYFUNCTION("""COMPUTED_VALUE"""),0.0)</f>
        <v>0</v>
      </c>
      <c r="V252" s="8"/>
      <c r="W252" s="8"/>
      <c r="X252" s="8">
        <f t="shared" si="1"/>
        <v>5</v>
      </c>
      <c r="AA252" s="10"/>
    </row>
    <row r="253">
      <c r="A253" s="8" t="str">
        <f>IFERROR(__xludf.DUMMYFUNCTION("""COMPUTED_VALUE"""),"10015/JL/UTM/0524")</f>
        <v>10015/JL/UTM/0524</v>
      </c>
      <c r="B253" s="11">
        <f>IFERROR(__xludf.DUMMYFUNCTION("""COMPUTED_VALUE"""),45425.61776620371)</f>
        <v>45425.61777</v>
      </c>
      <c r="C253" s="8" t="str">
        <f>IFERROR(__xludf.DUMMYFUNCTION("""COMPUTED_VALUE"""),"UMUM")</f>
        <v>UMUM</v>
      </c>
      <c r="D253" s="8" t="str">
        <f>IFERROR(__xludf.DUMMYFUNCTION("""COMPUTED_VALUE"""),"UMUM")</f>
        <v>UMUM</v>
      </c>
      <c r="E253" s="8" t="str">
        <f>IFERROR(__xludf.DUMMYFUNCTION("""COMPUTED_VALUE"""),"ADM")</f>
        <v>ADM</v>
      </c>
      <c r="F253" s="8"/>
      <c r="G253" s="8"/>
      <c r="H253" s="8"/>
      <c r="I253" s="8"/>
      <c r="J253" s="8" t="str">
        <f>IFERROR(__xludf.DUMMYFUNCTION("""COMPUTED_VALUE"""),"  ")</f>
        <v>  </v>
      </c>
      <c r="K253" s="8" t="str">
        <f>IFERROR(__xludf.DUMMYFUNCTION("""COMPUTED_VALUE"""),"10026")</f>
        <v>10026</v>
      </c>
      <c r="L253" s="8" t="str">
        <f>IFERROR(__xludf.DUMMYFUNCTION("""COMPUTED_VALUE"""),"TIGER BRANKAS TG LK II")</f>
        <v>TIGER BRANKAS TG LK II</v>
      </c>
      <c r="M253" s="12">
        <f>IFERROR(__xludf.DUMMYFUNCTION("""COMPUTED_VALUE"""),1.0)</f>
        <v>1</v>
      </c>
      <c r="N253" s="8" t="str">
        <f>IFERROR(__xludf.DUMMYFUNCTION("""COMPUTED_VALUE"""),"UNIT")</f>
        <v>UNIT</v>
      </c>
      <c r="O253" s="13">
        <f>IFERROR(__xludf.DUMMYFUNCTION("""COMPUTED_VALUE"""),6300000.0)</f>
        <v>6300000</v>
      </c>
      <c r="P253" s="12">
        <f>IFERROR(__xludf.DUMMYFUNCTION("""COMPUTED_VALUE"""),6300000.0)</f>
        <v>6300000</v>
      </c>
      <c r="Q253" s="8"/>
      <c r="R253" s="8">
        <f>IFERROR(__xludf.DUMMYFUNCTION("""COMPUTED_VALUE"""),0.0)</f>
        <v>0</v>
      </c>
      <c r="S253" s="12">
        <f>IFERROR(__xludf.DUMMYFUNCTION("""COMPUTED_VALUE"""),0.0)</f>
        <v>0</v>
      </c>
      <c r="T253" s="12">
        <f>IFERROR(__xludf.DUMMYFUNCTION("""COMPUTED_VALUE"""),6300000.0)</f>
        <v>6300000</v>
      </c>
      <c r="U253" s="13">
        <f>IFERROR(__xludf.DUMMYFUNCTION("""COMPUTED_VALUE"""),0.0)</f>
        <v>0</v>
      </c>
      <c r="V253" s="8" t="str">
        <f>IFERROR(__xludf.DUMMYFUNCTION("""COMPUTED_VALUE"""),"QRIS")</f>
        <v>QRIS</v>
      </c>
      <c r="W253" s="8"/>
      <c r="X253" s="8">
        <f t="shared" si="1"/>
        <v>5</v>
      </c>
      <c r="AA253" s="10"/>
    </row>
    <row r="254">
      <c r="A254" s="8" t="str">
        <f>IFERROR(__xludf.DUMMYFUNCTION("""COMPUTED_VALUE"""),"10016/JL/UTM/0524")</f>
        <v>10016/JL/UTM/0524</v>
      </c>
      <c r="B254" s="11">
        <f>IFERROR(__xludf.DUMMYFUNCTION("""COMPUTED_VALUE"""),45425.618472222224)</f>
        <v>45425.61847</v>
      </c>
      <c r="C254" s="8" t="str">
        <f>IFERROR(__xludf.DUMMYFUNCTION("""COMPUTED_VALUE"""),"UMUM")</f>
        <v>UMUM</v>
      </c>
      <c r="D254" s="8" t="str">
        <f>IFERROR(__xludf.DUMMYFUNCTION("""COMPUTED_VALUE"""),"UMUM")</f>
        <v>UMUM</v>
      </c>
      <c r="E254" s="8" t="str">
        <f>IFERROR(__xludf.DUMMYFUNCTION("""COMPUTED_VALUE"""),"ADM")</f>
        <v>ADM</v>
      </c>
      <c r="F254" s="8"/>
      <c r="G254" s="8"/>
      <c r="H254" s="8"/>
      <c r="I254" s="8"/>
      <c r="J254" s="8" t="str">
        <f>IFERROR(__xludf.DUMMYFUNCTION("""COMPUTED_VALUE"""),"  ")</f>
        <v>  </v>
      </c>
      <c r="K254" s="8" t="str">
        <f>IFERROR(__xludf.DUMMYFUNCTION("""COMPUTED_VALUE"""),"706301")</f>
        <v>706301</v>
      </c>
      <c r="L254" s="8" t="str">
        <f>IFERROR(__xludf.DUMMYFUNCTION("""COMPUTED_VALUE"""),"DRAGON BRANKAS A1 LK")</f>
        <v>DRAGON BRANKAS A1 LK</v>
      </c>
      <c r="M254" s="12">
        <f>IFERROR(__xludf.DUMMYFUNCTION("""COMPUTED_VALUE"""),1.0)</f>
        <v>1</v>
      </c>
      <c r="N254" s="8" t="str">
        <f>IFERROR(__xludf.DUMMYFUNCTION("""COMPUTED_VALUE"""),"UNIT")</f>
        <v>UNIT</v>
      </c>
      <c r="O254" s="13">
        <f>IFERROR(__xludf.DUMMYFUNCTION("""COMPUTED_VALUE"""),3500000.0)</f>
        <v>3500000</v>
      </c>
      <c r="P254" s="12">
        <f>IFERROR(__xludf.DUMMYFUNCTION("""COMPUTED_VALUE"""),3500000.0)</f>
        <v>3500000</v>
      </c>
      <c r="Q254" s="8"/>
      <c r="R254" s="8">
        <f>IFERROR(__xludf.DUMMYFUNCTION("""COMPUTED_VALUE"""),0.0)</f>
        <v>0</v>
      </c>
      <c r="S254" s="12">
        <f>IFERROR(__xludf.DUMMYFUNCTION("""COMPUTED_VALUE"""),0.0)</f>
        <v>0</v>
      </c>
      <c r="T254" s="12">
        <f>IFERROR(__xludf.DUMMYFUNCTION("""COMPUTED_VALUE"""),3500000.0)</f>
        <v>3500000</v>
      </c>
      <c r="U254" s="13">
        <f>IFERROR(__xludf.DUMMYFUNCTION("""COMPUTED_VALUE"""),0.0)</f>
        <v>0</v>
      </c>
      <c r="V254" s="8"/>
      <c r="W254" s="8"/>
      <c r="X254" s="8">
        <f t="shared" si="1"/>
        <v>5</v>
      </c>
      <c r="AA254" s="10"/>
    </row>
    <row r="255">
      <c r="A255" s="8" t="str">
        <f>IFERROR(__xludf.DUMMYFUNCTION("""COMPUTED_VALUE"""),"10017/JL/UTM/0524")</f>
        <v>10017/JL/UTM/0524</v>
      </c>
      <c r="B255" s="11">
        <f>IFERROR(__xludf.DUMMYFUNCTION("""COMPUTED_VALUE"""),45427.61969907407)</f>
        <v>45427.6197</v>
      </c>
      <c r="C255" s="8" t="str">
        <f>IFERROR(__xludf.DUMMYFUNCTION("""COMPUTED_VALUE"""),"UMUM")</f>
        <v>UMUM</v>
      </c>
      <c r="D255" s="8" t="str">
        <f>IFERROR(__xludf.DUMMYFUNCTION("""COMPUTED_VALUE"""),"UMUM")</f>
        <v>UMUM</v>
      </c>
      <c r="E255" s="8" t="str">
        <f>IFERROR(__xludf.DUMMYFUNCTION("""COMPUTED_VALUE"""),"ADM")</f>
        <v>ADM</v>
      </c>
      <c r="F255" s="8"/>
      <c r="G255" s="8"/>
      <c r="H255" s="8"/>
      <c r="I255" s="8"/>
      <c r="J255" s="8" t="str">
        <f>IFERROR(__xludf.DUMMYFUNCTION("""COMPUTED_VALUE"""),"  ")</f>
        <v>  </v>
      </c>
      <c r="K255" s="8" t="str">
        <f>IFERROR(__xludf.DUMMYFUNCTION("""COMPUTED_VALUE"""),"20120")</f>
        <v>20120</v>
      </c>
      <c r="L255" s="8" t="str">
        <f>IFERROR(__xludf.DUMMYFUNCTION("""COMPUTED_VALUE"""),"HONGSENG PRICE LABELLER MX 6600")</f>
        <v>HONGSENG PRICE LABELLER MX 6600</v>
      </c>
      <c r="M255" s="12">
        <f>IFERROR(__xludf.DUMMYFUNCTION("""COMPUTED_VALUE"""),2.0)</f>
        <v>2</v>
      </c>
      <c r="N255" s="8" t="str">
        <f>IFERROR(__xludf.DUMMYFUNCTION("""COMPUTED_VALUE"""),"BH")</f>
        <v>BH</v>
      </c>
      <c r="O255" s="13">
        <f>IFERROR(__xludf.DUMMYFUNCTION("""COMPUTED_VALUE"""),150000.0)</f>
        <v>150000</v>
      </c>
      <c r="P255" s="12">
        <f>IFERROR(__xludf.DUMMYFUNCTION("""COMPUTED_VALUE"""),300000.0)</f>
        <v>300000</v>
      </c>
      <c r="Q255" s="8"/>
      <c r="R255" s="8">
        <f>IFERROR(__xludf.DUMMYFUNCTION("""COMPUTED_VALUE"""),0.0)</f>
        <v>0</v>
      </c>
      <c r="S255" s="12">
        <f>IFERROR(__xludf.DUMMYFUNCTION("""COMPUTED_VALUE"""),0.0)</f>
        <v>0</v>
      </c>
      <c r="T255" s="12">
        <f>IFERROR(__xludf.DUMMYFUNCTION("""COMPUTED_VALUE"""),300000.0)</f>
        <v>300000</v>
      </c>
      <c r="U255" s="13">
        <f>IFERROR(__xludf.DUMMYFUNCTION("""COMPUTED_VALUE"""),0.0)</f>
        <v>0</v>
      </c>
      <c r="V255" s="8" t="str">
        <f>IFERROR(__xludf.DUMMYFUNCTION("""COMPUTED_VALUE"""),"QRIS")</f>
        <v>QRIS</v>
      </c>
      <c r="W255" s="8"/>
      <c r="X255" s="8">
        <f t="shared" si="1"/>
        <v>5</v>
      </c>
      <c r="AA255" s="10"/>
    </row>
    <row r="256">
      <c r="A256" s="8" t="str">
        <f>IFERROR(__xludf.DUMMYFUNCTION("""COMPUTED_VALUE"""),"10018/JL/UTM/0524")</f>
        <v>10018/JL/UTM/0524</v>
      </c>
      <c r="B256" s="11">
        <f>IFERROR(__xludf.DUMMYFUNCTION("""COMPUTED_VALUE"""),45427.62049768519)</f>
        <v>45427.6205</v>
      </c>
      <c r="C256" s="8" t="str">
        <f>IFERROR(__xludf.DUMMYFUNCTION("""COMPUTED_VALUE"""),"UMUM")</f>
        <v>UMUM</v>
      </c>
      <c r="D256" s="8" t="str">
        <f>IFERROR(__xludf.DUMMYFUNCTION("""COMPUTED_VALUE"""),"UMUM")</f>
        <v>UMUM</v>
      </c>
      <c r="E256" s="8" t="str">
        <f>IFERROR(__xludf.DUMMYFUNCTION("""COMPUTED_VALUE"""),"ADM")</f>
        <v>ADM</v>
      </c>
      <c r="F256" s="8"/>
      <c r="G256" s="8"/>
      <c r="H256" s="8"/>
      <c r="I256" s="8"/>
      <c r="J256" s="8" t="str">
        <f>IFERROR(__xludf.DUMMYFUNCTION("""COMPUTED_VALUE"""),"  ")</f>
        <v>  </v>
      </c>
      <c r="K256" s="8" t="str">
        <f>IFERROR(__xludf.DUMMYFUNCTION("""COMPUTED_VALUE"""),"706159")</f>
        <v>706159</v>
      </c>
      <c r="L256" s="8" t="str">
        <f>IFERROR(__xludf.DUMMYFUNCTION("""COMPUTED_VALUE"""),"BIAYA SERVICE")</f>
        <v>BIAYA SERVICE</v>
      </c>
      <c r="M256" s="12">
        <f>IFERROR(__xludf.DUMMYFUNCTION("""COMPUTED_VALUE"""),1.0)</f>
        <v>1</v>
      </c>
      <c r="N256" s="8" t="str">
        <f>IFERROR(__xludf.DUMMYFUNCTION("""COMPUTED_VALUE"""),"BH")</f>
        <v>BH</v>
      </c>
      <c r="O256" s="13">
        <f>IFERROR(__xludf.DUMMYFUNCTION("""COMPUTED_VALUE"""),100000.0)</f>
        <v>100000</v>
      </c>
      <c r="P256" s="12">
        <f>IFERROR(__xludf.DUMMYFUNCTION("""COMPUTED_VALUE"""),100000.0)</f>
        <v>100000</v>
      </c>
      <c r="Q256" s="8"/>
      <c r="R256" s="8">
        <f>IFERROR(__xludf.DUMMYFUNCTION("""COMPUTED_VALUE"""),0.0)</f>
        <v>0</v>
      </c>
      <c r="S256" s="12">
        <f>IFERROR(__xludf.DUMMYFUNCTION("""COMPUTED_VALUE"""),0.0)</f>
        <v>0</v>
      </c>
      <c r="T256" s="12">
        <f>IFERROR(__xludf.DUMMYFUNCTION("""COMPUTED_VALUE"""),100000.0)</f>
        <v>100000</v>
      </c>
      <c r="U256" s="13">
        <f>IFERROR(__xludf.DUMMYFUNCTION("""COMPUTED_VALUE"""),0.0)</f>
        <v>0</v>
      </c>
      <c r="V256" s="8" t="str">
        <f>IFERROR(__xludf.DUMMYFUNCTION("""COMPUTED_VALUE"""),"RESET FINGER")</f>
        <v>RESET FINGER</v>
      </c>
      <c r="W256" s="8"/>
      <c r="X256" s="8">
        <f t="shared" si="1"/>
        <v>5</v>
      </c>
      <c r="AA256" s="10"/>
    </row>
    <row r="257">
      <c r="A257" s="8" t="str">
        <f>IFERROR(__xludf.DUMMYFUNCTION("""COMPUTED_VALUE"""),"10019/JL/UTM/0524")</f>
        <v>10019/JL/UTM/0524</v>
      </c>
      <c r="B257" s="11">
        <f>IFERROR(__xludf.DUMMYFUNCTION("""COMPUTED_VALUE"""),45429.6225)</f>
        <v>45429.6225</v>
      </c>
      <c r="C257" s="8" t="str">
        <f>IFERROR(__xludf.DUMMYFUNCTION("""COMPUTED_VALUE"""),"UMUM")</f>
        <v>UMUM</v>
      </c>
      <c r="D257" s="8" t="str">
        <f>IFERROR(__xludf.DUMMYFUNCTION("""COMPUTED_VALUE"""),"UMUM")</f>
        <v>UMUM</v>
      </c>
      <c r="E257" s="8" t="str">
        <f>IFERROR(__xludf.DUMMYFUNCTION("""COMPUTED_VALUE"""),"ADM")</f>
        <v>ADM</v>
      </c>
      <c r="F257" s="8"/>
      <c r="G257" s="8"/>
      <c r="H257" s="8"/>
      <c r="I257" s="8"/>
      <c r="J257" s="8" t="str">
        <f>IFERROR(__xludf.DUMMYFUNCTION("""COMPUTED_VALUE"""),"  ")</f>
        <v>  </v>
      </c>
      <c r="K257" s="8" t="str">
        <f>IFERROR(__xludf.DUMMYFUNCTION("""COMPUTED_VALUE"""),"706189")</f>
        <v>706189</v>
      </c>
      <c r="L257" s="8" t="str">
        <f>IFERROR(__xludf.DUMMYFUNCTION("""COMPUTED_VALUE"""),"AZ IMPULSE SEALER 300i")</f>
        <v>AZ IMPULSE SEALER 300i</v>
      </c>
      <c r="M257" s="12">
        <f>IFERROR(__xludf.DUMMYFUNCTION("""COMPUTED_VALUE"""),1.0)</f>
        <v>1</v>
      </c>
      <c r="N257" s="8" t="str">
        <f>IFERROR(__xludf.DUMMYFUNCTION("""COMPUTED_VALUE"""),"BH")</f>
        <v>BH</v>
      </c>
      <c r="O257" s="13">
        <f>IFERROR(__xludf.DUMMYFUNCTION("""COMPUTED_VALUE"""),340000.0)</f>
        <v>340000</v>
      </c>
      <c r="P257" s="12">
        <f>IFERROR(__xludf.DUMMYFUNCTION("""COMPUTED_VALUE"""),325000.0)</f>
        <v>325000</v>
      </c>
      <c r="Q257" s="8"/>
      <c r="R257" s="8">
        <f>IFERROR(__xludf.DUMMYFUNCTION("""COMPUTED_VALUE"""),0.0)</f>
        <v>0</v>
      </c>
      <c r="S257" s="12">
        <f>IFERROR(__xludf.DUMMYFUNCTION("""COMPUTED_VALUE"""),0.0)</f>
        <v>0</v>
      </c>
      <c r="T257" s="12">
        <f>IFERROR(__xludf.DUMMYFUNCTION("""COMPUTED_VALUE"""),340000.0)</f>
        <v>340000</v>
      </c>
      <c r="U257" s="13">
        <f>IFERROR(__xludf.DUMMYFUNCTION("""COMPUTED_VALUE"""),4.4117647059)</f>
        <v>4.411764706</v>
      </c>
      <c r="V257" s="8"/>
      <c r="W257" s="8"/>
      <c r="X257" s="8">
        <f t="shared" si="1"/>
        <v>5</v>
      </c>
      <c r="AA257" s="10"/>
    </row>
    <row r="258">
      <c r="A258" s="8" t="str">
        <f>IFERROR(__xludf.DUMMYFUNCTION("""COMPUTED_VALUE"""),"10020/JL/UTM/0524")</f>
        <v>10020/JL/UTM/0524</v>
      </c>
      <c r="B258" s="11">
        <f>IFERROR(__xludf.DUMMYFUNCTION("""COMPUTED_VALUE"""),45429.62337962963)</f>
        <v>45429.62338</v>
      </c>
      <c r="C258" s="8" t="str">
        <f>IFERROR(__xludf.DUMMYFUNCTION("""COMPUTED_VALUE"""),"UMUM")</f>
        <v>UMUM</v>
      </c>
      <c r="D258" s="8" t="str">
        <f>IFERROR(__xludf.DUMMYFUNCTION("""COMPUTED_VALUE"""),"UMUM")</f>
        <v>UMUM</v>
      </c>
      <c r="E258" s="8" t="str">
        <f>IFERROR(__xludf.DUMMYFUNCTION("""COMPUTED_VALUE"""),"ADM")</f>
        <v>ADM</v>
      </c>
      <c r="F258" s="8"/>
      <c r="G258" s="8"/>
      <c r="H258" s="8"/>
      <c r="I258" s="8"/>
      <c r="J258" s="8" t="str">
        <f>IFERROR(__xludf.DUMMYFUNCTION("""COMPUTED_VALUE"""),"  ")</f>
        <v>  </v>
      </c>
      <c r="K258" s="8" t="str">
        <f>IFERROR(__xludf.DUMMYFUNCTION("""COMPUTED_VALUE"""),"606072")</f>
        <v>606072</v>
      </c>
      <c r="L258" s="8" t="str">
        <f>IFERROR(__xludf.DUMMYFUNCTION("""COMPUTED_VALUE"""),"KINGCO WHITEBOARD 60X90")</f>
        <v>KINGCO WHITEBOARD 60X90</v>
      </c>
      <c r="M258" s="12">
        <f>IFERROR(__xludf.DUMMYFUNCTION("""COMPUTED_VALUE"""),1.0)</f>
        <v>1</v>
      </c>
      <c r="N258" s="8" t="str">
        <f>IFERROR(__xludf.DUMMYFUNCTION("""COMPUTED_VALUE"""),"BH")</f>
        <v>BH</v>
      </c>
      <c r="O258" s="13">
        <f>IFERROR(__xludf.DUMMYFUNCTION("""COMPUTED_VALUE"""),145000.0)</f>
        <v>145000</v>
      </c>
      <c r="P258" s="12">
        <f>IFERROR(__xludf.DUMMYFUNCTION("""COMPUTED_VALUE"""),145000.0)</f>
        <v>145000</v>
      </c>
      <c r="Q258" s="8"/>
      <c r="R258" s="8">
        <f>IFERROR(__xludf.DUMMYFUNCTION("""COMPUTED_VALUE"""),0.0)</f>
        <v>0</v>
      </c>
      <c r="S258" s="12">
        <f>IFERROR(__xludf.DUMMYFUNCTION("""COMPUTED_VALUE"""),0.0)</f>
        <v>0</v>
      </c>
      <c r="T258" s="12">
        <f>IFERROR(__xludf.DUMMYFUNCTION("""COMPUTED_VALUE"""),145000.0)</f>
        <v>145000</v>
      </c>
      <c r="U258" s="13">
        <f>IFERROR(__xludf.DUMMYFUNCTION("""COMPUTED_VALUE"""),0.0)</f>
        <v>0</v>
      </c>
      <c r="V258" s="8"/>
      <c r="W258" s="8"/>
      <c r="X258" s="8">
        <f t="shared" si="1"/>
        <v>5</v>
      </c>
      <c r="AA258" s="10"/>
    </row>
    <row r="259">
      <c r="A259" s="8" t="str">
        <f>IFERROR(__xludf.DUMMYFUNCTION("""COMPUTED_VALUE"""),"10021/JL/UTM/0524")</f>
        <v>10021/JL/UTM/0524</v>
      </c>
      <c r="B259" s="11">
        <f>IFERROR(__xludf.DUMMYFUNCTION("""COMPUTED_VALUE"""),45429.624131944445)</f>
        <v>45429.62413</v>
      </c>
      <c r="C259" s="8" t="str">
        <f>IFERROR(__xludf.DUMMYFUNCTION("""COMPUTED_VALUE"""),"UMUM")</f>
        <v>UMUM</v>
      </c>
      <c r="D259" s="8" t="str">
        <f>IFERROR(__xludf.DUMMYFUNCTION("""COMPUTED_VALUE"""),"UMUM")</f>
        <v>UMUM</v>
      </c>
      <c r="E259" s="8" t="str">
        <f>IFERROR(__xludf.DUMMYFUNCTION("""COMPUTED_VALUE"""),"ADM")</f>
        <v>ADM</v>
      </c>
      <c r="F259" s="8"/>
      <c r="G259" s="8"/>
      <c r="H259" s="8"/>
      <c r="I259" s="8"/>
      <c r="J259" s="8" t="str">
        <f>IFERROR(__xludf.DUMMYFUNCTION("""COMPUTED_VALUE"""),"  ")</f>
        <v>  </v>
      </c>
      <c r="K259" s="8" t="str">
        <f>IFERROR(__xludf.DUMMYFUNCTION("""COMPUTED_VALUE"""),"706116")</f>
        <v>706116</v>
      </c>
      <c r="L259" s="8" t="str">
        <f>IFERROR(__xludf.DUMMYFUNCTION("""COMPUTED_VALUE"""),"JOYKO MSN LEBEL HARGA MX5500")</f>
        <v>JOYKO MSN LEBEL HARGA MX5500</v>
      </c>
      <c r="M259" s="12">
        <f>IFERROR(__xludf.DUMMYFUNCTION("""COMPUTED_VALUE"""),2.0)</f>
        <v>2</v>
      </c>
      <c r="N259" s="8" t="str">
        <f>IFERROR(__xludf.DUMMYFUNCTION("""COMPUTED_VALUE"""),"BH")</f>
        <v>BH</v>
      </c>
      <c r="O259" s="13">
        <f>IFERROR(__xludf.DUMMYFUNCTION("""COMPUTED_VALUE"""),70000.0)</f>
        <v>70000</v>
      </c>
      <c r="P259" s="12">
        <f>IFERROR(__xludf.DUMMYFUNCTION("""COMPUTED_VALUE"""),140000.0)</f>
        <v>140000</v>
      </c>
      <c r="Q259" s="8"/>
      <c r="R259" s="8">
        <f>IFERROR(__xludf.DUMMYFUNCTION("""COMPUTED_VALUE"""),0.0)</f>
        <v>0</v>
      </c>
      <c r="S259" s="12">
        <f>IFERROR(__xludf.DUMMYFUNCTION("""COMPUTED_VALUE"""),0.0)</f>
        <v>0</v>
      </c>
      <c r="T259" s="12">
        <f>IFERROR(__xludf.DUMMYFUNCTION("""COMPUTED_VALUE"""),140000.0)</f>
        <v>140000</v>
      </c>
      <c r="U259" s="13">
        <f>IFERROR(__xludf.DUMMYFUNCTION("""COMPUTED_VALUE"""),0.0)</f>
        <v>0</v>
      </c>
      <c r="V259" s="8"/>
      <c r="W259" s="8"/>
      <c r="X259" s="8">
        <f t="shared" si="1"/>
        <v>5</v>
      </c>
      <c r="AA259" s="10"/>
    </row>
    <row r="260">
      <c r="A260" s="8" t="str">
        <f>IFERROR(__xludf.DUMMYFUNCTION("""COMPUTED_VALUE"""),"10022/JL/UTM/0524")</f>
        <v>10022/JL/UTM/0524</v>
      </c>
      <c r="B260" s="11">
        <f>IFERROR(__xludf.DUMMYFUNCTION("""COMPUTED_VALUE"""),45429.624756944446)</f>
        <v>45429.62476</v>
      </c>
      <c r="C260" s="8" t="str">
        <f>IFERROR(__xludf.DUMMYFUNCTION("""COMPUTED_VALUE"""),"UMUM")</f>
        <v>UMUM</v>
      </c>
      <c r="D260" s="8" t="str">
        <f>IFERROR(__xludf.DUMMYFUNCTION("""COMPUTED_VALUE"""),"UMUM")</f>
        <v>UMUM</v>
      </c>
      <c r="E260" s="8" t="str">
        <f>IFERROR(__xludf.DUMMYFUNCTION("""COMPUTED_VALUE"""),"ADM")</f>
        <v>ADM</v>
      </c>
      <c r="F260" s="8"/>
      <c r="G260" s="8"/>
      <c r="H260" s="8"/>
      <c r="I260" s="8"/>
      <c r="J260" s="8" t="str">
        <f>IFERROR(__xludf.DUMMYFUNCTION("""COMPUTED_VALUE"""),"  ")</f>
        <v>  </v>
      </c>
      <c r="K260" s="8" t="str">
        <f>IFERROR(__xludf.DUMMYFUNCTION("""COMPUTED_VALUE"""),"706119")</f>
        <v>706119</v>
      </c>
      <c r="L260" s="8" t="str">
        <f>IFERROR(__xludf.DUMMYFUNCTION("""COMPUTED_VALUE"""),"KINGCO WHITE BOARD 60 X 120")</f>
        <v>KINGCO WHITE BOARD 60 X 120</v>
      </c>
      <c r="M260" s="12">
        <f>IFERROR(__xludf.DUMMYFUNCTION("""COMPUTED_VALUE"""),1.0)</f>
        <v>1</v>
      </c>
      <c r="N260" s="8" t="str">
        <f>IFERROR(__xludf.DUMMYFUNCTION("""COMPUTED_VALUE"""),"BH")</f>
        <v>BH</v>
      </c>
      <c r="O260" s="13">
        <f>IFERROR(__xludf.DUMMYFUNCTION("""COMPUTED_VALUE"""),175000.0)</f>
        <v>175000</v>
      </c>
      <c r="P260" s="12">
        <f>IFERROR(__xludf.DUMMYFUNCTION("""COMPUTED_VALUE"""),175000.0)</f>
        <v>175000</v>
      </c>
      <c r="Q260" s="8"/>
      <c r="R260" s="8">
        <f>IFERROR(__xludf.DUMMYFUNCTION("""COMPUTED_VALUE"""),0.0)</f>
        <v>0</v>
      </c>
      <c r="S260" s="12">
        <f>IFERROR(__xludf.DUMMYFUNCTION("""COMPUTED_VALUE"""),0.0)</f>
        <v>0</v>
      </c>
      <c r="T260" s="12">
        <f>IFERROR(__xludf.DUMMYFUNCTION("""COMPUTED_VALUE"""),175000.0)</f>
        <v>175000</v>
      </c>
      <c r="U260" s="13">
        <f>IFERROR(__xludf.DUMMYFUNCTION("""COMPUTED_VALUE"""),0.0)</f>
        <v>0</v>
      </c>
      <c r="V260" s="8"/>
      <c r="W260" s="8"/>
      <c r="X260" s="8">
        <f t="shared" si="1"/>
        <v>5</v>
      </c>
      <c r="AA260" s="10"/>
    </row>
    <row r="261">
      <c r="A261" s="8" t="str">
        <f>IFERROR(__xludf.DUMMYFUNCTION("""COMPUTED_VALUE"""),"10023/JL/UTM/0524")</f>
        <v>10023/JL/UTM/0524</v>
      </c>
      <c r="B261" s="11">
        <f>IFERROR(__xludf.DUMMYFUNCTION("""COMPUTED_VALUE"""),45430.69993055555)</f>
        <v>45430.69993</v>
      </c>
      <c r="C261" s="8" t="str">
        <f>IFERROR(__xludf.DUMMYFUNCTION("""COMPUTED_VALUE"""),"UMUM")</f>
        <v>UMUM</v>
      </c>
      <c r="D261" s="8" t="str">
        <f>IFERROR(__xludf.DUMMYFUNCTION("""COMPUTED_VALUE"""),"UMUM")</f>
        <v>UMUM</v>
      </c>
      <c r="E261" s="8" t="str">
        <f>IFERROR(__xludf.DUMMYFUNCTION("""COMPUTED_VALUE"""),"ADM")</f>
        <v>ADM</v>
      </c>
      <c r="F261" s="8"/>
      <c r="G261" s="8"/>
      <c r="H261" s="8"/>
      <c r="I261" s="8"/>
      <c r="J261" s="8" t="str">
        <f>IFERROR(__xludf.DUMMYFUNCTION("""COMPUTED_VALUE"""),"  ")</f>
        <v>  </v>
      </c>
      <c r="K261" s="8" t="str">
        <f>IFERROR(__xludf.DUMMYFUNCTION("""COMPUTED_VALUE"""),"40515")</f>
        <v>40515</v>
      </c>
      <c r="L261" s="8" t="str">
        <f>IFERROR(__xludf.DUMMYFUNCTION("""COMPUTED_VALUE"""),"V-TEC 1212 PEMOTONG KERTAS A3")</f>
        <v>V-TEC 1212 PEMOTONG KERTAS A3</v>
      </c>
      <c r="M261" s="12">
        <f>IFERROR(__xludf.DUMMYFUNCTION("""COMPUTED_VALUE"""),1.0)</f>
        <v>1</v>
      </c>
      <c r="N261" s="8" t="str">
        <f>IFERROR(__xludf.DUMMYFUNCTION("""COMPUTED_VALUE"""),"UNIT")</f>
        <v>UNIT</v>
      </c>
      <c r="O261" s="13">
        <f>IFERROR(__xludf.DUMMYFUNCTION("""COMPUTED_VALUE"""),5950000.0)</f>
        <v>5950000</v>
      </c>
      <c r="P261" s="12">
        <f>IFERROR(__xludf.DUMMYFUNCTION("""COMPUTED_VALUE"""),5600000.0)</f>
        <v>5600000</v>
      </c>
      <c r="Q261" s="8"/>
      <c r="R261" s="8">
        <f>IFERROR(__xludf.DUMMYFUNCTION("""COMPUTED_VALUE"""),0.0)</f>
        <v>0</v>
      </c>
      <c r="S261" s="12">
        <f>IFERROR(__xludf.DUMMYFUNCTION("""COMPUTED_VALUE"""),0.0)</f>
        <v>0</v>
      </c>
      <c r="T261" s="12">
        <f>IFERROR(__xludf.DUMMYFUNCTION("""COMPUTED_VALUE"""),5950000.0)</f>
        <v>5950000</v>
      </c>
      <c r="U261" s="13">
        <f>IFERROR(__xludf.DUMMYFUNCTION("""COMPUTED_VALUE"""),5.8823529412)</f>
        <v>5.882352941</v>
      </c>
      <c r="V261" s="8" t="str">
        <f>IFERROR(__xludf.DUMMYFUNCTION("""COMPUTED_VALUE"""),"QRIS")</f>
        <v>QRIS</v>
      </c>
      <c r="W261" s="8"/>
      <c r="X261" s="8">
        <f t="shared" si="1"/>
        <v>5</v>
      </c>
      <c r="AA261" s="10"/>
    </row>
    <row r="262">
      <c r="A262" s="8" t="str">
        <f>IFERROR(__xludf.DUMMYFUNCTION("""COMPUTED_VALUE"""),"10025/JL/UTM/0524")</f>
        <v>10025/JL/UTM/0524</v>
      </c>
      <c r="B262" s="11">
        <f>IFERROR(__xludf.DUMMYFUNCTION("""COMPUTED_VALUE"""),45432.702372685184)</f>
        <v>45432.70237</v>
      </c>
      <c r="C262" s="8" t="str">
        <f>IFERROR(__xludf.DUMMYFUNCTION("""COMPUTED_VALUE"""),"UMUM")</f>
        <v>UMUM</v>
      </c>
      <c r="D262" s="8" t="str">
        <f>IFERROR(__xludf.DUMMYFUNCTION("""COMPUTED_VALUE"""),"UMUM")</f>
        <v>UMUM</v>
      </c>
      <c r="E262" s="8" t="str">
        <f>IFERROR(__xludf.DUMMYFUNCTION("""COMPUTED_VALUE"""),"ADM")</f>
        <v>ADM</v>
      </c>
      <c r="F262" s="8"/>
      <c r="G262" s="8"/>
      <c r="H262" s="8"/>
      <c r="I262" s="8"/>
      <c r="J262" s="8" t="str">
        <f>IFERROR(__xludf.DUMMYFUNCTION("""COMPUTED_VALUE"""),"  ")</f>
        <v>  </v>
      </c>
      <c r="K262" s="8" t="str">
        <f>IFERROR(__xludf.DUMMYFUNCTION("""COMPUTED_VALUE"""),"706201")</f>
        <v>706201</v>
      </c>
      <c r="L262" s="8" t="str">
        <f>IFERROR(__xludf.DUMMYFUNCTION("""COMPUTED_VALUE"""),"SECURE MONEY COUNTER LD26M")</f>
        <v>SECURE MONEY COUNTER LD26M</v>
      </c>
      <c r="M262" s="12">
        <f>IFERROR(__xludf.DUMMYFUNCTION("""COMPUTED_VALUE"""),1.0)</f>
        <v>1</v>
      </c>
      <c r="N262" s="8" t="str">
        <f>IFERROR(__xludf.DUMMYFUNCTION("""COMPUTED_VALUE"""),"BH")</f>
        <v>BH</v>
      </c>
      <c r="O262" s="13">
        <f>IFERROR(__xludf.DUMMYFUNCTION("""COMPUTED_VALUE"""),2850000.0)</f>
        <v>2850000</v>
      </c>
      <c r="P262" s="12">
        <f>IFERROR(__xludf.DUMMYFUNCTION("""COMPUTED_VALUE"""),2800000.0)</f>
        <v>2800000</v>
      </c>
      <c r="Q262" s="8"/>
      <c r="R262" s="8">
        <f>IFERROR(__xludf.DUMMYFUNCTION("""COMPUTED_VALUE"""),0.0)</f>
        <v>0</v>
      </c>
      <c r="S262" s="12">
        <f>IFERROR(__xludf.DUMMYFUNCTION("""COMPUTED_VALUE"""),0.0)</f>
        <v>0</v>
      </c>
      <c r="T262" s="12">
        <f>IFERROR(__xludf.DUMMYFUNCTION("""COMPUTED_VALUE"""),2850000.0)</f>
        <v>2850000</v>
      </c>
      <c r="U262" s="13">
        <f>IFERROR(__xludf.DUMMYFUNCTION("""COMPUTED_VALUE"""),1.7543859649)</f>
        <v>1.754385965</v>
      </c>
      <c r="V262" s="8"/>
      <c r="W262" s="8"/>
      <c r="X262" s="8">
        <f t="shared" si="1"/>
        <v>5</v>
      </c>
      <c r="AA262" s="10"/>
    </row>
    <row r="263">
      <c r="A263" s="8" t="str">
        <f>IFERROR(__xludf.DUMMYFUNCTION("""COMPUTED_VALUE"""),"10026/JL/UTM/0524")</f>
        <v>10026/JL/UTM/0524</v>
      </c>
      <c r="B263" s="11">
        <f>IFERROR(__xludf.DUMMYFUNCTION("""COMPUTED_VALUE"""),45432.70300925926)</f>
        <v>45432.70301</v>
      </c>
      <c r="C263" s="8" t="str">
        <f>IFERROR(__xludf.DUMMYFUNCTION("""COMPUTED_VALUE"""),"UMUM")</f>
        <v>UMUM</v>
      </c>
      <c r="D263" s="8" t="str">
        <f>IFERROR(__xludf.DUMMYFUNCTION("""COMPUTED_VALUE"""),"UMUM")</f>
        <v>UMUM</v>
      </c>
      <c r="E263" s="8" t="str">
        <f>IFERROR(__xludf.DUMMYFUNCTION("""COMPUTED_VALUE"""),"ADM")</f>
        <v>ADM</v>
      </c>
      <c r="F263" s="8"/>
      <c r="G263" s="8"/>
      <c r="H263" s="8"/>
      <c r="I263" s="8"/>
      <c r="J263" s="8" t="str">
        <f>IFERROR(__xludf.DUMMYFUNCTION("""COMPUTED_VALUE"""),"  ")</f>
        <v>  </v>
      </c>
      <c r="K263" s="8" t="str">
        <f>IFERROR(__xludf.DUMMYFUNCTION("""COMPUTED_VALUE"""),"505051")</f>
        <v>505051</v>
      </c>
      <c r="L263" s="8" t="str">
        <f>IFERROR(__xludf.DUMMYFUNCTION("""COMPUTED_VALUE"""),"General pemadam api 3 kg")</f>
        <v>General pemadam api 3 kg</v>
      </c>
      <c r="M263" s="12">
        <f>IFERROR(__xludf.DUMMYFUNCTION("""COMPUTED_VALUE"""),1.0)</f>
        <v>1</v>
      </c>
      <c r="N263" s="8" t="str">
        <f>IFERROR(__xludf.DUMMYFUNCTION("""COMPUTED_VALUE"""),"BH")</f>
        <v>BH</v>
      </c>
      <c r="O263" s="13">
        <f>IFERROR(__xludf.DUMMYFUNCTION("""COMPUTED_VALUE"""),550000.0)</f>
        <v>550000</v>
      </c>
      <c r="P263" s="12">
        <f>IFERROR(__xludf.DUMMYFUNCTION("""COMPUTED_VALUE"""),520000.0)</f>
        <v>520000</v>
      </c>
      <c r="Q263" s="8"/>
      <c r="R263" s="8">
        <f>IFERROR(__xludf.DUMMYFUNCTION("""COMPUTED_VALUE"""),0.0)</f>
        <v>0</v>
      </c>
      <c r="S263" s="12">
        <f>IFERROR(__xludf.DUMMYFUNCTION("""COMPUTED_VALUE"""),0.0)</f>
        <v>0</v>
      </c>
      <c r="T263" s="12">
        <f>IFERROR(__xludf.DUMMYFUNCTION("""COMPUTED_VALUE"""),550000.0)</f>
        <v>550000</v>
      </c>
      <c r="U263" s="13">
        <f>IFERROR(__xludf.DUMMYFUNCTION("""COMPUTED_VALUE"""),5.4545454545)</f>
        <v>5.454545455</v>
      </c>
      <c r="V263" s="8"/>
      <c r="W263" s="8"/>
      <c r="X263" s="8">
        <f t="shared" si="1"/>
        <v>5</v>
      </c>
      <c r="AA263" s="10"/>
    </row>
    <row r="264">
      <c r="A264" s="8" t="str">
        <f>IFERROR(__xludf.DUMMYFUNCTION("""COMPUTED_VALUE"""),"10024/JL/UTM/0524")</f>
        <v>10024/JL/UTM/0524</v>
      </c>
      <c r="B264" s="11">
        <f>IFERROR(__xludf.DUMMYFUNCTION("""COMPUTED_VALUE"""),45432.7046875)</f>
        <v>45432.70469</v>
      </c>
      <c r="C264" s="8" t="str">
        <f>IFERROR(__xludf.DUMMYFUNCTION("""COMPUTED_VALUE"""),"UMUM")</f>
        <v>UMUM</v>
      </c>
      <c r="D264" s="8" t="str">
        <f>IFERROR(__xludf.DUMMYFUNCTION("""COMPUTED_VALUE"""),"UMUM")</f>
        <v>UMUM</v>
      </c>
      <c r="E264" s="8" t="str">
        <f>IFERROR(__xludf.DUMMYFUNCTION("""COMPUTED_VALUE"""),"ADM")</f>
        <v>ADM</v>
      </c>
      <c r="F264" s="8"/>
      <c r="G264" s="8"/>
      <c r="H264" s="8"/>
      <c r="I264" s="8"/>
      <c r="J264" s="8" t="str">
        <f>IFERROR(__xludf.DUMMYFUNCTION("""COMPUTED_VALUE"""),"  ")</f>
        <v>  </v>
      </c>
      <c r="K264" s="8" t="str">
        <f>IFERROR(__xludf.DUMMYFUNCTION("""COMPUTED_VALUE"""),"606064")</f>
        <v>606064</v>
      </c>
      <c r="L264" s="8" t="str">
        <f>IFERROR(__xludf.DUMMYFUNCTION("""COMPUTED_VALUE"""),"Maestro King Brankast Size III")</f>
        <v>Maestro King Brankast Size III</v>
      </c>
      <c r="M264" s="12">
        <f>IFERROR(__xludf.DUMMYFUNCTION("""COMPUTED_VALUE"""),1.0)</f>
        <v>1</v>
      </c>
      <c r="N264" s="8" t="str">
        <f>IFERROR(__xludf.DUMMYFUNCTION("""COMPUTED_VALUE"""),"BH")</f>
        <v>BH</v>
      </c>
      <c r="O264" s="13">
        <f>IFERROR(__xludf.DUMMYFUNCTION("""COMPUTED_VALUE"""),1.825E7)</f>
        <v>18250000</v>
      </c>
      <c r="P264" s="12">
        <f>IFERROR(__xludf.DUMMYFUNCTION("""COMPUTED_VALUE"""),1.75E7)</f>
        <v>17500000</v>
      </c>
      <c r="Q264" s="8"/>
      <c r="R264" s="8">
        <f>IFERROR(__xludf.DUMMYFUNCTION("""COMPUTED_VALUE"""),0.0)</f>
        <v>0</v>
      </c>
      <c r="S264" s="12">
        <f>IFERROR(__xludf.DUMMYFUNCTION("""COMPUTED_VALUE"""),0.0)</f>
        <v>0</v>
      </c>
      <c r="T264" s="12">
        <f>IFERROR(__xludf.DUMMYFUNCTION("""COMPUTED_VALUE"""),1.825E7)</f>
        <v>18250000</v>
      </c>
      <c r="U264" s="13">
        <f>IFERROR(__xludf.DUMMYFUNCTION("""COMPUTED_VALUE"""),4.1095890411)</f>
        <v>4.109589041</v>
      </c>
      <c r="V264" s="8" t="str">
        <f>IFERROR(__xludf.DUMMYFUNCTION("""COMPUTED_VALUE"""),"EDC BRI")</f>
        <v>EDC BRI</v>
      </c>
      <c r="W264" s="8"/>
      <c r="X264" s="8">
        <f t="shared" si="1"/>
        <v>5</v>
      </c>
      <c r="AA264" s="10"/>
    </row>
    <row r="265">
      <c r="A265" s="8" t="str">
        <f>IFERROR(__xludf.DUMMYFUNCTION("""COMPUTED_VALUE"""),"10027/JL/UTM/0524")</f>
        <v>10027/JL/UTM/0524</v>
      </c>
      <c r="B265" s="11">
        <f>IFERROR(__xludf.DUMMYFUNCTION("""COMPUTED_VALUE"""),45434.71116898148)</f>
        <v>45434.71117</v>
      </c>
      <c r="C265" s="8" t="str">
        <f>IFERROR(__xludf.DUMMYFUNCTION("""COMPUTED_VALUE"""),"UMUM")</f>
        <v>UMUM</v>
      </c>
      <c r="D265" s="8" t="str">
        <f>IFERROR(__xludf.DUMMYFUNCTION("""COMPUTED_VALUE"""),"UMUM")</f>
        <v>UMUM</v>
      </c>
      <c r="E265" s="8" t="str">
        <f>IFERROR(__xludf.DUMMYFUNCTION("""COMPUTED_VALUE"""),"ADM")</f>
        <v>ADM</v>
      </c>
      <c r="F265" s="8"/>
      <c r="G265" s="8"/>
      <c r="H265" s="8"/>
      <c r="I265" s="8"/>
      <c r="J265" s="8" t="str">
        <f>IFERROR(__xludf.DUMMYFUNCTION("""COMPUTED_VALUE"""),"  ")</f>
        <v>  </v>
      </c>
      <c r="K265" s="8" t="str">
        <f>IFERROR(__xludf.DUMMYFUNCTION("""COMPUTED_VALUE"""),"706269")</f>
        <v>706269</v>
      </c>
      <c r="L265" s="8" t="str">
        <f>IFERROR(__xludf.DUMMYFUNCTION("""COMPUTED_VALUE"""),"MURATA LEMARI ARSIP KOMBINASI MR 007")</f>
        <v>MURATA LEMARI ARSIP KOMBINASI MR 007</v>
      </c>
      <c r="M265" s="12">
        <f>IFERROR(__xludf.DUMMYFUNCTION("""COMPUTED_VALUE"""),1.0)</f>
        <v>1</v>
      </c>
      <c r="N265" s="8" t="str">
        <f>IFERROR(__xludf.DUMMYFUNCTION("""COMPUTED_VALUE"""),"UNIT")</f>
        <v>UNIT</v>
      </c>
      <c r="O265" s="13">
        <f>IFERROR(__xludf.DUMMYFUNCTION("""COMPUTED_VALUE"""),2900000.0)</f>
        <v>2900000</v>
      </c>
      <c r="P265" s="12">
        <f>IFERROR(__xludf.DUMMYFUNCTION("""COMPUTED_VALUE"""),3900000.0)</f>
        <v>3900000</v>
      </c>
      <c r="Q265" s="8"/>
      <c r="R265" s="8">
        <f>IFERROR(__xludf.DUMMYFUNCTION("""COMPUTED_VALUE"""),0.0)</f>
        <v>0</v>
      </c>
      <c r="S265" s="12">
        <f>IFERROR(__xludf.DUMMYFUNCTION("""COMPUTED_VALUE"""),0.0)</f>
        <v>0</v>
      </c>
      <c r="T265" s="12">
        <f>IFERROR(__xludf.DUMMYFUNCTION("""COMPUTED_VALUE"""),2900000.0)</f>
        <v>2900000</v>
      </c>
      <c r="U265" s="13">
        <f>IFERROR(__xludf.DUMMYFUNCTION("""COMPUTED_VALUE"""),0.0)</f>
        <v>0</v>
      </c>
      <c r="V265" s="8" t="str">
        <f>IFERROR(__xludf.DUMMYFUNCTION("""COMPUTED_VALUE"""),"EDC BCA ")</f>
        <v>EDC BCA </v>
      </c>
      <c r="W265" s="8"/>
      <c r="X265" s="8">
        <f t="shared" si="1"/>
        <v>5</v>
      </c>
      <c r="AA265" s="10"/>
    </row>
    <row r="266">
      <c r="A266" s="8" t="str">
        <f>IFERROR(__xludf.DUMMYFUNCTION("""COMPUTED_VALUE"""),"10027/JL/UTM/0524")</f>
        <v>10027/JL/UTM/0524</v>
      </c>
      <c r="B266" s="11">
        <f>IFERROR(__xludf.DUMMYFUNCTION("""COMPUTED_VALUE"""),45434.71116898148)</f>
        <v>45434.71117</v>
      </c>
      <c r="C266" s="8" t="str">
        <f>IFERROR(__xludf.DUMMYFUNCTION("""COMPUTED_VALUE"""),"UMUM")</f>
        <v>UMUM</v>
      </c>
      <c r="D266" s="8" t="str">
        <f>IFERROR(__xludf.DUMMYFUNCTION("""COMPUTED_VALUE"""),"UMUM")</f>
        <v>UMUM</v>
      </c>
      <c r="E266" s="8" t="str">
        <f>IFERROR(__xludf.DUMMYFUNCTION("""COMPUTED_VALUE"""),"ADM")</f>
        <v>ADM</v>
      </c>
      <c r="F266" s="8"/>
      <c r="G266" s="8"/>
      <c r="H266" s="8"/>
      <c r="I266" s="8"/>
      <c r="J266" s="8" t="str">
        <f>IFERROR(__xludf.DUMMYFUNCTION("""COMPUTED_VALUE"""),"  ")</f>
        <v>  </v>
      </c>
      <c r="K266" s="8" t="str">
        <f>IFERROR(__xludf.DUMMYFUNCTION("""COMPUTED_VALUE"""),"40400")</f>
        <v>40400</v>
      </c>
      <c r="L266" s="8" t="str">
        <f>IFERROR(__xludf.DUMMYFUNCTION("""COMPUTED_VALUE"""),"AKTIV MEJA 1/2 BIRO GALANT MTO 120")</f>
        <v>AKTIV MEJA 1/2 BIRO GALANT MTO 120</v>
      </c>
      <c r="M266" s="12">
        <f>IFERROR(__xludf.DUMMYFUNCTION("""COMPUTED_VALUE"""),1.0)</f>
        <v>1</v>
      </c>
      <c r="N266" s="8" t="str">
        <f>IFERROR(__xludf.DUMMYFUNCTION("""COMPUTED_VALUE"""),"UNIT")</f>
        <v>UNIT</v>
      </c>
      <c r="O266" s="13">
        <f>IFERROR(__xludf.DUMMYFUNCTION("""COMPUTED_VALUE"""),1000000.0)</f>
        <v>1000000</v>
      </c>
      <c r="P266" s="12">
        <f>IFERROR(__xludf.DUMMYFUNCTION("""COMPUTED_VALUE"""),3900000.0)</f>
        <v>3900000</v>
      </c>
      <c r="Q266" s="8"/>
      <c r="R266" s="8">
        <f>IFERROR(__xludf.DUMMYFUNCTION("""COMPUTED_VALUE"""),0.0)</f>
        <v>0</v>
      </c>
      <c r="S266" s="12">
        <f>IFERROR(__xludf.DUMMYFUNCTION("""COMPUTED_VALUE"""),0.0)</f>
        <v>0</v>
      </c>
      <c r="T266" s="12">
        <f>IFERROR(__xludf.DUMMYFUNCTION("""COMPUTED_VALUE"""),1000000.0)</f>
        <v>1000000</v>
      </c>
      <c r="U266" s="13">
        <f>IFERROR(__xludf.DUMMYFUNCTION("""COMPUTED_VALUE"""),0.0)</f>
        <v>0</v>
      </c>
      <c r="V266" s="8" t="str">
        <f>IFERROR(__xludf.DUMMYFUNCTION("""COMPUTED_VALUE"""),"EDC BCA ")</f>
        <v>EDC BCA </v>
      </c>
      <c r="W266" s="8"/>
      <c r="X266" s="8">
        <f t="shared" si="1"/>
        <v>5</v>
      </c>
      <c r="AA266" s="10"/>
    </row>
    <row r="267">
      <c r="A267" s="8" t="str">
        <f>IFERROR(__xludf.DUMMYFUNCTION("""COMPUTED_VALUE"""),"10028/JL/UTM/0524")</f>
        <v>10028/JL/UTM/0524</v>
      </c>
      <c r="B267" s="11">
        <f>IFERROR(__xludf.DUMMYFUNCTION("""COMPUTED_VALUE"""),45434.712685185186)</f>
        <v>45434.71269</v>
      </c>
      <c r="C267" s="8" t="str">
        <f>IFERROR(__xludf.DUMMYFUNCTION("""COMPUTED_VALUE"""),"PL0928")</f>
        <v>PL0928</v>
      </c>
      <c r="D267" s="8" t="str">
        <f>IFERROR(__xludf.DUMMYFUNCTION("""COMPUTED_VALUE"""),"PT. AKM")</f>
        <v>PT. AKM</v>
      </c>
      <c r="E267" s="8" t="str">
        <f>IFERROR(__xludf.DUMMYFUNCTION("""COMPUTED_VALUE"""),"ADM")</f>
        <v>ADM</v>
      </c>
      <c r="F267" s="8"/>
      <c r="G267" s="8"/>
      <c r="H267" s="8"/>
      <c r="I267" s="8"/>
      <c r="J267" s="8" t="str">
        <f>IFERROR(__xludf.DUMMYFUNCTION("""COMPUTED_VALUE"""),"Palu  ")</f>
        <v>Palu  </v>
      </c>
      <c r="K267" s="8" t="str">
        <f>IFERROR(__xludf.DUMMYFUNCTION("""COMPUTED_VALUE"""),"706305")</f>
        <v>706305</v>
      </c>
      <c r="L267" s="8" t="str">
        <f>IFERROR(__xludf.DUMMYFUNCTION("""COMPUTED_VALUE"""),"MITSUBISHI W. BOARD 90 X 120 CM")</f>
        <v>MITSUBISHI W. BOARD 90 X 120 CM</v>
      </c>
      <c r="M267" s="12">
        <f>IFERROR(__xludf.DUMMYFUNCTION("""COMPUTED_VALUE"""),5.0)</f>
        <v>5</v>
      </c>
      <c r="N267" s="8" t="str">
        <f>IFERROR(__xludf.DUMMYFUNCTION("""COMPUTED_VALUE"""),"BH")</f>
        <v>BH</v>
      </c>
      <c r="O267" s="13">
        <f>IFERROR(__xludf.DUMMYFUNCTION("""COMPUTED_VALUE"""),250000.0)</f>
        <v>250000</v>
      </c>
      <c r="P267" s="12">
        <f>IFERROR(__xludf.DUMMYFUNCTION("""COMPUTED_VALUE"""),0.0)</f>
        <v>0</v>
      </c>
      <c r="Q267" s="8"/>
      <c r="R267" s="8">
        <f>IFERROR(__xludf.DUMMYFUNCTION("""COMPUTED_VALUE"""),0.0)</f>
        <v>0</v>
      </c>
      <c r="S267" s="12">
        <f>IFERROR(__xludf.DUMMYFUNCTION("""COMPUTED_VALUE"""),1250000.0)</f>
        <v>1250000</v>
      </c>
      <c r="T267" s="12">
        <f>IFERROR(__xludf.DUMMYFUNCTION("""COMPUTED_VALUE"""),1250000.0)</f>
        <v>1250000</v>
      </c>
      <c r="U267" s="13">
        <f>IFERROR(__xludf.DUMMYFUNCTION("""COMPUTED_VALUE"""),0.0)</f>
        <v>0</v>
      </c>
      <c r="V267" s="8"/>
      <c r="W267" s="8"/>
      <c r="X267" s="8">
        <f t="shared" si="1"/>
        <v>5</v>
      </c>
      <c r="AA267" s="10"/>
    </row>
    <row r="268">
      <c r="A268" s="8" t="str">
        <f>IFERROR(__xludf.DUMMYFUNCTION("""COMPUTED_VALUE"""),"10029/JL/UTM/0524")</f>
        <v>10029/JL/UTM/0524</v>
      </c>
      <c r="B268" s="11">
        <f>IFERROR(__xludf.DUMMYFUNCTION("""COMPUTED_VALUE"""),45434.71490740741)</f>
        <v>45434.71491</v>
      </c>
      <c r="C268" s="8" t="str">
        <f>IFERROR(__xludf.DUMMYFUNCTION("""COMPUTED_VALUE"""),"PL0939")</f>
        <v>PL0939</v>
      </c>
      <c r="D268" s="8" t="str">
        <f>IFERROR(__xludf.DUMMYFUNCTION("""COMPUTED_VALUE"""),"BRI KCU PALU")</f>
        <v>BRI KCU PALU</v>
      </c>
      <c r="E268" s="8" t="str">
        <f>IFERROR(__xludf.DUMMYFUNCTION("""COMPUTED_VALUE"""),"ADM")</f>
        <v>ADM</v>
      </c>
      <c r="F268" s="8"/>
      <c r="G268" s="8"/>
      <c r="H268" s="8"/>
      <c r="I268" s="8"/>
      <c r="J268" s="8" t="str">
        <f>IFERROR(__xludf.DUMMYFUNCTION("""COMPUTED_VALUE"""),"  ")</f>
        <v>  </v>
      </c>
      <c r="K268" s="8" t="str">
        <f>IFERROR(__xludf.DUMMYFUNCTION("""COMPUTED_VALUE"""),"40331")</f>
        <v>40331</v>
      </c>
      <c r="L268" s="8" t="str">
        <f>IFERROR(__xludf.DUMMYFUNCTION("""COMPUTED_VALUE"""),"V-TEC CASH BOX VT-869")</f>
        <v>V-TEC CASH BOX VT-869</v>
      </c>
      <c r="M268" s="12">
        <f>IFERROR(__xludf.DUMMYFUNCTION("""COMPUTED_VALUE"""),3.0)</f>
        <v>3</v>
      </c>
      <c r="N268" s="8" t="str">
        <f>IFERROR(__xludf.DUMMYFUNCTION("""COMPUTED_VALUE"""),"BH")</f>
        <v>BH</v>
      </c>
      <c r="O268" s="13">
        <f>IFERROR(__xludf.DUMMYFUNCTION("""COMPUTED_VALUE"""),800000.0)</f>
        <v>800000</v>
      </c>
      <c r="P268" s="12">
        <f>IFERROR(__xludf.DUMMYFUNCTION("""COMPUTED_VALUE"""),0.0)</f>
        <v>0</v>
      </c>
      <c r="Q268" s="8"/>
      <c r="R268" s="8">
        <f>IFERROR(__xludf.DUMMYFUNCTION("""COMPUTED_VALUE"""),0.0)</f>
        <v>0</v>
      </c>
      <c r="S268" s="12">
        <f>IFERROR(__xludf.DUMMYFUNCTION("""COMPUTED_VALUE"""),3100000.0)</f>
        <v>3100000</v>
      </c>
      <c r="T268" s="12">
        <f>IFERROR(__xludf.DUMMYFUNCTION("""COMPUTED_VALUE"""),2400000.0)</f>
        <v>2400000</v>
      </c>
      <c r="U268" s="13">
        <f>IFERROR(__xludf.DUMMYFUNCTION("""COMPUTED_VALUE"""),0.0)</f>
        <v>0</v>
      </c>
      <c r="V268" s="8"/>
      <c r="W268" s="8"/>
      <c r="X268" s="8">
        <f t="shared" si="1"/>
        <v>5</v>
      </c>
      <c r="AA268" s="10"/>
    </row>
    <row r="269">
      <c r="A269" s="8" t="str">
        <f>IFERROR(__xludf.DUMMYFUNCTION("""COMPUTED_VALUE"""),"10029/JL/UTM/0524")</f>
        <v>10029/JL/UTM/0524</v>
      </c>
      <c r="B269" s="11">
        <f>IFERROR(__xludf.DUMMYFUNCTION("""COMPUTED_VALUE"""),45434.71490740741)</f>
        <v>45434.71491</v>
      </c>
      <c r="C269" s="8" t="str">
        <f>IFERROR(__xludf.DUMMYFUNCTION("""COMPUTED_VALUE"""),"PL0939")</f>
        <v>PL0939</v>
      </c>
      <c r="D269" s="8" t="str">
        <f>IFERROR(__xludf.DUMMYFUNCTION("""COMPUTED_VALUE"""),"BRI KCU PALU")</f>
        <v>BRI KCU PALU</v>
      </c>
      <c r="E269" s="8" t="str">
        <f>IFERROR(__xludf.DUMMYFUNCTION("""COMPUTED_VALUE"""),"ADM")</f>
        <v>ADM</v>
      </c>
      <c r="F269" s="8"/>
      <c r="G269" s="8"/>
      <c r="H269" s="8"/>
      <c r="I269" s="8"/>
      <c r="J269" s="8" t="str">
        <f>IFERROR(__xludf.DUMMYFUNCTION("""COMPUTED_VALUE"""),"  ")</f>
        <v>  </v>
      </c>
      <c r="K269" s="8" t="str">
        <f>IFERROR(__xludf.DUMMYFUNCTION("""COMPUTED_VALUE"""),"40330")</f>
        <v>40330</v>
      </c>
      <c r="L269" s="8" t="str">
        <f>IFERROR(__xludf.DUMMYFUNCTION("""COMPUTED_VALUE"""),"V-TEC CASH BOX VT-868")</f>
        <v>V-TEC CASH BOX VT-868</v>
      </c>
      <c r="M269" s="12">
        <f>IFERROR(__xludf.DUMMYFUNCTION("""COMPUTED_VALUE"""),1.0)</f>
        <v>1</v>
      </c>
      <c r="N269" s="8" t="str">
        <f>IFERROR(__xludf.DUMMYFUNCTION("""COMPUTED_VALUE"""),"BH")</f>
        <v>BH</v>
      </c>
      <c r="O269" s="13">
        <f>IFERROR(__xludf.DUMMYFUNCTION("""COMPUTED_VALUE"""),700000.0)</f>
        <v>700000</v>
      </c>
      <c r="P269" s="12">
        <f>IFERROR(__xludf.DUMMYFUNCTION("""COMPUTED_VALUE"""),0.0)</f>
        <v>0</v>
      </c>
      <c r="Q269" s="8"/>
      <c r="R269" s="8">
        <f>IFERROR(__xludf.DUMMYFUNCTION("""COMPUTED_VALUE"""),0.0)</f>
        <v>0</v>
      </c>
      <c r="S269" s="12">
        <f>IFERROR(__xludf.DUMMYFUNCTION("""COMPUTED_VALUE"""),3100000.0)</f>
        <v>3100000</v>
      </c>
      <c r="T269" s="12">
        <f>IFERROR(__xludf.DUMMYFUNCTION("""COMPUTED_VALUE"""),700000.0)</f>
        <v>700000</v>
      </c>
      <c r="U269" s="13">
        <f>IFERROR(__xludf.DUMMYFUNCTION("""COMPUTED_VALUE"""),0.0)</f>
        <v>0</v>
      </c>
      <c r="V269" s="8"/>
      <c r="W269" s="8"/>
      <c r="X269" s="8">
        <f t="shared" si="1"/>
        <v>5</v>
      </c>
      <c r="AA269" s="10"/>
    </row>
    <row r="270">
      <c r="A270" s="8" t="str">
        <f>IFERROR(__xludf.DUMMYFUNCTION("""COMPUTED_VALUE"""),"10030/JL/UTM/0524")</f>
        <v>10030/JL/UTM/0524</v>
      </c>
      <c r="B270" s="11">
        <f>IFERROR(__xludf.DUMMYFUNCTION("""COMPUTED_VALUE"""),45436.71879629629)</f>
        <v>45436.7188</v>
      </c>
      <c r="C270" s="8" t="str">
        <f>IFERROR(__xludf.DUMMYFUNCTION("""COMPUTED_VALUE"""),"UMUM")</f>
        <v>UMUM</v>
      </c>
      <c r="D270" s="8" t="str">
        <f>IFERROR(__xludf.DUMMYFUNCTION("""COMPUTED_VALUE"""),"UMUM")</f>
        <v>UMUM</v>
      </c>
      <c r="E270" s="8" t="str">
        <f>IFERROR(__xludf.DUMMYFUNCTION("""COMPUTED_VALUE"""),"ADM")</f>
        <v>ADM</v>
      </c>
      <c r="F270" s="8"/>
      <c r="G270" s="8"/>
      <c r="H270" s="8"/>
      <c r="I270" s="8"/>
      <c r="J270" s="8" t="str">
        <f>IFERROR(__xludf.DUMMYFUNCTION("""COMPUTED_VALUE"""),"  ")</f>
        <v>  </v>
      </c>
      <c r="K270" s="8" t="str">
        <f>IFERROR(__xludf.DUMMYFUNCTION("""COMPUTED_VALUE"""),"706300")</f>
        <v>706300</v>
      </c>
      <c r="L270" s="8" t="str">
        <f>IFERROR(__xludf.DUMMYFUNCTION("""COMPUTED_VALUE"""),"MARK PRINT RIBBON")</f>
        <v>MARK PRINT RIBBON</v>
      </c>
      <c r="M270" s="12">
        <f>IFERROR(__xludf.DUMMYFUNCTION("""COMPUTED_VALUE"""),2.0)</f>
        <v>2</v>
      </c>
      <c r="N270" s="8" t="str">
        <f>IFERROR(__xludf.DUMMYFUNCTION("""COMPUTED_VALUE"""),"BH")</f>
        <v>BH</v>
      </c>
      <c r="O270" s="13">
        <f>IFERROR(__xludf.DUMMYFUNCTION("""COMPUTED_VALUE"""),80000.0)</f>
        <v>80000</v>
      </c>
      <c r="P270" s="12">
        <f>IFERROR(__xludf.DUMMYFUNCTION("""COMPUTED_VALUE"""),160000.0)</f>
        <v>160000</v>
      </c>
      <c r="Q270" s="8"/>
      <c r="R270" s="8">
        <f>IFERROR(__xludf.DUMMYFUNCTION("""COMPUTED_VALUE"""),0.0)</f>
        <v>0</v>
      </c>
      <c r="S270" s="12">
        <f>IFERROR(__xludf.DUMMYFUNCTION("""COMPUTED_VALUE"""),0.0)</f>
        <v>0</v>
      </c>
      <c r="T270" s="12">
        <f>IFERROR(__xludf.DUMMYFUNCTION("""COMPUTED_VALUE"""),160000.0)</f>
        <v>160000</v>
      </c>
      <c r="U270" s="13">
        <f>IFERROR(__xludf.DUMMYFUNCTION("""COMPUTED_VALUE"""),0.0)</f>
        <v>0</v>
      </c>
      <c r="V270" s="8"/>
      <c r="W270" s="8"/>
      <c r="X270" s="8">
        <f t="shared" si="1"/>
        <v>5</v>
      </c>
      <c r="AA270" s="10"/>
    </row>
    <row r="271">
      <c r="A271" s="8" t="str">
        <f>IFERROR(__xludf.DUMMYFUNCTION("""COMPUTED_VALUE"""),"10031/JL/UTM/0524")</f>
        <v>10031/JL/UTM/0524</v>
      </c>
      <c r="B271" s="11">
        <f>IFERROR(__xludf.DUMMYFUNCTION("""COMPUTED_VALUE"""),45436.719305555554)</f>
        <v>45436.71931</v>
      </c>
      <c r="C271" s="8" t="str">
        <f>IFERROR(__xludf.DUMMYFUNCTION("""COMPUTED_VALUE"""),"UMUM")</f>
        <v>UMUM</v>
      </c>
      <c r="D271" s="8" t="str">
        <f>IFERROR(__xludf.DUMMYFUNCTION("""COMPUTED_VALUE"""),"UMUM")</f>
        <v>UMUM</v>
      </c>
      <c r="E271" s="8" t="str">
        <f>IFERROR(__xludf.DUMMYFUNCTION("""COMPUTED_VALUE"""),"ADM")</f>
        <v>ADM</v>
      </c>
      <c r="F271" s="8"/>
      <c r="G271" s="8"/>
      <c r="H271" s="8"/>
      <c r="I271" s="8"/>
      <c r="J271" s="8" t="str">
        <f>IFERROR(__xludf.DUMMYFUNCTION("""COMPUTED_VALUE"""),"  ")</f>
        <v>  </v>
      </c>
      <c r="K271" s="8" t="str">
        <f>IFERROR(__xludf.DUMMYFUNCTION("""COMPUTED_VALUE"""),"20120")</f>
        <v>20120</v>
      </c>
      <c r="L271" s="8" t="str">
        <f>IFERROR(__xludf.DUMMYFUNCTION("""COMPUTED_VALUE"""),"HONGSENG PRICE LABELLER MX 6600")</f>
        <v>HONGSENG PRICE LABELLER MX 6600</v>
      </c>
      <c r="M271" s="12">
        <f>IFERROR(__xludf.DUMMYFUNCTION("""COMPUTED_VALUE"""),1.0)</f>
        <v>1</v>
      </c>
      <c r="N271" s="8" t="str">
        <f>IFERROR(__xludf.DUMMYFUNCTION("""COMPUTED_VALUE"""),"BH")</f>
        <v>BH</v>
      </c>
      <c r="O271" s="13">
        <f>IFERROR(__xludf.DUMMYFUNCTION("""COMPUTED_VALUE"""),150000.0)</f>
        <v>150000</v>
      </c>
      <c r="P271" s="12">
        <f>IFERROR(__xludf.DUMMYFUNCTION("""COMPUTED_VALUE"""),150000.0)</f>
        <v>150000</v>
      </c>
      <c r="Q271" s="8"/>
      <c r="R271" s="8">
        <f>IFERROR(__xludf.DUMMYFUNCTION("""COMPUTED_VALUE"""),0.0)</f>
        <v>0</v>
      </c>
      <c r="S271" s="12">
        <f>IFERROR(__xludf.DUMMYFUNCTION("""COMPUTED_VALUE"""),0.0)</f>
        <v>0</v>
      </c>
      <c r="T271" s="12">
        <f>IFERROR(__xludf.DUMMYFUNCTION("""COMPUTED_VALUE"""),150000.0)</f>
        <v>150000</v>
      </c>
      <c r="U271" s="13">
        <f>IFERROR(__xludf.DUMMYFUNCTION("""COMPUTED_VALUE"""),0.0)</f>
        <v>0</v>
      </c>
      <c r="V271" s="8"/>
      <c r="W271" s="8"/>
      <c r="X271" s="8">
        <f t="shared" si="1"/>
        <v>5</v>
      </c>
      <c r="AA271" s="10"/>
    </row>
    <row r="272">
      <c r="A272" s="8" t="str">
        <f>IFERROR(__xludf.DUMMYFUNCTION("""COMPUTED_VALUE"""),"10032/JL/UTM/0524")</f>
        <v>10032/JL/UTM/0524</v>
      </c>
      <c r="B272" s="11">
        <f>IFERROR(__xludf.DUMMYFUNCTION("""COMPUTED_VALUE"""),45436.720196759255)</f>
        <v>45436.7202</v>
      </c>
      <c r="C272" s="8" t="str">
        <f>IFERROR(__xludf.DUMMYFUNCTION("""COMPUTED_VALUE"""),"044")</f>
        <v>044</v>
      </c>
      <c r="D272" s="8" t="str">
        <f>IFERROR(__xludf.DUMMYFUNCTION("""COMPUTED_VALUE"""),"BANK SULTENG KC PALU")</f>
        <v>BANK SULTENG KC PALU</v>
      </c>
      <c r="E272" s="8" t="str">
        <f>IFERROR(__xludf.DUMMYFUNCTION("""COMPUTED_VALUE"""),"ADM")</f>
        <v>ADM</v>
      </c>
      <c r="F272" s="8"/>
      <c r="G272" s="8"/>
      <c r="H272" s="8"/>
      <c r="I272" s="8"/>
      <c r="J272" s="8" t="str">
        <f>IFERROR(__xludf.DUMMYFUNCTION("""COMPUTED_VALUE"""),"  ")</f>
        <v>  </v>
      </c>
      <c r="K272" s="8" t="str">
        <f>IFERROR(__xludf.DUMMYFUNCTION("""COMPUTED_VALUE"""),"706304")</f>
        <v>706304</v>
      </c>
      <c r="L272" s="8" t="str">
        <f>IFERROR(__xludf.DUMMYFUNCTION("""COMPUTED_VALUE"""),"AKTIV LEMARI ARSIP PINTU AYUN FORTE SWB 90")</f>
        <v>AKTIV LEMARI ARSIP PINTU AYUN FORTE SWB 90</v>
      </c>
      <c r="M272" s="12">
        <f>IFERROR(__xludf.DUMMYFUNCTION("""COMPUTED_VALUE"""),2.0)</f>
        <v>2</v>
      </c>
      <c r="N272" s="8" t="str">
        <f>IFERROR(__xludf.DUMMYFUNCTION("""COMPUTED_VALUE"""),"UNIT")</f>
        <v>UNIT</v>
      </c>
      <c r="O272" s="13">
        <f>IFERROR(__xludf.DUMMYFUNCTION("""COMPUTED_VALUE"""),2300000.0)</f>
        <v>2300000</v>
      </c>
      <c r="P272" s="12">
        <f>IFERROR(__xludf.DUMMYFUNCTION("""COMPUTED_VALUE"""),0.0)</f>
        <v>0</v>
      </c>
      <c r="Q272" s="8"/>
      <c r="R272" s="8">
        <f>IFERROR(__xludf.DUMMYFUNCTION("""COMPUTED_VALUE"""),0.0)</f>
        <v>0</v>
      </c>
      <c r="S272" s="12">
        <f>IFERROR(__xludf.DUMMYFUNCTION("""COMPUTED_VALUE"""),4600000.0)</f>
        <v>4600000</v>
      </c>
      <c r="T272" s="12">
        <f>IFERROR(__xludf.DUMMYFUNCTION("""COMPUTED_VALUE"""),4600000.0)</f>
        <v>4600000</v>
      </c>
      <c r="U272" s="13">
        <f>IFERROR(__xludf.DUMMYFUNCTION("""COMPUTED_VALUE"""),0.0)</f>
        <v>0</v>
      </c>
      <c r="V272" s="8"/>
      <c r="W272" s="8"/>
      <c r="X272" s="8">
        <f t="shared" si="1"/>
        <v>5</v>
      </c>
      <c r="AA272" s="10"/>
    </row>
    <row r="273">
      <c r="A273" s="8" t="str">
        <f>IFERROR(__xludf.DUMMYFUNCTION("""COMPUTED_VALUE"""),"10033/JL/UTM/0524")</f>
        <v>10033/JL/UTM/0524</v>
      </c>
      <c r="B273" s="11">
        <f>IFERROR(__xludf.DUMMYFUNCTION("""COMPUTED_VALUE"""),45437.72599537037)</f>
        <v>45437.726</v>
      </c>
      <c r="C273" s="8" t="str">
        <f>IFERROR(__xludf.DUMMYFUNCTION("""COMPUTED_VALUE"""),"PL0940")</f>
        <v>PL0940</v>
      </c>
      <c r="D273" s="8" t="str">
        <f>IFERROR(__xludf.DUMMYFUNCTION("""COMPUTED_VALUE"""),"PUSKESMAS SANGURARA")</f>
        <v>PUSKESMAS SANGURARA</v>
      </c>
      <c r="E273" s="8" t="str">
        <f>IFERROR(__xludf.DUMMYFUNCTION("""COMPUTED_VALUE"""),"ADM")</f>
        <v>ADM</v>
      </c>
      <c r="F273" s="8"/>
      <c r="G273" s="8"/>
      <c r="H273" s="8"/>
      <c r="I273" s="8"/>
      <c r="J273" s="8" t="str">
        <f>IFERROR(__xludf.DUMMYFUNCTION("""COMPUTED_VALUE"""),"PALU  ")</f>
        <v>PALU  </v>
      </c>
      <c r="K273" s="8" t="str">
        <f>IFERROR(__xludf.DUMMYFUNCTION("""COMPUTED_VALUE"""),"20258")</f>
        <v>20258</v>
      </c>
      <c r="L273" s="8" t="str">
        <f>IFERROR(__xludf.DUMMYFUNCTION("""COMPUTED_VALUE"""),"V-TEC TIANG ANTRIAN 4 LINE")</f>
        <v>V-TEC TIANG ANTRIAN 4 LINE</v>
      </c>
      <c r="M273" s="12">
        <f>IFERROR(__xludf.DUMMYFUNCTION("""COMPUTED_VALUE"""),2.0)</f>
        <v>2</v>
      </c>
      <c r="N273" s="8" t="str">
        <f>IFERROR(__xludf.DUMMYFUNCTION("""COMPUTED_VALUE"""),"BH")</f>
        <v>BH</v>
      </c>
      <c r="O273" s="13">
        <f>IFERROR(__xludf.DUMMYFUNCTION("""COMPUTED_VALUE"""),750000.0)</f>
        <v>750000</v>
      </c>
      <c r="P273" s="12">
        <f>IFERROR(__xludf.DUMMYFUNCTION("""COMPUTED_VALUE"""),0.0)</f>
        <v>0</v>
      </c>
      <c r="Q273" s="8"/>
      <c r="R273" s="8">
        <f>IFERROR(__xludf.DUMMYFUNCTION("""COMPUTED_VALUE"""),0.0)</f>
        <v>0</v>
      </c>
      <c r="S273" s="12">
        <f>IFERROR(__xludf.DUMMYFUNCTION("""COMPUTED_VALUE"""),1500000.0)</f>
        <v>1500000</v>
      </c>
      <c r="T273" s="12">
        <f>IFERROR(__xludf.DUMMYFUNCTION("""COMPUTED_VALUE"""),1500000.0)</f>
        <v>1500000</v>
      </c>
      <c r="U273" s="13">
        <f>IFERROR(__xludf.DUMMYFUNCTION("""COMPUTED_VALUE"""),0.0)</f>
        <v>0</v>
      </c>
      <c r="V273" s="8"/>
      <c r="W273" s="8"/>
      <c r="X273" s="8">
        <f t="shared" si="1"/>
        <v>5</v>
      </c>
      <c r="AA273" s="10"/>
    </row>
    <row r="274">
      <c r="A274" s="8" t="str">
        <f>IFERROR(__xludf.DUMMYFUNCTION("""COMPUTED_VALUE"""),"10034/JL/UTM/0524")</f>
        <v>10034/JL/UTM/0524</v>
      </c>
      <c r="B274" s="11">
        <f>IFERROR(__xludf.DUMMYFUNCTION("""COMPUTED_VALUE"""),45437.727372685185)</f>
        <v>45437.72737</v>
      </c>
      <c r="C274" s="8" t="str">
        <f>IFERROR(__xludf.DUMMYFUNCTION("""COMPUTED_VALUE"""),"044")</f>
        <v>044</v>
      </c>
      <c r="D274" s="8" t="str">
        <f>IFERROR(__xludf.DUMMYFUNCTION("""COMPUTED_VALUE"""),"BANK SULTENG KC PALU")</f>
        <v>BANK SULTENG KC PALU</v>
      </c>
      <c r="E274" s="8" t="str">
        <f>IFERROR(__xludf.DUMMYFUNCTION("""COMPUTED_VALUE"""),"ADM")</f>
        <v>ADM</v>
      </c>
      <c r="F274" s="8"/>
      <c r="G274" s="8"/>
      <c r="H274" s="8"/>
      <c r="I274" s="8"/>
      <c r="J274" s="8" t="str">
        <f>IFERROR(__xludf.DUMMYFUNCTION("""COMPUTED_VALUE"""),"  ")</f>
        <v>  </v>
      </c>
      <c r="K274" s="8" t="str">
        <f>IFERROR(__xludf.DUMMYFUNCTION("""COMPUTED_VALUE"""),"706304")</f>
        <v>706304</v>
      </c>
      <c r="L274" s="8" t="str">
        <f>IFERROR(__xludf.DUMMYFUNCTION("""COMPUTED_VALUE"""),"AKTIV LEMARI ARSIP PINTU AYUN FORTE SWB 90")</f>
        <v>AKTIV LEMARI ARSIP PINTU AYUN FORTE SWB 90</v>
      </c>
      <c r="M274" s="12">
        <f>IFERROR(__xludf.DUMMYFUNCTION("""COMPUTED_VALUE"""),2.0)</f>
        <v>2</v>
      </c>
      <c r="N274" s="8" t="str">
        <f>IFERROR(__xludf.DUMMYFUNCTION("""COMPUTED_VALUE"""),"UNIT")</f>
        <v>UNIT</v>
      </c>
      <c r="O274" s="13">
        <f>IFERROR(__xludf.DUMMYFUNCTION("""COMPUTED_VALUE"""),2300000.0)</f>
        <v>2300000</v>
      </c>
      <c r="P274" s="12">
        <f>IFERROR(__xludf.DUMMYFUNCTION("""COMPUTED_VALUE"""),0.0)</f>
        <v>0</v>
      </c>
      <c r="Q274" s="8"/>
      <c r="R274" s="8">
        <f>IFERROR(__xludf.DUMMYFUNCTION("""COMPUTED_VALUE"""),0.0)</f>
        <v>0</v>
      </c>
      <c r="S274" s="12">
        <f>IFERROR(__xludf.DUMMYFUNCTION("""COMPUTED_VALUE"""),1.3855E7)</f>
        <v>13855000</v>
      </c>
      <c r="T274" s="12">
        <f>IFERROR(__xludf.DUMMYFUNCTION("""COMPUTED_VALUE"""),4600000.0)</f>
        <v>4600000</v>
      </c>
      <c r="U274" s="13">
        <f>IFERROR(__xludf.DUMMYFUNCTION("""COMPUTED_VALUE"""),0.0)</f>
        <v>0</v>
      </c>
      <c r="V274" s="8"/>
      <c r="W274" s="8"/>
      <c r="X274" s="8">
        <f t="shared" si="1"/>
        <v>5</v>
      </c>
      <c r="AA274" s="10"/>
    </row>
    <row r="275">
      <c r="A275" s="8" t="str">
        <f>IFERROR(__xludf.DUMMYFUNCTION("""COMPUTED_VALUE"""),"10034/JL/UTM/0524")</f>
        <v>10034/JL/UTM/0524</v>
      </c>
      <c r="B275" s="11">
        <f>IFERROR(__xludf.DUMMYFUNCTION("""COMPUTED_VALUE"""),45437.727372685185)</f>
        <v>45437.72737</v>
      </c>
      <c r="C275" s="8" t="str">
        <f>IFERROR(__xludf.DUMMYFUNCTION("""COMPUTED_VALUE"""),"044")</f>
        <v>044</v>
      </c>
      <c r="D275" s="8" t="str">
        <f>IFERROR(__xludf.DUMMYFUNCTION("""COMPUTED_VALUE"""),"BANK SULTENG KC PALU")</f>
        <v>BANK SULTENG KC PALU</v>
      </c>
      <c r="E275" s="8" t="str">
        <f>IFERROR(__xludf.DUMMYFUNCTION("""COMPUTED_VALUE"""),"ADM")</f>
        <v>ADM</v>
      </c>
      <c r="F275" s="8"/>
      <c r="G275" s="8"/>
      <c r="H275" s="8"/>
      <c r="I275" s="8"/>
      <c r="J275" s="8" t="str">
        <f>IFERROR(__xludf.DUMMYFUNCTION("""COMPUTED_VALUE"""),"  ")</f>
        <v>  </v>
      </c>
      <c r="K275" s="8" t="str">
        <f>IFERROR(__xludf.DUMMYFUNCTION("""COMPUTED_VALUE"""),"706306")</f>
        <v>706306</v>
      </c>
      <c r="L275" s="8" t="str">
        <f>IFERROR(__xludf.DUMMYFUNCTION("""COMPUTED_VALUE"""),"AKTIV KURSI KERJA KENT KM 102")</f>
        <v>AKTIV KURSI KERJA KENT KM 102</v>
      </c>
      <c r="M275" s="12">
        <f>IFERROR(__xludf.DUMMYFUNCTION("""COMPUTED_VALUE"""),3.0)</f>
        <v>3</v>
      </c>
      <c r="N275" s="8" t="str">
        <f>IFERROR(__xludf.DUMMYFUNCTION("""COMPUTED_VALUE"""),"BH")</f>
        <v>BH</v>
      </c>
      <c r="O275" s="13">
        <f>IFERROR(__xludf.DUMMYFUNCTION("""COMPUTED_VALUE"""),1650000.0)</f>
        <v>1650000</v>
      </c>
      <c r="P275" s="12">
        <f>IFERROR(__xludf.DUMMYFUNCTION("""COMPUTED_VALUE"""),0.0)</f>
        <v>0</v>
      </c>
      <c r="Q275" s="8"/>
      <c r="R275" s="8">
        <f>IFERROR(__xludf.DUMMYFUNCTION("""COMPUTED_VALUE"""),0.0)</f>
        <v>0</v>
      </c>
      <c r="S275" s="12">
        <f>IFERROR(__xludf.DUMMYFUNCTION("""COMPUTED_VALUE"""),1.3855E7)</f>
        <v>13855000</v>
      </c>
      <c r="T275" s="12">
        <f>IFERROR(__xludf.DUMMYFUNCTION("""COMPUTED_VALUE"""),4455000.0)</f>
        <v>4455000</v>
      </c>
      <c r="U275" s="13">
        <f>IFERROR(__xludf.DUMMYFUNCTION("""COMPUTED_VALUE"""),0.0)</f>
        <v>0</v>
      </c>
      <c r="V275" s="8"/>
      <c r="W275" s="8"/>
      <c r="X275" s="8">
        <f t="shared" si="1"/>
        <v>5</v>
      </c>
      <c r="AA275" s="10"/>
    </row>
    <row r="276">
      <c r="A276" s="8" t="str">
        <f>IFERROR(__xludf.DUMMYFUNCTION("""COMPUTED_VALUE"""),"10034/JL/UTM/0524")</f>
        <v>10034/JL/UTM/0524</v>
      </c>
      <c r="B276" s="11">
        <f>IFERROR(__xludf.DUMMYFUNCTION("""COMPUTED_VALUE"""),45437.727372685185)</f>
        <v>45437.72737</v>
      </c>
      <c r="C276" s="8" t="str">
        <f>IFERROR(__xludf.DUMMYFUNCTION("""COMPUTED_VALUE"""),"044")</f>
        <v>044</v>
      </c>
      <c r="D276" s="8" t="str">
        <f>IFERROR(__xludf.DUMMYFUNCTION("""COMPUTED_VALUE"""),"BANK SULTENG KC PALU")</f>
        <v>BANK SULTENG KC PALU</v>
      </c>
      <c r="E276" s="8" t="str">
        <f>IFERROR(__xludf.DUMMYFUNCTION("""COMPUTED_VALUE"""),"ADM")</f>
        <v>ADM</v>
      </c>
      <c r="F276" s="8"/>
      <c r="G276" s="8"/>
      <c r="H276" s="8"/>
      <c r="I276" s="8"/>
      <c r="J276" s="8" t="str">
        <f>IFERROR(__xludf.DUMMYFUNCTION("""COMPUTED_VALUE"""),"  ")</f>
        <v>  </v>
      </c>
      <c r="K276" s="8" t="str">
        <f>IFERROR(__xludf.DUMMYFUNCTION("""COMPUTED_VALUE"""),"706274")</f>
        <v>706274</v>
      </c>
      <c r="L276" s="8" t="str">
        <f>IFERROR(__xludf.DUMMYFUNCTION("""COMPUTED_VALUE"""),"SECURE PAPER SHREDDER AUTO60")</f>
        <v>SECURE PAPER SHREDDER AUTO60</v>
      </c>
      <c r="M276" s="12">
        <f>IFERROR(__xludf.DUMMYFUNCTION("""COMPUTED_VALUE"""),2.0)</f>
        <v>2</v>
      </c>
      <c r="N276" s="8" t="str">
        <f>IFERROR(__xludf.DUMMYFUNCTION("""COMPUTED_VALUE"""),"BH")</f>
        <v>BH</v>
      </c>
      <c r="O276" s="13">
        <f>IFERROR(__xludf.DUMMYFUNCTION("""COMPUTED_VALUE"""),2400000.0)</f>
        <v>2400000</v>
      </c>
      <c r="P276" s="12">
        <f>IFERROR(__xludf.DUMMYFUNCTION("""COMPUTED_VALUE"""),0.0)</f>
        <v>0</v>
      </c>
      <c r="Q276" s="8"/>
      <c r="R276" s="8">
        <f>IFERROR(__xludf.DUMMYFUNCTION("""COMPUTED_VALUE"""),0.0)</f>
        <v>0</v>
      </c>
      <c r="S276" s="12">
        <f>IFERROR(__xludf.DUMMYFUNCTION("""COMPUTED_VALUE"""),1.3855E7)</f>
        <v>13855000</v>
      </c>
      <c r="T276" s="12">
        <f>IFERROR(__xludf.DUMMYFUNCTION("""COMPUTED_VALUE"""),4800000.0)</f>
        <v>4800000</v>
      </c>
      <c r="U276" s="13">
        <f>IFERROR(__xludf.DUMMYFUNCTION("""COMPUTED_VALUE"""),0.0)</f>
        <v>0</v>
      </c>
      <c r="V276" s="8"/>
      <c r="W276" s="8"/>
      <c r="X276" s="8">
        <f t="shared" si="1"/>
        <v>5</v>
      </c>
      <c r="AA276" s="10"/>
    </row>
    <row r="277">
      <c r="A277" s="8" t="str">
        <f>IFERROR(__xludf.DUMMYFUNCTION("""COMPUTED_VALUE"""),"10035/JL/UTM/0524")</f>
        <v>10035/JL/UTM/0524</v>
      </c>
      <c r="B277" s="11">
        <f>IFERROR(__xludf.DUMMYFUNCTION("""COMPUTED_VALUE"""),45439.72876157408)</f>
        <v>45439.72876</v>
      </c>
      <c r="C277" s="8" t="str">
        <f>IFERROR(__xludf.DUMMYFUNCTION("""COMPUTED_VALUE"""),"PL0941")</f>
        <v>PL0941</v>
      </c>
      <c r="D277" s="8" t="str">
        <f>IFERROR(__xludf.DUMMYFUNCTION("""COMPUTED_VALUE"""),"Dr. ANDI")</f>
        <v>Dr. ANDI</v>
      </c>
      <c r="E277" s="8" t="str">
        <f>IFERROR(__xludf.DUMMYFUNCTION("""COMPUTED_VALUE"""),"ADM")</f>
        <v>ADM</v>
      </c>
      <c r="F277" s="8"/>
      <c r="G277" s="8"/>
      <c r="H277" s="8"/>
      <c r="I277" s="8"/>
      <c r="J277" s="8" t="str">
        <f>IFERROR(__xludf.DUMMYFUNCTION("""COMPUTED_VALUE"""),"PALU  ")</f>
        <v>PALU  </v>
      </c>
      <c r="K277" s="8" t="str">
        <f>IFERROR(__xludf.DUMMYFUNCTION("""COMPUTED_VALUE"""),"706302")</f>
        <v>706302</v>
      </c>
      <c r="L277" s="8" t="str">
        <f>IFERROR(__xludf.DUMMYFUNCTION("""COMPUTED_VALUE"""),"AKTIV LEMARI PAKAIAN FARTE SL 120")</f>
        <v>AKTIV LEMARI PAKAIAN FARTE SL 120</v>
      </c>
      <c r="M277" s="12">
        <f>IFERROR(__xludf.DUMMYFUNCTION("""COMPUTED_VALUE"""),1.0)</f>
        <v>1</v>
      </c>
      <c r="N277" s="8" t="str">
        <f>IFERROR(__xludf.DUMMYFUNCTION("""COMPUTED_VALUE"""),"UNIT")</f>
        <v>UNIT</v>
      </c>
      <c r="O277" s="13">
        <f>IFERROR(__xludf.DUMMYFUNCTION("""COMPUTED_VALUE"""),2750000.0)</f>
        <v>2750000</v>
      </c>
      <c r="P277" s="12">
        <f>IFERROR(__xludf.DUMMYFUNCTION("""COMPUTED_VALUE"""),4800000.0)</f>
        <v>4800000</v>
      </c>
      <c r="Q277" s="8"/>
      <c r="R277" s="8">
        <f>IFERROR(__xludf.DUMMYFUNCTION("""COMPUTED_VALUE"""),0.0)</f>
        <v>0</v>
      </c>
      <c r="S277" s="12">
        <f>IFERROR(__xludf.DUMMYFUNCTION("""COMPUTED_VALUE"""),0.0)</f>
        <v>0</v>
      </c>
      <c r="T277" s="12">
        <f>IFERROR(__xludf.DUMMYFUNCTION("""COMPUTED_VALUE"""),2750000.0)</f>
        <v>2750000</v>
      </c>
      <c r="U277" s="13">
        <f>IFERROR(__xludf.DUMMYFUNCTION("""COMPUTED_VALUE"""),9.4339622642)</f>
        <v>9.433962264</v>
      </c>
      <c r="V277" s="8"/>
      <c r="W277" s="8"/>
      <c r="X277" s="8">
        <f t="shared" si="1"/>
        <v>5</v>
      </c>
      <c r="AA277" s="10"/>
    </row>
    <row r="278">
      <c r="A278" s="8" t="str">
        <f>IFERROR(__xludf.DUMMYFUNCTION("""COMPUTED_VALUE"""),"10035/JL/UTM/0524")</f>
        <v>10035/JL/UTM/0524</v>
      </c>
      <c r="B278" s="11">
        <f>IFERROR(__xludf.DUMMYFUNCTION("""COMPUTED_VALUE"""),45439.72876157408)</f>
        <v>45439.72876</v>
      </c>
      <c r="C278" s="8" t="str">
        <f>IFERROR(__xludf.DUMMYFUNCTION("""COMPUTED_VALUE"""),"PL0941")</f>
        <v>PL0941</v>
      </c>
      <c r="D278" s="8" t="str">
        <f>IFERROR(__xludf.DUMMYFUNCTION("""COMPUTED_VALUE"""),"Dr. ANDI")</f>
        <v>Dr. ANDI</v>
      </c>
      <c r="E278" s="8" t="str">
        <f>IFERROR(__xludf.DUMMYFUNCTION("""COMPUTED_VALUE"""),"ADM")</f>
        <v>ADM</v>
      </c>
      <c r="F278" s="8"/>
      <c r="G278" s="8"/>
      <c r="H278" s="8"/>
      <c r="I278" s="8"/>
      <c r="J278" s="8" t="str">
        <f>IFERROR(__xludf.DUMMYFUNCTION("""COMPUTED_VALUE"""),"PALU  ")</f>
        <v>PALU  </v>
      </c>
      <c r="K278" s="8" t="str">
        <f>IFERROR(__xludf.DUMMYFUNCTION("""COMPUTED_VALUE"""),"706303")</f>
        <v>706303</v>
      </c>
      <c r="L278" s="8" t="str">
        <f>IFERROR(__xludf.DUMMYFUNCTION("""COMPUTED_VALUE"""),"AKTIV LEMARI ARSIP PINTU KACA FORTE SCL 90")</f>
        <v>AKTIV LEMARI ARSIP PINTU KACA FORTE SCL 90</v>
      </c>
      <c r="M278" s="12">
        <f>IFERROR(__xludf.DUMMYFUNCTION("""COMPUTED_VALUE"""),1.0)</f>
        <v>1</v>
      </c>
      <c r="N278" s="8" t="str">
        <f>IFERROR(__xludf.DUMMYFUNCTION("""COMPUTED_VALUE"""),"UNIT")</f>
        <v>UNIT</v>
      </c>
      <c r="O278" s="13">
        <f>IFERROR(__xludf.DUMMYFUNCTION("""COMPUTED_VALUE"""),2550000.0)</f>
        <v>2550000</v>
      </c>
      <c r="P278" s="12">
        <f>IFERROR(__xludf.DUMMYFUNCTION("""COMPUTED_VALUE"""),4800000.0)</f>
        <v>4800000</v>
      </c>
      <c r="Q278" s="8"/>
      <c r="R278" s="8">
        <f>IFERROR(__xludf.DUMMYFUNCTION("""COMPUTED_VALUE"""),0.0)</f>
        <v>0</v>
      </c>
      <c r="S278" s="12">
        <f>IFERROR(__xludf.DUMMYFUNCTION("""COMPUTED_VALUE"""),0.0)</f>
        <v>0</v>
      </c>
      <c r="T278" s="12">
        <f>IFERROR(__xludf.DUMMYFUNCTION("""COMPUTED_VALUE"""),2550000.0)</f>
        <v>2550000</v>
      </c>
      <c r="U278" s="13">
        <f>IFERROR(__xludf.DUMMYFUNCTION("""COMPUTED_VALUE"""),9.4339622642)</f>
        <v>9.433962264</v>
      </c>
      <c r="V278" s="8"/>
      <c r="W278" s="8"/>
      <c r="X278" s="8">
        <f t="shared" si="1"/>
        <v>5</v>
      </c>
      <c r="AA278" s="10"/>
    </row>
    <row r="279">
      <c r="A279" s="8" t="str">
        <f>IFERROR(__xludf.DUMMYFUNCTION("""COMPUTED_VALUE"""),"10036/JL/UTM/0524")</f>
        <v>10036/JL/UTM/0524</v>
      </c>
      <c r="B279" s="11">
        <f>IFERROR(__xludf.DUMMYFUNCTION("""COMPUTED_VALUE"""),45439.729212962964)</f>
        <v>45439.72921</v>
      </c>
      <c r="C279" s="8" t="str">
        <f>IFERROR(__xludf.DUMMYFUNCTION("""COMPUTED_VALUE"""),"UMUM")</f>
        <v>UMUM</v>
      </c>
      <c r="D279" s="8" t="str">
        <f>IFERROR(__xludf.DUMMYFUNCTION("""COMPUTED_VALUE"""),"UMUM")</f>
        <v>UMUM</v>
      </c>
      <c r="E279" s="8" t="str">
        <f>IFERROR(__xludf.DUMMYFUNCTION("""COMPUTED_VALUE"""),"ADM")</f>
        <v>ADM</v>
      </c>
      <c r="F279" s="8"/>
      <c r="G279" s="8"/>
      <c r="H279" s="8"/>
      <c r="I279" s="8"/>
      <c r="J279" s="8" t="str">
        <f>IFERROR(__xludf.DUMMYFUNCTION("""COMPUTED_VALUE"""),"  ")</f>
        <v>  </v>
      </c>
      <c r="K279" s="8" t="str">
        <f>IFERROR(__xludf.DUMMYFUNCTION("""COMPUTED_VALUE"""),"40538")</f>
        <v>40538</v>
      </c>
      <c r="L279" s="8" t="str">
        <f>IFERROR(__xludf.DUMMYFUNCTION("""COMPUTED_VALUE"""),"BRIGHT OFFICE PAPER CUTTER NO. 8293 B4")</f>
        <v>BRIGHT OFFICE PAPER CUTTER NO. 8293 B4</v>
      </c>
      <c r="M279" s="12">
        <f>IFERROR(__xludf.DUMMYFUNCTION("""COMPUTED_VALUE"""),1.0)</f>
        <v>1</v>
      </c>
      <c r="N279" s="8" t="str">
        <f>IFERROR(__xludf.DUMMYFUNCTION("""COMPUTED_VALUE"""),"BH")</f>
        <v>BH</v>
      </c>
      <c r="O279" s="13">
        <f>IFERROR(__xludf.DUMMYFUNCTION("""COMPUTED_VALUE"""),235000.0)</f>
        <v>235000</v>
      </c>
      <c r="P279" s="12">
        <f>IFERROR(__xludf.DUMMYFUNCTION("""COMPUTED_VALUE"""),230000.0)</f>
        <v>230000</v>
      </c>
      <c r="Q279" s="8"/>
      <c r="R279" s="8">
        <f>IFERROR(__xludf.DUMMYFUNCTION("""COMPUTED_VALUE"""),0.0)</f>
        <v>0</v>
      </c>
      <c r="S279" s="12">
        <f>IFERROR(__xludf.DUMMYFUNCTION("""COMPUTED_VALUE"""),0.0)</f>
        <v>0</v>
      </c>
      <c r="T279" s="12">
        <f>IFERROR(__xludf.DUMMYFUNCTION("""COMPUTED_VALUE"""),235000.0)</f>
        <v>235000</v>
      </c>
      <c r="U279" s="13">
        <f>IFERROR(__xludf.DUMMYFUNCTION("""COMPUTED_VALUE"""),2.1276595745)</f>
        <v>2.127659575</v>
      </c>
      <c r="V279" s="8"/>
      <c r="W279" s="8"/>
      <c r="X279" s="8">
        <f t="shared" si="1"/>
        <v>5</v>
      </c>
      <c r="AA279" s="10"/>
    </row>
    <row r="280">
      <c r="A280" s="8" t="str">
        <f>IFERROR(__xludf.DUMMYFUNCTION("""COMPUTED_VALUE"""),"10037/JL/UTM/0524")</f>
        <v>10037/JL/UTM/0524</v>
      </c>
      <c r="B280" s="11">
        <f>IFERROR(__xludf.DUMMYFUNCTION("""COMPUTED_VALUE"""),45440.73006944444)</f>
        <v>45440.73007</v>
      </c>
      <c r="C280" s="8" t="str">
        <f>IFERROR(__xludf.DUMMYFUNCTION("""COMPUTED_VALUE"""),"511")</f>
        <v>511</v>
      </c>
      <c r="D280" s="8" t="str">
        <f>IFERROR(__xludf.DUMMYFUNCTION("""COMPUTED_VALUE"""),"BANK BTN")</f>
        <v>BANK BTN</v>
      </c>
      <c r="E280" s="8" t="str">
        <f>IFERROR(__xludf.DUMMYFUNCTION("""COMPUTED_VALUE"""),"ADM")</f>
        <v>ADM</v>
      </c>
      <c r="F280" s="8"/>
      <c r="G280" s="8"/>
      <c r="H280" s="8"/>
      <c r="I280" s="8"/>
      <c r="J280" s="8" t="str">
        <f>IFERROR(__xludf.DUMMYFUNCTION("""COMPUTED_VALUE"""),"  ")</f>
        <v>  </v>
      </c>
      <c r="K280" s="8" t="str">
        <f>IFERROR(__xludf.DUMMYFUNCTION("""COMPUTED_VALUE"""),"706082")</f>
        <v>706082</v>
      </c>
      <c r="L280" s="8" t="str">
        <f>IFERROR(__xludf.DUMMYFUNCTION("""COMPUTED_VALUE"""),"INTAGSTAR FC A18 INT LEMARI ARSIP 2 PINTU AYUN")</f>
        <v>INTAGSTAR FC A18 INT LEMARI ARSIP 2 PINTU AYUN</v>
      </c>
      <c r="M280" s="12">
        <f>IFERROR(__xludf.DUMMYFUNCTION("""COMPUTED_VALUE"""),1.0)</f>
        <v>1</v>
      </c>
      <c r="N280" s="8" t="str">
        <f>IFERROR(__xludf.DUMMYFUNCTION("""COMPUTED_VALUE"""),"UNIT")</f>
        <v>UNIT</v>
      </c>
      <c r="O280" s="13">
        <f>IFERROR(__xludf.DUMMYFUNCTION("""COMPUTED_VALUE"""),2850000.0)</f>
        <v>2850000</v>
      </c>
      <c r="P280" s="12">
        <f>IFERROR(__xludf.DUMMYFUNCTION("""COMPUTED_VALUE"""),2750000.0)</f>
        <v>2750000</v>
      </c>
      <c r="Q280" s="8"/>
      <c r="R280" s="8">
        <f>IFERROR(__xludf.DUMMYFUNCTION("""COMPUTED_VALUE"""),0.0)</f>
        <v>0</v>
      </c>
      <c r="S280" s="12">
        <f>IFERROR(__xludf.DUMMYFUNCTION("""COMPUTED_VALUE"""),0.0)</f>
        <v>0</v>
      </c>
      <c r="T280" s="12">
        <f>IFERROR(__xludf.DUMMYFUNCTION("""COMPUTED_VALUE"""),2850000.0)</f>
        <v>2850000</v>
      </c>
      <c r="U280" s="13">
        <f>IFERROR(__xludf.DUMMYFUNCTION("""COMPUTED_VALUE"""),3.5087719298)</f>
        <v>3.50877193</v>
      </c>
      <c r="V280" s="8"/>
      <c r="W280" s="8"/>
      <c r="X280" s="8">
        <f t="shared" si="1"/>
        <v>5</v>
      </c>
      <c r="AA280" s="10"/>
    </row>
    <row r="281">
      <c r="A281" s="8" t="str">
        <f>IFERROR(__xludf.DUMMYFUNCTION("""COMPUTED_VALUE"""),"10038/JL/UTM/0524")</f>
        <v>10038/JL/UTM/0524</v>
      </c>
      <c r="B281" s="11">
        <f>IFERROR(__xludf.DUMMYFUNCTION("""COMPUTED_VALUE"""),45440.73142361111)</f>
        <v>45440.73142</v>
      </c>
      <c r="C281" s="8" t="str">
        <f>IFERROR(__xludf.DUMMYFUNCTION("""COMPUTED_VALUE"""),"PL0943")</f>
        <v>PL0943</v>
      </c>
      <c r="D281" s="8" t="str">
        <f>IFERROR(__xludf.DUMMYFUNCTION("""COMPUTED_VALUE"""),"ASURANSI RAMAYANA")</f>
        <v>ASURANSI RAMAYANA</v>
      </c>
      <c r="E281" s="8" t="str">
        <f>IFERROR(__xludf.DUMMYFUNCTION("""COMPUTED_VALUE"""),"ADM")</f>
        <v>ADM</v>
      </c>
      <c r="F281" s="8"/>
      <c r="G281" s="8"/>
      <c r="H281" s="8"/>
      <c r="I281" s="8"/>
      <c r="J281" s="8" t="str">
        <f>IFERROR(__xludf.DUMMYFUNCTION("""COMPUTED_VALUE"""),"PALU  ")</f>
        <v>PALU  </v>
      </c>
      <c r="K281" s="8" t="str">
        <f>IFERROR(__xludf.DUMMYFUNCTION("""COMPUTED_VALUE"""),"706082")</f>
        <v>706082</v>
      </c>
      <c r="L281" s="8" t="str">
        <f>IFERROR(__xludf.DUMMYFUNCTION("""COMPUTED_VALUE"""),"INTAGSTAR FC A18 INT LEMARI ARSIP 2 PINTU AYUN")</f>
        <v>INTAGSTAR FC A18 INT LEMARI ARSIP 2 PINTU AYUN</v>
      </c>
      <c r="M281" s="12">
        <f>IFERROR(__xludf.DUMMYFUNCTION("""COMPUTED_VALUE"""),1.0)</f>
        <v>1</v>
      </c>
      <c r="N281" s="8" t="str">
        <f>IFERROR(__xludf.DUMMYFUNCTION("""COMPUTED_VALUE"""),"UNIT")</f>
        <v>UNIT</v>
      </c>
      <c r="O281" s="13">
        <f>IFERROR(__xludf.DUMMYFUNCTION("""COMPUTED_VALUE"""),2850000.0)</f>
        <v>2850000</v>
      </c>
      <c r="P281" s="12">
        <f>IFERROR(__xludf.DUMMYFUNCTION("""COMPUTED_VALUE"""),2500000.0)</f>
        <v>2500000</v>
      </c>
      <c r="Q281" s="8"/>
      <c r="R281" s="8">
        <f>IFERROR(__xludf.DUMMYFUNCTION("""COMPUTED_VALUE"""),0.0)</f>
        <v>0</v>
      </c>
      <c r="S281" s="12">
        <f>IFERROR(__xludf.DUMMYFUNCTION("""COMPUTED_VALUE"""),0.0)</f>
        <v>0</v>
      </c>
      <c r="T281" s="12">
        <f>IFERROR(__xludf.DUMMYFUNCTION("""COMPUTED_VALUE"""),2850000.0)</f>
        <v>2850000</v>
      </c>
      <c r="U281" s="13">
        <f>IFERROR(__xludf.DUMMYFUNCTION("""COMPUTED_VALUE"""),12.2807017544)</f>
        <v>12.28070175</v>
      </c>
      <c r="V281" s="8" t="str">
        <f>IFERROR(__xludf.DUMMYFUNCTION("""COMPUTED_VALUE"""),"TF MANDIRI")</f>
        <v>TF MANDIRI</v>
      </c>
      <c r="W281" s="8"/>
      <c r="X281" s="8">
        <f t="shared" si="1"/>
        <v>5</v>
      </c>
      <c r="AA281" s="10"/>
    </row>
    <row r="282">
      <c r="A282" s="8" t="str">
        <f>IFERROR(__xludf.DUMMYFUNCTION("""COMPUTED_VALUE"""),"10039/JL/UTM/0524")</f>
        <v>10039/JL/UTM/0524</v>
      </c>
      <c r="B282" s="11">
        <f>IFERROR(__xludf.DUMMYFUNCTION("""COMPUTED_VALUE"""),45443.735185185185)</f>
        <v>45443.73519</v>
      </c>
      <c r="C282" s="8" t="str">
        <f>IFERROR(__xludf.DUMMYFUNCTION("""COMPUTED_VALUE"""),"PL0712")</f>
        <v>PL0712</v>
      </c>
      <c r="D282" s="8" t="str">
        <f>IFERROR(__xludf.DUMMYFUNCTION("""COMPUTED_VALUE"""),"UNTAD (FAK.KEDOKTERAN)")</f>
        <v>UNTAD (FAK.KEDOKTERAN)</v>
      </c>
      <c r="E282" s="8" t="str">
        <f>IFERROR(__xludf.DUMMYFUNCTION("""COMPUTED_VALUE"""),"ADM")</f>
        <v>ADM</v>
      </c>
      <c r="F282" s="8"/>
      <c r="G282" s="8"/>
      <c r="H282" s="8"/>
      <c r="I282" s="8"/>
      <c r="J282" s="8" t="str">
        <f>IFERROR(__xludf.DUMMYFUNCTION("""COMPUTED_VALUE"""),"PALU  ")</f>
        <v>PALU  </v>
      </c>
      <c r="K282" s="8" t="str">
        <f>IFERROR(__xludf.DUMMYFUNCTION("""COMPUTED_VALUE"""),"706227")</f>
        <v>706227</v>
      </c>
      <c r="L282" s="8" t="str">
        <f>IFERROR(__xludf.DUMMYFUNCTION("""COMPUTED_VALUE"""),"INCO JAVICO I  KURSI STAF")</f>
        <v>INCO JAVICO I  KURSI STAF</v>
      </c>
      <c r="M282" s="12">
        <f>IFERROR(__xludf.DUMMYFUNCTION("""COMPUTED_VALUE"""),5.0)</f>
        <v>5</v>
      </c>
      <c r="N282" s="8" t="str">
        <f>IFERROR(__xludf.DUMMYFUNCTION("""COMPUTED_VALUE"""),"BH")</f>
        <v>BH</v>
      </c>
      <c r="O282" s="13">
        <f>IFERROR(__xludf.DUMMYFUNCTION("""COMPUTED_VALUE"""),800000.0)</f>
        <v>800000</v>
      </c>
      <c r="P282" s="12">
        <f>IFERROR(__xludf.DUMMYFUNCTION("""COMPUTED_VALUE"""),4000000.0)</f>
        <v>4000000</v>
      </c>
      <c r="Q282" s="8"/>
      <c r="R282" s="8">
        <f>IFERROR(__xludf.DUMMYFUNCTION("""COMPUTED_VALUE"""),0.0)</f>
        <v>0</v>
      </c>
      <c r="S282" s="12">
        <f>IFERROR(__xludf.DUMMYFUNCTION("""COMPUTED_VALUE"""),0.0)</f>
        <v>0</v>
      </c>
      <c r="T282" s="12">
        <f>IFERROR(__xludf.DUMMYFUNCTION("""COMPUTED_VALUE"""),4000000.0)</f>
        <v>4000000</v>
      </c>
      <c r="U282" s="13">
        <f>IFERROR(__xludf.DUMMYFUNCTION("""COMPUTED_VALUE"""),0.0)</f>
        <v>0</v>
      </c>
      <c r="V282" s="8" t="str">
        <f>IFERROR(__xludf.DUMMYFUNCTION("""COMPUTED_VALUE"""),"SDH BAYAR CASH TGL 29-4-2024")</f>
        <v>SDH BAYAR CASH TGL 29-4-2024</v>
      </c>
      <c r="W282" s="8"/>
      <c r="X282" s="8">
        <f t="shared" si="1"/>
        <v>5</v>
      </c>
      <c r="AA282" s="10"/>
    </row>
    <row r="283">
      <c r="A283" s="8" t="str">
        <f>IFERROR(__xludf.DUMMYFUNCTION("""COMPUTED_VALUE"""),"10040/JL/UTM/0524")</f>
        <v>10040/JL/UTM/0524</v>
      </c>
      <c r="B283" s="11">
        <f>IFERROR(__xludf.DUMMYFUNCTION("""COMPUTED_VALUE"""),45443.73578703703)</f>
        <v>45443.73579</v>
      </c>
      <c r="C283" s="8" t="str">
        <f>IFERROR(__xludf.DUMMYFUNCTION("""COMPUTED_VALUE"""),"PL0779")</f>
        <v>PL0779</v>
      </c>
      <c r="D283" s="8" t="str">
        <f>IFERROR(__xludf.DUMMYFUNCTION("""COMPUTED_VALUE"""),"SD IT BINA INSAN PALU")</f>
        <v>SD IT BINA INSAN PALU</v>
      </c>
      <c r="E283" s="8" t="str">
        <f>IFERROR(__xludf.DUMMYFUNCTION("""COMPUTED_VALUE"""),"ADM")</f>
        <v>ADM</v>
      </c>
      <c r="F283" s="8"/>
      <c r="G283" s="8"/>
      <c r="H283" s="8"/>
      <c r="I283" s="8"/>
      <c r="J283" s="8" t="str">
        <f>IFERROR(__xludf.DUMMYFUNCTION("""COMPUTED_VALUE"""),"PALU  ")</f>
        <v>PALU  </v>
      </c>
      <c r="K283" s="8" t="str">
        <f>IFERROR(__xludf.DUMMYFUNCTION("""COMPUTED_VALUE"""),"706307")</f>
        <v>706307</v>
      </c>
      <c r="L283" s="8" t="str">
        <f>IFERROR(__xludf.DUMMYFUNCTION("""COMPUTED_VALUE"""),"EMPORIUM LEMARI 3 PINTU EC 105")</f>
        <v>EMPORIUM LEMARI 3 PINTU EC 105</v>
      </c>
      <c r="M283" s="12">
        <f>IFERROR(__xludf.DUMMYFUNCTION("""COMPUTED_VALUE"""),1.0)</f>
        <v>1</v>
      </c>
      <c r="N283" s="8" t="str">
        <f>IFERROR(__xludf.DUMMYFUNCTION("""COMPUTED_VALUE"""),"UNIT")</f>
        <v>UNIT</v>
      </c>
      <c r="O283" s="13">
        <f>IFERROR(__xludf.DUMMYFUNCTION("""COMPUTED_VALUE"""),3350000.0)</f>
        <v>3350000</v>
      </c>
      <c r="P283" s="12">
        <f>IFERROR(__xludf.DUMMYFUNCTION("""COMPUTED_VALUE"""),3250000.0)</f>
        <v>3250000</v>
      </c>
      <c r="Q283" s="8"/>
      <c r="R283" s="8">
        <f>IFERROR(__xludf.DUMMYFUNCTION("""COMPUTED_VALUE"""),0.0)</f>
        <v>0</v>
      </c>
      <c r="S283" s="12">
        <f>IFERROR(__xludf.DUMMYFUNCTION("""COMPUTED_VALUE"""),0.0)</f>
        <v>0</v>
      </c>
      <c r="T283" s="12">
        <f>IFERROR(__xludf.DUMMYFUNCTION("""COMPUTED_VALUE"""),3350000.0)</f>
        <v>3350000</v>
      </c>
      <c r="U283" s="13">
        <f>IFERROR(__xludf.DUMMYFUNCTION("""COMPUTED_VALUE"""),2.9850746269)</f>
        <v>2.985074627</v>
      </c>
      <c r="V283" s="8"/>
      <c r="W283" s="8"/>
      <c r="X283" s="8">
        <f t="shared" si="1"/>
        <v>5</v>
      </c>
      <c r="AA283" s="10"/>
    </row>
    <row r="284">
      <c r="A284" s="8" t="str">
        <f>IFERROR(__xludf.DUMMYFUNCTION("""COMPUTED_VALUE"""),"10041/JL/UTM/0524")</f>
        <v>10041/JL/UTM/0524</v>
      </c>
      <c r="B284" s="11">
        <f>IFERROR(__xludf.DUMMYFUNCTION("""COMPUTED_VALUE"""),45443.7361574074)</f>
        <v>45443.73616</v>
      </c>
      <c r="C284" s="8" t="str">
        <f>IFERROR(__xludf.DUMMYFUNCTION("""COMPUTED_VALUE"""),"UMUM")</f>
        <v>UMUM</v>
      </c>
      <c r="D284" s="8" t="str">
        <f>IFERROR(__xludf.DUMMYFUNCTION("""COMPUTED_VALUE"""),"UMUM")</f>
        <v>UMUM</v>
      </c>
      <c r="E284" s="8" t="str">
        <f>IFERROR(__xludf.DUMMYFUNCTION("""COMPUTED_VALUE"""),"ADM")</f>
        <v>ADM</v>
      </c>
      <c r="F284" s="8"/>
      <c r="G284" s="8"/>
      <c r="H284" s="8"/>
      <c r="I284" s="8"/>
      <c r="J284" s="8" t="str">
        <f>IFERROR(__xludf.DUMMYFUNCTION("""COMPUTED_VALUE"""),"  ")</f>
        <v>  </v>
      </c>
      <c r="K284" s="8" t="str">
        <f>IFERROR(__xludf.DUMMYFUNCTION("""COMPUTED_VALUE"""),"706116")</f>
        <v>706116</v>
      </c>
      <c r="L284" s="8" t="str">
        <f>IFERROR(__xludf.DUMMYFUNCTION("""COMPUTED_VALUE"""),"JOYKO MSN LEBEL HARGA MX5500")</f>
        <v>JOYKO MSN LEBEL HARGA MX5500</v>
      </c>
      <c r="M284" s="12">
        <f>IFERROR(__xludf.DUMMYFUNCTION("""COMPUTED_VALUE"""),1.0)</f>
        <v>1</v>
      </c>
      <c r="N284" s="8" t="str">
        <f>IFERROR(__xludf.DUMMYFUNCTION("""COMPUTED_VALUE"""),"BH")</f>
        <v>BH</v>
      </c>
      <c r="O284" s="13">
        <f>IFERROR(__xludf.DUMMYFUNCTION("""COMPUTED_VALUE"""),70000.0)</f>
        <v>70000</v>
      </c>
      <c r="P284" s="12">
        <f>IFERROR(__xludf.DUMMYFUNCTION("""COMPUTED_VALUE"""),70000.0)</f>
        <v>70000</v>
      </c>
      <c r="Q284" s="8"/>
      <c r="R284" s="8">
        <f>IFERROR(__xludf.DUMMYFUNCTION("""COMPUTED_VALUE"""),0.0)</f>
        <v>0</v>
      </c>
      <c r="S284" s="12">
        <f>IFERROR(__xludf.DUMMYFUNCTION("""COMPUTED_VALUE"""),0.0)</f>
        <v>0</v>
      </c>
      <c r="T284" s="12">
        <f>IFERROR(__xludf.DUMMYFUNCTION("""COMPUTED_VALUE"""),70000.0)</f>
        <v>70000</v>
      </c>
      <c r="U284" s="13">
        <f>IFERROR(__xludf.DUMMYFUNCTION("""COMPUTED_VALUE"""),0.0)</f>
        <v>0</v>
      </c>
      <c r="V284" s="8"/>
      <c r="W284" s="8"/>
      <c r="X284" s="8">
        <f t="shared" si="1"/>
        <v>5</v>
      </c>
      <c r="AA284" s="10"/>
    </row>
    <row r="285">
      <c r="A285" s="8" t="str">
        <f>IFERROR(__xludf.DUMMYFUNCTION("""COMPUTED_VALUE"""),"10042/JL/UTM/0624")</f>
        <v>10042/JL/UTM/0624</v>
      </c>
      <c r="B285" s="11">
        <f>IFERROR(__xludf.DUMMYFUNCTION("""COMPUTED_VALUE"""),45446.736909722225)</f>
        <v>45446.73691</v>
      </c>
      <c r="C285" s="8" t="str">
        <f>IFERROR(__xludf.DUMMYFUNCTION("""COMPUTED_VALUE"""),"UMUM")</f>
        <v>UMUM</v>
      </c>
      <c r="D285" s="8" t="str">
        <f>IFERROR(__xludf.DUMMYFUNCTION("""COMPUTED_VALUE"""),"UMUM")</f>
        <v>UMUM</v>
      </c>
      <c r="E285" s="8" t="str">
        <f>IFERROR(__xludf.DUMMYFUNCTION("""COMPUTED_VALUE"""),"ADM")</f>
        <v>ADM</v>
      </c>
      <c r="F285" s="8"/>
      <c r="G285" s="8"/>
      <c r="H285" s="8"/>
      <c r="I285" s="8"/>
      <c r="J285" s="8" t="str">
        <f>IFERROR(__xludf.DUMMYFUNCTION("""COMPUTED_VALUE"""),"  ")</f>
        <v>  </v>
      </c>
      <c r="K285" s="8" t="str">
        <f>IFERROR(__xludf.DUMMYFUNCTION("""COMPUTED_VALUE"""),"706292")</f>
        <v>706292</v>
      </c>
      <c r="L285" s="8" t="str">
        <f>IFERROR(__xludf.DUMMYFUNCTION("""COMPUTED_VALUE"""),"UCHIDA BRANKAS HS-50K")</f>
        <v>UCHIDA BRANKAS HS-50K</v>
      </c>
      <c r="M285" s="12">
        <f>IFERROR(__xludf.DUMMYFUNCTION("""COMPUTED_VALUE"""),1.0)</f>
        <v>1</v>
      </c>
      <c r="N285" s="8" t="str">
        <f>IFERROR(__xludf.DUMMYFUNCTION("""COMPUTED_VALUE"""),"UNIT")</f>
        <v>UNIT</v>
      </c>
      <c r="O285" s="13">
        <f>IFERROR(__xludf.DUMMYFUNCTION("""COMPUTED_VALUE"""),4550000.0)</f>
        <v>4550000</v>
      </c>
      <c r="P285" s="12">
        <f>IFERROR(__xludf.DUMMYFUNCTION("""COMPUTED_VALUE"""),4300000.0)</f>
        <v>4300000</v>
      </c>
      <c r="Q285" s="8"/>
      <c r="R285" s="8">
        <f>IFERROR(__xludf.DUMMYFUNCTION("""COMPUTED_VALUE"""),0.0)</f>
        <v>0</v>
      </c>
      <c r="S285" s="12">
        <f>IFERROR(__xludf.DUMMYFUNCTION("""COMPUTED_VALUE"""),0.0)</f>
        <v>0</v>
      </c>
      <c r="T285" s="12">
        <f>IFERROR(__xludf.DUMMYFUNCTION("""COMPUTED_VALUE"""),4550000.0)</f>
        <v>4550000</v>
      </c>
      <c r="U285" s="13">
        <f>IFERROR(__xludf.DUMMYFUNCTION("""COMPUTED_VALUE"""),5.4945054945)</f>
        <v>5.494505495</v>
      </c>
      <c r="V285" s="8" t="str">
        <f>IFERROR(__xludf.DUMMYFUNCTION("""COMPUTED_VALUE"""),"TF BRI")</f>
        <v>TF BRI</v>
      </c>
      <c r="W285" s="8"/>
      <c r="X285" s="8">
        <f t="shared" si="1"/>
        <v>6</v>
      </c>
      <c r="AA285" s="10"/>
    </row>
    <row r="286">
      <c r="A286" s="8" t="str">
        <f>IFERROR(__xludf.DUMMYFUNCTION("""COMPUTED_VALUE"""),"10043/JL/UTM/0624")</f>
        <v>10043/JL/UTM/0624</v>
      </c>
      <c r="B286" s="11">
        <f>IFERROR(__xludf.DUMMYFUNCTION("""COMPUTED_VALUE"""),45446.73747685185)</f>
        <v>45446.73748</v>
      </c>
      <c r="C286" s="8" t="str">
        <f>IFERROR(__xludf.DUMMYFUNCTION("""COMPUTED_VALUE"""),"UMUM")</f>
        <v>UMUM</v>
      </c>
      <c r="D286" s="8" t="str">
        <f>IFERROR(__xludf.DUMMYFUNCTION("""COMPUTED_VALUE"""),"UMUM")</f>
        <v>UMUM</v>
      </c>
      <c r="E286" s="8" t="str">
        <f>IFERROR(__xludf.DUMMYFUNCTION("""COMPUTED_VALUE"""),"ADM")</f>
        <v>ADM</v>
      </c>
      <c r="F286" s="8"/>
      <c r="G286" s="8"/>
      <c r="H286" s="8"/>
      <c r="I286" s="8"/>
      <c r="J286" s="8" t="str">
        <f>IFERROR(__xludf.DUMMYFUNCTION("""COMPUTED_VALUE"""),"  ")</f>
        <v>  </v>
      </c>
      <c r="K286" s="8" t="str">
        <f>IFERROR(__xludf.DUMMYFUNCTION("""COMPUTED_VALUE"""),"20383")</f>
        <v>20383</v>
      </c>
      <c r="L286" s="8" t="str">
        <f>IFERROR(__xludf.DUMMYFUNCTION("""COMPUTED_VALUE"""),"BROTHER PITA MESIN KETIK LISTRIK 1030")</f>
        <v>BROTHER PITA MESIN KETIK LISTRIK 1030</v>
      </c>
      <c r="M286" s="12">
        <f>IFERROR(__xludf.DUMMYFUNCTION("""COMPUTED_VALUE"""),1.0)</f>
        <v>1</v>
      </c>
      <c r="N286" s="8" t="str">
        <f>IFERROR(__xludf.DUMMYFUNCTION("""COMPUTED_VALUE"""),"PCS")</f>
        <v>PCS</v>
      </c>
      <c r="O286" s="13">
        <f>IFERROR(__xludf.DUMMYFUNCTION("""COMPUTED_VALUE"""),50000.0)</f>
        <v>50000</v>
      </c>
      <c r="P286" s="12">
        <f>IFERROR(__xludf.DUMMYFUNCTION("""COMPUTED_VALUE"""),50000.0)</f>
        <v>50000</v>
      </c>
      <c r="Q286" s="8"/>
      <c r="R286" s="8">
        <f>IFERROR(__xludf.DUMMYFUNCTION("""COMPUTED_VALUE"""),0.0)</f>
        <v>0</v>
      </c>
      <c r="S286" s="12">
        <f>IFERROR(__xludf.DUMMYFUNCTION("""COMPUTED_VALUE"""),0.0)</f>
        <v>0</v>
      </c>
      <c r="T286" s="12">
        <f>IFERROR(__xludf.DUMMYFUNCTION("""COMPUTED_VALUE"""),50000.0)</f>
        <v>50000</v>
      </c>
      <c r="U286" s="13">
        <f>IFERROR(__xludf.DUMMYFUNCTION("""COMPUTED_VALUE"""),0.0)</f>
        <v>0</v>
      </c>
      <c r="V286" s="8"/>
      <c r="W286" s="8"/>
      <c r="X286" s="8">
        <f t="shared" si="1"/>
        <v>6</v>
      </c>
      <c r="AA286" s="10"/>
    </row>
    <row r="287">
      <c r="A287" s="8" t="str">
        <f>IFERROR(__xludf.DUMMYFUNCTION("""COMPUTED_VALUE"""),"10044/JL/UTM/0624")</f>
        <v>10044/JL/UTM/0624</v>
      </c>
      <c r="B287" s="11">
        <f>IFERROR(__xludf.DUMMYFUNCTION("""COMPUTED_VALUE"""),45447.738171296296)</f>
        <v>45447.73817</v>
      </c>
      <c r="C287" s="8" t="str">
        <f>IFERROR(__xludf.DUMMYFUNCTION("""COMPUTED_VALUE"""),"UMUM")</f>
        <v>UMUM</v>
      </c>
      <c r="D287" s="8" t="str">
        <f>IFERROR(__xludf.DUMMYFUNCTION("""COMPUTED_VALUE"""),"UMUM")</f>
        <v>UMUM</v>
      </c>
      <c r="E287" s="8" t="str">
        <f>IFERROR(__xludf.DUMMYFUNCTION("""COMPUTED_VALUE"""),"ADM")</f>
        <v>ADM</v>
      </c>
      <c r="F287" s="8"/>
      <c r="G287" s="8"/>
      <c r="H287" s="8"/>
      <c r="I287" s="8"/>
      <c r="J287" s="8" t="str">
        <f>IFERROR(__xludf.DUMMYFUNCTION("""COMPUTED_VALUE"""),"  ")</f>
        <v>  </v>
      </c>
      <c r="K287" s="8" t="str">
        <f>IFERROR(__xludf.DUMMYFUNCTION("""COMPUTED_VALUE"""),"606062")</f>
        <v>606062</v>
      </c>
      <c r="L287" s="8" t="str">
        <f>IFERROR(__xludf.DUMMYFUNCTION("""COMPUTED_VALUE"""),"Uchida Brankast HS 36K")</f>
        <v>Uchida Brankast HS 36K</v>
      </c>
      <c r="M287" s="12">
        <f>IFERROR(__xludf.DUMMYFUNCTION("""COMPUTED_VALUE"""),1.0)</f>
        <v>1</v>
      </c>
      <c r="N287" s="8" t="str">
        <f>IFERROR(__xludf.DUMMYFUNCTION("""COMPUTED_VALUE"""),"BH")</f>
        <v>BH</v>
      </c>
      <c r="O287" s="13">
        <f>IFERROR(__xludf.DUMMYFUNCTION("""COMPUTED_VALUE"""),4550000.0)</f>
        <v>4550000</v>
      </c>
      <c r="P287" s="12">
        <f>IFERROR(__xludf.DUMMYFUNCTION("""COMPUTED_VALUE"""),4500000.0)</f>
        <v>4500000</v>
      </c>
      <c r="Q287" s="8"/>
      <c r="R287" s="8">
        <f>IFERROR(__xludf.DUMMYFUNCTION("""COMPUTED_VALUE"""),0.0)</f>
        <v>0</v>
      </c>
      <c r="S287" s="12">
        <f>IFERROR(__xludf.DUMMYFUNCTION("""COMPUTED_VALUE"""),0.0)</f>
        <v>0</v>
      </c>
      <c r="T287" s="12">
        <f>IFERROR(__xludf.DUMMYFUNCTION("""COMPUTED_VALUE"""),4550000.0)</f>
        <v>4550000</v>
      </c>
      <c r="U287" s="13">
        <f>IFERROR(__xludf.DUMMYFUNCTION("""COMPUTED_VALUE"""),1.0989010989)</f>
        <v>1.098901099</v>
      </c>
      <c r="V287" s="8" t="str">
        <f>IFERROR(__xludf.DUMMYFUNCTION("""COMPUTED_VALUE"""),"TF MANDIRI TOTAL RP 6.000.000")</f>
        <v>TF MANDIRI TOTAL RP 6.000.000</v>
      </c>
      <c r="W287" s="8"/>
      <c r="X287" s="8">
        <f t="shared" si="1"/>
        <v>6</v>
      </c>
      <c r="AA287" s="10"/>
    </row>
    <row r="288">
      <c r="A288" s="8" t="str">
        <f>IFERROR(__xludf.DUMMYFUNCTION("""COMPUTED_VALUE"""),"10045/JL/UTM/0624")</f>
        <v>10045/JL/UTM/0624</v>
      </c>
      <c r="B288" s="11">
        <f>IFERROR(__xludf.DUMMYFUNCTION("""COMPUTED_VALUE"""),45447.738807870366)</f>
        <v>45447.73881</v>
      </c>
      <c r="C288" s="8" t="str">
        <f>IFERROR(__xludf.DUMMYFUNCTION("""COMPUTED_VALUE"""),"228")</f>
        <v>228</v>
      </c>
      <c r="D288" s="8" t="str">
        <f>IFERROR(__xludf.DUMMYFUNCTION("""COMPUTED_VALUE"""),"BANK INDONESIA")</f>
        <v>BANK INDONESIA</v>
      </c>
      <c r="E288" s="8" t="str">
        <f>IFERROR(__xludf.DUMMYFUNCTION("""COMPUTED_VALUE"""),"ADM")</f>
        <v>ADM</v>
      </c>
      <c r="F288" s="8"/>
      <c r="G288" s="8"/>
      <c r="H288" s="8"/>
      <c r="I288" s="8"/>
      <c r="J288" s="8" t="str">
        <f>IFERROR(__xludf.DUMMYFUNCTION("""COMPUTED_VALUE"""),"  ")</f>
        <v>  </v>
      </c>
      <c r="K288" s="8" t="str">
        <f>IFERROR(__xludf.DUMMYFUNCTION("""COMPUTED_VALUE"""),"706300")</f>
        <v>706300</v>
      </c>
      <c r="L288" s="8" t="str">
        <f>IFERROR(__xludf.DUMMYFUNCTION("""COMPUTED_VALUE"""),"MARK PRINT RIBBON")</f>
        <v>MARK PRINT RIBBON</v>
      </c>
      <c r="M288" s="12">
        <f>IFERROR(__xludf.DUMMYFUNCTION("""COMPUTED_VALUE"""),1.0)</f>
        <v>1</v>
      </c>
      <c r="N288" s="8" t="str">
        <f>IFERROR(__xludf.DUMMYFUNCTION("""COMPUTED_VALUE"""),"BH")</f>
        <v>BH</v>
      </c>
      <c r="O288" s="13">
        <f>IFERROR(__xludf.DUMMYFUNCTION("""COMPUTED_VALUE"""),80000.0)</f>
        <v>80000</v>
      </c>
      <c r="P288" s="12">
        <f>IFERROR(__xludf.DUMMYFUNCTION("""COMPUTED_VALUE"""),0.0)</f>
        <v>0</v>
      </c>
      <c r="Q288" s="8"/>
      <c r="R288" s="8">
        <f>IFERROR(__xludf.DUMMYFUNCTION("""COMPUTED_VALUE"""),0.0)</f>
        <v>0</v>
      </c>
      <c r="S288" s="12">
        <f>IFERROR(__xludf.DUMMYFUNCTION("""COMPUTED_VALUE"""),80000.0)</f>
        <v>80000</v>
      </c>
      <c r="T288" s="12">
        <f>IFERROR(__xludf.DUMMYFUNCTION("""COMPUTED_VALUE"""),80000.0)</f>
        <v>80000</v>
      </c>
      <c r="U288" s="13">
        <f>IFERROR(__xludf.DUMMYFUNCTION("""COMPUTED_VALUE"""),0.0)</f>
        <v>0</v>
      </c>
      <c r="V288" s="8"/>
      <c r="W288" s="8"/>
      <c r="X288" s="8">
        <f t="shared" si="1"/>
        <v>6</v>
      </c>
      <c r="AA288" s="10"/>
    </row>
    <row r="289">
      <c r="A289" s="8" t="str">
        <f>IFERROR(__xludf.DUMMYFUNCTION("""COMPUTED_VALUE"""),"10046/JL/UTM/0624")</f>
        <v>10046/JL/UTM/0624</v>
      </c>
      <c r="B289" s="11">
        <f>IFERROR(__xludf.DUMMYFUNCTION("""COMPUTED_VALUE"""),45448.74207175926)</f>
        <v>45448.74207</v>
      </c>
      <c r="C289" s="8" t="str">
        <f>IFERROR(__xludf.DUMMYFUNCTION("""COMPUTED_VALUE"""),"UMUM")</f>
        <v>UMUM</v>
      </c>
      <c r="D289" s="8" t="str">
        <f>IFERROR(__xludf.DUMMYFUNCTION("""COMPUTED_VALUE"""),"UMUM")</f>
        <v>UMUM</v>
      </c>
      <c r="E289" s="8" t="str">
        <f>IFERROR(__xludf.DUMMYFUNCTION("""COMPUTED_VALUE"""),"ADM")</f>
        <v>ADM</v>
      </c>
      <c r="F289" s="8"/>
      <c r="G289" s="8"/>
      <c r="H289" s="8"/>
      <c r="I289" s="8"/>
      <c r="J289" s="8" t="str">
        <f>IFERROR(__xludf.DUMMYFUNCTION("""COMPUTED_VALUE"""),"  ")</f>
        <v>  </v>
      </c>
      <c r="K289" s="8" t="str">
        <f>IFERROR(__xludf.DUMMYFUNCTION("""COMPUTED_VALUE"""),"706112")</f>
        <v>706112</v>
      </c>
      <c r="L289" s="8" t="str">
        <f>IFERROR(__xludf.DUMMYFUNCTION("""COMPUTED_VALUE"""),"TEMPAT SAMPAH KAKI ISI 40 LTR")</f>
        <v>TEMPAT SAMPAH KAKI ISI 40 LTR</v>
      </c>
      <c r="M289" s="12">
        <f>IFERROR(__xludf.DUMMYFUNCTION("""COMPUTED_VALUE"""),1.0)</f>
        <v>1</v>
      </c>
      <c r="N289" s="8" t="str">
        <f>IFERROR(__xludf.DUMMYFUNCTION("""COMPUTED_VALUE"""),"UNIT")</f>
        <v>UNIT</v>
      </c>
      <c r="O289" s="13">
        <f>IFERROR(__xludf.DUMMYFUNCTION("""COMPUTED_VALUE"""),1750000.0)</f>
        <v>1750000</v>
      </c>
      <c r="P289" s="12">
        <f>IFERROR(__xludf.DUMMYFUNCTION("""COMPUTED_VALUE"""),1650000.0)</f>
        <v>1650000</v>
      </c>
      <c r="Q289" s="8"/>
      <c r="R289" s="8">
        <f>IFERROR(__xludf.DUMMYFUNCTION("""COMPUTED_VALUE"""),0.0)</f>
        <v>0</v>
      </c>
      <c r="S289" s="12">
        <f>IFERROR(__xludf.DUMMYFUNCTION("""COMPUTED_VALUE"""),0.0)</f>
        <v>0</v>
      </c>
      <c r="T289" s="12">
        <f>IFERROR(__xludf.DUMMYFUNCTION("""COMPUTED_VALUE"""),1750000.0)</f>
        <v>1750000</v>
      </c>
      <c r="U289" s="13">
        <f>IFERROR(__xludf.DUMMYFUNCTION("""COMPUTED_VALUE"""),5.7142857143)</f>
        <v>5.714285714</v>
      </c>
      <c r="V289" s="8"/>
      <c r="W289" s="8"/>
      <c r="X289" s="8">
        <f t="shared" si="1"/>
        <v>6</v>
      </c>
      <c r="AA289" s="10"/>
    </row>
    <row r="290">
      <c r="A290" s="8" t="str">
        <f>IFERROR(__xludf.DUMMYFUNCTION("""COMPUTED_VALUE"""),"10047/JL/UTM/0624")</f>
        <v>10047/JL/UTM/0624</v>
      </c>
      <c r="B290" s="11">
        <f>IFERROR(__xludf.DUMMYFUNCTION("""COMPUTED_VALUE"""),45448.74269675926)</f>
        <v>45448.7427</v>
      </c>
      <c r="C290" s="8" t="str">
        <f>IFERROR(__xludf.DUMMYFUNCTION("""COMPUTED_VALUE"""),"UMUM")</f>
        <v>UMUM</v>
      </c>
      <c r="D290" s="8" t="str">
        <f>IFERROR(__xludf.DUMMYFUNCTION("""COMPUTED_VALUE"""),"UMUM")</f>
        <v>UMUM</v>
      </c>
      <c r="E290" s="8" t="str">
        <f>IFERROR(__xludf.DUMMYFUNCTION("""COMPUTED_VALUE"""),"ADM")</f>
        <v>ADM</v>
      </c>
      <c r="F290" s="8"/>
      <c r="G290" s="8"/>
      <c r="H290" s="8"/>
      <c r="I290" s="8"/>
      <c r="J290" s="8" t="str">
        <f>IFERROR(__xludf.DUMMYFUNCTION("""COMPUTED_VALUE"""),"  ")</f>
        <v>  </v>
      </c>
      <c r="K290" s="8" t="str">
        <f>IFERROR(__xludf.DUMMYFUNCTION("""COMPUTED_VALUE"""),"706254")</f>
        <v>706254</v>
      </c>
      <c r="L290" s="8" t="str">
        <f>IFERROR(__xludf.DUMMYFUNCTION("""COMPUTED_VALUE"""),"VTEC W. BOARD STAND NON MAGNET D/F 90 X 120")</f>
        <v>VTEC W. BOARD STAND NON MAGNET D/F 90 X 120</v>
      </c>
      <c r="M290" s="12">
        <f>IFERROR(__xludf.DUMMYFUNCTION("""COMPUTED_VALUE"""),1.0)</f>
        <v>1</v>
      </c>
      <c r="N290" s="8" t="str">
        <f>IFERROR(__xludf.DUMMYFUNCTION("""COMPUTED_VALUE"""),"UNIT")</f>
        <v>UNIT</v>
      </c>
      <c r="O290" s="13">
        <f>IFERROR(__xludf.DUMMYFUNCTION("""COMPUTED_VALUE"""),1500000.0)</f>
        <v>1500000</v>
      </c>
      <c r="P290" s="12">
        <f>IFERROR(__xludf.DUMMYFUNCTION("""COMPUTED_VALUE"""),1400000.0)</f>
        <v>1400000</v>
      </c>
      <c r="Q290" s="8"/>
      <c r="R290" s="8">
        <f>IFERROR(__xludf.DUMMYFUNCTION("""COMPUTED_VALUE"""),0.0)</f>
        <v>0</v>
      </c>
      <c r="S290" s="12">
        <f>IFERROR(__xludf.DUMMYFUNCTION("""COMPUTED_VALUE"""),0.0)</f>
        <v>0</v>
      </c>
      <c r="T290" s="12">
        <f>IFERROR(__xludf.DUMMYFUNCTION("""COMPUTED_VALUE"""),1500000.0)</f>
        <v>1500000</v>
      </c>
      <c r="U290" s="13">
        <f>IFERROR(__xludf.DUMMYFUNCTION("""COMPUTED_VALUE"""),6.6666666667)</f>
        <v>6.666666667</v>
      </c>
      <c r="V290" s="8" t="str">
        <f>IFERROR(__xludf.DUMMYFUNCTION("""COMPUTED_VALUE"""),"QRIS")</f>
        <v>QRIS</v>
      </c>
      <c r="W290" s="8"/>
      <c r="X290" s="8">
        <f t="shared" si="1"/>
        <v>6</v>
      </c>
      <c r="AA290" s="10"/>
    </row>
    <row r="291">
      <c r="A291" s="8" t="str">
        <f>IFERROR(__xludf.DUMMYFUNCTION("""COMPUTED_VALUE"""),"10048/JL/UTM/0624")</f>
        <v>10048/JL/UTM/0624</v>
      </c>
      <c r="B291" s="11">
        <f>IFERROR(__xludf.DUMMYFUNCTION("""COMPUTED_VALUE"""),45448.74375)</f>
        <v>45448.74375</v>
      </c>
      <c r="C291" s="8" t="str">
        <f>IFERROR(__xludf.DUMMYFUNCTION("""COMPUTED_VALUE"""),"359")</f>
        <v>359</v>
      </c>
      <c r="D291" s="8" t="str">
        <f>IFERROR(__xludf.DUMMYFUNCTION("""COMPUTED_VALUE"""),"BPR BINARTA LUHUR, SUMBER SARI")</f>
        <v>BPR BINARTA LUHUR, SUMBER SARI</v>
      </c>
      <c r="E291" s="8" t="str">
        <f>IFERROR(__xludf.DUMMYFUNCTION("""COMPUTED_VALUE"""),"ADM")</f>
        <v>ADM</v>
      </c>
      <c r="F291" s="8"/>
      <c r="G291" s="8"/>
      <c r="H291" s="8"/>
      <c r="I291" s="8"/>
      <c r="J291" s="8" t="str">
        <f>IFERROR(__xludf.DUMMYFUNCTION("""COMPUTED_VALUE"""),"  ")</f>
        <v>  </v>
      </c>
      <c r="K291" s="8" t="str">
        <f>IFERROR(__xludf.DUMMYFUNCTION("""COMPUTED_VALUE"""),"20254")</f>
        <v>20254</v>
      </c>
      <c r="L291" s="8" t="str">
        <f>IFERROR(__xludf.DUMMYFUNCTION("""COMPUTED_VALUE"""),"SECURE PAPER SHREDDER EzSC-10A")</f>
        <v>SECURE PAPER SHREDDER EzSC-10A</v>
      </c>
      <c r="M291" s="12">
        <f>IFERROR(__xludf.DUMMYFUNCTION("""COMPUTED_VALUE"""),1.0)</f>
        <v>1</v>
      </c>
      <c r="N291" s="8" t="str">
        <f>IFERROR(__xludf.DUMMYFUNCTION("""COMPUTED_VALUE"""),"UNIT")</f>
        <v>UNIT</v>
      </c>
      <c r="O291" s="13">
        <f>IFERROR(__xludf.DUMMYFUNCTION("""COMPUTED_VALUE"""),1875000.0)</f>
        <v>1875000</v>
      </c>
      <c r="P291" s="12">
        <f>IFERROR(__xludf.DUMMYFUNCTION("""COMPUTED_VALUE"""),1875000.0)</f>
        <v>1875000</v>
      </c>
      <c r="Q291" s="8"/>
      <c r="R291" s="8">
        <f>IFERROR(__xludf.DUMMYFUNCTION("""COMPUTED_VALUE"""),0.0)</f>
        <v>0</v>
      </c>
      <c r="S291" s="12">
        <f>IFERROR(__xludf.DUMMYFUNCTION("""COMPUTED_VALUE"""),0.0)</f>
        <v>0</v>
      </c>
      <c r="T291" s="12">
        <f>IFERROR(__xludf.DUMMYFUNCTION("""COMPUTED_VALUE"""),1875000.0)</f>
        <v>1875000</v>
      </c>
      <c r="U291" s="13">
        <f>IFERROR(__xludf.DUMMYFUNCTION("""COMPUTED_VALUE"""),0.0)</f>
        <v>0</v>
      </c>
      <c r="V291" s="8" t="str">
        <f>IFERROR(__xludf.DUMMYFUNCTION("""COMPUTED_VALUE"""),"TF BRI")</f>
        <v>TF BRI</v>
      </c>
      <c r="W291" s="8"/>
      <c r="X291" s="8">
        <f t="shared" si="1"/>
        <v>6</v>
      </c>
      <c r="AA291" s="10"/>
    </row>
    <row r="292">
      <c r="A292" s="8" t="str">
        <f>IFERROR(__xludf.DUMMYFUNCTION("""COMPUTED_VALUE"""),"10049/JL/UTM/0624")</f>
        <v>10049/JL/UTM/0624</v>
      </c>
      <c r="B292" s="11">
        <f>IFERROR(__xludf.DUMMYFUNCTION("""COMPUTED_VALUE"""),45449.74412037037)</f>
        <v>45449.74412</v>
      </c>
      <c r="C292" s="8" t="str">
        <f>IFERROR(__xludf.DUMMYFUNCTION("""COMPUTED_VALUE"""),"UMUM")</f>
        <v>UMUM</v>
      </c>
      <c r="D292" s="8" t="str">
        <f>IFERROR(__xludf.DUMMYFUNCTION("""COMPUTED_VALUE"""),"UMUM")</f>
        <v>UMUM</v>
      </c>
      <c r="E292" s="8" t="str">
        <f>IFERROR(__xludf.DUMMYFUNCTION("""COMPUTED_VALUE"""),"ADM")</f>
        <v>ADM</v>
      </c>
      <c r="F292" s="8"/>
      <c r="G292" s="8"/>
      <c r="H292" s="8"/>
      <c r="I292" s="8"/>
      <c r="J292" s="8" t="str">
        <f>IFERROR(__xludf.DUMMYFUNCTION("""COMPUTED_VALUE"""),"  ")</f>
        <v>  </v>
      </c>
      <c r="K292" s="8" t="str">
        <f>IFERROR(__xludf.DUMMYFUNCTION("""COMPUTED_VALUE"""),"40299")</f>
        <v>40299</v>
      </c>
      <c r="L292" s="8" t="str">
        <f>IFERROR(__xludf.DUMMYFUNCTION("""COMPUTED_VALUE"""),"BRIGHT OFFICE PAPER CUTTER F4 NO. 8200")</f>
        <v>BRIGHT OFFICE PAPER CUTTER F4 NO. 8200</v>
      </c>
      <c r="M292" s="12">
        <f>IFERROR(__xludf.DUMMYFUNCTION("""COMPUTED_VALUE"""),1.0)</f>
        <v>1</v>
      </c>
      <c r="N292" s="8" t="str">
        <f>IFERROR(__xludf.DUMMYFUNCTION("""COMPUTED_VALUE"""),"BH")</f>
        <v>BH</v>
      </c>
      <c r="O292" s="13">
        <f>IFERROR(__xludf.DUMMYFUNCTION("""COMPUTED_VALUE"""),225000.0)</f>
        <v>225000</v>
      </c>
      <c r="P292" s="12">
        <f>IFERROR(__xludf.DUMMYFUNCTION("""COMPUTED_VALUE"""),220000.0)</f>
        <v>220000</v>
      </c>
      <c r="Q292" s="8"/>
      <c r="R292" s="8">
        <f>IFERROR(__xludf.DUMMYFUNCTION("""COMPUTED_VALUE"""),0.0)</f>
        <v>0</v>
      </c>
      <c r="S292" s="12">
        <f>IFERROR(__xludf.DUMMYFUNCTION("""COMPUTED_VALUE"""),0.0)</f>
        <v>0</v>
      </c>
      <c r="T292" s="12">
        <f>IFERROR(__xludf.DUMMYFUNCTION("""COMPUTED_VALUE"""),225000.0)</f>
        <v>225000</v>
      </c>
      <c r="U292" s="13">
        <f>IFERROR(__xludf.DUMMYFUNCTION("""COMPUTED_VALUE"""),2.2222222222)</f>
        <v>2.222222222</v>
      </c>
      <c r="V292" s="8"/>
      <c r="W292" s="8"/>
      <c r="X292" s="8">
        <f t="shared" si="1"/>
        <v>6</v>
      </c>
      <c r="AA292" s="10"/>
    </row>
    <row r="293">
      <c r="A293" s="8" t="str">
        <f>IFERROR(__xludf.DUMMYFUNCTION("""COMPUTED_VALUE"""),"10051/JL/UTM/0624")</f>
        <v>10051/JL/UTM/0624</v>
      </c>
      <c r="B293" s="11">
        <f>IFERROR(__xludf.DUMMYFUNCTION("""COMPUTED_VALUE"""),45450.744675925926)</f>
        <v>45450.74468</v>
      </c>
      <c r="C293" s="8" t="str">
        <f>IFERROR(__xludf.DUMMYFUNCTION("""COMPUTED_VALUE"""),"UMUM")</f>
        <v>UMUM</v>
      </c>
      <c r="D293" s="8" t="str">
        <f>IFERROR(__xludf.DUMMYFUNCTION("""COMPUTED_VALUE"""),"UMUM")</f>
        <v>UMUM</v>
      </c>
      <c r="E293" s="8" t="str">
        <f>IFERROR(__xludf.DUMMYFUNCTION("""COMPUTED_VALUE"""),"ADM")</f>
        <v>ADM</v>
      </c>
      <c r="F293" s="8"/>
      <c r="G293" s="8"/>
      <c r="H293" s="8"/>
      <c r="I293" s="8"/>
      <c r="J293" s="8" t="str">
        <f>IFERROR(__xludf.DUMMYFUNCTION("""COMPUTED_VALUE"""),"  ")</f>
        <v>  </v>
      </c>
      <c r="K293" s="8" t="str">
        <f>IFERROR(__xludf.DUMMYFUNCTION("""COMPUTED_VALUE"""),"706075")</f>
        <v>706075</v>
      </c>
      <c r="L293" s="8" t="str">
        <f>IFERROR(__xludf.DUMMYFUNCTION("""COMPUTED_VALUE"""),"DATALITE WALLSREEN WS 70")</f>
        <v>DATALITE WALLSREEN WS 70</v>
      </c>
      <c r="M293" s="12">
        <f>IFERROR(__xludf.DUMMYFUNCTION("""COMPUTED_VALUE"""),1.0)</f>
        <v>1</v>
      </c>
      <c r="N293" s="8" t="str">
        <f>IFERROR(__xludf.DUMMYFUNCTION("""COMPUTED_VALUE"""),"BH")</f>
        <v>BH</v>
      </c>
      <c r="O293" s="13">
        <f>IFERROR(__xludf.DUMMYFUNCTION("""COMPUTED_VALUE"""),850000.0)</f>
        <v>850000</v>
      </c>
      <c r="P293" s="12">
        <f>IFERROR(__xludf.DUMMYFUNCTION("""COMPUTED_VALUE"""),850000.0)</f>
        <v>850000</v>
      </c>
      <c r="Q293" s="8"/>
      <c r="R293" s="8">
        <f>IFERROR(__xludf.DUMMYFUNCTION("""COMPUTED_VALUE"""),0.0)</f>
        <v>0</v>
      </c>
      <c r="S293" s="12">
        <f>IFERROR(__xludf.DUMMYFUNCTION("""COMPUTED_VALUE"""),0.0)</f>
        <v>0</v>
      </c>
      <c r="T293" s="12">
        <f>IFERROR(__xludf.DUMMYFUNCTION("""COMPUTED_VALUE"""),850000.0)</f>
        <v>850000</v>
      </c>
      <c r="U293" s="13">
        <f>IFERROR(__xludf.DUMMYFUNCTION("""COMPUTED_VALUE"""),0.0)</f>
        <v>0</v>
      </c>
      <c r="V293" s="8"/>
      <c r="W293" s="8"/>
      <c r="X293" s="8">
        <f t="shared" si="1"/>
        <v>6</v>
      </c>
      <c r="AA293" s="10"/>
    </row>
    <row r="294">
      <c r="A294" s="8" t="str">
        <f>IFERROR(__xludf.DUMMYFUNCTION("""COMPUTED_VALUE"""),"10050/JL/UTM/0624")</f>
        <v>10050/JL/UTM/0624</v>
      </c>
      <c r="B294" s="11">
        <f>IFERROR(__xludf.DUMMYFUNCTION("""COMPUTED_VALUE"""),45450.74553240741)</f>
        <v>45450.74553</v>
      </c>
      <c r="C294" s="8" t="str">
        <f>IFERROR(__xludf.DUMMYFUNCTION("""COMPUTED_VALUE"""),"PL0859")</f>
        <v>PL0859</v>
      </c>
      <c r="D294" s="8" t="str">
        <f>IFERROR(__xludf.DUMMYFUNCTION("""COMPUTED_VALUE"""),"SMK NEG 1 PALU")</f>
        <v>SMK NEG 1 PALU</v>
      </c>
      <c r="E294" s="8" t="str">
        <f>IFERROR(__xludf.DUMMYFUNCTION("""COMPUTED_VALUE"""),"ADM")</f>
        <v>ADM</v>
      </c>
      <c r="F294" s="8"/>
      <c r="G294" s="8"/>
      <c r="H294" s="8"/>
      <c r="I294" s="8"/>
      <c r="J294" s="8" t="str">
        <f>IFERROR(__xludf.DUMMYFUNCTION("""COMPUTED_VALUE"""),"PALU  ")</f>
        <v>PALU  </v>
      </c>
      <c r="K294" s="8" t="str">
        <f>IFERROR(__xludf.DUMMYFUNCTION("""COMPUTED_VALUE"""),"40385")</f>
        <v>40385</v>
      </c>
      <c r="L294" s="8" t="str">
        <f>IFERROR(__xludf.DUMMYFUNCTION("""COMPUTED_VALUE"""),"V-TEC WHITEBOARD MAGNET STANDING 120X240")</f>
        <v>V-TEC WHITEBOARD MAGNET STANDING 120X240</v>
      </c>
      <c r="M294" s="12">
        <f>IFERROR(__xludf.DUMMYFUNCTION("""COMPUTED_VALUE"""),2.0)</f>
        <v>2</v>
      </c>
      <c r="N294" s="8" t="str">
        <f>IFERROR(__xludf.DUMMYFUNCTION("""COMPUTED_VALUE"""),"BH")</f>
        <v>BH</v>
      </c>
      <c r="O294" s="13">
        <f>IFERROR(__xludf.DUMMYFUNCTION("""COMPUTED_VALUE"""),3300000.0)</f>
        <v>3300000</v>
      </c>
      <c r="P294" s="12">
        <f>IFERROR(__xludf.DUMMYFUNCTION("""COMPUTED_VALUE"""),6600000.0)</f>
        <v>6600000</v>
      </c>
      <c r="Q294" s="8"/>
      <c r="R294" s="8">
        <f>IFERROR(__xludf.DUMMYFUNCTION("""COMPUTED_VALUE"""),0.0)</f>
        <v>0</v>
      </c>
      <c r="S294" s="12">
        <f>IFERROR(__xludf.DUMMYFUNCTION("""COMPUTED_VALUE"""),0.0)</f>
        <v>0</v>
      </c>
      <c r="T294" s="12">
        <f>IFERROR(__xludf.DUMMYFUNCTION("""COMPUTED_VALUE"""),6600000.0)</f>
        <v>6600000</v>
      </c>
      <c r="U294" s="13">
        <f>IFERROR(__xludf.DUMMYFUNCTION("""COMPUTED_VALUE"""),0.0)</f>
        <v>0</v>
      </c>
      <c r="V294" s="8" t="str">
        <f>IFERROR(__xludf.DUMMYFUNCTION("""COMPUTED_VALUE"""),"SIPLAH")</f>
        <v>SIPLAH</v>
      </c>
      <c r="W294" s="8"/>
      <c r="X294" s="8">
        <f t="shared" si="1"/>
        <v>6</v>
      </c>
      <c r="AA294" s="10"/>
    </row>
    <row r="295">
      <c r="A295" s="8" t="str">
        <f>IFERROR(__xludf.DUMMYFUNCTION("""COMPUTED_VALUE"""),"10012/JL/UTM/0624")</f>
        <v>10012/JL/UTM/0624</v>
      </c>
      <c r="B295" s="11">
        <f>IFERROR(__xludf.DUMMYFUNCTION("""COMPUTED_VALUE"""),45453.69231481482)</f>
        <v>45453.69231</v>
      </c>
      <c r="C295" s="8" t="str">
        <f>IFERROR(__xludf.DUMMYFUNCTION("""COMPUTED_VALUE"""),"UMUM")</f>
        <v>UMUM</v>
      </c>
      <c r="D295" s="8" t="str">
        <f>IFERROR(__xludf.DUMMYFUNCTION("""COMPUTED_VALUE"""),"UMUM")</f>
        <v>UMUM</v>
      </c>
      <c r="E295" s="8" t="str">
        <f>IFERROR(__xludf.DUMMYFUNCTION("""COMPUTED_VALUE"""),"JUFRY")</f>
        <v>JUFRY</v>
      </c>
      <c r="F295" s="8"/>
      <c r="G295" s="8"/>
      <c r="H295" s="8"/>
      <c r="I295" s="8"/>
      <c r="J295" s="8" t="str">
        <f>IFERROR(__xludf.DUMMYFUNCTION("""COMPUTED_VALUE"""),"  ")</f>
        <v>  </v>
      </c>
      <c r="K295" s="8" t="str">
        <f>IFERROR(__xludf.DUMMYFUNCTION("""COMPUTED_VALUE"""),"706093")</f>
        <v>706093</v>
      </c>
      <c r="L295" s="8" t="str">
        <f>IFERROR(__xludf.DUMMYFUNCTION("""COMPUTED_VALUE"""),"TOPAS SAFETY BOX FD250")</f>
        <v>TOPAS SAFETY BOX FD250</v>
      </c>
      <c r="M295" s="12">
        <f>IFERROR(__xludf.DUMMYFUNCTION("""COMPUTED_VALUE"""),3.0)</f>
        <v>3</v>
      </c>
      <c r="N295" s="8" t="str">
        <f>IFERROR(__xludf.DUMMYFUNCTION("""COMPUTED_VALUE"""),"BH")</f>
        <v>BH</v>
      </c>
      <c r="O295" s="13">
        <f>IFERROR(__xludf.DUMMYFUNCTION("""COMPUTED_VALUE"""),1100000.0)</f>
        <v>1100000</v>
      </c>
      <c r="P295" s="12">
        <f>IFERROR(__xludf.DUMMYFUNCTION("""COMPUTED_VALUE"""),3000000.0)</f>
        <v>3000000</v>
      </c>
      <c r="Q295" s="8"/>
      <c r="R295" s="8">
        <f>IFERROR(__xludf.DUMMYFUNCTION("""COMPUTED_VALUE"""),0.0)</f>
        <v>0</v>
      </c>
      <c r="S295" s="12">
        <f>IFERROR(__xludf.DUMMYFUNCTION("""COMPUTED_VALUE"""),0.0)</f>
        <v>0</v>
      </c>
      <c r="T295" s="12">
        <f>IFERROR(__xludf.DUMMYFUNCTION("""COMPUTED_VALUE"""),3300000.0)</f>
        <v>3300000</v>
      </c>
      <c r="U295" s="13">
        <f>IFERROR(__xludf.DUMMYFUNCTION("""COMPUTED_VALUE"""),9.0909090909)</f>
        <v>9.090909091</v>
      </c>
      <c r="V295" s="8" t="str">
        <f>IFERROR(__xludf.DUMMYFUNCTION("""COMPUTED_VALUE"""),"EDC BCA")</f>
        <v>EDC BCA</v>
      </c>
      <c r="W295" s="8"/>
      <c r="X295" s="8">
        <f t="shared" si="1"/>
        <v>6</v>
      </c>
      <c r="AA295" s="10"/>
    </row>
    <row r="296">
      <c r="A296" s="8" t="str">
        <f>IFERROR(__xludf.DUMMYFUNCTION("""COMPUTED_VALUE"""),"10013/JL/UTM/0624")</f>
        <v>10013/JL/UTM/0624</v>
      </c>
      <c r="B296" s="11">
        <f>IFERROR(__xludf.DUMMYFUNCTION("""COMPUTED_VALUE"""),45453.69366898148)</f>
        <v>45453.69367</v>
      </c>
      <c r="C296" s="8" t="str">
        <f>IFERROR(__xludf.DUMMYFUNCTION("""COMPUTED_VALUE"""),"UMUM")</f>
        <v>UMUM</v>
      </c>
      <c r="D296" s="8" t="str">
        <f>IFERROR(__xludf.DUMMYFUNCTION("""COMPUTED_VALUE"""),"UMUM")</f>
        <v>UMUM</v>
      </c>
      <c r="E296" s="8" t="str">
        <f>IFERROR(__xludf.DUMMYFUNCTION("""COMPUTED_VALUE"""),"JUFRY")</f>
        <v>JUFRY</v>
      </c>
      <c r="F296" s="8"/>
      <c r="G296" s="8"/>
      <c r="H296" s="8"/>
      <c r="I296" s="8"/>
      <c r="J296" s="8" t="str">
        <f>IFERROR(__xludf.DUMMYFUNCTION("""COMPUTED_VALUE"""),"  ")</f>
        <v>  </v>
      </c>
      <c r="K296" s="8" t="str">
        <f>IFERROR(__xludf.DUMMYFUNCTION("""COMPUTED_VALUE"""),"706149")</f>
        <v>706149</v>
      </c>
      <c r="L296" s="8" t="str">
        <f>IFERROR(__xludf.DUMMYFUNCTION("""COMPUTED_VALUE"""),"V-TEC PEMOTONG ID CARD")</f>
        <v>V-TEC PEMOTONG ID CARD</v>
      </c>
      <c r="M296" s="12">
        <f>IFERROR(__xludf.DUMMYFUNCTION("""COMPUTED_VALUE"""),1.0)</f>
        <v>1</v>
      </c>
      <c r="N296" s="8" t="str">
        <f>IFERROR(__xludf.DUMMYFUNCTION("""COMPUTED_VALUE"""),"BH")</f>
        <v>BH</v>
      </c>
      <c r="O296" s="13">
        <f>IFERROR(__xludf.DUMMYFUNCTION("""COMPUTED_VALUE"""),650000.0)</f>
        <v>650000</v>
      </c>
      <c r="P296" s="12">
        <f>IFERROR(__xludf.DUMMYFUNCTION("""COMPUTED_VALUE"""),650000.0)</f>
        <v>650000</v>
      </c>
      <c r="Q296" s="8"/>
      <c r="R296" s="8">
        <f>IFERROR(__xludf.DUMMYFUNCTION("""COMPUTED_VALUE"""),0.0)</f>
        <v>0</v>
      </c>
      <c r="S296" s="12">
        <f>IFERROR(__xludf.DUMMYFUNCTION("""COMPUTED_VALUE"""),0.0)</f>
        <v>0</v>
      </c>
      <c r="T296" s="12">
        <f>IFERROR(__xludf.DUMMYFUNCTION("""COMPUTED_VALUE"""),650000.0)</f>
        <v>650000</v>
      </c>
      <c r="U296" s="13">
        <f>IFERROR(__xludf.DUMMYFUNCTION("""COMPUTED_VALUE"""),0.0)</f>
        <v>0</v>
      </c>
      <c r="V296" s="8"/>
      <c r="W296" s="8"/>
      <c r="X296" s="8">
        <f t="shared" si="1"/>
        <v>6</v>
      </c>
      <c r="AA296" s="10"/>
    </row>
    <row r="297">
      <c r="A297" s="8" t="str">
        <f>IFERROR(__xludf.DUMMYFUNCTION("""COMPUTED_VALUE"""),"10014/JL/UTM/0624")</f>
        <v>10014/JL/UTM/0624</v>
      </c>
      <c r="B297" s="11">
        <f>IFERROR(__xludf.DUMMYFUNCTION("""COMPUTED_VALUE"""),45453.69440972222)</f>
        <v>45453.69441</v>
      </c>
      <c r="C297" s="8" t="str">
        <f>IFERROR(__xludf.DUMMYFUNCTION("""COMPUTED_VALUE"""),"UMUM")</f>
        <v>UMUM</v>
      </c>
      <c r="D297" s="8" t="str">
        <f>IFERROR(__xludf.DUMMYFUNCTION("""COMPUTED_VALUE"""),"UMUM")</f>
        <v>UMUM</v>
      </c>
      <c r="E297" s="8" t="str">
        <f>IFERROR(__xludf.DUMMYFUNCTION("""COMPUTED_VALUE"""),"JUFRY")</f>
        <v>JUFRY</v>
      </c>
      <c r="F297" s="8"/>
      <c r="G297" s="8"/>
      <c r="H297" s="8"/>
      <c r="I297" s="8"/>
      <c r="J297" s="8" t="str">
        <f>IFERROR(__xludf.DUMMYFUNCTION("""COMPUTED_VALUE"""),"  ")</f>
        <v>  </v>
      </c>
      <c r="K297" s="8" t="str">
        <f>IFERROR(__xludf.DUMMYFUNCTION("""COMPUTED_VALUE"""),"706116")</f>
        <v>706116</v>
      </c>
      <c r="L297" s="8" t="str">
        <f>IFERROR(__xludf.DUMMYFUNCTION("""COMPUTED_VALUE"""),"JOYKO MSN LEBEL HARGA MX5500")</f>
        <v>JOYKO MSN LEBEL HARGA MX5500</v>
      </c>
      <c r="M297" s="12">
        <f>IFERROR(__xludf.DUMMYFUNCTION("""COMPUTED_VALUE"""),1.0)</f>
        <v>1</v>
      </c>
      <c r="N297" s="8" t="str">
        <f>IFERROR(__xludf.DUMMYFUNCTION("""COMPUTED_VALUE"""),"BH")</f>
        <v>BH</v>
      </c>
      <c r="O297" s="13">
        <f>IFERROR(__xludf.DUMMYFUNCTION("""COMPUTED_VALUE"""),70000.0)</f>
        <v>70000</v>
      </c>
      <c r="P297" s="12">
        <f>IFERROR(__xludf.DUMMYFUNCTION("""COMPUTED_VALUE"""),70000.0)</f>
        <v>70000</v>
      </c>
      <c r="Q297" s="8"/>
      <c r="R297" s="8">
        <f>IFERROR(__xludf.DUMMYFUNCTION("""COMPUTED_VALUE"""),0.0)</f>
        <v>0</v>
      </c>
      <c r="S297" s="12">
        <f>IFERROR(__xludf.DUMMYFUNCTION("""COMPUTED_VALUE"""),0.0)</f>
        <v>0</v>
      </c>
      <c r="T297" s="12">
        <f>IFERROR(__xludf.DUMMYFUNCTION("""COMPUTED_VALUE"""),70000.0)</f>
        <v>70000</v>
      </c>
      <c r="U297" s="13">
        <f>IFERROR(__xludf.DUMMYFUNCTION("""COMPUTED_VALUE"""),0.0)</f>
        <v>0</v>
      </c>
      <c r="V297" s="8"/>
      <c r="W297" s="8"/>
      <c r="X297" s="8">
        <f t="shared" si="1"/>
        <v>6</v>
      </c>
      <c r="AA297" s="10"/>
    </row>
    <row r="298">
      <c r="A298" s="8" t="str">
        <f>IFERROR(__xludf.DUMMYFUNCTION("""COMPUTED_VALUE"""),"10015/JL/UTM/0624")</f>
        <v>10015/JL/UTM/0624</v>
      </c>
      <c r="B298" s="11">
        <f>IFERROR(__xludf.DUMMYFUNCTION("""COMPUTED_VALUE"""),45454.66554398148)</f>
        <v>45454.66554</v>
      </c>
      <c r="C298" s="8" t="str">
        <f>IFERROR(__xludf.DUMMYFUNCTION("""COMPUTED_VALUE"""),"UMUM")</f>
        <v>UMUM</v>
      </c>
      <c r="D298" s="8" t="str">
        <f>IFERROR(__xludf.DUMMYFUNCTION("""COMPUTED_VALUE"""),"UMUM")</f>
        <v>UMUM</v>
      </c>
      <c r="E298" s="8" t="str">
        <f>IFERROR(__xludf.DUMMYFUNCTION("""COMPUTED_VALUE"""),"JUFRY")</f>
        <v>JUFRY</v>
      </c>
      <c r="F298" s="8"/>
      <c r="G298" s="8"/>
      <c r="H298" s="8"/>
      <c r="I298" s="8"/>
      <c r="J298" s="8" t="str">
        <f>IFERROR(__xludf.DUMMYFUNCTION("""COMPUTED_VALUE"""),"  ")</f>
        <v>  </v>
      </c>
      <c r="K298" s="8" t="str">
        <f>IFERROR(__xludf.DUMMYFUNCTION("""COMPUTED_VALUE"""),"706255")</f>
        <v>706255</v>
      </c>
      <c r="L298" s="8" t="str">
        <f>IFERROR(__xludf.DUMMYFUNCTION("""COMPUTED_VALUE"""),"VTEC CASH BOX CB 825")</f>
        <v>VTEC CASH BOX CB 825</v>
      </c>
      <c r="M298" s="12">
        <f>IFERROR(__xludf.DUMMYFUNCTION("""COMPUTED_VALUE"""),2.0)</f>
        <v>2</v>
      </c>
      <c r="N298" s="8" t="str">
        <f>IFERROR(__xludf.DUMMYFUNCTION("""COMPUTED_VALUE"""),"BH")</f>
        <v>BH</v>
      </c>
      <c r="O298" s="13">
        <f>IFERROR(__xludf.DUMMYFUNCTION("""COMPUTED_VALUE"""),250000.0)</f>
        <v>250000</v>
      </c>
      <c r="P298" s="12">
        <f>IFERROR(__xludf.DUMMYFUNCTION("""COMPUTED_VALUE"""),500000.0)</f>
        <v>500000</v>
      </c>
      <c r="Q298" s="8"/>
      <c r="R298" s="8">
        <f>IFERROR(__xludf.DUMMYFUNCTION("""COMPUTED_VALUE"""),0.0)</f>
        <v>0</v>
      </c>
      <c r="S298" s="12">
        <f>IFERROR(__xludf.DUMMYFUNCTION("""COMPUTED_VALUE"""),0.0)</f>
        <v>0</v>
      </c>
      <c r="T298" s="12">
        <f>IFERROR(__xludf.DUMMYFUNCTION("""COMPUTED_VALUE"""),500000.0)</f>
        <v>500000</v>
      </c>
      <c r="U298" s="13">
        <f>IFERROR(__xludf.DUMMYFUNCTION("""COMPUTED_VALUE"""),0.0)</f>
        <v>0</v>
      </c>
      <c r="V298" s="8" t="str">
        <f>IFERROR(__xludf.DUMMYFUNCTION("""COMPUTED_VALUE"""),"TF BCA")</f>
        <v>TF BCA</v>
      </c>
      <c r="W298" s="8"/>
      <c r="X298" s="8">
        <f t="shared" si="1"/>
        <v>6</v>
      </c>
      <c r="AA298" s="10"/>
    </row>
    <row r="299">
      <c r="A299" s="8" t="str">
        <f>IFERROR(__xludf.DUMMYFUNCTION("""COMPUTED_VALUE"""),"10016/JL/UTM/0624")</f>
        <v>10016/JL/UTM/0624</v>
      </c>
      <c r="B299" s="11">
        <f>IFERROR(__xludf.DUMMYFUNCTION("""COMPUTED_VALUE"""),45454.666851851856)</f>
        <v>45454.66685</v>
      </c>
      <c r="C299" s="8" t="str">
        <f>IFERROR(__xludf.DUMMYFUNCTION("""COMPUTED_VALUE"""),"UMUM")</f>
        <v>UMUM</v>
      </c>
      <c r="D299" s="8" t="str">
        <f>IFERROR(__xludf.DUMMYFUNCTION("""COMPUTED_VALUE"""),"UMUM")</f>
        <v>UMUM</v>
      </c>
      <c r="E299" s="8" t="str">
        <f>IFERROR(__xludf.DUMMYFUNCTION("""COMPUTED_VALUE"""),"JUFRY")</f>
        <v>JUFRY</v>
      </c>
      <c r="F299" s="8"/>
      <c r="G299" s="8"/>
      <c r="H299" s="8"/>
      <c r="I299" s="8"/>
      <c r="J299" s="8" t="str">
        <f>IFERROR(__xludf.DUMMYFUNCTION("""COMPUTED_VALUE"""),"  ")</f>
        <v>  </v>
      </c>
      <c r="K299" s="8" t="str">
        <f>IFERROR(__xludf.DUMMYFUNCTION("""COMPUTED_VALUE"""),"606072")</f>
        <v>606072</v>
      </c>
      <c r="L299" s="8" t="str">
        <f>IFERROR(__xludf.DUMMYFUNCTION("""COMPUTED_VALUE"""),"KINGCO WHITEBOARD 60X90")</f>
        <v>KINGCO WHITEBOARD 60X90</v>
      </c>
      <c r="M299" s="12">
        <f>IFERROR(__xludf.DUMMYFUNCTION("""COMPUTED_VALUE"""),1.0)</f>
        <v>1</v>
      </c>
      <c r="N299" s="8" t="str">
        <f>IFERROR(__xludf.DUMMYFUNCTION("""COMPUTED_VALUE"""),"BH")</f>
        <v>BH</v>
      </c>
      <c r="O299" s="13">
        <f>IFERROR(__xludf.DUMMYFUNCTION("""COMPUTED_VALUE"""),150000.0)</f>
        <v>150000</v>
      </c>
      <c r="P299" s="12">
        <f>IFERROR(__xludf.DUMMYFUNCTION("""COMPUTED_VALUE"""),150000.0)</f>
        <v>150000</v>
      </c>
      <c r="Q299" s="8"/>
      <c r="R299" s="8">
        <f>IFERROR(__xludf.DUMMYFUNCTION("""COMPUTED_VALUE"""),0.0)</f>
        <v>0</v>
      </c>
      <c r="S299" s="12">
        <f>IFERROR(__xludf.DUMMYFUNCTION("""COMPUTED_VALUE"""),0.0)</f>
        <v>0</v>
      </c>
      <c r="T299" s="12">
        <f>IFERROR(__xludf.DUMMYFUNCTION("""COMPUTED_VALUE"""),150000.0)</f>
        <v>150000</v>
      </c>
      <c r="U299" s="13">
        <f>IFERROR(__xludf.DUMMYFUNCTION("""COMPUTED_VALUE"""),0.0)</f>
        <v>0</v>
      </c>
      <c r="V299" s="8" t="str">
        <f>IFERROR(__xludf.DUMMYFUNCTION("""COMPUTED_VALUE"""),"TF MANDIRI")</f>
        <v>TF MANDIRI</v>
      </c>
      <c r="W299" s="8"/>
      <c r="X299" s="8">
        <f t="shared" si="1"/>
        <v>6</v>
      </c>
      <c r="AA299" s="10"/>
    </row>
    <row r="300">
      <c r="A300" s="8" t="str">
        <f>IFERROR(__xludf.DUMMYFUNCTION("""COMPUTED_VALUE"""),"10017/JL/UTM/0624")</f>
        <v>10017/JL/UTM/0624</v>
      </c>
      <c r="B300" s="11">
        <f>IFERROR(__xludf.DUMMYFUNCTION("""COMPUTED_VALUE"""),45454.66753472222)</f>
        <v>45454.66753</v>
      </c>
      <c r="C300" s="8" t="str">
        <f>IFERROR(__xludf.DUMMYFUNCTION("""COMPUTED_VALUE"""),"UMUM")</f>
        <v>UMUM</v>
      </c>
      <c r="D300" s="8" t="str">
        <f>IFERROR(__xludf.DUMMYFUNCTION("""COMPUTED_VALUE"""),"UMUM")</f>
        <v>UMUM</v>
      </c>
      <c r="E300" s="8" t="str">
        <f>IFERROR(__xludf.DUMMYFUNCTION("""COMPUTED_VALUE"""),"JUFRY")</f>
        <v>JUFRY</v>
      </c>
      <c r="F300" s="8"/>
      <c r="G300" s="8"/>
      <c r="H300" s="8"/>
      <c r="I300" s="8"/>
      <c r="J300" s="8" t="str">
        <f>IFERROR(__xludf.DUMMYFUNCTION("""COMPUTED_VALUE"""),"  ")</f>
        <v>  </v>
      </c>
      <c r="K300" s="8" t="str">
        <f>IFERROR(__xludf.DUMMYFUNCTION("""COMPUTED_VALUE"""),"706116")</f>
        <v>706116</v>
      </c>
      <c r="L300" s="8" t="str">
        <f>IFERROR(__xludf.DUMMYFUNCTION("""COMPUTED_VALUE"""),"JOYKO MSN LEBEL HARGA MX5500")</f>
        <v>JOYKO MSN LEBEL HARGA MX5500</v>
      </c>
      <c r="M300" s="12">
        <f>IFERROR(__xludf.DUMMYFUNCTION("""COMPUTED_VALUE"""),1.0)</f>
        <v>1</v>
      </c>
      <c r="N300" s="8" t="str">
        <f>IFERROR(__xludf.DUMMYFUNCTION("""COMPUTED_VALUE"""),"BH")</f>
        <v>BH</v>
      </c>
      <c r="O300" s="13">
        <f>IFERROR(__xludf.DUMMYFUNCTION("""COMPUTED_VALUE"""),70000.0)</f>
        <v>70000</v>
      </c>
      <c r="P300" s="12">
        <f>IFERROR(__xludf.DUMMYFUNCTION("""COMPUTED_VALUE"""),70000.0)</f>
        <v>70000</v>
      </c>
      <c r="Q300" s="8"/>
      <c r="R300" s="8">
        <f>IFERROR(__xludf.DUMMYFUNCTION("""COMPUTED_VALUE"""),0.0)</f>
        <v>0</v>
      </c>
      <c r="S300" s="12">
        <f>IFERROR(__xludf.DUMMYFUNCTION("""COMPUTED_VALUE"""),0.0)</f>
        <v>0</v>
      </c>
      <c r="T300" s="12">
        <f>IFERROR(__xludf.DUMMYFUNCTION("""COMPUTED_VALUE"""),70000.0)</f>
        <v>70000</v>
      </c>
      <c r="U300" s="13">
        <f>IFERROR(__xludf.DUMMYFUNCTION("""COMPUTED_VALUE"""),0.0)</f>
        <v>0</v>
      </c>
      <c r="V300" s="8" t="str">
        <f>IFERROR(__xludf.DUMMYFUNCTION("""COMPUTED_VALUE"""),"QRIS")</f>
        <v>QRIS</v>
      </c>
      <c r="W300" s="8"/>
      <c r="X300" s="8">
        <f t="shared" si="1"/>
        <v>6</v>
      </c>
      <c r="AA300" s="10"/>
    </row>
    <row r="301">
      <c r="A301" s="8" t="str">
        <f>IFERROR(__xludf.DUMMYFUNCTION("""COMPUTED_VALUE"""),"10019/JL/UTM/0624")</f>
        <v>10019/JL/UTM/0624</v>
      </c>
      <c r="B301" s="11">
        <f>IFERROR(__xludf.DUMMYFUNCTION("""COMPUTED_VALUE"""),45455.65855324074)</f>
        <v>45455.65855</v>
      </c>
      <c r="C301" s="8" t="str">
        <f>IFERROR(__xludf.DUMMYFUNCTION("""COMPUTED_VALUE"""),"UMUM")</f>
        <v>UMUM</v>
      </c>
      <c r="D301" s="8" t="str">
        <f>IFERROR(__xludf.DUMMYFUNCTION("""COMPUTED_VALUE"""),"UMUM")</f>
        <v>UMUM</v>
      </c>
      <c r="E301" s="8" t="str">
        <f>IFERROR(__xludf.DUMMYFUNCTION("""COMPUTED_VALUE"""),"JUFRY")</f>
        <v>JUFRY</v>
      </c>
      <c r="F301" s="8"/>
      <c r="G301" s="8"/>
      <c r="H301" s="8"/>
      <c r="I301" s="8"/>
      <c r="J301" s="8" t="str">
        <f>IFERROR(__xludf.DUMMYFUNCTION("""COMPUTED_VALUE"""),"  ")</f>
        <v>  </v>
      </c>
      <c r="K301" s="8" t="str">
        <f>IFERROR(__xludf.DUMMYFUNCTION("""COMPUTED_VALUE"""),"20148")</f>
        <v>20148</v>
      </c>
      <c r="L301" s="8" t="str">
        <f>IFERROR(__xludf.DUMMYFUNCTION("""COMPUTED_VALUE"""),"ICHIBAN CASH BOX IB 20")</f>
        <v>ICHIBAN CASH BOX IB 20</v>
      </c>
      <c r="M301" s="12">
        <f>IFERROR(__xludf.DUMMYFUNCTION("""COMPUTED_VALUE"""),1.0)</f>
        <v>1</v>
      </c>
      <c r="N301" s="8" t="str">
        <f>IFERROR(__xludf.DUMMYFUNCTION("""COMPUTED_VALUE"""),"BH")</f>
        <v>BH</v>
      </c>
      <c r="O301" s="13">
        <f>IFERROR(__xludf.DUMMYFUNCTION("""COMPUTED_VALUE"""),1300000.0)</f>
        <v>1300000</v>
      </c>
      <c r="P301" s="12">
        <f>IFERROR(__xludf.DUMMYFUNCTION("""COMPUTED_VALUE"""),1500000.0)</f>
        <v>1500000</v>
      </c>
      <c r="Q301" s="8"/>
      <c r="R301" s="8">
        <f>IFERROR(__xludf.DUMMYFUNCTION("""COMPUTED_VALUE"""),0.0)</f>
        <v>0</v>
      </c>
      <c r="S301" s="12">
        <f>IFERROR(__xludf.DUMMYFUNCTION("""COMPUTED_VALUE"""),0.0)</f>
        <v>0</v>
      </c>
      <c r="T301" s="12">
        <f>IFERROR(__xludf.DUMMYFUNCTION("""COMPUTED_VALUE"""),1300000.0)</f>
        <v>1300000</v>
      </c>
      <c r="U301" s="13">
        <f>IFERROR(__xludf.DUMMYFUNCTION("""COMPUTED_VALUE"""),8.5365853659)</f>
        <v>8.536585366</v>
      </c>
      <c r="V301" s="8"/>
      <c r="W301" s="8"/>
      <c r="X301" s="8">
        <f t="shared" si="1"/>
        <v>6</v>
      </c>
      <c r="AA301" s="10"/>
    </row>
    <row r="302">
      <c r="A302" s="8" t="str">
        <f>IFERROR(__xludf.DUMMYFUNCTION("""COMPUTED_VALUE"""),"10019/JL/UTM/0624")</f>
        <v>10019/JL/UTM/0624</v>
      </c>
      <c r="B302" s="11">
        <f>IFERROR(__xludf.DUMMYFUNCTION("""COMPUTED_VALUE"""),45455.65855324074)</f>
        <v>45455.65855</v>
      </c>
      <c r="C302" s="8" t="str">
        <f>IFERROR(__xludf.DUMMYFUNCTION("""COMPUTED_VALUE"""),"UMUM")</f>
        <v>UMUM</v>
      </c>
      <c r="D302" s="8" t="str">
        <f>IFERROR(__xludf.DUMMYFUNCTION("""COMPUTED_VALUE"""),"UMUM")</f>
        <v>UMUM</v>
      </c>
      <c r="E302" s="8" t="str">
        <f>IFERROR(__xludf.DUMMYFUNCTION("""COMPUTED_VALUE"""),"JUFRY")</f>
        <v>JUFRY</v>
      </c>
      <c r="F302" s="8"/>
      <c r="G302" s="8"/>
      <c r="H302" s="8"/>
      <c r="I302" s="8"/>
      <c r="J302" s="8" t="str">
        <f>IFERROR(__xludf.DUMMYFUNCTION("""COMPUTED_VALUE"""),"  ")</f>
        <v>  </v>
      </c>
      <c r="K302" s="8" t="str">
        <f>IFERROR(__xludf.DUMMYFUNCTION("""COMPUTED_VALUE"""),"706189")</f>
        <v>706189</v>
      </c>
      <c r="L302" s="8" t="str">
        <f>IFERROR(__xludf.DUMMYFUNCTION("""COMPUTED_VALUE"""),"AZ IMPULSE SEALER 300i")</f>
        <v>AZ IMPULSE SEALER 300i</v>
      </c>
      <c r="M302" s="12">
        <f>IFERROR(__xludf.DUMMYFUNCTION("""COMPUTED_VALUE"""),1.0)</f>
        <v>1</v>
      </c>
      <c r="N302" s="8" t="str">
        <f>IFERROR(__xludf.DUMMYFUNCTION("""COMPUTED_VALUE"""),"BH")</f>
        <v>BH</v>
      </c>
      <c r="O302" s="13">
        <f>IFERROR(__xludf.DUMMYFUNCTION("""COMPUTED_VALUE"""),340000.0)</f>
        <v>340000</v>
      </c>
      <c r="P302" s="12">
        <f>IFERROR(__xludf.DUMMYFUNCTION("""COMPUTED_VALUE"""),1500000.0)</f>
        <v>1500000</v>
      </c>
      <c r="Q302" s="8"/>
      <c r="R302" s="8">
        <f>IFERROR(__xludf.DUMMYFUNCTION("""COMPUTED_VALUE"""),0.0)</f>
        <v>0</v>
      </c>
      <c r="S302" s="12">
        <f>IFERROR(__xludf.DUMMYFUNCTION("""COMPUTED_VALUE"""),0.0)</f>
        <v>0</v>
      </c>
      <c r="T302" s="12">
        <f>IFERROR(__xludf.DUMMYFUNCTION("""COMPUTED_VALUE"""),340000.0)</f>
        <v>340000</v>
      </c>
      <c r="U302" s="13">
        <f>IFERROR(__xludf.DUMMYFUNCTION("""COMPUTED_VALUE"""),8.5365853659)</f>
        <v>8.536585366</v>
      </c>
      <c r="V302" s="8"/>
      <c r="W302" s="8"/>
      <c r="X302" s="8">
        <f t="shared" si="1"/>
        <v>6</v>
      </c>
      <c r="AA302" s="10"/>
    </row>
    <row r="303">
      <c r="A303" s="8" t="str">
        <f>IFERROR(__xludf.DUMMYFUNCTION("""COMPUTED_VALUE"""),"10020/JL/UTM/0624")</f>
        <v>10020/JL/UTM/0624</v>
      </c>
      <c r="B303" s="11">
        <f>IFERROR(__xludf.DUMMYFUNCTION("""COMPUTED_VALUE"""),45455.67802083334)</f>
        <v>45455.67802</v>
      </c>
      <c r="C303" s="8" t="str">
        <f>IFERROR(__xludf.DUMMYFUNCTION("""COMPUTED_VALUE"""),"PL0938")</f>
        <v>PL0938</v>
      </c>
      <c r="D303" s="8" t="str">
        <f>IFERROR(__xludf.DUMMYFUNCTION("""COMPUTED_VALUE"""),"GIZ-FORCLINE")</f>
        <v>GIZ-FORCLINE</v>
      </c>
      <c r="E303" s="8" t="str">
        <f>IFERROR(__xludf.DUMMYFUNCTION("""COMPUTED_VALUE"""),"JUFRY")</f>
        <v>JUFRY</v>
      </c>
      <c r="F303" s="8"/>
      <c r="G303" s="8"/>
      <c r="H303" s="8"/>
      <c r="I303" s="8"/>
      <c r="J303" s="8" t="str">
        <f>IFERROR(__xludf.DUMMYFUNCTION("""COMPUTED_VALUE"""),"PALU  ")</f>
        <v>PALU  </v>
      </c>
      <c r="K303" s="8" t="str">
        <f>IFERROR(__xludf.DUMMYFUNCTION("""COMPUTED_VALUE"""),"706304")</f>
        <v>706304</v>
      </c>
      <c r="L303" s="8" t="str">
        <f>IFERROR(__xludf.DUMMYFUNCTION("""COMPUTED_VALUE"""),"AKTIV LEMARI ARSIP PINTU AYUN FORTE SWB 90")</f>
        <v>AKTIV LEMARI ARSIP PINTU AYUN FORTE SWB 90</v>
      </c>
      <c r="M303" s="12">
        <f>IFERROR(__xludf.DUMMYFUNCTION("""COMPUTED_VALUE"""),2.0)</f>
        <v>2</v>
      </c>
      <c r="N303" s="8" t="str">
        <f>IFERROR(__xludf.DUMMYFUNCTION("""COMPUTED_VALUE"""),"UNIT")</f>
        <v>UNIT</v>
      </c>
      <c r="O303" s="13">
        <f>IFERROR(__xludf.DUMMYFUNCTION("""COMPUTED_VALUE"""),2400000.0)</f>
        <v>2400000</v>
      </c>
      <c r="P303" s="12">
        <f>IFERROR(__xludf.DUMMYFUNCTION("""COMPUTED_VALUE"""),4800000.0)</f>
        <v>4800000</v>
      </c>
      <c r="Q303" s="8"/>
      <c r="R303" s="8">
        <f>IFERROR(__xludf.DUMMYFUNCTION("""COMPUTED_VALUE"""),0.0)</f>
        <v>0</v>
      </c>
      <c r="S303" s="12">
        <f>IFERROR(__xludf.DUMMYFUNCTION("""COMPUTED_VALUE"""),0.0)</f>
        <v>0</v>
      </c>
      <c r="T303" s="12">
        <f>IFERROR(__xludf.DUMMYFUNCTION("""COMPUTED_VALUE"""),4800000.0)</f>
        <v>4800000</v>
      </c>
      <c r="U303" s="13">
        <f>IFERROR(__xludf.DUMMYFUNCTION("""COMPUTED_VALUE"""),0.0)</f>
        <v>0</v>
      </c>
      <c r="V303" s="8" t="str">
        <f>IFERROR(__xludf.DUMMYFUNCTION("""COMPUTED_VALUE"""),"TF MANDIRI")</f>
        <v>TF MANDIRI</v>
      </c>
      <c r="W303" s="8"/>
      <c r="X303" s="8">
        <f t="shared" si="1"/>
        <v>6</v>
      </c>
      <c r="AA303" s="10"/>
    </row>
    <row r="304">
      <c r="A304" s="8" t="str">
        <f>IFERROR(__xludf.DUMMYFUNCTION("""COMPUTED_VALUE"""),"10032/JL/UTM/0624")</f>
        <v>10032/JL/UTM/0624</v>
      </c>
      <c r="B304" s="11">
        <f>IFERROR(__xludf.DUMMYFUNCTION("""COMPUTED_VALUE"""),45456.679861111115)</f>
        <v>45456.67986</v>
      </c>
      <c r="C304" s="8" t="str">
        <f>IFERROR(__xludf.DUMMYFUNCTION("""COMPUTED_VALUE"""),"832")</f>
        <v>832</v>
      </c>
      <c r="D304" s="8" t="str">
        <f>IFERROR(__xludf.DUMMYFUNCTION("""COMPUTED_VALUE"""),"KPU TOJO UNA-UNA")</f>
        <v>KPU TOJO UNA-UNA</v>
      </c>
      <c r="E304" s="8" t="str">
        <f>IFERROR(__xludf.DUMMYFUNCTION("""COMPUTED_VALUE"""),"JUFRY")</f>
        <v>JUFRY</v>
      </c>
      <c r="F304" s="8"/>
      <c r="G304" s="8"/>
      <c r="H304" s="8"/>
      <c r="I304" s="8"/>
      <c r="J304" s="8" t="str">
        <f>IFERROR(__xludf.DUMMYFUNCTION("""COMPUTED_VALUE"""),"  ")</f>
        <v>  </v>
      </c>
      <c r="K304" s="8" t="str">
        <f>IFERROR(__xludf.DUMMYFUNCTION("""COMPUTED_VALUE"""),"10025")</f>
        <v>10025</v>
      </c>
      <c r="L304" s="8" t="str">
        <f>IFERROR(__xludf.DUMMYFUNCTION("""COMPUTED_VALUE"""),"TIGER BRANKAS TG LK I")</f>
        <v>TIGER BRANKAS TG LK I</v>
      </c>
      <c r="M304" s="12">
        <f>IFERROR(__xludf.DUMMYFUNCTION("""COMPUTED_VALUE"""),1.0)</f>
        <v>1</v>
      </c>
      <c r="N304" s="8" t="str">
        <f>IFERROR(__xludf.DUMMYFUNCTION("""COMPUTED_VALUE"""),"UNIT")</f>
        <v>UNIT</v>
      </c>
      <c r="O304" s="13">
        <f>IFERROR(__xludf.DUMMYFUNCTION("""COMPUTED_VALUE"""),4800000.0)</f>
        <v>4800000</v>
      </c>
      <c r="P304" s="12">
        <f>IFERROR(__xludf.DUMMYFUNCTION("""COMPUTED_VALUE"""),4800000.0)</f>
        <v>4800000</v>
      </c>
      <c r="Q304" s="8"/>
      <c r="R304" s="8">
        <f>IFERROR(__xludf.DUMMYFUNCTION("""COMPUTED_VALUE"""),0.0)</f>
        <v>0</v>
      </c>
      <c r="S304" s="12">
        <f>IFERROR(__xludf.DUMMYFUNCTION("""COMPUTED_VALUE"""),0.0)</f>
        <v>0</v>
      </c>
      <c r="T304" s="12">
        <f>IFERROR(__xludf.DUMMYFUNCTION("""COMPUTED_VALUE"""),4800000.0)</f>
        <v>4800000</v>
      </c>
      <c r="U304" s="13">
        <f>IFERROR(__xludf.DUMMYFUNCTION("""COMPUTED_VALUE"""),0.0)</f>
        <v>0</v>
      </c>
      <c r="V304" s="8" t="str">
        <f>IFERROR(__xludf.DUMMYFUNCTION("""COMPUTED_VALUE"""),"TF BRI, SENILAI Rp. 5.903,050")</f>
        <v>TF BRI, SENILAI Rp. 5.903,050</v>
      </c>
      <c r="W304" s="8"/>
      <c r="X304" s="8">
        <f t="shared" si="1"/>
        <v>6</v>
      </c>
      <c r="AA304" s="10"/>
    </row>
    <row r="305">
      <c r="A305" s="8" t="str">
        <f>IFERROR(__xludf.DUMMYFUNCTION("""COMPUTED_VALUE"""),"10062/JL/UTM/0624")</f>
        <v>10062/JL/UTM/0624</v>
      </c>
      <c r="B305" s="11">
        <f>IFERROR(__xludf.DUMMYFUNCTION("""COMPUTED_VALUE"""),45457.64494212963)</f>
        <v>45457.64494</v>
      </c>
      <c r="C305" s="8" t="str">
        <f>IFERROR(__xludf.DUMMYFUNCTION("""COMPUTED_VALUE"""),"627")</f>
        <v>627</v>
      </c>
      <c r="D305" s="8" t="str">
        <f>IFERROR(__xludf.DUMMYFUNCTION("""COMPUTED_VALUE"""),"HOTEL RAMA")</f>
        <v>HOTEL RAMA</v>
      </c>
      <c r="E305" s="8" t="str">
        <f>IFERROR(__xludf.DUMMYFUNCTION("""COMPUTED_VALUE"""),"JUFRY")</f>
        <v>JUFRY</v>
      </c>
      <c r="F305" s="8"/>
      <c r="G305" s="8"/>
      <c r="H305" s="8"/>
      <c r="I305" s="8"/>
      <c r="J305" s="8" t="str">
        <f>IFERROR(__xludf.DUMMYFUNCTION("""COMPUTED_VALUE"""),"  ")</f>
        <v>  </v>
      </c>
      <c r="K305" s="8" t="str">
        <f>IFERROR(__xludf.DUMMYFUNCTION("""COMPUTED_VALUE"""),"505051")</f>
        <v>505051</v>
      </c>
      <c r="L305" s="8" t="str">
        <f>IFERROR(__xludf.DUMMYFUNCTION("""COMPUTED_VALUE"""),"General pemadam api 3 kg")</f>
        <v>General pemadam api 3 kg</v>
      </c>
      <c r="M305" s="12">
        <f>IFERROR(__xludf.DUMMYFUNCTION("""COMPUTED_VALUE"""),3.0)</f>
        <v>3</v>
      </c>
      <c r="N305" s="8" t="str">
        <f>IFERROR(__xludf.DUMMYFUNCTION("""COMPUTED_VALUE"""),"BH")</f>
        <v>BH</v>
      </c>
      <c r="O305" s="13">
        <f>IFERROR(__xludf.DUMMYFUNCTION("""COMPUTED_VALUE"""),550000.0)</f>
        <v>550000</v>
      </c>
      <c r="P305" s="12">
        <f>IFERROR(__xludf.DUMMYFUNCTION("""COMPUTED_VALUE"""),1425000.0)</f>
        <v>1425000</v>
      </c>
      <c r="Q305" s="8"/>
      <c r="R305" s="8">
        <f>IFERROR(__xludf.DUMMYFUNCTION("""COMPUTED_VALUE"""),0.0)</f>
        <v>0</v>
      </c>
      <c r="S305" s="12">
        <f>IFERROR(__xludf.DUMMYFUNCTION("""COMPUTED_VALUE"""),0.0)</f>
        <v>0</v>
      </c>
      <c r="T305" s="12">
        <f>IFERROR(__xludf.DUMMYFUNCTION("""COMPUTED_VALUE"""),1650000.0)</f>
        <v>1650000</v>
      </c>
      <c r="U305" s="13">
        <f>IFERROR(__xludf.DUMMYFUNCTION("""COMPUTED_VALUE"""),13.6363636364)</f>
        <v>13.63636364</v>
      </c>
      <c r="V305" s="8"/>
      <c r="W305" s="8"/>
      <c r="X305" s="8">
        <f t="shared" si="1"/>
        <v>6</v>
      </c>
      <c r="AA305" s="10"/>
    </row>
    <row r="306">
      <c r="A306" s="8" t="str">
        <f>IFERROR(__xludf.DUMMYFUNCTION("""COMPUTED_VALUE"""),"10065/JL/UTM/0624")</f>
        <v>10065/JL/UTM/0624</v>
      </c>
      <c r="B306" s="11">
        <f>IFERROR(__xludf.DUMMYFUNCTION("""COMPUTED_VALUE"""),45467.559375)</f>
        <v>45467.55938</v>
      </c>
      <c r="C306" s="8" t="str">
        <f>IFERROR(__xludf.DUMMYFUNCTION("""COMPUTED_VALUE"""),"UMUM")</f>
        <v>UMUM</v>
      </c>
      <c r="D306" s="8" t="str">
        <f>IFERROR(__xludf.DUMMYFUNCTION("""COMPUTED_VALUE"""),"UMUM")</f>
        <v>UMUM</v>
      </c>
      <c r="E306" s="8" t="str">
        <f>IFERROR(__xludf.DUMMYFUNCTION("""COMPUTED_VALUE"""),"JUFRY")</f>
        <v>JUFRY</v>
      </c>
      <c r="F306" s="8"/>
      <c r="G306" s="8"/>
      <c r="H306" s="8"/>
      <c r="I306" s="8"/>
      <c r="J306" s="8" t="str">
        <f>IFERROR(__xludf.DUMMYFUNCTION("""COMPUTED_VALUE"""),"  ")</f>
        <v>  </v>
      </c>
      <c r="K306" s="8" t="str">
        <f>IFERROR(__xludf.DUMMYFUNCTION("""COMPUTED_VALUE"""),"10060")</f>
        <v>10060</v>
      </c>
      <c r="L306" s="8" t="str">
        <f>IFERROR(__xludf.DUMMYFUNCTION("""COMPUTED_VALUE"""),"VTEC FLIP CHART 60X90")</f>
        <v>VTEC FLIP CHART 60X90</v>
      </c>
      <c r="M306" s="12">
        <f>IFERROR(__xludf.DUMMYFUNCTION("""COMPUTED_VALUE"""),1.0)</f>
        <v>1</v>
      </c>
      <c r="N306" s="8" t="str">
        <f>IFERROR(__xludf.DUMMYFUNCTION("""COMPUTED_VALUE"""),"BH")</f>
        <v>BH</v>
      </c>
      <c r="O306" s="13">
        <f>IFERROR(__xludf.DUMMYFUNCTION("""COMPUTED_VALUE"""),1175000.0)</f>
        <v>1175000</v>
      </c>
      <c r="P306" s="12">
        <f>IFERROR(__xludf.DUMMYFUNCTION("""COMPUTED_VALUE"""),1175000.0)</f>
        <v>1175000</v>
      </c>
      <c r="Q306" s="8"/>
      <c r="R306" s="8">
        <f>IFERROR(__xludf.DUMMYFUNCTION("""COMPUTED_VALUE"""),0.0)</f>
        <v>0</v>
      </c>
      <c r="S306" s="12">
        <f>IFERROR(__xludf.DUMMYFUNCTION("""COMPUTED_VALUE"""),0.0)</f>
        <v>0</v>
      </c>
      <c r="T306" s="12">
        <f>IFERROR(__xludf.DUMMYFUNCTION("""COMPUTED_VALUE"""),1175000.0)</f>
        <v>1175000</v>
      </c>
      <c r="U306" s="13">
        <f>IFERROR(__xludf.DUMMYFUNCTION("""COMPUTED_VALUE"""),0.0)</f>
        <v>0</v>
      </c>
      <c r="V306" s="8" t="str">
        <f>IFERROR(__xludf.DUMMYFUNCTION("""COMPUTED_VALUE"""),"TF BRI TOTAL RP. 1.305.000 + ATK")</f>
        <v>TF BRI TOTAL RP. 1.305.000 + ATK</v>
      </c>
      <c r="W306" s="8"/>
      <c r="X306" s="8">
        <f t="shared" si="1"/>
        <v>6</v>
      </c>
      <c r="AA306" s="10"/>
    </row>
    <row r="307">
      <c r="A307" s="8" t="str">
        <f>IFERROR(__xludf.DUMMYFUNCTION("""COMPUTED_VALUE"""),"10066/JL/UTM/0624")</f>
        <v>10066/JL/UTM/0624</v>
      </c>
      <c r="B307" s="11">
        <f>IFERROR(__xludf.DUMMYFUNCTION("""COMPUTED_VALUE"""),45467.56025462963)</f>
        <v>45467.56025</v>
      </c>
      <c r="C307" s="8" t="str">
        <f>IFERROR(__xludf.DUMMYFUNCTION("""COMPUTED_VALUE"""),"UMUM")</f>
        <v>UMUM</v>
      </c>
      <c r="D307" s="8" t="str">
        <f>IFERROR(__xludf.DUMMYFUNCTION("""COMPUTED_VALUE"""),"UMUM")</f>
        <v>UMUM</v>
      </c>
      <c r="E307" s="8" t="str">
        <f>IFERROR(__xludf.DUMMYFUNCTION("""COMPUTED_VALUE"""),"JUFRY")</f>
        <v>JUFRY</v>
      </c>
      <c r="F307" s="8"/>
      <c r="G307" s="8"/>
      <c r="H307" s="8"/>
      <c r="I307" s="8"/>
      <c r="J307" s="8" t="str">
        <f>IFERROR(__xludf.DUMMYFUNCTION("""COMPUTED_VALUE"""),"  ")</f>
        <v>  </v>
      </c>
      <c r="K307" s="8" t="str">
        <f>IFERROR(__xludf.DUMMYFUNCTION("""COMPUTED_VALUE"""),"20383")</f>
        <v>20383</v>
      </c>
      <c r="L307" s="8" t="str">
        <f>IFERROR(__xludf.DUMMYFUNCTION("""COMPUTED_VALUE"""),"BROTHER PITA MESIN KETIK LISTRIK 1030")</f>
        <v>BROTHER PITA MESIN KETIK LISTRIK 1030</v>
      </c>
      <c r="M307" s="12">
        <f>IFERROR(__xludf.DUMMYFUNCTION("""COMPUTED_VALUE"""),1.0)</f>
        <v>1</v>
      </c>
      <c r="N307" s="8" t="str">
        <f>IFERROR(__xludf.DUMMYFUNCTION("""COMPUTED_VALUE"""),"PCS")</f>
        <v>PCS</v>
      </c>
      <c r="O307" s="13">
        <f>IFERROR(__xludf.DUMMYFUNCTION("""COMPUTED_VALUE"""),50000.0)</f>
        <v>50000</v>
      </c>
      <c r="P307" s="12">
        <f>IFERROR(__xludf.DUMMYFUNCTION("""COMPUTED_VALUE"""),50000.0)</f>
        <v>50000</v>
      </c>
      <c r="Q307" s="8"/>
      <c r="R307" s="8">
        <f>IFERROR(__xludf.DUMMYFUNCTION("""COMPUTED_VALUE"""),0.0)</f>
        <v>0</v>
      </c>
      <c r="S307" s="12">
        <f>IFERROR(__xludf.DUMMYFUNCTION("""COMPUTED_VALUE"""),0.0)</f>
        <v>0</v>
      </c>
      <c r="T307" s="12">
        <f>IFERROR(__xludf.DUMMYFUNCTION("""COMPUTED_VALUE"""),50000.0)</f>
        <v>50000</v>
      </c>
      <c r="U307" s="13">
        <f>IFERROR(__xludf.DUMMYFUNCTION("""COMPUTED_VALUE"""),0.0)</f>
        <v>0</v>
      </c>
      <c r="V307" s="8"/>
      <c r="W307" s="8"/>
      <c r="X307" s="8">
        <f t="shared" si="1"/>
        <v>6</v>
      </c>
      <c r="AA307" s="10"/>
    </row>
    <row r="308">
      <c r="A308" s="8" t="str">
        <f>IFERROR(__xludf.DUMMYFUNCTION("""COMPUTED_VALUE"""),"10067/JL/UTM/0624")</f>
        <v>10067/JL/UTM/0624</v>
      </c>
      <c r="B308" s="11">
        <f>IFERROR(__xludf.DUMMYFUNCTION("""COMPUTED_VALUE"""),45467.561331018514)</f>
        <v>45467.56133</v>
      </c>
      <c r="C308" s="8" t="str">
        <f>IFERROR(__xludf.DUMMYFUNCTION("""COMPUTED_VALUE"""),"372")</f>
        <v>372</v>
      </c>
      <c r="D308" s="8" t="str">
        <f>IFERROR(__xludf.DUMMYFUNCTION("""COMPUTED_VALUE"""),"LIBRA COMPUTER")</f>
        <v>LIBRA COMPUTER</v>
      </c>
      <c r="E308" s="8" t="str">
        <f>IFERROR(__xludf.DUMMYFUNCTION("""COMPUTED_VALUE"""),"JUFRY")</f>
        <v>JUFRY</v>
      </c>
      <c r="F308" s="8"/>
      <c r="G308" s="8"/>
      <c r="H308" s="8"/>
      <c r="I308" s="8"/>
      <c r="J308" s="8" t="str">
        <f>IFERROR(__xludf.DUMMYFUNCTION("""COMPUTED_VALUE"""),"JL. OTISTA NO. 78  ")</f>
        <v>JL. OTISTA NO. 78  </v>
      </c>
      <c r="K308" s="8" t="str">
        <f>IFERROR(__xludf.DUMMYFUNCTION("""COMPUTED_VALUE"""),"706292")</f>
        <v>706292</v>
      </c>
      <c r="L308" s="8" t="str">
        <f>IFERROR(__xludf.DUMMYFUNCTION("""COMPUTED_VALUE"""),"UCHIDA BRANKAS HS-50K")</f>
        <v>UCHIDA BRANKAS HS-50K</v>
      </c>
      <c r="M308" s="12">
        <f>IFERROR(__xludf.DUMMYFUNCTION("""COMPUTED_VALUE"""),1.0)</f>
        <v>1</v>
      </c>
      <c r="N308" s="8" t="str">
        <f>IFERROR(__xludf.DUMMYFUNCTION("""COMPUTED_VALUE"""),"UNIT")</f>
        <v>UNIT</v>
      </c>
      <c r="O308" s="13">
        <f>IFERROR(__xludf.DUMMYFUNCTION("""COMPUTED_VALUE"""),4550000.0)</f>
        <v>4550000</v>
      </c>
      <c r="P308" s="12">
        <f>IFERROR(__xludf.DUMMYFUNCTION("""COMPUTED_VALUE"""),4095000.0)</f>
        <v>4095000</v>
      </c>
      <c r="Q308" s="8"/>
      <c r="R308" s="8">
        <f>IFERROR(__xludf.DUMMYFUNCTION("""COMPUTED_VALUE"""),0.0)</f>
        <v>0</v>
      </c>
      <c r="S308" s="12">
        <f>IFERROR(__xludf.DUMMYFUNCTION("""COMPUTED_VALUE"""),0.0)</f>
        <v>0</v>
      </c>
      <c r="T308" s="12">
        <f>IFERROR(__xludf.DUMMYFUNCTION("""COMPUTED_VALUE"""),4095000.0)</f>
        <v>4095000</v>
      </c>
      <c r="U308" s="13">
        <f>IFERROR(__xludf.DUMMYFUNCTION("""COMPUTED_VALUE"""),0.0)</f>
        <v>0</v>
      </c>
      <c r="V308" s="8"/>
      <c r="W308" s="8"/>
      <c r="X308" s="8">
        <f t="shared" si="1"/>
        <v>6</v>
      </c>
      <c r="AA308" s="10"/>
    </row>
    <row r="309">
      <c r="A309" s="8" t="str">
        <f>IFERROR(__xludf.DUMMYFUNCTION("""COMPUTED_VALUE"""),"10068/JL/UTM/0624")</f>
        <v>10068/JL/UTM/0624</v>
      </c>
      <c r="B309" s="11">
        <f>IFERROR(__xludf.DUMMYFUNCTION("""COMPUTED_VALUE"""),45467.563252314816)</f>
        <v>45467.56325</v>
      </c>
      <c r="C309" s="8" t="str">
        <f>IFERROR(__xludf.DUMMYFUNCTION("""COMPUTED_VALUE"""),"317")</f>
        <v>317</v>
      </c>
      <c r="D309" s="8" t="str">
        <f>IFERROR(__xludf.DUMMYFUNCTION("""COMPUTED_VALUE"""),"WVI")</f>
        <v>WVI</v>
      </c>
      <c r="E309" s="8" t="str">
        <f>IFERROR(__xludf.DUMMYFUNCTION("""COMPUTED_VALUE"""),"JUFRY")</f>
        <v>JUFRY</v>
      </c>
      <c r="F309" s="8"/>
      <c r="G309" s="8"/>
      <c r="H309" s="8"/>
      <c r="I309" s="8"/>
      <c r="J309" s="8" t="str">
        <f>IFERROR(__xludf.DUMMYFUNCTION("""COMPUTED_VALUE"""),"  ")</f>
        <v>  </v>
      </c>
      <c r="K309" s="8" t="str">
        <f>IFERROR(__xludf.DUMMYFUNCTION("""COMPUTED_VALUE"""),"10060")</f>
        <v>10060</v>
      </c>
      <c r="L309" s="8" t="str">
        <f>IFERROR(__xludf.DUMMYFUNCTION("""COMPUTED_VALUE"""),"VTEC FLIP CHART 60X90")</f>
        <v>VTEC FLIP CHART 60X90</v>
      </c>
      <c r="M309" s="12">
        <f>IFERROR(__xludf.DUMMYFUNCTION("""COMPUTED_VALUE"""),2.0)</f>
        <v>2</v>
      </c>
      <c r="N309" s="8" t="str">
        <f>IFERROR(__xludf.DUMMYFUNCTION("""COMPUTED_VALUE"""),"BH")</f>
        <v>BH</v>
      </c>
      <c r="O309" s="13">
        <f>IFERROR(__xludf.DUMMYFUNCTION("""COMPUTED_VALUE"""),1175000.0)</f>
        <v>1175000</v>
      </c>
      <c r="P309" s="12">
        <f>IFERROR(__xludf.DUMMYFUNCTION("""COMPUTED_VALUE"""),0.0)</f>
        <v>0</v>
      </c>
      <c r="Q309" s="8"/>
      <c r="R309" s="8">
        <f>IFERROR(__xludf.DUMMYFUNCTION("""COMPUTED_VALUE"""),0.0)</f>
        <v>0</v>
      </c>
      <c r="S309" s="12">
        <f>IFERROR(__xludf.DUMMYFUNCTION("""COMPUTED_VALUE"""),2350000.0)</f>
        <v>2350000</v>
      </c>
      <c r="T309" s="12">
        <f>IFERROR(__xludf.DUMMYFUNCTION("""COMPUTED_VALUE"""),2350000.0)</f>
        <v>2350000</v>
      </c>
      <c r="U309" s="13">
        <f>IFERROR(__xludf.DUMMYFUNCTION("""COMPUTED_VALUE"""),0.0)</f>
        <v>0</v>
      </c>
      <c r="V309" s="8" t="str">
        <f>IFERROR(__xludf.DUMMYFUNCTION("""COMPUTED_VALUE"""),"PO NO. PID-2059896")</f>
        <v>PO NO. PID-2059896</v>
      </c>
      <c r="W309" s="8"/>
      <c r="X309" s="8">
        <f t="shared" si="1"/>
        <v>6</v>
      </c>
      <c r="AA309" s="10"/>
    </row>
    <row r="310">
      <c r="A310" s="8" t="str">
        <f>IFERROR(__xludf.DUMMYFUNCTION("""COMPUTED_VALUE"""),"10069/JL/UTM/0624")</f>
        <v>10069/JL/UTM/0624</v>
      </c>
      <c r="B310" s="11">
        <f>IFERROR(__xludf.DUMMYFUNCTION("""COMPUTED_VALUE"""),45467.56480324074)</f>
        <v>45467.5648</v>
      </c>
      <c r="C310" s="8" t="str">
        <f>IFERROR(__xludf.DUMMYFUNCTION("""COMPUTED_VALUE"""),"UMUM")</f>
        <v>UMUM</v>
      </c>
      <c r="D310" s="8" t="str">
        <f>IFERROR(__xludf.DUMMYFUNCTION("""COMPUTED_VALUE"""),"UMUM")</f>
        <v>UMUM</v>
      </c>
      <c r="E310" s="8" t="str">
        <f>IFERROR(__xludf.DUMMYFUNCTION("""COMPUTED_VALUE"""),"JUFRY")</f>
        <v>JUFRY</v>
      </c>
      <c r="F310" s="8"/>
      <c r="G310" s="8"/>
      <c r="H310" s="8"/>
      <c r="I310" s="8"/>
      <c r="J310" s="8" t="str">
        <f>IFERROR(__xludf.DUMMYFUNCTION("""COMPUTED_VALUE"""),"  ")</f>
        <v>  </v>
      </c>
      <c r="K310" s="8" t="str">
        <f>IFERROR(__xludf.DUMMYFUNCTION("""COMPUTED_VALUE"""),"40524")</f>
        <v>40524</v>
      </c>
      <c r="L310" s="8" t="str">
        <f>IFERROR(__xludf.DUMMYFUNCTION("""COMPUTED_VALUE"""),"UCHIDA BRANKAS BK-S")</f>
        <v>UCHIDA BRANKAS BK-S</v>
      </c>
      <c r="M310" s="12">
        <f>IFERROR(__xludf.DUMMYFUNCTION("""COMPUTED_VALUE"""),1.0)</f>
        <v>1</v>
      </c>
      <c r="N310" s="8" t="str">
        <f>IFERROR(__xludf.DUMMYFUNCTION("""COMPUTED_VALUE"""),"UNIT")</f>
        <v>UNIT</v>
      </c>
      <c r="O310" s="13">
        <f>IFERROR(__xludf.DUMMYFUNCTION("""COMPUTED_VALUE"""),4450000.0)</f>
        <v>4450000</v>
      </c>
      <c r="P310" s="12">
        <f>IFERROR(__xludf.DUMMYFUNCTION("""COMPUTED_VALUE"""),4350000.0)</f>
        <v>4350000</v>
      </c>
      <c r="Q310" s="8"/>
      <c r="R310" s="8">
        <f>IFERROR(__xludf.DUMMYFUNCTION("""COMPUTED_VALUE"""),0.0)</f>
        <v>0</v>
      </c>
      <c r="S310" s="12">
        <f>IFERROR(__xludf.DUMMYFUNCTION("""COMPUTED_VALUE"""),0.0)</f>
        <v>0</v>
      </c>
      <c r="T310" s="12">
        <f>IFERROR(__xludf.DUMMYFUNCTION("""COMPUTED_VALUE"""),4450000.0)</f>
        <v>4450000</v>
      </c>
      <c r="U310" s="13">
        <f>IFERROR(__xludf.DUMMYFUNCTION("""COMPUTED_VALUE"""),2.2471910112)</f>
        <v>2.247191011</v>
      </c>
      <c r="V310" s="8" t="str">
        <f>IFERROR(__xludf.DUMMYFUNCTION("""COMPUTED_VALUE"""),"SDH BUAT NOTA MANUAL TGL 20-6-24")</f>
        <v>SDH BUAT NOTA MANUAL TGL 20-6-24</v>
      </c>
      <c r="W310" s="8"/>
      <c r="X310" s="8">
        <f t="shared" si="1"/>
        <v>6</v>
      </c>
      <c r="AA310" s="10"/>
    </row>
    <row r="311">
      <c r="A311" s="8" t="str">
        <f>IFERROR(__xludf.DUMMYFUNCTION("""COMPUTED_VALUE"""),"10070/JL/UTM/0624")</f>
        <v>10070/JL/UTM/0624</v>
      </c>
      <c r="B311" s="11">
        <f>IFERROR(__xludf.DUMMYFUNCTION("""COMPUTED_VALUE"""),45467.56780092593)</f>
        <v>45467.5678</v>
      </c>
      <c r="C311" s="8" t="str">
        <f>IFERROR(__xludf.DUMMYFUNCTION("""COMPUTED_VALUE"""),"UMUM")</f>
        <v>UMUM</v>
      </c>
      <c r="D311" s="8" t="str">
        <f>IFERROR(__xludf.DUMMYFUNCTION("""COMPUTED_VALUE"""),"UMUM")</f>
        <v>UMUM</v>
      </c>
      <c r="E311" s="8" t="str">
        <f>IFERROR(__xludf.DUMMYFUNCTION("""COMPUTED_VALUE"""),"JUFRY")</f>
        <v>JUFRY</v>
      </c>
      <c r="F311" s="8"/>
      <c r="G311" s="8"/>
      <c r="H311" s="8"/>
      <c r="I311" s="8"/>
      <c r="J311" s="8" t="str">
        <f>IFERROR(__xludf.DUMMYFUNCTION("""COMPUTED_VALUE"""),"  ")</f>
        <v>  </v>
      </c>
      <c r="K311" s="8" t="str">
        <f>IFERROR(__xludf.DUMMYFUNCTION("""COMPUTED_VALUE"""),"505051")</f>
        <v>505051</v>
      </c>
      <c r="L311" s="8" t="str">
        <f>IFERROR(__xludf.DUMMYFUNCTION("""COMPUTED_VALUE"""),"General pemadam api 3 kg")</f>
        <v>General pemadam api 3 kg</v>
      </c>
      <c r="M311" s="12">
        <f>IFERROR(__xludf.DUMMYFUNCTION("""COMPUTED_VALUE"""),2.0)</f>
        <v>2</v>
      </c>
      <c r="N311" s="8" t="str">
        <f>IFERROR(__xludf.DUMMYFUNCTION("""COMPUTED_VALUE"""),"BH")</f>
        <v>BH</v>
      </c>
      <c r="O311" s="13">
        <f>IFERROR(__xludf.DUMMYFUNCTION("""COMPUTED_VALUE"""),550000.0)</f>
        <v>550000</v>
      </c>
      <c r="P311" s="12">
        <f>IFERROR(__xludf.DUMMYFUNCTION("""COMPUTED_VALUE"""),1100000.0)</f>
        <v>1100000</v>
      </c>
      <c r="Q311" s="8"/>
      <c r="R311" s="8">
        <f>IFERROR(__xludf.DUMMYFUNCTION("""COMPUTED_VALUE"""),0.0)</f>
        <v>0</v>
      </c>
      <c r="S311" s="12">
        <f>IFERROR(__xludf.DUMMYFUNCTION("""COMPUTED_VALUE"""),0.0)</f>
        <v>0</v>
      </c>
      <c r="T311" s="12">
        <f>IFERROR(__xludf.DUMMYFUNCTION("""COMPUTED_VALUE"""),1100000.0)</f>
        <v>1100000</v>
      </c>
      <c r="U311" s="13">
        <f>IFERROR(__xludf.DUMMYFUNCTION("""COMPUTED_VALUE"""),0.0)</f>
        <v>0</v>
      </c>
      <c r="V311" s="8" t="str">
        <f>IFERROR(__xludf.DUMMYFUNCTION("""COMPUTED_VALUE"""),"BRI LO KUI DJENG TGL 22-06-24")</f>
        <v>BRI LO KUI DJENG TGL 22-06-24</v>
      </c>
      <c r="W311" s="8"/>
      <c r="X311" s="8">
        <f t="shared" si="1"/>
        <v>6</v>
      </c>
      <c r="AA311" s="10"/>
    </row>
    <row r="312">
      <c r="A312" s="8" t="str">
        <f>IFERROR(__xludf.DUMMYFUNCTION("""COMPUTED_VALUE"""),"10071/JL/UTM/0624")</f>
        <v>10071/JL/UTM/0624</v>
      </c>
      <c r="B312" s="11">
        <f>IFERROR(__xludf.DUMMYFUNCTION("""COMPUTED_VALUE"""),45467.56967592593)</f>
        <v>45467.56968</v>
      </c>
      <c r="C312" s="8" t="str">
        <f>IFERROR(__xludf.DUMMYFUNCTION("""COMPUTED_VALUE"""),"228")</f>
        <v>228</v>
      </c>
      <c r="D312" s="8" t="str">
        <f>IFERROR(__xludf.DUMMYFUNCTION("""COMPUTED_VALUE"""),"BANK INDONESIA")</f>
        <v>BANK INDONESIA</v>
      </c>
      <c r="E312" s="8" t="str">
        <f>IFERROR(__xludf.DUMMYFUNCTION("""COMPUTED_VALUE"""),"JUFRY")</f>
        <v>JUFRY</v>
      </c>
      <c r="F312" s="8"/>
      <c r="G312" s="8"/>
      <c r="H312" s="8"/>
      <c r="I312" s="8"/>
      <c r="J312" s="8" t="str">
        <f>IFERROR(__xludf.DUMMYFUNCTION("""COMPUTED_VALUE"""),"  ")</f>
        <v>  </v>
      </c>
      <c r="K312" s="8" t="str">
        <f>IFERROR(__xludf.DUMMYFUNCTION("""COMPUTED_VALUE"""),"706300")</f>
        <v>706300</v>
      </c>
      <c r="L312" s="8" t="str">
        <f>IFERROR(__xludf.DUMMYFUNCTION("""COMPUTED_VALUE"""),"MARK PRINT RIBBON")</f>
        <v>MARK PRINT RIBBON</v>
      </c>
      <c r="M312" s="12">
        <f>IFERROR(__xludf.DUMMYFUNCTION("""COMPUTED_VALUE"""),2.0)</f>
        <v>2</v>
      </c>
      <c r="N312" s="8" t="str">
        <f>IFERROR(__xludf.DUMMYFUNCTION("""COMPUTED_VALUE"""),"BH")</f>
        <v>BH</v>
      </c>
      <c r="O312" s="13">
        <f>IFERROR(__xludf.DUMMYFUNCTION("""COMPUTED_VALUE"""),80000.0)</f>
        <v>80000</v>
      </c>
      <c r="P312" s="12">
        <f>IFERROR(__xludf.DUMMYFUNCTION("""COMPUTED_VALUE"""),0.0)</f>
        <v>0</v>
      </c>
      <c r="Q312" s="8"/>
      <c r="R312" s="8">
        <f>IFERROR(__xludf.DUMMYFUNCTION("""COMPUTED_VALUE"""),0.0)</f>
        <v>0</v>
      </c>
      <c r="S312" s="12">
        <f>IFERROR(__xludf.DUMMYFUNCTION("""COMPUTED_VALUE"""),160000.0)</f>
        <v>160000</v>
      </c>
      <c r="T312" s="12">
        <f>IFERROR(__xludf.DUMMYFUNCTION("""COMPUTED_VALUE"""),160000.0)</f>
        <v>160000</v>
      </c>
      <c r="U312" s="13">
        <f>IFERROR(__xludf.DUMMYFUNCTION("""COMPUTED_VALUE"""),0.0)</f>
        <v>0</v>
      </c>
      <c r="V312" s="8"/>
      <c r="W312" s="8"/>
      <c r="X312" s="8">
        <f t="shared" si="1"/>
        <v>6</v>
      </c>
      <c r="AA312" s="10"/>
    </row>
    <row r="313">
      <c r="A313" s="8" t="str">
        <f>IFERROR(__xludf.DUMMYFUNCTION("""COMPUTED_VALUE"""),"10072/JL/UTM/0624")</f>
        <v>10072/JL/UTM/0624</v>
      </c>
      <c r="B313" s="11">
        <f>IFERROR(__xludf.DUMMYFUNCTION("""COMPUTED_VALUE"""),45468.69537037037)</f>
        <v>45468.69537</v>
      </c>
      <c r="C313" s="8" t="str">
        <f>IFERROR(__xludf.DUMMYFUNCTION("""COMPUTED_VALUE"""),"PL0939")</f>
        <v>PL0939</v>
      </c>
      <c r="D313" s="8" t="str">
        <f>IFERROR(__xludf.DUMMYFUNCTION("""COMPUTED_VALUE"""),"BRI KCU PALU")</f>
        <v>BRI KCU PALU</v>
      </c>
      <c r="E313" s="8" t="str">
        <f>IFERROR(__xludf.DUMMYFUNCTION("""COMPUTED_VALUE"""),"JUFRY")</f>
        <v>JUFRY</v>
      </c>
      <c r="F313" s="8"/>
      <c r="G313" s="8"/>
      <c r="H313" s="8"/>
      <c r="I313" s="8"/>
      <c r="J313" s="8" t="str">
        <f>IFERROR(__xludf.DUMMYFUNCTION("""COMPUTED_VALUE"""),"  ")</f>
        <v>  </v>
      </c>
      <c r="K313" s="8" t="str">
        <f>IFERROR(__xludf.DUMMYFUNCTION("""COMPUTED_VALUE"""),"20057")</f>
        <v>20057</v>
      </c>
      <c r="L313" s="8" t="str">
        <f>IFERROR(__xludf.DUMMYFUNCTION("""COMPUTED_VALUE"""),"BROTHER LEMARI ARSIP 2 PINTU B203")</f>
        <v>BROTHER LEMARI ARSIP 2 PINTU B203</v>
      </c>
      <c r="M313" s="12">
        <f>IFERROR(__xludf.DUMMYFUNCTION("""COMPUTED_VALUE"""),2.0)</f>
        <v>2</v>
      </c>
      <c r="N313" s="8" t="str">
        <f>IFERROR(__xludf.DUMMYFUNCTION("""COMPUTED_VALUE"""),"UNIT")</f>
        <v>UNIT</v>
      </c>
      <c r="O313" s="13">
        <f>IFERROR(__xludf.DUMMYFUNCTION("""COMPUTED_VALUE"""),2860000.0)</f>
        <v>2860000</v>
      </c>
      <c r="P313" s="12">
        <f>IFERROR(__xludf.DUMMYFUNCTION("""COMPUTED_VALUE"""),0.0)</f>
        <v>0</v>
      </c>
      <c r="Q313" s="8"/>
      <c r="R313" s="8">
        <f>IFERROR(__xludf.DUMMYFUNCTION("""COMPUTED_VALUE"""),0.0)</f>
        <v>0</v>
      </c>
      <c r="S313" s="12">
        <f>IFERROR(__xludf.DUMMYFUNCTION("""COMPUTED_VALUE"""),5500000.0)</f>
        <v>5500000</v>
      </c>
      <c r="T313" s="12">
        <f>IFERROR(__xludf.DUMMYFUNCTION("""COMPUTED_VALUE"""),5720000.0)</f>
        <v>5720000</v>
      </c>
      <c r="U313" s="13">
        <f>IFERROR(__xludf.DUMMYFUNCTION("""COMPUTED_VALUE"""),3.8461538462)</f>
        <v>3.846153846</v>
      </c>
      <c r="V313" s="8"/>
      <c r="W313" s="8"/>
      <c r="X313" s="8">
        <f t="shared" si="1"/>
        <v>6</v>
      </c>
      <c r="AA313" s="10"/>
    </row>
    <row r="314">
      <c r="A314" s="8" t="str">
        <f>IFERROR(__xludf.DUMMYFUNCTION("""COMPUTED_VALUE"""),"10073/JL/UTM/0624")</f>
        <v>10073/JL/UTM/0624</v>
      </c>
      <c r="B314" s="11">
        <f>IFERROR(__xludf.DUMMYFUNCTION("""COMPUTED_VALUE"""),45468.7100462963)</f>
        <v>45468.71005</v>
      </c>
      <c r="C314" s="8" t="str">
        <f>IFERROR(__xludf.DUMMYFUNCTION("""COMPUTED_VALUE"""),"PL0826")</f>
        <v>PL0826</v>
      </c>
      <c r="D314" s="8" t="str">
        <f>IFERROR(__xludf.DUMMYFUNCTION("""COMPUTED_VALUE"""),"PT.WEIR MINERAL")</f>
        <v>PT.WEIR MINERAL</v>
      </c>
      <c r="E314" s="8" t="str">
        <f>IFERROR(__xludf.DUMMYFUNCTION("""COMPUTED_VALUE"""),"JUFRY")</f>
        <v>JUFRY</v>
      </c>
      <c r="F314" s="8"/>
      <c r="G314" s="8"/>
      <c r="H314" s="8"/>
      <c r="I314" s="8"/>
      <c r="J314" s="8" t="str">
        <f>IFERROR(__xludf.DUMMYFUNCTION("""COMPUTED_VALUE"""),"PALU  ")</f>
        <v>PALU  </v>
      </c>
      <c r="K314" s="8" t="str">
        <f>IFERROR(__xludf.DUMMYFUNCTION("""COMPUTED_VALUE"""),"706272")</f>
        <v>706272</v>
      </c>
      <c r="L314" s="8" t="str">
        <f>IFERROR(__xludf.DUMMYFUNCTION("""COMPUTED_VALUE"""),"BROTHER KURSI SUSUN BR-700 CTB")</f>
        <v>BROTHER KURSI SUSUN BR-700 CTB</v>
      </c>
      <c r="M314" s="12">
        <f>IFERROR(__xludf.DUMMYFUNCTION("""COMPUTED_VALUE"""),6.0)</f>
        <v>6</v>
      </c>
      <c r="N314" s="8" t="str">
        <f>IFERROR(__xludf.DUMMYFUNCTION("""COMPUTED_VALUE"""),"BH")</f>
        <v>BH</v>
      </c>
      <c r="O314" s="13">
        <f>IFERROR(__xludf.DUMMYFUNCTION("""COMPUTED_VALUE"""),325000.0)</f>
        <v>325000</v>
      </c>
      <c r="P314" s="12">
        <f>IFERROR(__xludf.DUMMYFUNCTION("""COMPUTED_VALUE"""),0.0)</f>
        <v>0</v>
      </c>
      <c r="Q314" s="8"/>
      <c r="R314" s="8">
        <f>IFERROR(__xludf.DUMMYFUNCTION("""COMPUTED_VALUE"""),0.0)</f>
        <v>0</v>
      </c>
      <c r="S314" s="12">
        <f>IFERROR(__xludf.DUMMYFUNCTION("""COMPUTED_VALUE"""),1950000.0)</f>
        <v>1950000</v>
      </c>
      <c r="T314" s="12">
        <f>IFERROR(__xludf.DUMMYFUNCTION("""COMPUTED_VALUE"""),1950000.0)</f>
        <v>1950000</v>
      </c>
      <c r="U314" s="13">
        <f>IFERROR(__xludf.DUMMYFUNCTION("""COMPUTED_VALUE"""),0.0)</f>
        <v>0</v>
      </c>
      <c r="V314" s="8"/>
      <c r="W314" s="8"/>
      <c r="X314" s="8">
        <f t="shared" si="1"/>
        <v>6</v>
      </c>
      <c r="AA314" s="10"/>
    </row>
    <row r="315">
      <c r="A315" s="8" t="str">
        <f>IFERROR(__xludf.DUMMYFUNCTION("""COMPUTED_VALUE"""),"10074/JL/UTM/0624")</f>
        <v>10074/JL/UTM/0624</v>
      </c>
      <c r="B315" s="11">
        <f>IFERROR(__xludf.DUMMYFUNCTION("""COMPUTED_VALUE"""),45471.62847222222)</f>
        <v>45471.62847</v>
      </c>
      <c r="C315" s="8" t="str">
        <f>IFERROR(__xludf.DUMMYFUNCTION("""COMPUTED_VALUE"""),"PL0860")</f>
        <v>PL0860</v>
      </c>
      <c r="D315" s="8" t="str">
        <f>IFERROR(__xludf.DUMMYFUNCTION("""COMPUTED_VALUE"""),"PUSKESMAS LERE")</f>
        <v>PUSKESMAS LERE</v>
      </c>
      <c r="E315" s="8" t="str">
        <f>IFERROR(__xludf.DUMMYFUNCTION("""COMPUTED_VALUE"""),"JUFRY")</f>
        <v>JUFRY</v>
      </c>
      <c r="F315" s="8"/>
      <c r="G315" s="8"/>
      <c r="H315" s="8"/>
      <c r="I315" s="8"/>
      <c r="J315" s="8" t="str">
        <f>IFERROR(__xludf.DUMMYFUNCTION("""COMPUTED_VALUE"""),"PALU  ")</f>
        <v>PALU  </v>
      </c>
      <c r="K315" s="8" t="str">
        <f>IFERROR(__xludf.DUMMYFUNCTION("""COMPUTED_VALUE"""),"40333")</f>
        <v>40333</v>
      </c>
      <c r="L315" s="8" t="str">
        <f>IFERROR(__xludf.DUMMYFUNCTION("""COMPUTED_VALUE"""),"ZETTA FURNITURE MEJA 1 BIRO MT-301")</f>
        <v>ZETTA FURNITURE MEJA 1 BIRO MT-301</v>
      </c>
      <c r="M315" s="12">
        <f>IFERROR(__xludf.DUMMYFUNCTION("""COMPUTED_VALUE"""),2.0)</f>
        <v>2</v>
      </c>
      <c r="N315" s="8" t="str">
        <f>IFERROR(__xludf.DUMMYFUNCTION("""COMPUTED_VALUE"""),"BH")</f>
        <v>BH</v>
      </c>
      <c r="O315" s="13">
        <f>IFERROR(__xludf.DUMMYFUNCTION("""COMPUTED_VALUE"""),2700000.0)</f>
        <v>2700000</v>
      </c>
      <c r="P315" s="12">
        <f>IFERROR(__xludf.DUMMYFUNCTION("""COMPUTED_VALUE"""),6300000.0)</f>
        <v>6300000</v>
      </c>
      <c r="Q315" s="8"/>
      <c r="R315" s="8">
        <f>IFERROR(__xludf.DUMMYFUNCTION("""COMPUTED_VALUE"""),0.0)</f>
        <v>0</v>
      </c>
      <c r="S315" s="12">
        <f>IFERROR(__xludf.DUMMYFUNCTION("""COMPUTED_VALUE"""),0.0)</f>
        <v>0</v>
      </c>
      <c r="T315" s="12">
        <f>IFERROR(__xludf.DUMMYFUNCTION("""COMPUTED_VALUE"""),5400000.0)</f>
        <v>5400000</v>
      </c>
      <c r="U315" s="13">
        <f>IFERROR(__xludf.DUMMYFUNCTION("""COMPUTED_VALUE"""),0.0)</f>
        <v>0</v>
      </c>
      <c r="V315" s="8" t="str">
        <f>IFERROR(__xludf.DUMMYFUNCTION("""COMPUTED_VALUE"""),"TF BANK SULTENG")</f>
        <v>TF BANK SULTENG</v>
      </c>
      <c r="W315" s="8"/>
      <c r="X315" s="8">
        <f t="shared" si="1"/>
        <v>6</v>
      </c>
      <c r="AA315" s="10"/>
    </row>
    <row r="316">
      <c r="A316" s="8" t="str">
        <f>IFERROR(__xludf.DUMMYFUNCTION("""COMPUTED_VALUE"""),"10074/JL/UTM/0624")</f>
        <v>10074/JL/UTM/0624</v>
      </c>
      <c r="B316" s="11">
        <f>IFERROR(__xludf.DUMMYFUNCTION("""COMPUTED_VALUE"""),45471.62847222222)</f>
        <v>45471.62847</v>
      </c>
      <c r="C316" s="8" t="str">
        <f>IFERROR(__xludf.DUMMYFUNCTION("""COMPUTED_VALUE"""),"PL0860")</f>
        <v>PL0860</v>
      </c>
      <c r="D316" s="8" t="str">
        <f>IFERROR(__xludf.DUMMYFUNCTION("""COMPUTED_VALUE"""),"PUSKESMAS LERE")</f>
        <v>PUSKESMAS LERE</v>
      </c>
      <c r="E316" s="8" t="str">
        <f>IFERROR(__xludf.DUMMYFUNCTION("""COMPUTED_VALUE"""),"JUFRY")</f>
        <v>JUFRY</v>
      </c>
      <c r="F316" s="8"/>
      <c r="G316" s="8"/>
      <c r="H316" s="8"/>
      <c r="I316" s="8"/>
      <c r="J316" s="8" t="str">
        <f>IFERROR(__xludf.DUMMYFUNCTION("""COMPUTED_VALUE"""),"PALU  ")</f>
        <v>PALU  </v>
      </c>
      <c r="K316" s="8" t="str">
        <f>IFERROR(__xludf.DUMMYFUNCTION("""COMPUTED_VALUE"""),"40334")</f>
        <v>40334</v>
      </c>
      <c r="L316" s="8" t="str">
        <f>IFERROR(__xludf.DUMMYFUNCTION("""COMPUTED_VALUE"""),"ZETTA FURNITURE BOX LACI LC-01")</f>
        <v>ZETTA FURNITURE BOX LACI LC-01</v>
      </c>
      <c r="M316" s="12">
        <f>IFERROR(__xludf.DUMMYFUNCTION("""COMPUTED_VALUE"""),2.0)</f>
        <v>2</v>
      </c>
      <c r="N316" s="8" t="str">
        <f>IFERROR(__xludf.DUMMYFUNCTION("""COMPUTED_VALUE"""),"BH")</f>
        <v>BH</v>
      </c>
      <c r="O316" s="13">
        <f>IFERROR(__xludf.DUMMYFUNCTION("""COMPUTED_VALUE"""),450000.0)</f>
        <v>450000</v>
      </c>
      <c r="P316" s="12">
        <f>IFERROR(__xludf.DUMMYFUNCTION("""COMPUTED_VALUE"""),6300000.0)</f>
        <v>6300000</v>
      </c>
      <c r="Q316" s="8"/>
      <c r="R316" s="8">
        <f>IFERROR(__xludf.DUMMYFUNCTION("""COMPUTED_VALUE"""),0.0)</f>
        <v>0</v>
      </c>
      <c r="S316" s="12">
        <f>IFERROR(__xludf.DUMMYFUNCTION("""COMPUTED_VALUE"""),0.0)</f>
        <v>0</v>
      </c>
      <c r="T316" s="12">
        <f>IFERROR(__xludf.DUMMYFUNCTION("""COMPUTED_VALUE"""),900000.0)</f>
        <v>900000</v>
      </c>
      <c r="U316" s="13">
        <f>IFERROR(__xludf.DUMMYFUNCTION("""COMPUTED_VALUE"""),0.0)</f>
        <v>0</v>
      </c>
      <c r="V316" s="8" t="str">
        <f>IFERROR(__xludf.DUMMYFUNCTION("""COMPUTED_VALUE"""),"TF BANK SULTENG")</f>
        <v>TF BANK SULTENG</v>
      </c>
      <c r="W316" s="8"/>
      <c r="X316" s="8">
        <f t="shared" si="1"/>
        <v>6</v>
      </c>
      <c r="AA316" s="10"/>
    </row>
    <row r="317">
      <c r="A317" s="8" t="str">
        <f>IFERROR(__xludf.DUMMYFUNCTION("""COMPUTED_VALUE"""),"10075/JL/UTM/0624")</f>
        <v>10075/JL/UTM/0624</v>
      </c>
      <c r="B317" s="11">
        <f>IFERROR(__xludf.DUMMYFUNCTION("""COMPUTED_VALUE"""),45471.63603009259)</f>
        <v>45471.63603</v>
      </c>
      <c r="C317" s="8" t="str">
        <f>IFERROR(__xludf.DUMMYFUNCTION("""COMPUTED_VALUE"""),"PL0944")</f>
        <v>PL0944</v>
      </c>
      <c r="D317" s="8" t="str">
        <f>IFERROR(__xludf.DUMMYFUNCTION("""COMPUTED_VALUE"""),"KTR. SYAHBANDAR POSO")</f>
        <v>KTR. SYAHBANDAR POSO</v>
      </c>
      <c r="E317" s="8" t="str">
        <f>IFERROR(__xludf.DUMMYFUNCTION("""COMPUTED_VALUE"""),"JUFRY")</f>
        <v>JUFRY</v>
      </c>
      <c r="F317" s="8"/>
      <c r="G317" s="8"/>
      <c r="H317" s="8"/>
      <c r="I317" s="8"/>
      <c r="J317" s="8" t="str">
        <f>IFERROR(__xludf.DUMMYFUNCTION("""COMPUTED_VALUE"""),"POSO  ")</f>
        <v>POSO  </v>
      </c>
      <c r="K317" s="8" t="str">
        <f>IFERROR(__xludf.DUMMYFUNCTION("""COMPUTED_VALUE"""),"706291")</f>
        <v>706291</v>
      </c>
      <c r="L317" s="8" t="str">
        <f>IFERROR(__xludf.DUMMYFUNCTION("""COMPUTED_VALUE"""),"INCO VOLCAN 3 KURSI HADAP")</f>
        <v>INCO VOLCAN 3 KURSI HADAP</v>
      </c>
      <c r="M317" s="12">
        <f>IFERROR(__xludf.DUMMYFUNCTION("""COMPUTED_VALUE"""),4.0)</f>
        <v>4</v>
      </c>
      <c r="N317" s="8" t="str">
        <f>IFERROR(__xludf.DUMMYFUNCTION("""COMPUTED_VALUE"""),"BH")</f>
        <v>BH</v>
      </c>
      <c r="O317" s="13">
        <f>IFERROR(__xludf.DUMMYFUNCTION("""COMPUTED_VALUE"""),1100000.0)</f>
        <v>1100000</v>
      </c>
      <c r="P317" s="12">
        <f>IFERROR(__xludf.DUMMYFUNCTION("""COMPUTED_VALUE"""),4000000.0)</f>
        <v>4000000</v>
      </c>
      <c r="Q317" s="8"/>
      <c r="R317" s="8">
        <f>IFERROR(__xludf.DUMMYFUNCTION("""COMPUTED_VALUE"""),0.0)</f>
        <v>0</v>
      </c>
      <c r="S317" s="12">
        <f>IFERROR(__xludf.DUMMYFUNCTION("""COMPUTED_VALUE"""),0.0)</f>
        <v>0</v>
      </c>
      <c r="T317" s="12">
        <f>IFERROR(__xludf.DUMMYFUNCTION("""COMPUTED_VALUE"""),4400000.0)</f>
        <v>4400000</v>
      </c>
      <c r="U317" s="13">
        <f>IFERROR(__xludf.DUMMYFUNCTION("""COMPUTED_VALUE"""),9.0909090909)</f>
        <v>9.090909091</v>
      </c>
      <c r="V317" s="8" t="str">
        <f>IFERROR(__xludf.DUMMYFUNCTION("""COMPUTED_VALUE"""),"TF BRI")</f>
        <v>TF BRI</v>
      </c>
      <c r="W317" s="8"/>
      <c r="X317" s="8">
        <f t="shared" si="1"/>
        <v>6</v>
      </c>
      <c r="AA317" s="10"/>
    </row>
    <row r="318">
      <c r="A318" s="8" t="str">
        <f>IFERROR(__xludf.DUMMYFUNCTION("""COMPUTED_VALUE"""),"10076/JL/UTM/0624")</f>
        <v>10076/JL/UTM/0624</v>
      </c>
      <c r="B318" s="11">
        <f>IFERROR(__xludf.DUMMYFUNCTION("""COMPUTED_VALUE"""),45471.64256944445)</f>
        <v>45471.64257</v>
      </c>
      <c r="C318" s="8" t="str">
        <f>IFERROR(__xludf.DUMMYFUNCTION("""COMPUTED_VALUE"""),"044")</f>
        <v>044</v>
      </c>
      <c r="D318" s="8" t="str">
        <f>IFERROR(__xludf.DUMMYFUNCTION("""COMPUTED_VALUE"""),"BANK SULTENG KC PALU")</f>
        <v>BANK SULTENG KC PALU</v>
      </c>
      <c r="E318" s="8" t="str">
        <f>IFERROR(__xludf.DUMMYFUNCTION("""COMPUTED_VALUE"""),"JUFRY")</f>
        <v>JUFRY</v>
      </c>
      <c r="F318" s="8"/>
      <c r="G318" s="8"/>
      <c r="H318" s="8"/>
      <c r="I318" s="8"/>
      <c r="J318" s="8" t="str">
        <f>IFERROR(__xludf.DUMMYFUNCTION("""COMPUTED_VALUE"""),"  ")</f>
        <v>  </v>
      </c>
      <c r="K318" s="8" t="str">
        <f>IFERROR(__xludf.DUMMYFUNCTION("""COMPUTED_VALUE"""),"606066")</f>
        <v>606066</v>
      </c>
      <c r="L318" s="8" t="str">
        <f>IFERROR(__xludf.DUMMYFUNCTION("""COMPUTED_VALUE"""),"Maestro King Brankast Size V")</f>
        <v>Maestro King Brankast Size V</v>
      </c>
      <c r="M318" s="12">
        <f>IFERROR(__xludf.DUMMYFUNCTION("""COMPUTED_VALUE"""),1.0)</f>
        <v>1</v>
      </c>
      <c r="N318" s="8" t="str">
        <f>IFERROR(__xludf.DUMMYFUNCTION("""COMPUTED_VALUE"""),"BH")</f>
        <v>BH</v>
      </c>
      <c r="O318" s="13">
        <f>IFERROR(__xludf.DUMMYFUNCTION("""COMPUTED_VALUE"""),2.2E7)</f>
        <v>22000000</v>
      </c>
      <c r="P318" s="12">
        <f>IFERROR(__xludf.DUMMYFUNCTION("""COMPUTED_VALUE"""),0.0)</f>
        <v>0</v>
      </c>
      <c r="Q318" s="8"/>
      <c r="R318" s="8">
        <f>IFERROR(__xludf.DUMMYFUNCTION("""COMPUTED_VALUE"""),0.0)</f>
        <v>0</v>
      </c>
      <c r="S318" s="12">
        <f>IFERROR(__xludf.DUMMYFUNCTION("""COMPUTED_VALUE"""),2.475E7)</f>
        <v>24750000</v>
      </c>
      <c r="T318" s="12">
        <f>IFERROR(__xludf.DUMMYFUNCTION("""COMPUTED_VALUE"""),2.2E7)</f>
        <v>22000000</v>
      </c>
      <c r="U318" s="13">
        <f>IFERROR(__xludf.DUMMYFUNCTION("""COMPUTED_VALUE"""),0.0)</f>
        <v>0</v>
      </c>
      <c r="V318" s="8"/>
      <c r="W318" s="8"/>
      <c r="X318" s="8">
        <f t="shared" si="1"/>
        <v>6</v>
      </c>
      <c r="AA318" s="10"/>
    </row>
    <row r="319">
      <c r="A319" s="8" t="str">
        <f>IFERROR(__xludf.DUMMYFUNCTION("""COMPUTED_VALUE"""),"10076/JL/UTM/0624")</f>
        <v>10076/JL/UTM/0624</v>
      </c>
      <c r="B319" s="11">
        <f>IFERROR(__xludf.DUMMYFUNCTION("""COMPUTED_VALUE"""),45471.64256944445)</f>
        <v>45471.64257</v>
      </c>
      <c r="C319" s="8" t="str">
        <f>IFERROR(__xludf.DUMMYFUNCTION("""COMPUTED_VALUE"""),"044")</f>
        <v>044</v>
      </c>
      <c r="D319" s="8" t="str">
        <f>IFERROR(__xludf.DUMMYFUNCTION("""COMPUTED_VALUE"""),"BANK SULTENG KC PALU")</f>
        <v>BANK SULTENG KC PALU</v>
      </c>
      <c r="E319" s="8" t="str">
        <f>IFERROR(__xludf.DUMMYFUNCTION("""COMPUTED_VALUE"""),"JUFRY")</f>
        <v>JUFRY</v>
      </c>
      <c r="F319" s="8"/>
      <c r="G319" s="8"/>
      <c r="H319" s="8"/>
      <c r="I319" s="8"/>
      <c r="J319" s="8" t="str">
        <f>IFERROR(__xludf.DUMMYFUNCTION("""COMPUTED_VALUE"""),"  ")</f>
        <v>  </v>
      </c>
      <c r="K319" s="8" t="str">
        <f>IFERROR(__xludf.DUMMYFUNCTION("""COMPUTED_VALUE"""),"706201")</f>
        <v>706201</v>
      </c>
      <c r="L319" s="8" t="str">
        <f>IFERROR(__xludf.DUMMYFUNCTION("""COMPUTED_VALUE"""),"SECURE MONEY COUNTER LD26M")</f>
        <v>SECURE MONEY COUNTER LD26M</v>
      </c>
      <c r="M319" s="12">
        <f>IFERROR(__xludf.DUMMYFUNCTION("""COMPUTED_VALUE"""),1.0)</f>
        <v>1</v>
      </c>
      <c r="N319" s="8" t="str">
        <f>IFERROR(__xludf.DUMMYFUNCTION("""COMPUTED_VALUE"""),"BH")</f>
        <v>BH</v>
      </c>
      <c r="O319" s="13">
        <f>IFERROR(__xludf.DUMMYFUNCTION("""COMPUTED_VALUE"""),2600000.0)</f>
        <v>2600000</v>
      </c>
      <c r="P319" s="12">
        <f>IFERROR(__xludf.DUMMYFUNCTION("""COMPUTED_VALUE"""),0.0)</f>
        <v>0</v>
      </c>
      <c r="Q319" s="8"/>
      <c r="R319" s="8">
        <f>IFERROR(__xludf.DUMMYFUNCTION("""COMPUTED_VALUE"""),0.0)</f>
        <v>0</v>
      </c>
      <c r="S319" s="12">
        <f>IFERROR(__xludf.DUMMYFUNCTION("""COMPUTED_VALUE"""),2.475E7)</f>
        <v>24750000</v>
      </c>
      <c r="T319" s="12">
        <f>IFERROR(__xludf.DUMMYFUNCTION("""COMPUTED_VALUE"""),2600000.0)</f>
        <v>2600000</v>
      </c>
      <c r="U319" s="13">
        <f>IFERROR(__xludf.DUMMYFUNCTION("""COMPUTED_VALUE"""),0.0)</f>
        <v>0</v>
      </c>
      <c r="V319" s="8"/>
      <c r="W319" s="8"/>
      <c r="X319" s="8">
        <f t="shared" si="1"/>
        <v>6</v>
      </c>
      <c r="AA319" s="10"/>
    </row>
    <row r="320">
      <c r="A320" s="8" t="str">
        <f>IFERROR(__xludf.DUMMYFUNCTION("""COMPUTED_VALUE"""),"10076/JL/UTM/0624")</f>
        <v>10076/JL/UTM/0624</v>
      </c>
      <c r="B320" s="11">
        <f>IFERROR(__xludf.DUMMYFUNCTION("""COMPUTED_VALUE"""),45471.64256944445)</f>
        <v>45471.64257</v>
      </c>
      <c r="C320" s="8" t="str">
        <f>IFERROR(__xludf.DUMMYFUNCTION("""COMPUTED_VALUE"""),"044")</f>
        <v>044</v>
      </c>
      <c r="D320" s="8" t="str">
        <f>IFERROR(__xludf.DUMMYFUNCTION("""COMPUTED_VALUE"""),"BANK SULTENG KC PALU")</f>
        <v>BANK SULTENG KC PALU</v>
      </c>
      <c r="E320" s="8" t="str">
        <f>IFERROR(__xludf.DUMMYFUNCTION("""COMPUTED_VALUE"""),"JUFRY")</f>
        <v>JUFRY</v>
      </c>
      <c r="F320" s="8"/>
      <c r="G320" s="8"/>
      <c r="H320" s="8"/>
      <c r="I320" s="8"/>
      <c r="J320" s="8" t="str">
        <f>IFERROR(__xludf.DUMMYFUNCTION("""COMPUTED_VALUE"""),"  ")</f>
        <v>  </v>
      </c>
      <c r="K320" s="8" t="str">
        <f>IFERROR(__xludf.DUMMYFUNCTION("""COMPUTED_VALUE"""),"40556")</f>
        <v>40556</v>
      </c>
      <c r="L320" s="8" t="str">
        <f>IFERROR(__xludf.DUMMYFUNCTION("""COMPUTED_VALUE"""),"OCEAN CITY MONEY DETECTOR OCI-2820")</f>
        <v>OCEAN CITY MONEY DETECTOR OCI-2820</v>
      </c>
      <c r="M320" s="12">
        <f>IFERROR(__xludf.DUMMYFUNCTION("""COMPUTED_VALUE"""),1.0)</f>
        <v>1</v>
      </c>
      <c r="N320" s="8" t="str">
        <f>IFERROR(__xludf.DUMMYFUNCTION("""COMPUTED_VALUE"""),"BH")</f>
        <v>BH</v>
      </c>
      <c r="O320" s="13">
        <f>IFERROR(__xludf.DUMMYFUNCTION("""COMPUTED_VALUE"""),150000.0)</f>
        <v>150000</v>
      </c>
      <c r="P320" s="12">
        <f>IFERROR(__xludf.DUMMYFUNCTION("""COMPUTED_VALUE"""),0.0)</f>
        <v>0</v>
      </c>
      <c r="Q320" s="8"/>
      <c r="R320" s="8">
        <f>IFERROR(__xludf.DUMMYFUNCTION("""COMPUTED_VALUE"""),0.0)</f>
        <v>0</v>
      </c>
      <c r="S320" s="12">
        <f>IFERROR(__xludf.DUMMYFUNCTION("""COMPUTED_VALUE"""),2.475E7)</f>
        <v>24750000</v>
      </c>
      <c r="T320" s="12">
        <f>IFERROR(__xludf.DUMMYFUNCTION("""COMPUTED_VALUE"""),150000.0)</f>
        <v>150000</v>
      </c>
      <c r="U320" s="13">
        <f>IFERROR(__xludf.DUMMYFUNCTION("""COMPUTED_VALUE"""),0.0)</f>
        <v>0</v>
      </c>
      <c r="V320" s="8"/>
      <c r="W320" s="8"/>
      <c r="X320" s="8">
        <f t="shared" si="1"/>
        <v>6</v>
      </c>
      <c r="AA320" s="10"/>
    </row>
    <row r="321">
      <c r="A321" s="8" t="str">
        <f>IFERROR(__xludf.DUMMYFUNCTION("""COMPUTED_VALUE"""),"10077/JL/UTM/0624")</f>
        <v>10077/JL/UTM/0624</v>
      </c>
      <c r="B321" s="11">
        <f>IFERROR(__xludf.DUMMYFUNCTION("""COMPUTED_VALUE"""),45471.698124999995)</f>
        <v>45471.69813</v>
      </c>
      <c r="C321" s="8" t="str">
        <f>IFERROR(__xludf.DUMMYFUNCTION("""COMPUTED_VALUE"""),"UMUM")</f>
        <v>UMUM</v>
      </c>
      <c r="D321" s="8" t="str">
        <f>IFERROR(__xludf.DUMMYFUNCTION("""COMPUTED_VALUE"""),"UMUM")</f>
        <v>UMUM</v>
      </c>
      <c r="E321" s="8" t="str">
        <f>IFERROR(__xludf.DUMMYFUNCTION("""COMPUTED_VALUE"""),"JUFRY")</f>
        <v>JUFRY</v>
      </c>
      <c r="F321" s="8"/>
      <c r="G321" s="8"/>
      <c r="H321" s="8"/>
      <c r="I321" s="8"/>
      <c r="J321" s="8" t="str">
        <f>IFERROR(__xludf.DUMMYFUNCTION("""COMPUTED_VALUE"""),"  ")</f>
        <v>  </v>
      </c>
      <c r="K321" s="8" t="str">
        <f>IFERROR(__xludf.DUMMYFUNCTION("""COMPUTED_VALUE"""),"20383")</f>
        <v>20383</v>
      </c>
      <c r="L321" s="8" t="str">
        <f>IFERROR(__xludf.DUMMYFUNCTION("""COMPUTED_VALUE"""),"BROTHER PITA MESIN KETIK LISTRIK 1030")</f>
        <v>BROTHER PITA MESIN KETIK LISTRIK 1030</v>
      </c>
      <c r="M321" s="12">
        <f>IFERROR(__xludf.DUMMYFUNCTION("""COMPUTED_VALUE"""),2.0)</f>
        <v>2</v>
      </c>
      <c r="N321" s="8" t="str">
        <f>IFERROR(__xludf.DUMMYFUNCTION("""COMPUTED_VALUE"""),"PCS")</f>
        <v>PCS</v>
      </c>
      <c r="O321" s="13">
        <f>IFERROR(__xludf.DUMMYFUNCTION("""COMPUTED_VALUE"""),50000.0)</f>
        <v>50000</v>
      </c>
      <c r="P321" s="12">
        <f>IFERROR(__xludf.DUMMYFUNCTION("""COMPUTED_VALUE"""),100000.0)</f>
        <v>100000</v>
      </c>
      <c r="Q321" s="8"/>
      <c r="R321" s="8">
        <f>IFERROR(__xludf.DUMMYFUNCTION("""COMPUTED_VALUE"""),0.0)</f>
        <v>0</v>
      </c>
      <c r="S321" s="12">
        <f>IFERROR(__xludf.DUMMYFUNCTION("""COMPUTED_VALUE"""),0.0)</f>
        <v>0</v>
      </c>
      <c r="T321" s="12">
        <f>IFERROR(__xludf.DUMMYFUNCTION("""COMPUTED_VALUE"""),100000.0)</f>
        <v>100000</v>
      </c>
      <c r="U321" s="13">
        <f>IFERROR(__xludf.DUMMYFUNCTION("""COMPUTED_VALUE"""),0.0)</f>
        <v>0</v>
      </c>
      <c r="V321" s="8" t="str">
        <f>IFERROR(__xludf.DUMMYFUNCTION("""COMPUTED_VALUE"""),"TF BNI")</f>
        <v>TF BNI</v>
      </c>
      <c r="W321" s="8"/>
      <c r="X321" s="8">
        <f t="shared" si="1"/>
        <v>6</v>
      </c>
      <c r="AA321" s="10"/>
    </row>
    <row r="322">
      <c r="A322" s="8" t="str">
        <f>IFERROR(__xludf.DUMMYFUNCTION("""COMPUTED_VALUE"""),"10078/JL/UTM/0624")</f>
        <v>10078/JL/UTM/0624</v>
      </c>
      <c r="B322" s="11">
        <f>IFERROR(__xludf.DUMMYFUNCTION("""COMPUTED_VALUE"""),45472.621041666665)</f>
        <v>45472.62104</v>
      </c>
      <c r="C322" s="8" t="str">
        <f>IFERROR(__xludf.DUMMYFUNCTION("""COMPUTED_VALUE"""),"UMUM")</f>
        <v>UMUM</v>
      </c>
      <c r="D322" s="8" t="str">
        <f>IFERROR(__xludf.DUMMYFUNCTION("""COMPUTED_VALUE"""),"UMUM")</f>
        <v>UMUM</v>
      </c>
      <c r="E322" s="8" t="str">
        <f>IFERROR(__xludf.DUMMYFUNCTION("""COMPUTED_VALUE"""),"JUFRY")</f>
        <v>JUFRY</v>
      </c>
      <c r="F322" s="8"/>
      <c r="G322" s="8"/>
      <c r="H322" s="8"/>
      <c r="I322" s="8"/>
      <c r="J322" s="8" t="str">
        <f>IFERROR(__xludf.DUMMYFUNCTION("""COMPUTED_VALUE"""),"  ")</f>
        <v>  </v>
      </c>
      <c r="K322" s="8" t="str">
        <f>IFERROR(__xludf.DUMMYFUNCTION("""COMPUTED_VALUE"""),"706309")</f>
        <v>706309</v>
      </c>
      <c r="L322" s="8" t="str">
        <f>IFERROR(__xludf.DUMMYFUNCTION("""COMPUTED_VALUE"""),"BRIGHT OFFICE MONEY COUNTER 728 D")</f>
        <v>BRIGHT OFFICE MONEY COUNTER 728 D</v>
      </c>
      <c r="M322" s="12">
        <f>IFERROR(__xludf.DUMMYFUNCTION("""COMPUTED_VALUE"""),1.0)</f>
        <v>1</v>
      </c>
      <c r="N322" s="8" t="str">
        <f>IFERROR(__xludf.DUMMYFUNCTION("""COMPUTED_VALUE"""),"BH")</f>
        <v>BH</v>
      </c>
      <c r="O322" s="13">
        <f>IFERROR(__xludf.DUMMYFUNCTION("""COMPUTED_VALUE"""),2650000.0)</f>
        <v>2650000</v>
      </c>
      <c r="P322" s="12">
        <f>IFERROR(__xludf.DUMMYFUNCTION("""COMPUTED_VALUE"""),2400000.0)</f>
        <v>2400000</v>
      </c>
      <c r="Q322" s="8"/>
      <c r="R322" s="8">
        <f>IFERROR(__xludf.DUMMYFUNCTION("""COMPUTED_VALUE"""),0.0)</f>
        <v>0</v>
      </c>
      <c r="S322" s="12">
        <f>IFERROR(__xludf.DUMMYFUNCTION("""COMPUTED_VALUE"""),0.0)</f>
        <v>0</v>
      </c>
      <c r="T322" s="12">
        <f>IFERROR(__xludf.DUMMYFUNCTION("""COMPUTED_VALUE"""),2650000.0)</f>
        <v>2650000</v>
      </c>
      <c r="U322" s="13">
        <f>IFERROR(__xludf.DUMMYFUNCTION("""COMPUTED_VALUE"""),9.4339622642)</f>
        <v>9.433962264</v>
      </c>
      <c r="V322" s="8" t="str">
        <f>IFERROR(__xludf.DUMMYFUNCTION("""COMPUTED_VALUE"""),"TF BCA")</f>
        <v>TF BCA</v>
      </c>
      <c r="W322" s="8"/>
      <c r="X322" s="8">
        <f t="shared" si="1"/>
        <v>6</v>
      </c>
      <c r="AA322" s="10"/>
    </row>
    <row r="323">
      <c r="A323" s="8" t="str">
        <f>IFERROR(__xludf.DUMMYFUNCTION("""COMPUTED_VALUE"""),"10079/JL/UTM/0724")</f>
        <v>10079/JL/UTM/0724</v>
      </c>
      <c r="B323" s="11">
        <f>IFERROR(__xludf.DUMMYFUNCTION("""COMPUTED_VALUE"""),45474.66583333333)</f>
        <v>45474.66583</v>
      </c>
      <c r="C323" s="8" t="str">
        <f>IFERROR(__xludf.DUMMYFUNCTION("""COMPUTED_VALUE"""),"UMUM")</f>
        <v>UMUM</v>
      </c>
      <c r="D323" s="8" t="str">
        <f>IFERROR(__xludf.DUMMYFUNCTION("""COMPUTED_VALUE"""),"UMUM")</f>
        <v>UMUM</v>
      </c>
      <c r="E323" s="8" t="str">
        <f>IFERROR(__xludf.DUMMYFUNCTION("""COMPUTED_VALUE"""),"JUFRY")</f>
        <v>JUFRY</v>
      </c>
      <c r="F323" s="8"/>
      <c r="G323" s="8"/>
      <c r="H323" s="8"/>
      <c r="I323" s="8"/>
      <c r="J323" s="8" t="str">
        <f>IFERROR(__xludf.DUMMYFUNCTION("""COMPUTED_VALUE"""),"  ")</f>
        <v>  </v>
      </c>
      <c r="K323" s="8" t="str">
        <f>IFERROR(__xludf.DUMMYFUNCTION("""COMPUTED_VALUE"""),"706255")</f>
        <v>706255</v>
      </c>
      <c r="L323" s="8" t="str">
        <f>IFERROR(__xludf.DUMMYFUNCTION("""COMPUTED_VALUE"""),"VTEC CASH BOX CB 825")</f>
        <v>VTEC CASH BOX CB 825</v>
      </c>
      <c r="M323" s="12">
        <f>IFERROR(__xludf.DUMMYFUNCTION("""COMPUTED_VALUE"""),1.0)</f>
        <v>1</v>
      </c>
      <c r="N323" s="8" t="str">
        <f>IFERROR(__xludf.DUMMYFUNCTION("""COMPUTED_VALUE"""),"BH")</f>
        <v>BH</v>
      </c>
      <c r="O323" s="13">
        <f>IFERROR(__xludf.DUMMYFUNCTION("""COMPUTED_VALUE"""),250000.0)</f>
        <v>250000</v>
      </c>
      <c r="P323" s="12">
        <f>IFERROR(__xludf.DUMMYFUNCTION("""COMPUTED_VALUE"""),250000.0)</f>
        <v>250000</v>
      </c>
      <c r="Q323" s="8"/>
      <c r="R323" s="8">
        <f>IFERROR(__xludf.DUMMYFUNCTION("""COMPUTED_VALUE"""),0.0)</f>
        <v>0</v>
      </c>
      <c r="S323" s="12">
        <f>IFERROR(__xludf.DUMMYFUNCTION("""COMPUTED_VALUE"""),0.0)</f>
        <v>0</v>
      </c>
      <c r="T323" s="12">
        <f>IFERROR(__xludf.DUMMYFUNCTION("""COMPUTED_VALUE"""),250000.0)</f>
        <v>250000</v>
      </c>
      <c r="U323" s="13">
        <f>IFERROR(__xludf.DUMMYFUNCTION("""COMPUTED_VALUE"""),0.0)</f>
        <v>0</v>
      </c>
      <c r="V323" s="8"/>
      <c r="W323" s="8"/>
      <c r="X323" s="8">
        <f t="shared" si="1"/>
        <v>7</v>
      </c>
      <c r="AA323" s="10"/>
    </row>
    <row r="324">
      <c r="A324" s="8" t="str">
        <f>IFERROR(__xludf.DUMMYFUNCTION("""COMPUTED_VALUE"""),"10080/JL/UTM/0724")</f>
        <v>10080/JL/UTM/0724</v>
      </c>
      <c r="B324" s="11">
        <f>IFERROR(__xludf.DUMMYFUNCTION("""COMPUTED_VALUE"""),45474.66675925926)</f>
        <v>45474.66676</v>
      </c>
      <c r="C324" s="8" t="str">
        <f>IFERROR(__xludf.DUMMYFUNCTION("""COMPUTED_VALUE"""),"UMUM")</f>
        <v>UMUM</v>
      </c>
      <c r="D324" s="8" t="str">
        <f>IFERROR(__xludf.DUMMYFUNCTION("""COMPUTED_VALUE"""),"UMUM")</f>
        <v>UMUM</v>
      </c>
      <c r="E324" s="8" t="str">
        <f>IFERROR(__xludf.DUMMYFUNCTION("""COMPUTED_VALUE"""),"JUFRY")</f>
        <v>JUFRY</v>
      </c>
      <c r="F324" s="8"/>
      <c r="G324" s="8"/>
      <c r="H324" s="8"/>
      <c r="I324" s="8"/>
      <c r="J324" s="8" t="str">
        <f>IFERROR(__xludf.DUMMYFUNCTION("""COMPUTED_VALUE"""),"  ")</f>
        <v>  </v>
      </c>
      <c r="K324" s="8" t="str">
        <f>IFERROR(__xludf.DUMMYFUNCTION("""COMPUTED_VALUE"""),"706255")</f>
        <v>706255</v>
      </c>
      <c r="L324" s="8" t="str">
        <f>IFERROR(__xludf.DUMMYFUNCTION("""COMPUTED_VALUE"""),"VTEC CASH BOX CB 825")</f>
        <v>VTEC CASH BOX CB 825</v>
      </c>
      <c r="M324" s="12">
        <f>IFERROR(__xludf.DUMMYFUNCTION("""COMPUTED_VALUE"""),1.0)</f>
        <v>1</v>
      </c>
      <c r="N324" s="8" t="str">
        <f>IFERROR(__xludf.DUMMYFUNCTION("""COMPUTED_VALUE"""),"BH")</f>
        <v>BH</v>
      </c>
      <c r="O324" s="13">
        <f>IFERROR(__xludf.DUMMYFUNCTION("""COMPUTED_VALUE"""),250000.0)</f>
        <v>250000</v>
      </c>
      <c r="P324" s="12">
        <f>IFERROR(__xludf.DUMMYFUNCTION("""COMPUTED_VALUE"""),250000.0)</f>
        <v>250000</v>
      </c>
      <c r="Q324" s="8"/>
      <c r="R324" s="8">
        <f>IFERROR(__xludf.DUMMYFUNCTION("""COMPUTED_VALUE"""),0.0)</f>
        <v>0</v>
      </c>
      <c r="S324" s="12">
        <f>IFERROR(__xludf.DUMMYFUNCTION("""COMPUTED_VALUE"""),0.0)</f>
        <v>0</v>
      </c>
      <c r="T324" s="12">
        <f>IFERROR(__xludf.DUMMYFUNCTION("""COMPUTED_VALUE"""),250000.0)</f>
        <v>250000</v>
      </c>
      <c r="U324" s="13">
        <f>IFERROR(__xludf.DUMMYFUNCTION("""COMPUTED_VALUE"""),0.0)</f>
        <v>0</v>
      </c>
      <c r="V324" s="8"/>
      <c r="W324" s="8"/>
      <c r="X324" s="8">
        <f t="shared" si="1"/>
        <v>7</v>
      </c>
      <c r="AA324" s="10"/>
    </row>
    <row r="325">
      <c r="A325" s="8" t="str">
        <f>IFERROR(__xludf.DUMMYFUNCTION("""COMPUTED_VALUE"""),"10081/JL/UTM/0724")</f>
        <v>10081/JL/UTM/0724</v>
      </c>
      <c r="B325" s="11">
        <f>IFERROR(__xludf.DUMMYFUNCTION("""COMPUTED_VALUE"""),45476.642905092594)</f>
        <v>45476.64291</v>
      </c>
      <c r="C325" s="8" t="str">
        <f>IFERROR(__xludf.DUMMYFUNCTION("""COMPUTED_VALUE"""),"UMUM")</f>
        <v>UMUM</v>
      </c>
      <c r="D325" s="8" t="str">
        <f>IFERROR(__xludf.DUMMYFUNCTION("""COMPUTED_VALUE"""),"UMUM")</f>
        <v>UMUM</v>
      </c>
      <c r="E325" s="8" t="str">
        <f>IFERROR(__xludf.DUMMYFUNCTION("""COMPUTED_VALUE"""),"JUFRY")</f>
        <v>JUFRY</v>
      </c>
      <c r="F325" s="8"/>
      <c r="G325" s="8"/>
      <c r="H325" s="8"/>
      <c r="I325" s="8"/>
      <c r="J325" s="8" t="str">
        <f>IFERROR(__xludf.DUMMYFUNCTION("""COMPUTED_VALUE"""),"  ")</f>
        <v>  </v>
      </c>
      <c r="K325" s="8" t="str">
        <f>IFERROR(__xludf.DUMMYFUNCTION("""COMPUTED_VALUE"""),"706310")</f>
        <v>706310</v>
      </c>
      <c r="L325" s="8" t="str">
        <f>IFERROR(__xludf.DUMMYFUNCTION("""COMPUTED_VALUE"""),"DRAGON BRANKAS A2 LK")</f>
        <v>DRAGON BRANKAS A2 LK</v>
      </c>
      <c r="M325" s="12">
        <f>IFERROR(__xludf.DUMMYFUNCTION("""COMPUTED_VALUE"""),1.0)</f>
        <v>1</v>
      </c>
      <c r="N325" s="8" t="str">
        <f>IFERROR(__xludf.DUMMYFUNCTION("""COMPUTED_VALUE"""),"UNIT")</f>
        <v>UNIT</v>
      </c>
      <c r="O325" s="13">
        <f>IFERROR(__xludf.DUMMYFUNCTION("""COMPUTED_VALUE"""),5250000.0)</f>
        <v>5250000</v>
      </c>
      <c r="P325" s="12">
        <f>IFERROR(__xludf.DUMMYFUNCTION("""COMPUTED_VALUE"""),5000000.0)</f>
        <v>5000000</v>
      </c>
      <c r="Q325" s="8"/>
      <c r="R325" s="8">
        <f>IFERROR(__xludf.DUMMYFUNCTION("""COMPUTED_VALUE"""),0.0)</f>
        <v>0</v>
      </c>
      <c r="S325" s="12">
        <f>IFERROR(__xludf.DUMMYFUNCTION("""COMPUTED_VALUE"""),0.0)</f>
        <v>0</v>
      </c>
      <c r="T325" s="12">
        <f>IFERROR(__xludf.DUMMYFUNCTION("""COMPUTED_VALUE"""),5250000.0)</f>
        <v>5250000</v>
      </c>
      <c r="U325" s="13">
        <f>IFERROR(__xludf.DUMMYFUNCTION("""COMPUTED_VALUE"""),4.7619047619)</f>
        <v>4.761904762</v>
      </c>
      <c r="V325" s="8"/>
      <c r="W325" s="8"/>
      <c r="X325" s="8">
        <f t="shared" si="1"/>
        <v>7</v>
      </c>
      <c r="AA325" s="10"/>
    </row>
    <row r="326">
      <c r="A326" s="8" t="str">
        <f>IFERROR(__xludf.DUMMYFUNCTION("""COMPUTED_VALUE"""),"10082/JL/UTM/0724")</f>
        <v>10082/JL/UTM/0724</v>
      </c>
      <c r="B326" s="11">
        <f>IFERROR(__xludf.DUMMYFUNCTION("""COMPUTED_VALUE"""),45476.643784722226)</f>
        <v>45476.64378</v>
      </c>
      <c r="C326" s="8" t="str">
        <f>IFERROR(__xludf.DUMMYFUNCTION("""COMPUTED_VALUE"""),"UMUM")</f>
        <v>UMUM</v>
      </c>
      <c r="D326" s="8" t="str">
        <f>IFERROR(__xludf.DUMMYFUNCTION("""COMPUTED_VALUE"""),"UMUM")</f>
        <v>UMUM</v>
      </c>
      <c r="E326" s="8" t="str">
        <f>IFERROR(__xludf.DUMMYFUNCTION("""COMPUTED_VALUE"""),"JUFRY")</f>
        <v>JUFRY</v>
      </c>
      <c r="F326" s="8"/>
      <c r="G326" s="8"/>
      <c r="H326" s="8"/>
      <c r="I326" s="8"/>
      <c r="J326" s="8" t="str">
        <f>IFERROR(__xludf.DUMMYFUNCTION("""COMPUTED_VALUE"""),"  ")</f>
        <v>  </v>
      </c>
      <c r="K326" s="8" t="str">
        <f>IFERROR(__xludf.DUMMYFUNCTION("""COMPUTED_VALUE"""),"706310")</f>
        <v>706310</v>
      </c>
      <c r="L326" s="8" t="str">
        <f>IFERROR(__xludf.DUMMYFUNCTION("""COMPUTED_VALUE"""),"DRAGON BRANKAS A2 LK")</f>
        <v>DRAGON BRANKAS A2 LK</v>
      </c>
      <c r="M326" s="12">
        <f>IFERROR(__xludf.DUMMYFUNCTION("""COMPUTED_VALUE"""),1.0)</f>
        <v>1</v>
      </c>
      <c r="N326" s="8" t="str">
        <f>IFERROR(__xludf.DUMMYFUNCTION("""COMPUTED_VALUE"""),"UNIT")</f>
        <v>UNIT</v>
      </c>
      <c r="O326" s="13">
        <f>IFERROR(__xludf.DUMMYFUNCTION("""COMPUTED_VALUE"""),5250000.0)</f>
        <v>5250000</v>
      </c>
      <c r="P326" s="12">
        <f>IFERROR(__xludf.DUMMYFUNCTION("""COMPUTED_VALUE"""),5000000.0)</f>
        <v>5000000</v>
      </c>
      <c r="Q326" s="8"/>
      <c r="R326" s="8">
        <f>IFERROR(__xludf.DUMMYFUNCTION("""COMPUTED_VALUE"""),0.0)</f>
        <v>0</v>
      </c>
      <c r="S326" s="12">
        <f>IFERROR(__xludf.DUMMYFUNCTION("""COMPUTED_VALUE"""),0.0)</f>
        <v>0</v>
      </c>
      <c r="T326" s="12">
        <f>IFERROR(__xludf.DUMMYFUNCTION("""COMPUTED_VALUE"""),5250000.0)</f>
        <v>5250000</v>
      </c>
      <c r="U326" s="13">
        <f>IFERROR(__xludf.DUMMYFUNCTION("""COMPUTED_VALUE"""),4.7619047619)</f>
        <v>4.761904762</v>
      </c>
      <c r="V326" s="8"/>
      <c r="W326" s="8"/>
      <c r="X326" s="8">
        <f t="shared" si="1"/>
        <v>7</v>
      </c>
      <c r="AA326" s="10"/>
    </row>
    <row r="327">
      <c r="A327" s="8" t="str">
        <f>IFERROR(__xludf.DUMMYFUNCTION("""COMPUTED_VALUE"""),"10083/JL/UTM/0724")</f>
        <v>10083/JL/UTM/0724</v>
      </c>
      <c r="B327" s="11">
        <f>IFERROR(__xludf.DUMMYFUNCTION("""COMPUTED_VALUE"""),45476.64534722222)</f>
        <v>45476.64535</v>
      </c>
      <c r="C327" s="8" t="str">
        <f>IFERROR(__xludf.DUMMYFUNCTION("""COMPUTED_VALUE"""),"PL0923")</f>
        <v>PL0923</v>
      </c>
      <c r="D327" s="8" t="str">
        <f>IFERROR(__xludf.DUMMYFUNCTION("""COMPUTED_VALUE"""),"BAPPEDA PROV. /NURHAYATI")</f>
        <v>BAPPEDA PROV. /NURHAYATI</v>
      </c>
      <c r="E327" s="8" t="str">
        <f>IFERROR(__xludf.DUMMYFUNCTION("""COMPUTED_VALUE"""),"JUFRY")</f>
        <v>JUFRY</v>
      </c>
      <c r="F327" s="8"/>
      <c r="G327" s="8"/>
      <c r="H327" s="8"/>
      <c r="I327" s="8"/>
      <c r="J327" s="8" t="str">
        <f>IFERROR(__xludf.DUMMYFUNCTION("""COMPUTED_VALUE"""),"PALU  ")</f>
        <v>PALU  </v>
      </c>
      <c r="K327" s="8" t="str">
        <f>IFERROR(__xludf.DUMMYFUNCTION("""COMPUTED_VALUE"""),"20383")</f>
        <v>20383</v>
      </c>
      <c r="L327" s="8" t="str">
        <f>IFERROR(__xludf.DUMMYFUNCTION("""COMPUTED_VALUE"""),"BROTHER PITA MESIN KETIK LISTRIK 1030")</f>
        <v>BROTHER PITA MESIN KETIK LISTRIK 1030</v>
      </c>
      <c r="M327" s="12">
        <f>IFERROR(__xludf.DUMMYFUNCTION("""COMPUTED_VALUE"""),3.0)</f>
        <v>3</v>
      </c>
      <c r="N327" s="8" t="str">
        <f>IFERROR(__xludf.DUMMYFUNCTION("""COMPUTED_VALUE"""),"PCS")</f>
        <v>PCS</v>
      </c>
      <c r="O327" s="13">
        <f>IFERROR(__xludf.DUMMYFUNCTION("""COMPUTED_VALUE"""),50000.0)</f>
        <v>50000</v>
      </c>
      <c r="P327" s="12">
        <f>IFERROR(__xludf.DUMMYFUNCTION("""COMPUTED_VALUE"""),0.0)</f>
        <v>0</v>
      </c>
      <c r="Q327" s="8"/>
      <c r="R327" s="8">
        <f>IFERROR(__xludf.DUMMYFUNCTION("""COMPUTED_VALUE"""),0.0)</f>
        <v>0</v>
      </c>
      <c r="S327" s="12">
        <f>IFERROR(__xludf.DUMMYFUNCTION("""COMPUTED_VALUE"""),300000.0)</f>
        <v>300000</v>
      </c>
      <c r="T327" s="12">
        <f>IFERROR(__xludf.DUMMYFUNCTION("""COMPUTED_VALUE"""),150000.0)</f>
        <v>150000</v>
      </c>
      <c r="U327" s="13">
        <f>IFERROR(__xludf.DUMMYFUNCTION("""COMPUTED_VALUE"""),0.0)</f>
        <v>0</v>
      </c>
      <c r="V327" s="8"/>
      <c r="W327" s="8"/>
      <c r="X327" s="8">
        <f t="shared" si="1"/>
        <v>7</v>
      </c>
      <c r="AA327" s="10"/>
    </row>
    <row r="328">
      <c r="A328" s="8" t="str">
        <f>IFERROR(__xludf.DUMMYFUNCTION("""COMPUTED_VALUE"""),"10083/JL/UTM/0724")</f>
        <v>10083/JL/UTM/0724</v>
      </c>
      <c r="B328" s="11">
        <f>IFERROR(__xludf.DUMMYFUNCTION("""COMPUTED_VALUE"""),45476.64534722222)</f>
        <v>45476.64535</v>
      </c>
      <c r="C328" s="8" t="str">
        <f>IFERROR(__xludf.DUMMYFUNCTION("""COMPUTED_VALUE"""),"PL0923")</f>
        <v>PL0923</v>
      </c>
      <c r="D328" s="8" t="str">
        <f>IFERROR(__xludf.DUMMYFUNCTION("""COMPUTED_VALUE"""),"BAPPEDA PROV. /NURHAYATI")</f>
        <v>BAPPEDA PROV. /NURHAYATI</v>
      </c>
      <c r="E328" s="8" t="str">
        <f>IFERROR(__xludf.DUMMYFUNCTION("""COMPUTED_VALUE"""),"JUFRY")</f>
        <v>JUFRY</v>
      </c>
      <c r="F328" s="8"/>
      <c r="G328" s="8"/>
      <c r="H328" s="8"/>
      <c r="I328" s="8"/>
      <c r="J328" s="8" t="str">
        <f>IFERROR(__xludf.DUMMYFUNCTION("""COMPUTED_VALUE"""),"PALU  ")</f>
        <v>PALU  </v>
      </c>
      <c r="K328" s="8" t="str">
        <f>IFERROR(__xludf.DUMMYFUNCTION("""COMPUTED_VALUE"""),"10231")</f>
        <v>10231</v>
      </c>
      <c r="L328" s="8" t="str">
        <f>IFERROR(__xludf.DUMMYFUNCTION("""COMPUTED_VALUE"""),"FULL MARK LIFT-OFF F-583 (GR 143/145)")</f>
        <v>FULL MARK LIFT-OFF F-583 (GR 143/145)</v>
      </c>
      <c r="M328" s="12">
        <f>IFERROR(__xludf.DUMMYFUNCTION("""COMPUTED_VALUE"""),6.0)</f>
        <v>6</v>
      </c>
      <c r="N328" s="8" t="str">
        <f>IFERROR(__xludf.DUMMYFUNCTION("""COMPUTED_VALUE"""),"BH")</f>
        <v>BH</v>
      </c>
      <c r="O328" s="13">
        <f>IFERROR(__xludf.DUMMYFUNCTION("""COMPUTED_VALUE"""),25000.0)</f>
        <v>25000</v>
      </c>
      <c r="P328" s="12">
        <f>IFERROR(__xludf.DUMMYFUNCTION("""COMPUTED_VALUE"""),0.0)</f>
        <v>0</v>
      </c>
      <c r="Q328" s="8"/>
      <c r="R328" s="8">
        <f>IFERROR(__xludf.DUMMYFUNCTION("""COMPUTED_VALUE"""),0.0)</f>
        <v>0</v>
      </c>
      <c r="S328" s="12">
        <f>IFERROR(__xludf.DUMMYFUNCTION("""COMPUTED_VALUE"""),300000.0)</f>
        <v>300000</v>
      </c>
      <c r="T328" s="12">
        <f>IFERROR(__xludf.DUMMYFUNCTION("""COMPUTED_VALUE"""),150000.0)</f>
        <v>150000</v>
      </c>
      <c r="U328" s="13">
        <f>IFERROR(__xludf.DUMMYFUNCTION("""COMPUTED_VALUE"""),0.0)</f>
        <v>0</v>
      </c>
      <c r="V328" s="8"/>
      <c r="W328" s="8"/>
      <c r="X328" s="8">
        <f t="shared" si="1"/>
        <v>7</v>
      </c>
      <c r="AA328" s="10"/>
    </row>
    <row r="329">
      <c r="A329" s="8" t="str">
        <f>IFERROR(__xludf.DUMMYFUNCTION("""COMPUTED_VALUE"""),"10084/JL/UTM/0724")</f>
        <v>10084/JL/UTM/0724</v>
      </c>
      <c r="B329" s="11">
        <f>IFERROR(__xludf.DUMMYFUNCTION("""COMPUTED_VALUE"""),45476.64643518519)</f>
        <v>45476.64644</v>
      </c>
      <c r="C329" s="8" t="str">
        <f>IFERROR(__xludf.DUMMYFUNCTION("""COMPUTED_VALUE"""),"193")</f>
        <v>193</v>
      </c>
      <c r="D329" s="8" t="str">
        <f>IFERROR(__xludf.DUMMYFUNCTION("""COMPUTED_VALUE"""),"BPS SIGI (PAK JEFRY)")</f>
        <v>BPS SIGI (PAK JEFRY)</v>
      </c>
      <c r="E329" s="8" t="str">
        <f>IFERROR(__xludf.DUMMYFUNCTION("""COMPUTED_VALUE"""),"JUFRY")</f>
        <v>JUFRY</v>
      </c>
      <c r="F329" s="8"/>
      <c r="G329" s="8"/>
      <c r="H329" s="8"/>
      <c r="I329" s="8"/>
      <c r="J329" s="8" t="str">
        <f>IFERROR(__xludf.DUMMYFUNCTION("""COMPUTED_VALUE"""),"  ")</f>
        <v>  </v>
      </c>
      <c r="K329" s="8" t="str">
        <f>IFERROR(__xludf.DUMMYFUNCTION("""COMPUTED_VALUE"""),"40599")</f>
        <v>40599</v>
      </c>
      <c r="L329" s="8" t="str">
        <f>IFERROR(__xludf.DUMMYFUNCTION("""COMPUTED_VALUE"""),"DAHUA CAMERA INDOOR HDW1000RP-S3")</f>
        <v>DAHUA CAMERA INDOOR HDW1000RP-S3</v>
      </c>
      <c r="M329" s="12">
        <f>IFERROR(__xludf.DUMMYFUNCTION("""COMPUTED_VALUE"""),1.0)</f>
        <v>1</v>
      </c>
      <c r="N329" s="8" t="str">
        <f>IFERROR(__xludf.DUMMYFUNCTION("""COMPUTED_VALUE"""),"BH")</f>
        <v>BH</v>
      </c>
      <c r="O329" s="13">
        <f>IFERROR(__xludf.DUMMYFUNCTION("""COMPUTED_VALUE"""),450000.0)</f>
        <v>450000</v>
      </c>
      <c r="P329" s="12">
        <f>IFERROR(__xludf.DUMMYFUNCTION("""COMPUTED_VALUE"""),0.0)</f>
        <v>0</v>
      </c>
      <c r="Q329" s="8"/>
      <c r="R329" s="8">
        <f>IFERROR(__xludf.DUMMYFUNCTION("""COMPUTED_VALUE"""),0.0)</f>
        <v>0</v>
      </c>
      <c r="S329" s="12">
        <f>IFERROR(__xludf.DUMMYFUNCTION("""COMPUTED_VALUE"""),450000.0)</f>
        <v>450000</v>
      </c>
      <c r="T329" s="12">
        <f>IFERROR(__xludf.DUMMYFUNCTION("""COMPUTED_VALUE"""),450000.0)</f>
        <v>450000</v>
      </c>
      <c r="U329" s="13">
        <f>IFERROR(__xludf.DUMMYFUNCTION("""COMPUTED_VALUE"""),0.0)</f>
        <v>0</v>
      </c>
      <c r="V329" s="8"/>
      <c r="W329" s="8"/>
      <c r="X329" s="8">
        <f t="shared" si="1"/>
        <v>7</v>
      </c>
      <c r="AA329" s="10"/>
    </row>
    <row r="330">
      <c r="A330" s="8"/>
      <c r="B330" s="11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12"/>
      <c r="N330" s="8"/>
      <c r="O330" s="13"/>
      <c r="P330" s="12"/>
      <c r="Q330" s="8"/>
      <c r="R330" s="8"/>
      <c r="S330" s="12"/>
      <c r="T330" s="12"/>
      <c r="U330" s="13"/>
      <c r="V330" s="8"/>
      <c r="W330" s="8"/>
      <c r="AA330" s="10"/>
    </row>
    <row r="331">
      <c r="A331" s="8"/>
      <c r="B331" s="11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12"/>
      <c r="N331" s="8"/>
      <c r="O331" s="13"/>
      <c r="P331" s="12"/>
      <c r="Q331" s="8"/>
      <c r="R331" s="8"/>
      <c r="S331" s="12"/>
      <c r="T331" s="12"/>
      <c r="U331" s="13"/>
      <c r="V331" s="8"/>
      <c r="W331" s="8"/>
      <c r="AA331" s="10"/>
    </row>
    <row r="332">
      <c r="A332" s="8"/>
      <c r="B332" s="11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12"/>
      <c r="N332" s="8"/>
      <c r="O332" s="13"/>
      <c r="P332" s="12"/>
      <c r="Q332" s="8"/>
      <c r="R332" s="8"/>
      <c r="S332" s="12"/>
      <c r="T332" s="12"/>
      <c r="U332" s="13"/>
      <c r="V332" s="8"/>
      <c r="W332" s="8"/>
      <c r="AA332" s="10"/>
    </row>
    <row r="333">
      <c r="A333" s="8"/>
      <c r="B333" s="11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12"/>
      <c r="N333" s="8"/>
      <c r="O333" s="13"/>
      <c r="P333" s="12"/>
      <c r="Q333" s="8"/>
      <c r="R333" s="8"/>
      <c r="S333" s="12"/>
      <c r="T333" s="12"/>
      <c r="U333" s="13"/>
      <c r="V333" s="8"/>
      <c r="W333" s="8"/>
      <c r="AA333" s="10"/>
    </row>
    <row r="334">
      <c r="A334" s="8"/>
      <c r="B334" s="11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12"/>
      <c r="N334" s="8"/>
      <c r="O334" s="13"/>
      <c r="P334" s="12"/>
      <c r="Q334" s="8"/>
      <c r="R334" s="8"/>
      <c r="S334" s="12"/>
      <c r="T334" s="12"/>
      <c r="U334" s="13"/>
      <c r="V334" s="8"/>
      <c r="W334" s="8"/>
      <c r="AA334" s="10"/>
    </row>
    <row r="335">
      <c r="A335" s="8"/>
      <c r="B335" s="11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12"/>
      <c r="N335" s="8"/>
      <c r="O335" s="13"/>
      <c r="P335" s="12"/>
      <c r="Q335" s="8"/>
      <c r="R335" s="8"/>
      <c r="S335" s="12"/>
      <c r="T335" s="12"/>
      <c r="U335" s="13"/>
      <c r="V335" s="8"/>
      <c r="W335" s="8"/>
      <c r="AA335" s="10"/>
    </row>
    <row r="336">
      <c r="A336" s="8"/>
      <c r="B336" s="11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12"/>
      <c r="N336" s="8"/>
      <c r="O336" s="13"/>
      <c r="P336" s="12"/>
      <c r="Q336" s="8"/>
      <c r="R336" s="8"/>
      <c r="S336" s="12"/>
      <c r="T336" s="12"/>
      <c r="U336" s="13"/>
      <c r="V336" s="8"/>
      <c r="W336" s="8"/>
      <c r="AA336" s="10"/>
    </row>
    <row r="337">
      <c r="A337" s="8"/>
      <c r="B337" s="11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12"/>
      <c r="N337" s="8"/>
      <c r="O337" s="13"/>
      <c r="P337" s="12"/>
      <c r="Q337" s="8"/>
      <c r="R337" s="8"/>
      <c r="S337" s="12"/>
      <c r="T337" s="12"/>
      <c r="U337" s="13"/>
      <c r="V337" s="8"/>
      <c r="W337" s="8"/>
      <c r="AA337" s="10"/>
    </row>
    <row r="338">
      <c r="A338" s="8"/>
      <c r="B338" s="11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12"/>
      <c r="N338" s="8"/>
      <c r="O338" s="13"/>
      <c r="P338" s="12"/>
      <c r="Q338" s="8"/>
      <c r="R338" s="8"/>
      <c r="S338" s="12"/>
      <c r="T338" s="12"/>
      <c r="U338" s="13"/>
      <c r="V338" s="8"/>
      <c r="W338" s="8"/>
      <c r="AA338" s="10"/>
    </row>
    <row r="339">
      <c r="A339" s="8"/>
      <c r="B339" s="11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12"/>
      <c r="N339" s="8"/>
      <c r="O339" s="13"/>
      <c r="P339" s="12"/>
      <c r="Q339" s="8"/>
      <c r="R339" s="8"/>
      <c r="S339" s="12"/>
      <c r="T339" s="12"/>
      <c r="U339" s="13"/>
      <c r="V339" s="8"/>
      <c r="W339" s="8"/>
      <c r="AA339" s="10"/>
    </row>
    <row r="340">
      <c r="A340" s="8"/>
      <c r="B340" s="11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12"/>
      <c r="N340" s="8"/>
      <c r="O340" s="13"/>
      <c r="P340" s="12"/>
      <c r="Q340" s="8"/>
      <c r="R340" s="8"/>
      <c r="S340" s="12"/>
      <c r="T340" s="12"/>
      <c r="U340" s="13"/>
      <c r="V340" s="8"/>
      <c r="W340" s="8"/>
      <c r="AA340" s="10"/>
    </row>
    <row r="341">
      <c r="A341" s="8"/>
      <c r="B341" s="11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12"/>
      <c r="N341" s="8"/>
      <c r="O341" s="13"/>
      <c r="P341" s="12"/>
      <c r="Q341" s="8"/>
      <c r="R341" s="8"/>
      <c r="S341" s="12"/>
      <c r="T341" s="12"/>
      <c r="U341" s="13"/>
      <c r="V341" s="8"/>
      <c r="W341" s="8"/>
      <c r="AA341" s="10"/>
    </row>
    <row r="342">
      <c r="A342" s="8"/>
      <c r="B342" s="11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12"/>
      <c r="N342" s="8"/>
      <c r="O342" s="13"/>
      <c r="P342" s="12"/>
      <c r="Q342" s="8"/>
      <c r="R342" s="8"/>
      <c r="S342" s="12"/>
      <c r="T342" s="12"/>
      <c r="U342" s="13"/>
      <c r="V342" s="8"/>
      <c r="W342" s="8"/>
      <c r="AA342" s="10"/>
    </row>
    <row r="343">
      <c r="A343" s="8"/>
      <c r="B343" s="11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12"/>
      <c r="N343" s="8"/>
      <c r="O343" s="13"/>
      <c r="P343" s="12"/>
      <c r="Q343" s="8"/>
      <c r="R343" s="8"/>
      <c r="S343" s="12"/>
      <c r="T343" s="12"/>
      <c r="U343" s="13"/>
      <c r="V343" s="8"/>
      <c r="W343" s="8"/>
      <c r="AA343" s="10"/>
    </row>
    <row r="344">
      <c r="A344" s="8"/>
      <c r="B344" s="11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12"/>
      <c r="N344" s="8"/>
      <c r="O344" s="13"/>
      <c r="P344" s="12"/>
      <c r="Q344" s="8"/>
      <c r="R344" s="8"/>
      <c r="S344" s="12"/>
      <c r="T344" s="12"/>
      <c r="U344" s="13"/>
      <c r="V344" s="8"/>
      <c r="W344" s="8"/>
      <c r="AA344" s="10"/>
    </row>
    <row r="345">
      <c r="A345" s="8"/>
      <c r="B345" s="11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12"/>
      <c r="N345" s="8"/>
      <c r="O345" s="13"/>
      <c r="P345" s="12"/>
      <c r="Q345" s="8"/>
      <c r="R345" s="8"/>
      <c r="S345" s="12"/>
      <c r="T345" s="12"/>
      <c r="U345" s="13"/>
      <c r="V345" s="8"/>
      <c r="W345" s="8"/>
      <c r="AA345" s="10"/>
    </row>
    <row r="346">
      <c r="A346" s="8"/>
      <c r="B346" s="11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12"/>
      <c r="N346" s="8"/>
      <c r="O346" s="13"/>
      <c r="P346" s="12"/>
      <c r="Q346" s="8"/>
      <c r="R346" s="8"/>
      <c r="S346" s="12"/>
      <c r="T346" s="12"/>
      <c r="U346" s="13"/>
      <c r="V346" s="8"/>
      <c r="W346" s="8"/>
      <c r="AA346" s="10"/>
    </row>
    <row r="347">
      <c r="A347" s="8"/>
      <c r="B347" s="11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12"/>
      <c r="N347" s="8"/>
      <c r="O347" s="13"/>
      <c r="P347" s="12"/>
      <c r="Q347" s="8"/>
      <c r="R347" s="8"/>
      <c r="S347" s="12"/>
      <c r="T347" s="12"/>
      <c r="U347" s="13"/>
      <c r="V347" s="8"/>
      <c r="W347" s="8"/>
      <c r="AA347" s="10"/>
    </row>
    <row r="348">
      <c r="A348" s="8"/>
      <c r="B348" s="11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12"/>
      <c r="N348" s="8"/>
      <c r="O348" s="13"/>
      <c r="P348" s="12"/>
      <c r="Q348" s="8"/>
      <c r="R348" s="8"/>
      <c r="S348" s="12"/>
      <c r="T348" s="12"/>
      <c r="U348" s="13"/>
      <c r="V348" s="8"/>
      <c r="W348" s="8"/>
      <c r="AA348" s="10"/>
    </row>
    <row r="349">
      <c r="A349" s="8"/>
      <c r="B349" s="11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12"/>
      <c r="N349" s="8"/>
      <c r="O349" s="13"/>
      <c r="P349" s="12"/>
      <c r="Q349" s="8"/>
      <c r="R349" s="8"/>
      <c r="S349" s="12"/>
      <c r="T349" s="12"/>
      <c r="U349" s="13"/>
      <c r="V349" s="8"/>
      <c r="W349" s="8"/>
      <c r="AA349" s="10"/>
    </row>
    <row r="350">
      <c r="A350" s="8"/>
      <c r="B350" s="11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12"/>
      <c r="N350" s="8"/>
      <c r="O350" s="13"/>
      <c r="P350" s="12"/>
      <c r="Q350" s="8"/>
      <c r="R350" s="8"/>
      <c r="S350" s="12"/>
      <c r="T350" s="12"/>
      <c r="U350" s="13"/>
      <c r="V350" s="8"/>
      <c r="W350" s="8"/>
      <c r="AA350" s="10"/>
    </row>
    <row r="351">
      <c r="A351" s="8"/>
      <c r="B351" s="11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12"/>
      <c r="N351" s="8"/>
      <c r="O351" s="13"/>
      <c r="P351" s="12"/>
      <c r="Q351" s="8"/>
      <c r="R351" s="8"/>
      <c r="S351" s="12"/>
      <c r="T351" s="12"/>
      <c r="U351" s="13"/>
      <c r="V351" s="8"/>
      <c r="W351" s="8"/>
      <c r="AA351" s="10"/>
    </row>
    <row r="352">
      <c r="A352" s="8"/>
      <c r="B352" s="11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12"/>
      <c r="N352" s="8"/>
      <c r="O352" s="13"/>
      <c r="P352" s="12"/>
      <c r="Q352" s="8"/>
      <c r="R352" s="8"/>
      <c r="S352" s="12"/>
      <c r="T352" s="12"/>
      <c r="U352" s="13"/>
      <c r="V352" s="8"/>
      <c r="W352" s="8"/>
      <c r="AA352" s="10"/>
    </row>
    <row r="353">
      <c r="A353" s="8"/>
      <c r="B353" s="11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12"/>
      <c r="N353" s="8"/>
      <c r="O353" s="13"/>
      <c r="P353" s="12"/>
      <c r="Q353" s="8"/>
      <c r="R353" s="8"/>
      <c r="S353" s="12"/>
      <c r="T353" s="12"/>
      <c r="U353" s="13"/>
      <c r="V353" s="8"/>
      <c r="W353" s="8"/>
      <c r="AA353" s="10"/>
    </row>
    <row r="354">
      <c r="A354" s="8"/>
      <c r="B354" s="11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12"/>
      <c r="N354" s="8"/>
      <c r="O354" s="13"/>
      <c r="P354" s="12"/>
      <c r="Q354" s="8"/>
      <c r="R354" s="8"/>
      <c r="S354" s="12"/>
      <c r="T354" s="12"/>
      <c r="U354" s="13"/>
      <c r="V354" s="8"/>
      <c r="W354" s="8"/>
      <c r="AA354" s="10"/>
    </row>
    <row r="355">
      <c r="A355" s="8"/>
      <c r="B355" s="11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12"/>
      <c r="N355" s="8"/>
      <c r="O355" s="13"/>
      <c r="P355" s="12"/>
      <c r="Q355" s="8"/>
      <c r="R355" s="8"/>
      <c r="S355" s="12"/>
      <c r="T355" s="12"/>
      <c r="U355" s="13"/>
      <c r="V355" s="8"/>
      <c r="W355" s="8"/>
      <c r="AA355" s="10"/>
    </row>
    <row r="356">
      <c r="A356" s="8"/>
      <c r="B356" s="11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12"/>
      <c r="N356" s="8"/>
      <c r="O356" s="13"/>
      <c r="P356" s="12"/>
      <c r="Q356" s="8"/>
      <c r="R356" s="8"/>
      <c r="S356" s="12"/>
      <c r="T356" s="12"/>
      <c r="U356" s="13"/>
      <c r="V356" s="8"/>
      <c r="W356" s="8"/>
      <c r="AA356" s="10"/>
    </row>
    <row r="357">
      <c r="A357" s="8"/>
      <c r="B357" s="11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12"/>
      <c r="N357" s="8"/>
      <c r="O357" s="13"/>
      <c r="P357" s="12"/>
      <c r="Q357" s="8"/>
      <c r="R357" s="8"/>
      <c r="S357" s="12"/>
      <c r="T357" s="12"/>
      <c r="U357" s="13"/>
      <c r="V357" s="8"/>
      <c r="W357" s="8"/>
      <c r="AA357" s="10"/>
    </row>
    <row r="358">
      <c r="A358" s="8"/>
      <c r="B358" s="11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12"/>
      <c r="N358" s="8"/>
      <c r="O358" s="13"/>
      <c r="P358" s="12"/>
      <c r="Q358" s="8"/>
      <c r="R358" s="8"/>
      <c r="S358" s="12"/>
      <c r="T358" s="12"/>
      <c r="U358" s="13"/>
      <c r="V358" s="8"/>
      <c r="W358" s="8"/>
      <c r="AA358" s="10"/>
    </row>
    <row r="359">
      <c r="A359" s="8"/>
      <c r="B359" s="11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12"/>
      <c r="N359" s="8"/>
      <c r="O359" s="13"/>
      <c r="P359" s="12"/>
      <c r="Q359" s="8"/>
      <c r="R359" s="8"/>
      <c r="S359" s="12"/>
      <c r="T359" s="12"/>
      <c r="U359" s="13"/>
      <c r="V359" s="8"/>
      <c r="W359" s="8"/>
      <c r="AA359" s="10"/>
    </row>
    <row r="360">
      <c r="A360" s="8"/>
      <c r="B360" s="11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12"/>
      <c r="N360" s="8"/>
      <c r="O360" s="13"/>
      <c r="P360" s="12"/>
      <c r="Q360" s="8"/>
      <c r="R360" s="8"/>
      <c r="S360" s="12"/>
      <c r="T360" s="12"/>
      <c r="U360" s="13"/>
      <c r="V360" s="8"/>
      <c r="W360" s="8"/>
      <c r="AA360" s="10"/>
    </row>
    <row r="361">
      <c r="A361" s="8"/>
      <c r="B361" s="11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12"/>
      <c r="N361" s="8"/>
      <c r="O361" s="13"/>
      <c r="P361" s="12"/>
      <c r="Q361" s="8"/>
      <c r="R361" s="8"/>
      <c r="S361" s="12"/>
      <c r="T361" s="12"/>
      <c r="U361" s="13"/>
      <c r="V361" s="8"/>
      <c r="W361" s="8"/>
      <c r="AA361" s="10"/>
    </row>
    <row r="362">
      <c r="A362" s="8"/>
      <c r="B362" s="11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12"/>
      <c r="N362" s="8"/>
      <c r="O362" s="13"/>
      <c r="P362" s="12"/>
      <c r="Q362" s="8"/>
      <c r="R362" s="8"/>
      <c r="S362" s="12"/>
      <c r="T362" s="12"/>
      <c r="U362" s="13"/>
      <c r="V362" s="8"/>
      <c r="W362" s="8"/>
      <c r="AA362" s="10"/>
    </row>
    <row r="363">
      <c r="A363" s="8"/>
      <c r="B363" s="11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12"/>
      <c r="N363" s="8"/>
      <c r="O363" s="13"/>
      <c r="P363" s="12"/>
      <c r="Q363" s="8"/>
      <c r="R363" s="8"/>
      <c r="S363" s="12"/>
      <c r="T363" s="12"/>
      <c r="U363" s="13"/>
      <c r="V363" s="8"/>
      <c r="W363" s="8"/>
      <c r="AA363" s="10"/>
    </row>
    <row r="364">
      <c r="A364" s="8"/>
      <c r="B364" s="11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12"/>
      <c r="N364" s="8"/>
      <c r="O364" s="13"/>
      <c r="P364" s="12"/>
      <c r="Q364" s="8"/>
      <c r="R364" s="8"/>
      <c r="S364" s="12"/>
      <c r="T364" s="12"/>
      <c r="U364" s="13"/>
      <c r="V364" s="8"/>
      <c r="W364" s="8"/>
      <c r="AA364" s="10"/>
    </row>
    <row r="365">
      <c r="A365" s="8"/>
      <c r="B365" s="11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12"/>
      <c r="N365" s="8"/>
      <c r="O365" s="13"/>
      <c r="P365" s="12"/>
      <c r="Q365" s="8"/>
      <c r="R365" s="8"/>
      <c r="S365" s="12"/>
      <c r="T365" s="12"/>
      <c r="U365" s="13"/>
      <c r="V365" s="8"/>
      <c r="W365" s="8"/>
      <c r="AA365" s="10"/>
    </row>
    <row r="366">
      <c r="A366" s="8"/>
      <c r="B366" s="11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12"/>
      <c r="N366" s="8"/>
      <c r="O366" s="13"/>
      <c r="P366" s="12"/>
      <c r="Q366" s="8"/>
      <c r="R366" s="8"/>
      <c r="S366" s="12"/>
      <c r="T366" s="12"/>
      <c r="U366" s="13"/>
      <c r="V366" s="8"/>
      <c r="W366" s="8"/>
      <c r="AA366" s="10"/>
    </row>
    <row r="367">
      <c r="A367" s="8"/>
      <c r="B367" s="11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12"/>
      <c r="N367" s="8"/>
      <c r="O367" s="13"/>
      <c r="P367" s="12"/>
      <c r="Q367" s="8"/>
      <c r="R367" s="8"/>
      <c r="S367" s="12"/>
      <c r="T367" s="12"/>
      <c r="U367" s="13"/>
      <c r="V367" s="8"/>
      <c r="W367" s="8"/>
      <c r="AA367" s="10"/>
    </row>
    <row r="368">
      <c r="A368" s="8"/>
      <c r="B368" s="11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12"/>
      <c r="N368" s="8"/>
      <c r="O368" s="13"/>
      <c r="P368" s="12"/>
      <c r="Q368" s="8"/>
      <c r="R368" s="8"/>
      <c r="S368" s="12"/>
      <c r="T368" s="12"/>
      <c r="U368" s="13"/>
      <c r="V368" s="8"/>
      <c r="W368" s="8"/>
      <c r="AA368" s="10"/>
    </row>
    <row r="369">
      <c r="A369" s="8"/>
      <c r="B369" s="11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12"/>
      <c r="N369" s="8"/>
      <c r="O369" s="13"/>
      <c r="P369" s="12"/>
      <c r="Q369" s="8"/>
      <c r="R369" s="8"/>
      <c r="S369" s="12"/>
      <c r="T369" s="12"/>
      <c r="U369" s="13"/>
      <c r="V369" s="8"/>
      <c r="W369" s="8"/>
      <c r="AA369" s="10"/>
    </row>
    <row r="370">
      <c r="A370" s="8"/>
      <c r="B370" s="11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12"/>
      <c r="N370" s="8"/>
      <c r="O370" s="13"/>
      <c r="P370" s="12"/>
      <c r="Q370" s="8"/>
      <c r="R370" s="8"/>
      <c r="S370" s="12"/>
      <c r="T370" s="12"/>
      <c r="U370" s="13"/>
      <c r="V370" s="8"/>
      <c r="W370" s="8"/>
      <c r="AA370" s="10"/>
    </row>
    <row r="371">
      <c r="A371" s="8"/>
      <c r="B371" s="11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12"/>
      <c r="N371" s="8"/>
      <c r="O371" s="13"/>
      <c r="P371" s="12"/>
      <c r="Q371" s="8"/>
      <c r="R371" s="8"/>
      <c r="S371" s="12"/>
      <c r="T371" s="12"/>
      <c r="U371" s="13"/>
      <c r="V371" s="8"/>
      <c r="W371" s="8"/>
      <c r="AA371" s="10"/>
    </row>
    <row r="372">
      <c r="A372" s="8"/>
      <c r="B372" s="11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12"/>
      <c r="N372" s="8"/>
      <c r="O372" s="13"/>
      <c r="P372" s="12"/>
      <c r="Q372" s="8"/>
      <c r="R372" s="8"/>
      <c r="S372" s="12"/>
      <c r="T372" s="12"/>
      <c r="U372" s="13"/>
      <c r="V372" s="8"/>
      <c r="W372" s="8"/>
      <c r="AA372" s="10"/>
    </row>
    <row r="373">
      <c r="A373" s="8"/>
      <c r="B373" s="11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12"/>
      <c r="N373" s="8"/>
      <c r="O373" s="13"/>
      <c r="P373" s="12"/>
      <c r="Q373" s="8"/>
      <c r="R373" s="8"/>
      <c r="S373" s="12"/>
      <c r="T373" s="12"/>
      <c r="U373" s="13"/>
      <c r="V373" s="8"/>
      <c r="W373" s="8"/>
      <c r="AA373" s="10"/>
    </row>
    <row r="374">
      <c r="A374" s="8"/>
      <c r="B374" s="11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12"/>
      <c r="N374" s="8"/>
      <c r="O374" s="13"/>
      <c r="P374" s="12"/>
      <c r="Q374" s="8"/>
      <c r="R374" s="8"/>
      <c r="S374" s="12"/>
      <c r="T374" s="12"/>
      <c r="U374" s="13"/>
      <c r="V374" s="8"/>
      <c r="W374" s="8"/>
      <c r="AA374" s="10"/>
    </row>
    <row r="375">
      <c r="A375" s="8"/>
      <c r="B375" s="11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12"/>
      <c r="N375" s="8"/>
      <c r="O375" s="13"/>
      <c r="P375" s="12"/>
      <c r="Q375" s="8"/>
      <c r="R375" s="8"/>
      <c r="S375" s="12"/>
      <c r="T375" s="12"/>
      <c r="U375" s="13"/>
      <c r="V375" s="8"/>
      <c r="W375" s="8"/>
      <c r="AA375" s="10"/>
    </row>
    <row r="376">
      <c r="A376" s="8"/>
      <c r="B376" s="11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12"/>
      <c r="N376" s="8"/>
      <c r="O376" s="13"/>
      <c r="P376" s="12"/>
      <c r="Q376" s="8"/>
      <c r="R376" s="8"/>
      <c r="S376" s="12"/>
      <c r="T376" s="12"/>
      <c r="U376" s="13"/>
      <c r="V376" s="8"/>
      <c r="W376" s="8"/>
      <c r="AA376" s="10"/>
    </row>
    <row r="377">
      <c r="A377" s="8"/>
      <c r="B377" s="11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12"/>
      <c r="N377" s="8"/>
      <c r="O377" s="13"/>
      <c r="P377" s="12"/>
      <c r="Q377" s="8"/>
      <c r="R377" s="8"/>
      <c r="S377" s="12"/>
      <c r="T377" s="12"/>
      <c r="U377" s="13"/>
      <c r="V377" s="8"/>
      <c r="W377" s="8"/>
      <c r="AA377" s="10"/>
    </row>
    <row r="378">
      <c r="A378" s="8"/>
      <c r="B378" s="11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12"/>
      <c r="N378" s="8"/>
      <c r="O378" s="13"/>
      <c r="P378" s="12"/>
      <c r="Q378" s="8"/>
      <c r="R378" s="8"/>
      <c r="S378" s="12"/>
      <c r="T378" s="12"/>
      <c r="U378" s="13"/>
      <c r="V378" s="8"/>
      <c r="W378" s="8"/>
      <c r="AA378" s="10"/>
    </row>
    <row r="379">
      <c r="A379" s="8"/>
      <c r="B379" s="11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12"/>
      <c r="N379" s="8"/>
      <c r="O379" s="13"/>
      <c r="P379" s="12"/>
      <c r="Q379" s="8"/>
      <c r="R379" s="8"/>
      <c r="S379" s="12"/>
      <c r="T379" s="12"/>
      <c r="U379" s="13"/>
      <c r="V379" s="8"/>
      <c r="W379" s="8"/>
      <c r="AA379" s="10"/>
    </row>
    <row r="380">
      <c r="A380" s="8"/>
      <c r="B380" s="11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12"/>
      <c r="N380" s="8"/>
      <c r="O380" s="13"/>
      <c r="P380" s="12"/>
      <c r="Q380" s="8"/>
      <c r="R380" s="8"/>
      <c r="S380" s="12"/>
      <c r="T380" s="12"/>
      <c r="U380" s="13"/>
      <c r="V380" s="8"/>
      <c r="W380" s="8"/>
      <c r="AA380" s="10"/>
    </row>
    <row r="381">
      <c r="A381" s="8"/>
      <c r="B381" s="11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12"/>
      <c r="N381" s="8"/>
      <c r="O381" s="13"/>
      <c r="P381" s="12"/>
      <c r="Q381" s="8"/>
      <c r="R381" s="8"/>
      <c r="S381" s="12"/>
      <c r="T381" s="12"/>
      <c r="U381" s="13"/>
      <c r="V381" s="8"/>
      <c r="W381" s="8"/>
      <c r="AA381" s="10"/>
    </row>
    <row r="382">
      <c r="A382" s="8"/>
      <c r="B382" s="11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12"/>
      <c r="N382" s="8"/>
      <c r="O382" s="13"/>
      <c r="P382" s="12"/>
      <c r="Q382" s="8"/>
      <c r="R382" s="8"/>
      <c r="S382" s="12"/>
      <c r="T382" s="12"/>
      <c r="U382" s="13"/>
      <c r="V382" s="8"/>
      <c r="W382" s="8"/>
      <c r="AA382" s="10"/>
    </row>
    <row r="383">
      <c r="A383" s="8"/>
      <c r="B383" s="11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12"/>
      <c r="N383" s="8"/>
      <c r="O383" s="13"/>
      <c r="P383" s="12"/>
      <c r="Q383" s="8"/>
      <c r="R383" s="8"/>
      <c r="S383" s="12"/>
      <c r="T383" s="12"/>
      <c r="U383" s="13"/>
      <c r="V383" s="8"/>
      <c r="W383" s="8"/>
      <c r="AA383" s="10"/>
    </row>
    <row r="384">
      <c r="A384" s="8"/>
      <c r="B384" s="11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12"/>
      <c r="N384" s="8"/>
      <c r="O384" s="13"/>
      <c r="P384" s="12"/>
      <c r="Q384" s="8"/>
      <c r="R384" s="8"/>
      <c r="S384" s="12"/>
      <c r="T384" s="12"/>
      <c r="U384" s="13"/>
      <c r="V384" s="8"/>
      <c r="W384" s="8"/>
      <c r="AA384" s="10"/>
    </row>
    <row r="385">
      <c r="A385" s="8"/>
      <c r="B385" s="11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12"/>
      <c r="N385" s="8"/>
      <c r="O385" s="13"/>
      <c r="P385" s="12"/>
      <c r="Q385" s="8"/>
      <c r="R385" s="8"/>
      <c r="S385" s="12"/>
      <c r="T385" s="12"/>
      <c r="U385" s="13"/>
      <c r="V385" s="8"/>
      <c r="W385" s="8"/>
      <c r="AA385" s="10"/>
    </row>
    <row r="386">
      <c r="A386" s="8"/>
      <c r="B386" s="11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12"/>
      <c r="N386" s="8"/>
      <c r="O386" s="13"/>
      <c r="P386" s="12"/>
      <c r="Q386" s="8"/>
      <c r="R386" s="8"/>
      <c r="S386" s="12"/>
      <c r="T386" s="12"/>
      <c r="U386" s="13"/>
      <c r="V386" s="8"/>
      <c r="W386" s="8"/>
      <c r="AA386" s="10"/>
    </row>
    <row r="387">
      <c r="A387" s="8"/>
      <c r="B387" s="11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12"/>
      <c r="N387" s="8"/>
      <c r="O387" s="13"/>
      <c r="P387" s="12"/>
      <c r="Q387" s="8"/>
      <c r="R387" s="8"/>
      <c r="S387" s="12"/>
      <c r="T387" s="12"/>
      <c r="U387" s="13"/>
      <c r="V387" s="8"/>
      <c r="W387" s="8"/>
      <c r="AA387" s="10"/>
    </row>
    <row r="388">
      <c r="A388" s="8"/>
      <c r="B388" s="11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12"/>
      <c r="N388" s="8"/>
      <c r="O388" s="13"/>
      <c r="P388" s="12"/>
      <c r="Q388" s="8"/>
      <c r="R388" s="8"/>
      <c r="S388" s="12"/>
      <c r="T388" s="12"/>
      <c r="U388" s="13"/>
      <c r="V388" s="8"/>
      <c r="W388" s="8"/>
      <c r="AA388" s="10"/>
    </row>
    <row r="389">
      <c r="A389" s="8"/>
      <c r="B389" s="11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12"/>
      <c r="N389" s="8"/>
      <c r="O389" s="13"/>
      <c r="P389" s="12"/>
      <c r="Q389" s="8"/>
      <c r="R389" s="8"/>
      <c r="S389" s="12"/>
      <c r="T389" s="12"/>
      <c r="U389" s="13"/>
      <c r="V389" s="8"/>
      <c r="W389" s="8"/>
      <c r="AA389" s="10"/>
    </row>
    <row r="390">
      <c r="A390" s="8"/>
      <c r="B390" s="11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12"/>
      <c r="N390" s="8"/>
      <c r="O390" s="13"/>
      <c r="P390" s="12"/>
      <c r="Q390" s="8"/>
      <c r="R390" s="8"/>
      <c r="S390" s="12"/>
      <c r="T390" s="12"/>
      <c r="U390" s="13"/>
      <c r="V390" s="8"/>
      <c r="W390" s="8"/>
      <c r="AA390" s="10"/>
    </row>
    <row r="391">
      <c r="A391" s="8"/>
      <c r="B391" s="11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12"/>
      <c r="N391" s="8"/>
      <c r="O391" s="13"/>
      <c r="P391" s="12"/>
      <c r="Q391" s="8"/>
      <c r="R391" s="8"/>
      <c r="S391" s="12"/>
      <c r="T391" s="12"/>
      <c r="U391" s="13"/>
      <c r="V391" s="8"/>
      <c r="W391" s="8"/>
      <c r="AA391" s="10"/>
    </row>
    <row r="392">
      <c r="A392" s="8"/>
      <c r="B392" s="11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12"/>
      <c r="N392" s="8"/>
      <c r="O392" s="13"/>
      <c r="P392" s="12"/>
      <c r="Q392" s="8"/>
      <c r="R392" s="8"/>
      <c r="S392" s="12"/>
      <c r="T392" s="12"/>
      <c r="U392" s="13"/>
      <c r="V392" s="8"/>
      <c r="W392" s="8"/>
      <c r="AA392" s="10"/>
    </row>
    <row r="393">
      <c r="A393" s="8"/>
      <c r="B393" s="11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12"/>
      <c r="N393" s="8"/>
      <c r="O393" s="13"/>
      <c r="P393" s="12"/>
      <c r="Q393" s="8"/>
      <c r="R393" s="8"/>
      <c r="S393" s="12"/>
      <c r="T393" s="12"/>
      <c r="U393" s="13"/>
      <c r="V393" s="8"/>
      <c r="W393" s="8"/>
      <c r="AA393" s="10"/>
    </row>
    <row r="394">
      <c r="A394" s="8"/>
      <c r="B394" s="11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12"/>
      <c r="N394" s="8"/>
      <c r="O394" s="13"/>
      <c r="P394" s="12"/>
      <c r="Q394" s="8"/>
      <c r="R394" s="8"/>
      <c r="S394" s="12"/>
      <c r="T394" s="12"/>
      <c r="U394" s="13"/>
      <c r="V394" s="8"/>
      <c r="W394" s="8"/>
      <c r="AA394" s="10"/>
    </row>
    <row r="395">
      <c r="A395" s="8"/>
      <c r="B395" s="11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12"/>
      <c r="N395" s="8"/>
      <c r="O395" s="13"/>
      <c r="P395" s="12"/>
      <c r="Q395" s="8"/>
      <c r="R395" s="8"/>
      <c r="S395" s="12"/>
      <c r="T395" s="12"/>
      <c r="U395" s="13"/>
      <c r="V395" s="8"/>
      <c r="W395" s="8"/>
      <c r="AA395" s="10"/>
    </row>
    <row r="396">
      <c r="A396" s="8"/>
      <c r="B396" s="11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12"/>
      <c r="N396" s="8"/>
      <c r="O396" s="13"/>
      <c r="P396" s="12"/>
      <c r="Q396" s="8"/>
      <c r="R396" s="8"/>
      <c r="S396" s="12"/>
      <c r="T396" s="12"/>
      <c r="U396" s="13"/>
      <c r="V396" s="8"/>
      <c r="W396" s="8"/>
      <c r="AA396" s="10"/>
    </row>
    <row r="397">
      <c r="A397" s="8"/>
      <c r="B397" s="11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12"/>
      <c r="N397" s="8"/>
      <c r="O397" s="13"/>
      <c r="P397" s="12"/>
      <c r="Q397" s="8"/>
      <c r="R397" s="8"/>
      <c r="S397" s="12"/>
      <c r="T397" s="12"/>
      <c r="U397" s="13"/>
      <c r="V397" s="8"/>
      <c r="W397" s="8"/>
      <c r="AA397" s="10"/>
    </row>
    <row r="398">
      <c r="A398" s="8"/>
      <c r="B398" s="11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12"/>
      <c r="N398" s="8"/>
      <c r="O398" s="13"/>
      <c r="P398" s="12"/>
      <c r="Q398" s="8"/>
      <c r="R398" s="8"/>
      <c r="S398" s="12"/>
      <c r="T398" s="12"/>
      <c r="U398" s="13"/>
      <c r="V398" s="8"/>
      <c r="W398" s="8"/>
      <c r="AA398" s="10"/>
    </row>
    <row r="399">
      <c r="A399" s="8"/>
      <c r="B399" s="11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12"/>
      <c r="N399" s="8"/>
      <c r="O399" s="13"/>
      <c r="P399" s="12"/>
      <c r="Q399" s="8"/>
      <c r="R399" s="8"/>
      <c r="S399" s="12"/>
      <c r="T399" s="12"/>
      <c r="U399" s="13"/>
      <c r="V399" s="8"/>
      <c r="W399" s="8"/>
      <c r="AA399" s="10"/>
    </row>
    <row r="400">
      <c r="A400" s="8"/>
      <c r="B400" s="11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12"/>
      <c r="N400" s="8"/>
      <c r="O400" s="13"/>
      <c r="P400" s="12"/>
      <c r="Q400" s="8"/>
      <c r="R400" s="8"/>
      <c r="S400" s="12"/>
      <c r="T400" s="12"/>
      <c r="U400" s="13"/>
      <c r="V400" s="8"/>
      <c r="W400" s="8"/>
      <c r="AA400" s="10"/>
    </row>
    <row r="401">
      <c r="A401" s="8"/>
      <c r="B401" s="11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12"/>
      <c r="N401" s="8"/>
      <c r="O401" s="13"/>
      <c r="P401" s="12"/>
      <c r="Q401" s="8"/>
      <c r="R401" s="8"/>
      <c r="S401" s="12"/>
      <c r="T401" s="12"/>
      <c r="U401" s="13"/>
      <c r="V401" s="8"/>
      <c r="W401" s="8"/>
      <c r="AA401" s="10"/>
    </row>
    <row r="402">
      <c r="A402" s="8"/>
      <c r="B402" s="11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12"/>
      <c r="N402" s="8"/>
      <c r="O402" s="13"/>
      <c r="P402" s="12"/>
      <c r="Q402" s="8"/>
      <c r="R402" s="8"/>
      <c r="S402" s="12"/>
      <c r="T402" s="12"/>
      <c r="U402" s="13"/>
      <c r="V402" s="8"/>
      <c r="W402" s="8"/>
      <c r="AA402" s="10"/>
    </row>
    <row r="403">
      <c r="A403" s="8"/>
      <c r="B403" s="11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12"/>
      <c r="N403" s="8"/>
      <c r="O403" s="13"/>
      <c r="P403" s="12"/>
      <c r="Q403" s="8"/>
      <c r="R403" s="8"/>
      <c r="S403" s="12"/>
      <c r="T403" s="12"/>
      <c r="U403" s="13"/>
      <c r="V403" s="8"/>
      <c r="W403" s="8"/>
      <c r="AA403" s="10"/>
    </row>
    <row r="404">
      <c r="A404" s="8"/>
      <c r="B404" s="11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12"/>
      <c r="N404" s="8"/>
      <c r="O404" s="13"/>
      <c r="P404" s="12"/>
      <c r="Q404" s="8"/>
      <c r="R404" s="8"/>
      <c r="S404" s="12"/>
      <c r="T404" s="12"/>
      <c r="U404" s="13"/>
      <c r="V404" s="8"/>
      <c r="W404" s="8"/>
      <c r="AA404" s="10"/>
    </row>
    <row r="405">
      <c r="A405" s="8"/>
      <c r="B405" s="11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12"/>
      <c r="N405" s="8"/>
      <c r="O405" s="13"/>
      <c r="P405" s="12"/>
      <c r="Q405" s="8"/>
      <c r="R405" s="8"/>
      <c r="S405" s="12"/>
      <c r="T405" s="12"/>
      <c r="U405" s="13"/>
      <c r="V405" s="8"/>
      <c r="W405" s="8"/>
      <c r="AA405" s="10"/>
    </row>
    <row r="406">
      <c r="A406" s="8"/>
      <c r="B406" s="11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12"/>
      <c r="N406" s="8"/>
      <c r="O406" s="13"/>
      <c r="P406" s="12"/>
      <c r="Q406" s="8"/>
      <c r="R406" s="8"/>
      <c r="S406" s="12"/>
      <c r="T406" s="12"/>
      <c r="U406" s="13"/>
      <c r="V406" s="8"/>
      <c r="W406" s="8"/>
      <c r="AA406" s="10"/>
    </row>
    <row r="407">
      <c r="A407" s="8"/>
      <c r="B407" s="11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12"/>
      <c r="N407" s="8"/>
      <c r="O407" s="13"/>
      <c r="P407" s="12"/>
      <c r="Q407" s="8"/>
      <c r="R407" s="8"/>
      <c r="S407" s="12"/>
      <c r="T407" s="12"/>
      <c r="U407" s="13"/>
      <c r="V407" s="8"/>
      <c r="W407" s="8"/>
      <c r="AA407" s="10"/>
    </row>
    <row r="408">
      <c r="A408" s="8"/>
      <c r="B408" s="11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12"/>
      <c r="N408" s="8"/>
      <c r="O408" s="13"/>
      <c r="P408" s="12"/>
      <c r="Q408" s="8"/>
      <c r="R408" s="8"/>
      <c r="S408" s="12"/>
      <c r="T408" s="12"/>
      <c r="U408" s="13"/>
      <c r="V408" s="8"/>
      <c r="W408" s="8"/>
      <c r="AA408" s="10"/>
    </row>
    <row r="409">
      <c r="A409" s="8"/>
      <c r="B409" s="11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12"/>
      <c r="N409" s="8"/>
      <c r="O409" s="13"/>
      <c r="P409" s="12"/>
      <c r="Q409" s="8"/>
      <c r="R409" s="8"/>
      <c r="S409" s="12"/>
      <c r="T409" s="12"/>
      <c r="U409" s="13"/>
      <c r="V409" s="8"/>
      <c r="W409" s="8"/>
      <c r="AA409" s="10"/>
    </row>
    <row r="410">
      <c r="A410" s="8"/>
      <c r="B410" s="11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12"/>
      <c r="N410" s="8"/>
      <c r="O410" s="13"/>
      <c r="P410" s="12"/>
      <c r="Q410" s="8"/>
      <c r="R410" s="8"/>
      <c r="S410" s="12"/>
      <c r="T410" s="12"/>
      <c r="U410" s="13"/>
      <c r="V410" s="8"/>
      <c r="W410" s="8"/>
      <c r="AA410" s="10"/>
    </row>
    <row r="411">
      <c r="A411" s="8"/>
      <c r="B411" s="11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12"/>
      <c r="N411" s="8"/>
      <c r="O411" s="13"/>
      <c r="P411" s="12"/>
      <c r="Q411" s="8"/>
      <c r="R411" s="8"/>
      <c r="S411" s="12"/>
      <c r="T411" s="12"/>
      <c r="U411" s="13"/>
      <c r="V411" s="8"/>
      <c r="W411" s="8"/>
      <c r="AA411" s="10"/>
    </row>
    <row r="412">
      <c r="A412" s="8"/>
      <c r="B412" s="11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12"/>
      <c r="N412" s="8"/>
      <c r="O412" s="13"/>
      <c r="P412" s="12"/>
      <c r="Q412" s="8"/>
      <c r="R412" s="8"/>
      <c r="S412" s="12"/>
      <c r="T412" s="12"/>
      <c r="U412" s="13"/>
      <c r="V412" s="8"/>
      <c r="W412" s="8"/>
      <c r="AA412" s="10"/>
    </row>
    <row r="413">
      <c r="A413" s="8"/>
      <c r="B413" s="11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12"/>
      <c r="N413" s="8"/>
      <c r="O413" s="13"/>
      <c r="P413" s="12"/>
      <c r="Q413" s="8"/>
      <c r="R413" s="8"/>
      <c r="S413" s="12"/>
      <c r="T413" s="12"/>
      <c r="U413" s="13"/>
      <c r="V413" s="8"/>
      <c r="W413" s="8"/>
      <c r="AA413" s="10"/>
    </row>
    <row r="414">
      <c r="A414" s="8"/>
      <c r="B414" s="11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12"/>
      <c r="N414" s="8"/>
      <c r="O414" s="13"/>
      <c r="P414" s="12"/>
      <c r="Q414" s="8"/>
      <c r="R414" s="8"/>
      <c r="S414" s="12"/>
      <c r="T414" s="12"/>
      <c r="U414" s="13"/>
      <c r="V414" s="8"/>
      <c r="W414" s="8"/>
      <c r="AA414" s="10"/>
    </row>
    <row r="415">
      <c r="A415" s="8"/>
      <c r="B415" s="11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12"/>
      <c r="N415" s="8"/>
      <c r="O415" s="13"/>
      <c r="P415" s="12"/>
      <c r="Q415" s="8"/>
      <c r="R415" s="8"/>
      <c r="S415" s="12"/>
      <c r="T415" s="12"/>
      <c r="U415" s="13"/>
      <c r="V415" s="8"/>
      <c r="W415" s="8"/>
      <c r="AA415" s="10"/>
    </row>
    <row r="416">
      <c r="A416" s="8"/>
      <c r="B416" s="11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12"/>
      <c r="N416" s="8"/>
      <c r="O416" s="13"/>
      <c r="P416" s="12"/>
      <c r="Q416" s="8"/>
      <c r="R416" s="8"/>
      <c r="S416" s="12"/>
      <c r="T416" s="12"/>
      <c r="U416" s="13"/>
      <c r="V416" s="8"/>
      <c r="W416" s="8"/>
      <c r="AA416" s="10"/>
    </row>
    <row r="417">
      <c r="A417" s="8"/>
      <c r="B417" s="11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12"/>
      <c r="N417" s="8"/>
      <c r="O417" s="13"/>
      <c r="P417" s="12"/>
      <c r="Q417" s="8"/>
      <c r="R417" s="8"/>
      <c r="S417" s="12"/>
      <c r="T417" s="12"/>
      <c r="U417" s="13"/>
      <c r="V417" s="8"/>
      <c r="W417" s="8"/>
      <c r="AA417" s="10"/>
    </row>
    <row r="418">
      <c r="A418" s="8"/>
      <c r="B418" s="11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12"/>
      <c r="N418" s="8"/>
      <c r="O418" s="13"/>
      <c r="P418" s="12"/>
      <c r="Q418" s="8"/>
      <c r="R418" s="8"/>
      <c r="S418" s="12"/>
      <c r="T418" s="12"/>
      <c r="U418" s="13"/>
      <c r="V418" s="8"/>
      <c r="W418" s="8"/>
      <c r="AA418" s="10"/>
    </row>
    <row r="419">
      <c r="A419" s="8"/>
      <c r="B419" s="11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12"/>
      <c r="N419" s="8"/>
      <c r="O419" s="13"/>
      <c r="P419" s="12"/>
      <c r="Q419" s="8"/>
      <c r="R419" s="8"/>
      <c r="S419" s="12"/>
      <c r="T419" s="12"/>
      <c r="U419" s="13"/>
      <c r="V419" s="8"/>
      <c r="W419" s="8"/>
      <c r="AA419" s="10"/>
    </row>
    <row r="420">
      <c r="A420" s="8"/>
      <c r="B420" s="11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12"/>
      <c r="N420" s="8"/>
      <c r="O420" s="13"/>
      <c r="P420" s="12"/>
      <c r="Q420" s="8"/>
      <c r="R420" s="8"/>
      <c r="S420" s="12"/>
      <c r="T420" s="12"/>
      <c r="U420" s="13"/>
      <c r="V420" s="8"/>
      <c r="W420" s="8"/>
      <c r="AA420" s="10"/>
    </row>
    <row r="421">
      <c r="A421" s="8"/>
      <c r="B421" s="11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12"/>
      <c r="N421" s="8"/>
      <c r="O421" s="13"/>
      <c r="P421" s="12"/>
      <c r="Q421" s="8"/>
      <c r="R421" s="8"/>
      <c r="S421" s="12"/>
      <c r="T421" s="12"/>
      <c r="U421" s="13"/>
      <c r="V421" s="8"/>
      <c r="W421" s="8"/>
      <c r="AA421" s="10"/>
    </row>
    <row r="422">
      <c r="A422" s="8"/>
      <c r="B422" s="11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12"/>
      <c r="N422" s="8"/>
      <c r="O422" s="13"/>
      <c r="P422" s="12"/>
      <c r="Q422" s="8"/>
      <c r="R422" s="8"/>
      <c r="S422" s="12"/>
      <c r="T422" s="12"/>
      <c r="U422" s="13"/>
      <c r="V422" s="8"/>
      <c r="W422" s="8"/>
      <c r="AA422" s="10"/>
    </row>
    <row r="423">
      <c r="A423" s="8"/>
      <c r="B423" s="11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12"/>
      <c r="N423" s="8"/>
      <c r="O423" s="13"/>
      <c r="P423" s="12"/>
      <c r="Q423" s="8"/>
      <c r="R423" s="8"/>
      <c r="S423" s="12"/>
      <c r="T423" s="12"/>
      <c r="U423" s="13"/>
      <c r="V423" s="8"/>
      <c r="W423" s="8"/>
      <c r="AA423" s="10"/>
    </row>
    <row r="424">
      <c r="A424" s="8"/>
      <c r="B424" s="11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12"/>
      <c r="N424" s="8"/>
      <c r="O424" s="13"/>
      <c r="P424" s="12"/>
      <c r="Q424" s="8"/>
      <c r="R424" s="8"/>
      <c r="S424" s="12"/>
      <c r="T424" s="12"/>
      <c r="U424" s="13"/>
      <c r="V424" s="8"/>
      <c r="W424" s="8"/>
      <c r="AA424" s="10"/>
    </row>
    <row r="425">
      <c r="A425" s="8"/>
      <c r="B425" s="11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12"/>
      <c r="N425" s="8"/>
      <c r="O425" s="13"/>
      <c r="P425" s="12"/>
      <c r="Q425" s="8"/>
      <c r="R425" s="8"/>
      <c r="S425" s="12"/>
      <c r="T425" s="12"/>
      <c r="U425" s="13"/>
      <c r="V425" s="8"/>
      <c r="W425" s="8"/>
      <c r="AA425" s="10"/>
    </row>
    <row r="426">
      <c r="A426" s="8"/>
      <c r="B426" s="11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12"/>
      <c r="N426" s="8"/>
      <c r="O426" s="13"/>
      <c r="P426" s="12"/>
      <c r="Q426" s="8"/>
      <c r="R426" s="8"/>
      <c r="S426" s="12"/>
      <c r="T426" s="12"/>
      <c r="U426" s="13"/>
      <c r="V426" s="8"/>
      <c r="W426" s="8"/>
      <c r="AA426" s="10"/>
    </row>
    <row r="427">
      <c r="A427" s="8"/>
      <c r="B427" s="11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12"/>
      <c r="N427" s="8"/>
      <c r="O427" s="13"/>
      <c r="P427" s="12"/>
      <c r="Q427" s="8"/>
      <c r="R427" s="8"/>
      <c r="S427" s="12"/>
      <c r="T427" s="12"/>
      <c r="U427" s="13"/>
      <c r="V427" s="8"/>
      <c r="W427" s="8"/>
      <c r="AA427" s="10"/>
    </row>
    <row r="428">
      <c r="A428" s="8"/>
      <c r="B428" s="11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12"/>
      <c r="N428" s="8"/>
      <c r="O428" s="13"/>
      <c r="P428" s="12"/>
      <c r="Q428" s="8"/>
      <c r="R428" s="8"/>
      <c r="S428" s="12"/>
      <c r="T428" s="12"/>
      <c r="U428" s="13"/>
      <c r="V428" s="8"/>
      <c r="W428" s="8"/>
      <c r="AA428" s="10"/>
    </row>
    <row r="429">
      <c r="A429" s="8"/>
      <c r="B429" s="11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12"/>
      <c r="N429" s="8"/>
      <c r="O429" s="13"/>
      <c r="P429" s="12"/>
      <c r="Q429" s="8"/>
      <c r="R429" s="8"/>
      <c r="S429" s="12"/>
      <c r="T429" s="12"/>
      <c r="U429" s="13"/>
      <c r="V429" s="8"/>
      <c r="W429" s="8"/>
      <c r="AA429" s="10"/>
    </row>
    <row r="430">
      <c r="A430" s="8"/>
      <c r="B430" s="11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12"/>
      <c r="N430" s="8"/>
      <c r="O430" s="13"/>
      <c r="P430" s="12"/>
      <c r="Q430" s="8"/>
      <c r="R430" s="8"/>
      <c r="S430" s="12"/>
      <c r="T430" s="12"/>
      <c r="U430" s="13"/>
      <c r="V430" s="8"/>
      <c r="W430" s="8"/>
      <c r="AA430" s="10"/>
    </row>
    <row r="431">
      <c r="A431" s="8"/>
      <c r="B431" s="11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12"/>
      <c r="N431" s="8"/>
      <c r="O431" s="13"/>
      <c r="P431" s="12"/>
      <c r="Q431" s="8"/>
      <c r="R431" s="8"/>
      <c r="S431" s="12"/>
      <c r="T431" s="12"/>
      <c r="U431" s="13"/>
      <c r="V431" s="8"/>
      <c r="W431" s="8"/>
      <c r="AA431" s="10"/>
    </row>
    <row r="432">
      <c r="A432" s="8"/>
      <c r="B432" s="11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12"/>
      <c r="N432" s="8"/>
      <c r="O432" s="13"/>
      <c r="P432" s="12"/>
      <c r="Q432" s="8"/>
      <c r="R432" s="8"/>
      <c r="S432" s="12"/>
      <c r="T432" s="12"/>
      <c r="U432" s="13"/>
      <c r="V432" s="8"/>
      <c r="W432" s="8"/>
      <c r="AA432" s="10"/>
    </row>
    <row r="433">
      <c r="A433" s="8"/>
      <c r="B433" s="11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12"/>
      <c r="N433" s="8"/>
      <c r="O433" s="13"/>
      <c r="P433" s="12"/>
      <c r="Q433" s="8"/>
      <c r="R433" s="8"/>
      <c r="S433" s="12"/>
      <c r="T433" s="12"/>
      <c r="U433" s="13"/>
      <c r="V433" s="8"/>
      <c r="W433" s="8"/>
      <c r="AA433" s="10"/>
    </row>
    <row r="434">
      <c r="A434" s="8"/>
      <c r="B434" s="11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12"/>
      <c r="N434" s="8"/>
      <c r="O434" s="13"/>
      <c r="P434" s="12"/>
      <c r="Q434" s="8"/>
      <c r="R434" s="8"/>
      <c r="S434" s="12"/>
      <c r="T434" s="12"/>
      <c r="U434" s="13"/>
      <c r="V434" s="8"/>
      <c r="W434" s="8"/>
      <c r="AA434" s="10"/>
    </row>
    <row r="435">
      <c r="A435" s="8"/>
      <c r="B435" s="11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12"/>
      <c r="N435" s="8"/>
      <c r="O435" s="13"/>
      <c r="P435" s="12"/>
      <c r="Q435" s="8"/>
      <c r="R435" s="8"/>
      <c r="S435" s="12"/>
      <c r="T435" s="12"/>
      <c r="U435" s="13"/>
      <c r="V435" s="8"/>
      <c r="W435" s="8"/>
      <c r="AA435" s="10"/>
    </row>
    <row r="436">
      <c r="A436" s="8"/>
      <c r="B436" s="11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12"/>
      <c r="N436" s="8"/>
      <c r="O436" s="13"/>
      <c r="P436" s="12"/>
      <c r="Q436" s="8"/>
      <c r="R436" s="8"/>
      <c r="S436" s="12"/>
      <c r="T436" s="12"/>
      <c r="U436" s="13"/>
      <c r="V436" s="8"/>
      <c r="W436" s="8"/>
      <c r="AA436" s="10"/>
    </row>
    <row r="437">
      <c r="A437" s="8"/>
      <c r="B437" s="11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12"/>
      <c r="N437" s="8"/>
      <c r="O437" s="13"/>
      <c r="P437" s="12"/>
      <c r="Q437" s="8"/>
      <c r="R437" s="8"/>
      <c r="S437" s="12"/>
      <c r="T437" s="12"/>
      <c r="U437" s="13"/>
      <c r="V437" s="8"/>
      <c r="W437" s="8"/>
      <c r="AA437" s="10"/>
    </row>
    <row r="438">
      <c r="A438" s="8"/>
      <c r="B438" s="11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12"/>
      <c r="N438" s="8"/>
      <c r="O438" s="13"/>
      <c r="P438" s="12"/>
      <c r="Q438" s="8"/>
      <c r="R438" s="8"/>
      <c r="S438" s="12"/>
      <c r="T438" s="12"/>
      <c r="U438" s="13"/>
      <c r="V438" s="8"/>
      <c r="W438" s="8"/>
      <c r="AA438" s="10"/>
    </row>
    <row r="439">
      <c r="A439" s="8"/>
      <c r="B439" s="11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12"/>
      <c r="N439" s="8"/>
      <c r="O439" s="13"/>
      <c r="P439" s="12"/>
      <c r="Q439" s="8"/>
      <c r="R439" s="8"/>
      <c r="S439" s="12"/>
      <c r="T439" s="12"/>
      <c r="U439" s="13"/>
      <c r="V439" s="8"/>
      <c r="W439" s="8"/>
      <c r="AA439" s="10"/>
    </row>
    <row r="440">
      <c r="A440" s="8"/>
      <c r="B440" s="11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12"/>
      <c r="N440" s="8"/>
      <c r="O440" s="13"/>
      <c r="P440" s="12"/>
      <c r="Q440" s="8"/>
      <c r="R440" s="8"/>
      <c r="S440" s="12"/>
      <c r="T440" s="12"/>
      <c r="U440" s="13"/>
      <c r="V440" s="8"/>
      <c r="W440" s="8"/>
      <c r="AA440" s="10"/>
    </row>
    <row r="441">
      <c r="A441" s="8"/>
      <c r="B441" s="11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12"/>
      <c r="N441" s="8"/>
      <c r="O441" s="13"/>
      <c r="P441" s="12"/>
      <c r="Q441" s="8"/>
      <c r="R441" s="8"/>
      <c r="S441" s="12"/>
      <c r="T441" s="12"/>
      <c r="U441" s="13"/>
      <c r="V441" s="8"/>
      <c r="W441" s="8"/>
      <c r="AA441" s="10"/>
    </row>
    <row r="442">
      <c r="A442" s="8"/>
      <c r="B442" s="11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12"/>
      <c r="N442" s="8"/>
      <c r="O442" s="13"/>
      <c r="P442" s="12"/>
      <c r="Q442" s="8"/>
      <c r="R442" s="8"/>
      <c r="S442" s="12"/>
      <c r="T442" s="12"/>
      <c r="U442" s="13"/>
      <c r="V442" s="8"/>
      <c r="W442" s="8"/>
      <c r="AA442" s="10"/>
    </row>
    <row r="443">
      <c r="A443" s="8"/>
      <c r="B443" s="11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12"/>
      <c r="N443" s="8"/>
      <c r="O443" s="13"/>
      <c r="P443" s="12"/>
      <c r="Q443" s="8"/>
      <c r="R443" s="8"/>
      <c r="S443" s="12"/>
      <c r="T443" s="12"/>
      <c r="U443" s="13"/>
      <c r="V443" s="8"/>
      <c r="W443" s="8"/>
      <c r="AA443" s="10"/>
    </row>
    <row r="444">
      <c r="A444" s="8"/>
      <c r="B444" s="11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12"/>
      <c r="N444" s="8"/>
      <c r="O444" s="13"/>
      <c r="P444" s="12"/>
      <c r="Q444" s="8"/>
      <c r="R444" s="8"/>
      <c r="S444" s="12"/>
      <c r="T444" s="12"/>
      <c r="U444" s="13"/>
      <c r="V444" s="8"/>
      <c r="W444" s="8"/>
      <c r="AA444" s="10"/>
    </row>
    <row r="445">
      <c r="A445" s="8"/>
      <c r="B445" s="11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12"/>
      <c r="N445" s="8"/>
      <c r="O445" s="13"/>
      <c r="P445" s="12"/>
      <c r="Q445" s="8"/>
      <c r="R445" s="8"/>
      <c r="S445" s="12"/>
      <c r="T445" s="12"/>
      <c r="U445" s="13"/>
      <c r="V445" s="8"/>
      <c r="W445" s="8"/>
      <c r="AA445" s="10"/>
    </row>
    <row r="446">
      <c r="A446" s="8"/>
      <c r="B446" s="11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12"/>
      <c r="N446" s="8"/>
      <c r="O446" s="13"/>
      <c r="P446" s="12"/>
      <c r="Q446" s="8"/>
      <c r="R446" s="8"/>
      <c r="S446" s="12"/>
      <c r="T446" s="12"/>
      <c r="U446" s="13"/>
      <c r="V446" s="8"/>
      <c r="W446" s="8"/>
      <c r="AA446" s="10"/>
    </row>
    <row r="447">
      <c r="A447" s="8"/>
      <c r="B447" s="11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12"/>
      <c r="N447" s="8"/>
      <c r="O447" s="13"/>
      <c r="P447" s="12"/>
      <c r="Q447" s="8"/>
      <c r="R447" s="8"/>
      <c r="S447" s="12"/>
      <c r="T447" s="12"/>
      <c r="U447" s="13"/>
      <c r="V447" s="8"/>
      <c r="W447" s="8"/>
      <c r="AA447" s="10"/>
    </row>
    <row r="448">
      <c r="A448" s="8"/>
      <c r="B448" s="11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12"/>
      <c r="N448" s="8"/>
      <c r="O448" s="13"/>
      <c r="P448" s="12"/>
      <c r="Q448" s="8"/>
      <c r="R448" s="8"/>
      <c r="S448" s="12"/>
      <c r="T448" s="12"/>
      <c r="U448" s="13"/>
      <c r="V448" s="8"/>
      <c r="W448" s="8"/>
      <c r="AA448" s="10"/>
    </row>
    <row r="449">
      <c r="A449" s="8"/>
      <c r="B449" s="11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12"/>
      <c r="N449" s="8"/>
      <c r="O449" s="13"/>
      <c r="P449" s="12"/>
      <c r="Q449" s="8"/>
      <c r="R449" s="8"/>
      <c r="S449" s="12"/>
      <c r="T449" s="12"/>
      <c r="U449" s="13"/>
      <c r="V449" s="8"/>
      <c r="W449" s="8"/>
      <c r="AA449" s="10"/>
    </row>
    <row r="450">
      <c r="A450" s="8"/>
      <c r="B450" s="11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12"/>
      <c r="N450" s="8"/>
      <c r="O450" s="13"/>
      <c r="P450" s="12"/>
      <c r="Q450" s="8"/>
      <c r="R450" s="8"/>
      <c r="S450" s="12"/>
      <c r="T450" s="12"/>
      <c r="U450" s="13"/>
      <c r="V450" s="8"/>
      <c r="W450" s="8"/>
      <c r="AA450" s="10"/>
    </row>
    <row r="451">
      <c r="A451" s="8"/>
      <c r="B451" s="11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12"/>
      <c r="N451" s="8"/>
      <c r="O451" s="13"/>
      <c r="P451" s="12"/>
      <c r="Q451" s="8"/>
      <c r="R451" s="8"/>
      <c r="S451" s="12"/>
      <c r="T451" s="12"/>
      <c r="U451" s="13"/>
      <c r="V451" s="8"/>
      <c r="W451" s="8"/>
      <c r="AA451" s="10"/>
    </row>
    <row r="452">
      <c r="A452" s="8"/>
      <c r="B452" s="11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12"/>
      <c r="N452" s="8"/>
      <c r="O452" s="13"/>
      <c r="P452" s="12"/>
      <c r="Q452" s="8"/>
      <c r="R452" s="8"/>
      <c r="S452" s="12"/>
      <c r="T452" s="12"/>
      <c r="U452" s="13"/>
      <c r="V452" s="8"/>
      <c r="W452" s="8"/>
      <c r="AA452" s="10"/>
    </row>
    <row r="453">
      <c r="A453" s="8"/>
      <c r="B453" s="11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12"/>
      <c r="N453" s="8"/>
      <c r="O453" s="13"/>
      <c r="P453" s="12"/>
      <c r="Q453" s="8"/>
      <c r="R453" s="8"/>
      <c r="S453" s="12"/>
      <c r="T453" s="12"/>
      <c r="U453" s="13"/>
      <c r="V453" s="8"/>
      <c r="W453" s="8"/>
      <c r="AA453" s="10"/>
    </row>
    <row r="454">
      <c r="A454" s="8"/>
      <c r="B454" s="11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12"/>
      <c r="N454" s="8"/>
      <c r="O454" s="13"/>
      <c r="P454" s="12"/>
      <c r="Q454" s="8"/>
      <c r="R454" s="8"/>
      <c r="S454" s="12"/>
      <c r="T454" s="12"/>
      <c r="U454" s="13"/>
      <c r="V454" s="8"/>
      <c r="W454" s="8"/>
      <c r="AA454" s="10"/>
    </row>
    <row r="455">
      <c r="A455" s="8"/>
      <c r="B455" s="11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12"/>
      <c r="N455" s="8"/>
      <c r="O455" s="13"/>
      <c r="P455" s="12"/>
      <c r="Q455" s="8"/>
      <c r="R455" s="8"/>
      <c r="S455" s="12"/>
      <c r="T455" s="12"/>
      <c r="U455" s="13"/>
      <c r="V455" s="8"/>
      <c r="W455" s="8"/>
      <c r="AA455" s="10"/>
    </row>
    <row r="456">
      <c r="A456" s="8"/>
      <c r="B456" s="11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12"/>
      <c r="N456" s="8"/>
      <c r="O456" s="13"/>
      <c r="P456" s="12"/>
      <c r="Q456" s="8"/>
      <c r="R456" s="8"/>
      <c r="S456" s="12"/>
      <c r="T456" s="12"/>
      <c r="U456" s="13"/>
      <c r="V456" s="8"/>
      <c r="W456" s="8"/>
      <c r="AA456" s="10"/>
    </row>
    <row r="457">
      <c r="A457" s="8"/>
      <c r="B457" s="11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12"/>
      <c r="N457" s="8"/>
      <c r="O457" s="13"/>
      <c r="P457" s="12"/>
      <c r="Q457" s="8"/>
      <c r="R457" s="8"/>
      <c r="S457" s="12"/>
      <c r="T457" s="12"/>
      <c r="U457" s="13"/>
      <c r="V457" s="8"/>
      <c r="W457" s="8"/>
      <c r="AA457" s="10"/>
    </row>
    <row r="458">
      <c r="A458" s="8"/>
      <c r="B458" s="11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12"/>
      <c r="N458" s="8"/>
      <c r="O458" s="13"/>
      <c r="P458" s="12"/>
      <c r="Q458" s="8"/>
      <c r="R458" s="8"/>
      <c r="S458" s="12"/>
      <c r="T458" s="12"/>
      <c r="U458" s="13"/>
      <c r="V458" s="8"/>
      <c r="W458" s="8"/>
      <c r="AA458" s="10"/>
    </row>
    <row r="459">
      <c r="A459" s="8"/>
      <c r="B459" s="11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12"/>
      <c r="N459" s="8"/>
      <c r="O459" s="13"/>
      <c r="P459" s="12"/>
      <c r="Q459" s="8"/>
      <c r="R459" s="8"/>
      <c r="S459" s="12"/>
      <c r="T459" s="12"/>
      <c r="U459" s="13"/>
      <c r="V459" s="8"/>
      <c r="W459" s="8"/>
      <c r="AA459" s="10"/>
    </row>
    <row r="460">
      <c r="A460" s="8"/>
      <c r="B460" s="11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12"/>
      <c r="N460" s="8"/>
      <c r="O460" s="13"/>
      <c r="P460" s="12"/>
      <c r="Q460" s="8"/>
      <c r="R460" s="8"/>
      <c r="S460" s="12"/>
      <c r="T460" s="12"/>
      <c r="U460" s="13"/>
      <c r="V460" s="8"/>
      <c r="W460" s="8"/>
      <c r="AA460" s="10"/>
    </row>
    <row r="461">
      <c r="A461" s="8"/>
      <c r="B461" s="11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12"/>
      <c r="N461" s="8"/>
      <c r="O461" s="13"/>
      <c r="P461" s="12"/>
      <c r="Q461" s="8"/>
      <c r="R461" s="8"/>
      <c r="S461" s="12"/>
      <c r="T461" s="12"/>
      <c r="U461" s="13"/>
      <c r="V461" s="8"/>
      <c r="W461" s="8"/>
      <c r="AA461" s="10"/>
    </row>
    <row r="462">
      <c r="A462" s="8"/>
      <c r="B462" s="11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12"/>
      <c r="N462" s="8"/>
      <c r="O462" s="13"/>
      <c r="P462" s="12"/>
      <c r="Q462" s="8"/>
      <c r="R462" s="8"/>
      <c r="S462" s="12"/>
      <c r="T462" s="12"/>
      <c r="U462" s="13"/>
      <c r="V462" s="8"/>
      <c r="W462" s="8"/>
      <c r="AA462" s="10"/>
    </row>
    <row r="463">
      <c r="A463" s="8"/>
      <c r="B463" s="11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12"/>
      <c r="N463" s="8"/>
      <c r="O463" s="13"/>
      <c r="P463" s="12"/>
      <c r="Q463" s="8"/>
      <c r="R463" s="8"/>
      <c r="S463" s="12"/>
      <c r="T463" s="12"/>
      <c r="U463" s="13"/>
      <c r="V463" s="8"/>
      <c r="W463" s="8"/>
      <c r="AA463" s="10"/>
    </row>
    <row r="464">
      <c r="A464" s="8"/>
      <c r="B464" s="11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12"/>
      <c r="N464" s="8"/>
      <c r="O464" s="13"/>
      <c r="P464" s="12"/>
      <c r="Q464" s="8"/>
      <c r="R464" s="8"/>
      <c r="S464" s="12"/>
      <c r="T464" s="12"/>
      <c r="U464" s="13"/>
      <c r="V464" s="8"/>
      <c r="W464" s="8"/>
      <c r="AA464" s="10"/>
    </row>
    <row r="465">
      <c r="A465" s="8"/>
      <c r="B465" s="11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12"/>
      <c r="N465" s="8"/>
      <c r="O465" s="13"/>
      <c r="P465" s="12"/>
      <c r="Q465" s="8"/>
      <c r="R465" s="8"/>
      <c r="S465" s="12"/>
      <c r="T465" s="12"/>
      <c r="U465" s="13"/>
      <c r="V465" s="8"/>
      <c r="W465" s="8"/>
      <c r="AA465" s="10"/>
    </row>
    <row r="466">
      <c r="A466" s="8"/>
      <c r="B466" s="11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12"/>
      <c r="N466" s="8"/>
      <c r="O466" s="13"/>
      <c r="P466" s="12"/>
      <c r="Q466" s="8"/>
      <c r="R466" s="8"/>
      <c r="S466" s="12"/>
      <c r="T466" s="12"/>
      <c r="U466" s="13"/>
      <c r="V466" s="8"/>
      <c r="W466" s="8"/>
      <c r="AA466" s="10"/>
    </row>
    <row r="467">
      <c r="A467" s="8"/>
      <c r="B467" s="11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12"/>
      <c r="N467" s="8"/>
      <c r="O467" s="13"/>
      <c r="P467" s="12"/>
      <c r="Q467" s="8"/>
      <c r="R467" s="8"/>
      <c r="S467" s="12"/>
      <c r="T467" s="12"/>
      <c r="U467" s="13"/>
      <c r="V467" s="8"/>
      <c r="W467" s="8"/>
      <c r="AA467" s="10"/>
    </row>
    <row r="468">
      <c r="A468" s="8"/>
      <c r="B468" s="11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12"/>
      <c r="N468" s="8"/>
      <c r="O468" s="13"/>
      <c r="P468" s="12"/>
      <c r="Q468" s="8"/>
      <c r="R468" s="8"/>
      <c r="S468" s="12"/>
      <c r="T468" s="12"/>
      <c r="U468" s="13"/>
      <c r="V468" s="8"/>
      <c r="W468" s="8"/>
      <c r="AA468" s="10"/>
    </row>
    <row r="469">
      <c r="A469" s="8"/>
      <c r="B469" s="11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12"/>
      <c r="N469" s="8"/>
      <c r="O469" s="13"/>
      <c r="P469" s="12"/>
      <c r="Q469" s="8"/>
      <c r="R469" s="8"/>
      <c r="S469" s="12"/>
      <c r="T469" s="12"/>
      <c r="U469" s="13"/>
      <c r="V469" s="8"/>
      <c r="W469" s="8"/>
      <c r="AA469" s="10"/>
    </row>
    <row r="470">
      <c r="A470" s="8"/>
      <c r="B470" s="11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12"/>
      <c r="N470" s="8"/>
      <c r="O470" s="13"/>
      <c r="P470" s="12"/>
      <c r="Q470" s="8"/>
      <c r="R470" s="8"/>
      <c r="S470" s="12"/>
      <c r="T470" s="12"/>
      <c r="U470" s="13"/>
      <c r="V470" s="8"/>
      <c r="W470" s="8"/>
      <c r="AA470" s="10"/>
    </row>
    <row r="471">
      <c r="A471" s="8"/>
      <c r="B471" s="11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12"/>
      <c r="N471" s="8"/>
      <c r="O471" s="13"/>
      <c r="P471" s="12"/>
      <c r="Q471" s="8"/>
      <c r="R471" s="8"/>
      <c r="S471" s="12"/>
      <c r="T471" s="12"/>
      <c r="U471" s="13"/>
      <c r="V471" s="8"/>
      <c r="W471" s="8"/>
      <c r="AA471" s="10"/>
    </row>
    <row r="472">
      <c r="A472" s="8"/>
      <c r="B472" s="11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12"/>
      <c r="N472" s="8"/>
      <c r="O472" s="13"/>
      <c r="P472" s="12"/>
      <c r="Q472" s="8"/>
      <c r="R472" s="8"/>
      <c r="S472" s="12"/>
      <c r="T472" s="12"/>
      <c r="U472" s="13"/>
      <c r="V472" s="8"/>
      <c r="W472" s="8"/>
      <c r="AA472" s="10"/>
    </row>
    <row r="473">
      <c r="A473" s="8"/>
      <c r="B473" s="11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12"/>
      <c r="N473" s="8"/>
      <c r="O473" s="13"/>
      <c r="P473" s="12"/>
      <c r="Q473" s="8"/>
      <c r="R473" s="8"/>
      <c r="S473" s="12"/>
      <c r="T473" s="12"/>
      <c r="U473" s="13"/>
      <c r="V473" s="8"/>
      <c r="W473" s="8"/>
      <c r="AA473" s="10"/>
    </row>
    <row r="474">
      <c r="A474" s="8"/>
      <c r="B474" s="11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12"/>
      <c r="N474" s="8"/>
      <c r="O474" s="13"/>
      <c r="P474" s="12"/>
      <c r="Q474" s="8"/>
      <c r="R474" s="8"/>
      <c r="S474" s="12"/>
      <c r="T474" s="12"/>
      <c r="U474" s="13"/>
      <c r="V474" s="8"/>
      <c r="W474" s="8"/>
      <c r="AA474" s="10"/>
    </row>
    <row r="475">
      <c r="A475" s="8"/>
      <c r="B475" s="11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12"/>
      <c r="N475" s="8"/>
      <c r="O475" s="13"/>
      <c r="P475" s="12"/>
      <c r="Q475" s="8"/>
      <c r="R475" s="8"/>
      <c r="S475" s="12"/>
      <c r="T475" s="12"/>
      <c r="U475" s="13"/>
      <c r="V475" s="8"/>
      <c r="W475" s="8"/>
      <c r="AA475" s="10"/>
    </row>
    <row r="476">
      <c r="A476" s="8"/>
      <c r="B476" s="11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12"/>
      <c r="N476" s="8"/>
      <c r="O476" s="13"/>
      <c r="P476" s="12"/>
      <c r="Q476" s="8"/>
      <c r="R476" s="8"/>
      <c r="S476" s="12"/>
      <c r="T476" s="12"/>
      <c r="U476" s="13"/>
      <c r="V476" s="8"/>
      <c r="W476" s="8"/>
      <c r="AA476" s="10"/>
    </row>
    <row r="477">
      <c r="A477" s="8"/>
      <c r="B477" s="11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12"/>
      <c r="N477" s="8"/>
      <c r="O477" s="13"/>
      <c r="P477" s="12"/>
      <c r="Q477" s="8"/>
      <c r="R477" s="8"/>
      <c r="S477" s="12"/>
      <c r="T477" s="12"/>
      <c r="U477" s="13"/>
      <c r="V477" s="8"/>
      <c r="W477" s="8"/>
      <c r="AA477" s="10"/>
    </row>
    <row r="478">
      <c r="A478" s="8"/>
      <c r="B478" s="11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12"/>
      <c r="N478" s="8"/>
      <c r="O478" s="13"/>
      <c r="P478" s="12"/>
      <c r="Q478" s="8"/>
      <c r="R478" s="8"/>
      <c r="S478" s="12"/>
      <c r="T478" s="12"/>
      <c r="U478" s="13"/>
      <c r="V478" s="8"/>
      <c r="W478" s="8"/>
      <c r="AA478" s="10"/>
    </row>
    <row r="479">
      <c r="A479" s="8"/>
      <c r="B479" s="11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12"/>
      <c r="N479" s="8"/>
      <c r="O479" s="13"/>
      <c r="P479" s="12"/>
      <c r="Q479" s="8"/>
      <c r="R479" s="8"/>
      <c r="S479" s="12"/>
      <c r="T479" s="12"/>
      <c r="U479" s="13"/>
      <c r="V479" s="8"/>
      <c r="W479" s="8"/>
      <c r="AA479" s="10"/>
    </row>
    <row r="480">
      <c r="A480" s="8"/>
      <c r="B480" s="11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12"/>
      <c r="N480" s="8"/>
      <c r="O480" s="13"/>
      <c r="P480" s="12"/>
      <c r="Q480" s="8"/>
      <c r="R480" s="8"/>
      <c r="S480" s="12"/>
      <c r="T480" s="12"/>
      <c r="U480" s="13"/>
      <c r="V480" s="8"/>
      <c r="W480" s="8"/>
      <c r="AA480" s="10"/>
    </row>
    <row r="481">
      <c r="A481" s="8"/>
      <c r="B481" s="11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12"/>
      <c r="N481" s="8"/>
      <c r="O481" s="13"/>
      <c r="P481" s="12"/>
      <c r="Q481" s="8"/>
      <c r="R481" s="8"/>
      <c r="S481" s="12"/>
      <c r="T481" s="12"/>
      <c r="U481" s="13"/>
      <c r="V481" s="8"/>
      <c r="W481" s="8"/>
      <c r="AA481" s="10"/>
    </row>
    <row r="482">
      <c r="A482" s="8"/>
      <c r="B482" s="11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12"/>
      <c r="N482" s="8"/>
      <c r="O482" s="13"/>
      <c r="P482" s="12"/>
      <c r="Q482" s="8"/>
      <c r="R482" s="8"/>
      <c r="S482" s="12"/>
      <c r="T482" s="12"/>
      <c r="U482" s="13"/>
      <c r="V482" s="8"/>
      <c r="W482" s="8"/>
      <c r="AA482" s="10"/>
    </row>
    <row r="483">
      <c r="A483" s="8"/>
      <c r="B483" s="11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12"/>
      <c r="N483" s="8"/>
      <c r="O483" s="13"/>
      <c r="P483" s="12"/>
      <c r="Q483" s="8"/>
      <c r="R483" s="8"/>
      <c r="S483" s="12"/>
      <c r="T483" s="12"/>
      <c r="U483" s="13"/>
      <c r="V483" s="8"/>
      <c r="W483" s="8"/>
      <c r="AA483" s="10"/>
    </row>
    <row r="484">
      <c r="A484" s="8"/>
      <c r="B484" s="11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12"/>
      <c r="N484" s="8"/>
      <c r="O484" s="13"/>
      <c r="P484" s="12"/>
      <c r="Q484" s="8"/>
      <c r="R484" s="8"/>
      <c r="S484" s="12"/>
      <c r="T484" s="12"/>
      <c r="U484" s="13"/>
      <c r="V484" s="8"/>
      <c r="W484" s="8"/>
      <c r="AA484" s="10"/>
    </row>
    <row r="485">
      <c r="A485" s="8"/>
      <c r="B485" s="11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12"/>
      <c r="N485" s="8"/>
      <c r="O485" s="13"/>
      <c r="P485" s="12"/>
      <c r="Q485" s="8"/>
      <c r="R485" s="8"/>
      <c r="S485" s="12"/>
      <c r="T485" s="12"/>
      <c r="U485" s="13"/>
      <c r="V485" s="8"/>
      <c r="W485" s="8"/>
      <c r="AA485" s="10"/>
    </row>
    <row r="486">
      <c r="A486" s="8"/>
      <c r="B486" s="11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12"/>
      <c r="N486" s="8"/>
      <c r="O486" s="13"/>
      <c r="P486" s="12"/>
      <c r="Q486" s="8"/>
      <c r="R486" s="8"/>
      <c r="S486" s="12"/>
      <c r="T486" s="12"/>
      <c r="U486" s="13"/>
      <c r="V486" s="8"/>
      <c r="W486" s="8"/>
      <c r="AA486" s="10"/>
    </row>
    <row r="487">
      <c r="A487" s="8"/>
      <c r="B487" s="11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12"/>
      <c r="N487" s="8"/>
      <c r="O487" s="13"/>
      <c r="P487" s="12"/>
      <c r="Q487" s="8"/>
      <c r="R487" s="8"/>
      <c r="S487" s="12"/>
      <c r="T487" s="12"/>
      <c r="U487" s="13"/>
      <c r="V487" s="8"/>
      <c r="W487" s="8"/>
      <c r="AA487" s="10"/>
    </row>
    <row r="488">
      <c r="A488" s="8"/>
      <c r="B488" s="11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12"/>
      <c r="N488" s="8"/>
      <c r="O488" s="13"/>
      <c r="P488" s="12"/>
      <c r="Q488" s="8"/>
      <c r="R488" s="8"/>
      <c r="S488" s="12"/>
      <c r="T488" s="12"/>
      <c r="U488" s="13"/>
      <c r="V488" s="8"/>
      <c r="W488" s="8"/>
      <c r="AA488" s="10"/>
    </row>
    <row r="489">
      <c r="A489" s="8"/>
      <c r="B489" s="11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12"/>
      <c r="N489" s="8"/>
      <c r="O489" s="13"/>
      <c r="P489" s="12"/>
      <c r="Q489" s="8"/>
      <c r="R489" s="8"/>
      <c r="S489" s="12"/>
      <c r="T489" s="12"/>
      <c r="U489" s="13"/>
      <c r="V489" s="8"/>
      <c r="W489" s="8"/>
      <c r="AA489" s="10"/>
    </row>
    <row r="490">
      <c r="A490" s="8"/>
      <c r="B490" s="11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12"/>
      <c r="N490" s="8"/>
      <c r="O490" s="13"/>
      <c r="P490" s="12"/>
      <c r="Q490" s="8"/>
      <c r="R490" s="8"/>
      <c r="S490" s="12"/>
      <c r="T490" s="12"/>
      <c r="U490" s="13"/>
      <c r="V490" s="8"/>
      <c r="W490" s="8"/>
      <c r="AA490" s="10"/>
    </row>
    <row r="491">
      <c r="A491" s="8"/>
      <c r="B491" s="11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12"/>
      <c r="N491" s="8"/>
      <c r="O491" s="13"/>
      <c r="P491" s="12"/>
      <c r="Q491" s="8"/>
      <c r="R491" s="8"/>
      <c r="S491" s="12"/>
      <c r="T491" s="12"/>
      <c r="U491" s="13"/>
      <c r="V491" s="8"/>
      <c r="W491" s="8"/>
      <c r="AA491" s="10"/>
    </row>
    <row r="492">
      <c r="A492" s="8"/>
      <c r="B492" s="11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12"/>
      <c r="N492" s="8"/>
      <c r="O492" s="13"/>
      <c r="P492" s="12"/>
      <c r="Q492" s="8"/>
      <c r="R492" s="8"/>
      <c r="S492" s="12"/>
      <c r="T492" s="12"/>
      <c r="U492" s="13"/>
      <c r="V492" s="8"/>
      <c r="W492" s="8"/>
      <c r="AA492" s="10"/>
    </row>
    <row r="493">
      <c r="A493" s="8"/>
      <c r="B493" s="11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12"/>
      <c r="N493" s="8"/>
      <c r="O493" s="13"/>
      <c r="P493" s="12"/>
      <c r="Q493" s="8"/>
      <c r="R493" s="8"/>
      <c r="S493" s="12"/>
      <c r="T493" s="12"/>
      <c r="U493" s="13"/>
      <c r="V493" s="8"/>
      <c r="W493" s="8"/>
      <c r="AA493" s="10"/>
    </row>
    <row r="494">
      <c r="A494" s="8"/>
      <c r="B494" s="11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12"/>
      <c r="N494" s="8"/>
      <c r="O494" s="13"/>
      <c r="P494" s="12"/>
      <c r="Q494" s="8"/>
      <c r="R494" s="8"/>
      <c r="S494" s="12"/>
      <c r="T494" s="12"/>
      <c r="U494" s="13"/>
      <c r="V494" s="8"/>
      <c r="W494" s="8"/>
      <c r="AA494" s="10"/>
    </row>
    <row r="495">
      <c r="A495" s="8"/>
      <c r="B495" s="11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12"/>
      <c r="N495" s="8"/>
      <c r="O495" s="13"/>
      <c r="P495" s="12"/>
      <c r="Q495" s="8"/>
      <c r="R495" s="8"/>
      <c r="S495" s="12"/>
      <c r="T495" s="12"/>
      <c r="U495" s="13"/>
      <c r="V495" s="8"/>
      <c r="W495" s="8"/>
      <c r="AA495" s="10"/>
    </row>
    <row r="496">
      <c r="A496" s="8"/>
      <c r="B496" s="11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12"/>
      <c r="N496" s="8"/>
      <c r="O496" s="13"/>
      <c r="P496" s="12"/>
      <c r="Q496" s="8"/>
      <c r="R496" s="8"/>
      <c r="S496" s="12"/>
      <c r="T496" s="12"/>
      <c r="U496" s="13"/>
      <c r="V496" s="8"/>
      <c r="W496" s="8"/>
      <c r="AA496" s="10"/>
    </row>
    <row r="497">
      <c r="A497" s="8"/>
      <c r="B497" s="11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12"/>
      <c r="N497" s="8"/>
      <c r="O497" s="13"/>
      <c r="P497" s="12"/>
      <c r="Q497" s="8"/>
      <c r="R497" s="8"/>
      <c r="S497" s="12"/>
      <c r="T497" s="12"/>
      <c r="U497" s="13"/>
      <c r="V497" s="8"/>
      <c r="W497" s="8"/>
      <c r="AA497" s="10"/>
    </row>
    <row r="498">
      <c r="A498" s="8"/>
      <c r="B498" s="11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12"/>
      <c r="N498" s="8"/>
      <c r="O498" s="13"/>
      <c r="P498" s="12"/>
      <c r="Q498" s="8"/>
      <c r="R498" s="8"/>
      <c r="S498" s="12"/>
      <c r="T498" s="12"/>
      <c r="U498" s="13"/>
      <c r="V498" s="8"/>
      <c r="W498" s="8"/>
      <c r="AA498" s="10"/>
    </row>
    <row r="499">
      <c r="A499" s="8"/>
      <c r="B499" s="11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12"/>
      <c r="N499" s="8"/>
      <c r="O499" s="13"/>
      <c r="P499" s="12"/>
      <c r="Q499" s="8"/>
      <c r="R499" s="8"/>
      <c r="S499" s="12"/>
      <c r="T499" s="12"/>
      <c r="U499" s="13"/>
      <c r="V499" s="8"/>
      <c r="W499" s="8"/>
      <c r="AA499" s="10"/>
    </row>
    <row r="500">
      <c r="A500" s="8"/>
      <c r="B500" s="11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12"/>
      <c r="N500" s="8"/>
      <c r="O500" s="13"/>
      <c r="P500" s="12"/>
      <c r="Q500" s="8"/>
      <c r="R500" s="8"/>
      <c r="S500" s="12"/>
      <c r="T500" s="12"/>
      <c r="U500" s="13"/>
      <c r="V500" s="8"/>
      <c r="W500" s="8"/>
      <c r="AA500" s="10"/>
    </row>
    <row r="501">
      <c r="A501" s="8"/>
      <c r="B501" s="11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12"/>
      <c r="N501" s="8"/>
      <c r="O501" s="13"/>
      <c r="P501" s="12"/>
      <c r="Q501" s="8"/>
      <c r="R501" s="8"/>
      <c r="S501" s="12"/>
      <c r="T501" s="12"/>
      <c r="U501" s="13"/>
      <c r="V501" s="8"/>
      <c r="W501" s="8"/>
      <c r="AA501" s="10"/>
    </row>
    <row r="502">
      <c r="A502" s="8"/>
      <c r="B502" s="11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12"/>
      <c r="N502" s="8"/>
      <c r="O502" s="13"/>
      <c r="P502" s="12"/>
      <c r="Q502" s="8"/>
      <c r="R502" s="8"/>
      <c r="S502" s="12"/>
      <c r="T502" s="12"/>
      <c r="U502" s="13"/>
      <c r="V502" s="8"/>
      <c r="W502" s="8"/>
      <c r="AA502" s="10"/>
    </row>
    <row r="503">
      <c r="A503" s="8"/>
      <c r="B503" s="11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12"/>
      <c r="N503" s="8"/>
      <c r="O503" s="13"/>
      <c r="P503" s="12"/>
      <c r="Q503" s="8"/>
      <c r="R503" s="8"/>
      <c r="S503" s="12"/>
      <c r="T503" s="12"/>
      <c r="U503" s="13"/>
      <c r="V503" s="8"/>
      <c r="W503" s="8"/>
      <c r="AA503" s="10"/>
    </row>
    <row r="504">
      <c r="A504" s="8"/>
      <c r="B504" s="11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12"/>
      <c r="N504" s="8"/>
      <c r="O504" s="13"/>
      <c r="P504" s="12"/>
      <c r="Q504" s="8"/>
      <c r="R504" s="8"/>
      <c r="S504" s="12"/>
      <c r="T504" s="12"/>
      <c r="U504" s="13"/>
      <c r="V504" s="8"/>
      <c r="W504" s="8"/>
      <c r="AA504" s="10"/>
    </row>
    <row r="505">
      <c r="A505" s="8"/>
      <c r="B505" s="11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12"/>
      <c r="N505" s="8"/>
      <c r="O505" s="13"/>
      <c r="P505" s="12"/>
      <c r="Q505" s="8"/>
      <c r="R505" s="8"/>
      <c r="S505" s="12"/>
      <c r="T505" s="12"/>
      <c r="U505" s="13"/>
      <c r="V505" s="8"/>
      <c r="W505" s="8"/>
      <c r="AA505" s="10"/>
    </row>
    <row r="506">
      <c r="A506" s="8"/>
      <c r="B506" s="11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12"/>
      <c r="N506" s="8"/>
      <c r="O506" s="13"/>
      <c r="P506" s="12"/>
      <c r="Q506" s="8"/>
      <c r="R506" s="8"/>
      <c r="S506" s="12"/>
      <c r="T506" s="12"/>
      <c r="U506" s="13"/>
      <c r="V506" s="8"/>
      <c r="W506" s="8"/>
      <c r="AA506" s="10"/>
    </row>
    <row r="507">
      <c r="A507" s="8"/>
      <c r="B507" s="11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12"/>
      <c r="N507" s="8"/>
      <c r="O507" s="13"/>
      <c r="P507" s="12"/>
      <c r="Q507" s="8"/>
      <c r="R507" s="8"/>
      <c r="S507" s="12"/>
      <c r="T507" s="12"/>
      <c r="U507" s="13"/>
      <c r="V507" s="8"/>
      <c r="W507" s="8"/>
      <c r="AA507" s="10"/>
    </row>
    <row r="508">
      <c r="A508" s="8"/>
      <c r="B508" s="11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12"/>
      <c r="N508" s="8"/>
      <c r="O508" s="13"/>
      <c r="P508" s="12"/>
      <c r="Q508" s="8"/>
      <c r="R508" s="8"/>
      <c r="S508" s="12"/>
      <c r="T508" s="12"/>
      <c r="U508" s="13"/>
      <c r="V508" s="8"/>
      <c r="W508" s="8"/>
      <c r="AA508" s="10"/>
    </row>
    <row r="509">
      <c r="A509" s="8"/>
      <c r="B509" s="11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12"/>
      <c r="N509" s="8"/>
      <c r="O509" s="13"/>
      <c r="P509" s="12"/>
      <c r="Q509" s="8"/>
      <c r="R509" s="8"/>
      <c r="S509" s="12"/>
      <c r="T509" s="12"/>
      <c r="U509" s="13"/>
      <c r="V509" s="8"/>
      <c r="W509" s="8"/>
      <c r="AA509" s="10"/>
    </row>
    <row r="510">
      <c r="A510" s="8"/>
      <c r="B510" s="11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12"/>
      <c r="N510" s="8"/>
      <c r="O510" s="13"/>
      <c r="P510" s="12"/>
      <c r="Q510" s="8"/>
      <c r="R510" s="8"/>
      <c r="S510" s="12"/>
      <c r="T510" s="12"/>
      <c r="U510" s="13"/>
      <c r="V510" s="8"/>
      <c r="W510" s="8"/>
      <c r="AA510" s="10"/>
    </row>
    <row r="511">
      <c r="A511" s="8"/>
      <c r="B511" s="11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12"/>
      <c r="N511" s="8"/>
      <c r="O511" s="13"/>
      <c r="P511" s="12"/>
      <c r="Q511" s="8"/>
      <c r="R511" s="8"/>
      <c r="S511" s="12"/>
      <c r="T511" s="12"/>
      <c r="U511" s="13"/>
      <c r="V511" s="8"/>
      <c r="W511" s="8"/>
      <c r="AA511" s="10"/>
    </row>
    <row r="512">
      <c r="A512" s="8"/>
      <c r="B512" s="11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12"/>
      <c r="N512" s="8"/>
      <c r="O512" s="13"/>
      <c r="P512" s="12"/>
      <c r="Q512" s="8"/>
      <c r="R512" s="8"/>
      <c r="S512" s="12"/>
      <c r="T512" s="12"/>
      <c r="U512" s="13"/>
      <c r="V512" s="8"/>
      <c r="W512" s="8"/>
      <c r="AA512" s="10"/>
    </row>
    <row r="513">
      <c r="A513" s="8"/>
      <c r="B513" s="11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12"/>
      <c r="N513" s="8"/>
      <c r="O513" s="13"/>
      <c r="P513" s="12"/>
      <c r="Q513" s="8"/>
      <c r="R513" s="8"/>
      <c r="S513" s="12"/>
      <c r="T513" s="12"/>
      <c r="U513" s="13"/>
      <c r="V513" s="8"/>
      <c r="W513" s="8"/>
      <c r="AA513" s="10"/>
    </row>
    <row r="514">
      <c r="A514" s="8"/>
      <c r="B514" s="11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12"/>
      <c r="N514" s="8"/>
      <c r="O514" s="13"/>
      <c r="P514" s="12"/>
      <c r="Q514" s="8"/>
      <c r="R514" s="8"/>
      <c r="S514" s="12"/>
      <c r="T514" s="12"/>
      <c r="U514" s="13"/>
      <c r="V514" s="8"/>
      <c r="W514" s="8"/>
      <c r="AA514" s="10"/>
    </row>
    <row r="515">
      <c r="A515" s="8"/>
      <c r="B515" s="11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12"/>
      <c r="N515" s="8"/>
      <c r="O515" s="13"/>
      <c r="P515" s="12"/>
      <c r="Q515" s="8"/>
      <c r="R515" s="8"/>
      <c r="S515" s="12"/>
      <c r="T515" s="12"/>
      <c r="U515" s="13"/>
      <c r="V515" s="8"/>
      <c r="W515" s="8"/>
      <c r="AA515" s="10"/>
    </row>
    <row r="516">
      <c r="A516" s="8"/>
      <c r="B516" s="11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12"/>
      <c r="N516" s="8"/>
      <c r="O516" s="13"/>
      <c r="P516" s="12"/>
      <c r="Q516" s="8"/>
      <c r="R516" s="8"/>
      <c r="S516" s="12"/>
      <c r="T516" s="12"/>
      <c r="U516" s="13"/>
      <c r="V516" s="8"/>
      <c r="W516" s="8"/>
      <c r="AA516" s="10"/>
    </row>
    <row r="517">
      <c r="A517" s="8"/>
      <c r="B517" s="11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12"/>
      <c r="N517" s="8"/>
      <c r="O517" s="13"/>
      <c r="P517" s="12"/>
      <c r="Q517" s="8"/>
      <c r="R517" s="8"/>
      <c r="S517" s="12"/>
      <c r="T517" s="12"/>
      <c r="U517" s="13"/>
      <c r="V517" s="8"/>
      <c r="W517" s="8"/>
      <c r="AA517" s="10"/>
    </row>
    <row r="518">
      <c r="A518" s="8"/>
      <c r="B518" s="11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12"/>
      <c r="N518" s="8"/>
      <c r="O518" s="13"/>
      <c r="P518" s="12"/>
      <c r="Q518" s="8"/>
      <c r="R518" s="8"/>
      <c r="S518" s="12"/>
      <c r="T518" s="12"/>
      <c r="U518" s="13"/>
      <c r="V518" s="8"/>
      <c r="W518" s="8"/>
      <c r="AA518" s="10"/>
    </row>
    <row r="519">
      <c r="A519" s="8"/>
      <c r="B519" s="11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12"/>
      <c r="N519" s="8"/>
      <c r="O519" s="13"/>
      <c r="P519" s="12"/>
      <c r="Q519" s="8"/>
      <c r="R519" s="8"/>
      <c r="S519" s="12"/>
      <c r="T519" s="12"/>
      <c r="U519" s="13"/>
      <c r="V519" s="8"/>
      <c r="W519" s="8"/>
      <c r="AA519" s="10"/>
    </row>
    <row r="520">
      <c r="A520" s="8"/>
      <c r="B520" s="11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12"/>
      <c r="N520" s="8"/>
      <c r="O520" s="13"/>
      <c r="P520" s="12"/>
      <c r="Q520" s="8"/>
      <c r="R520" s="8"/>
      <c r="S520" s="12"/>
      <c r="T520" s="12"/>
      <c r="U520" s="13"/>
      <c r="V520" s="8"/>
      <c r="W520" s="8"/>
      <c r="AA520" s="10"/>
    </row>
    <row r="521">
      <c r="A521" s="8"/>
      <c r="B521" s="11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12"/>
      <c r="N521" s="8"/>
      <c r="O521" s="13"/>
      <c r="P521" s="12"/>
      <c r="Q521" s="8"/>
      <c r="R521" s="8"/>
      <c r="S521" s="12"/>
      <c r="T521" s="12"/>
      <c r="U521" s="13"/>
      <c r="V521" s="8"/>
      <c r="W521" s="8"/>
      <c r="AA521" s="10"/>
    </row>
    <row r="522">
      <c r="A522" s="8"/>
      <c r="B522" s="11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12"/>
      <c r="N522" s="8"/>
      <c r="O522" s="13"/>
      <c r="P522" s="12"/>
      <c r="Q522" s="8"/>
      <c r="R522" s="8"/>
      <c r="S522" s="12"/>
      <c r="T522" s="12"/>
      <c r="U522" s="13"/>
      <c r="V522" s="8"/>
      <c r="W522" s="8"/>
      <c r="AA522" s="10"/>
    </row>
    <row r="523">
      <c r="A523" s="8"/>
      <c r="B523" s="11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12"/>
      <c r="N523" s="8"/>
      <c r="O523" s="13"/>
      <c r="P523" s="12"/>
      <c r="Q523" s="8"/>
      <c r="R523" s="8"/>
      <c r="S523" s="12"/>
      <c r="T523" s="12"/>
      <c r="U523" s="13"/>
      <c r="V523" s="8"/>
      <c r="W523" s="8"/>
      <c r="AA523" s="10"/>
    </row>
    <row r="524">
      <c r="A524" s="8"/>
      <c r="B524" s="11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12"/>
      <c r="N524" s="8"/>
      <c r="O524" s="13"/>
      <c r="P524" s="12"/>
      <c r="Q524" s="8"/>
      <c r="R524" s="8"/>
      <c r="S524" s="12"/>
      <c r="T524" s="12"/>
      <c r="U524" s="13"/>
      <c r="V524" s="8"/>
      <c r="W524" s="8"/>
      <c r="AA524" s="10"/>
    </row>
    <row r="525">
      <c r="A525" s="8"/>
      <c r="B525" s="11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12"/>
      <c r="N525" s="8"/>
      <c r="O525" s="13"/>
      <c r="P525" s="12"/>
      <c r="Q525" s="8"/>
      <c r="R525" s="8"/>
      <c r="S525" s="12"/>
      <c r="T525" s="12"/>
      <c r="U525" s="13"/>
      <c r="V525" s="8"/>
      <c r="W525" s="8"/>
      <c r="AA525" s="10"/>
    </row>
    <row r="526">
      <c r="A526" s="8"/>
      <c r="B526" s="11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12"/>
      <c r="N526" s="8"/>
      <c r="O526" s="13"/>
      <c r="P526" s="12"/>
      <c r="Q526" s="8"/>
      <c r="R526" s="8"/>
      <c r="S526" s="12"/>
      <c r="T526" s="12"/>
      <c r="U526" s="13"/>
      <c r="V526" s="8"/>
      <c r="W526" s="8"/>
      <c r="AA526" s="10"/>
    </row>
    <row r="527">
      <c r="A527" s="8"/>
      <c r="B527" s="11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12"/>
      <c r="N527" s="8"/>
      <c r="O527" s="13"/>
      <c r="P527" s="12"/>
      <c r="Q527" s="8"/>
      <c r="R527" s="8"/>
      <c r="S527" s="12"/>
      <c r="T527" s="12"/>
      <c r="U527" s="13"/>
      <c r="V527" s="8"/>
      <c r="W527" s="8"/>
      <c r="AA527" s="10"/>
    </row>
    <row r="528">
      <c r="A528" s="8"/>
      <c r="B528" s="11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12"/>
      <c r="N528" s="8"/>
      <c r="O528" s="13"/>
      <c r="P528" s="12"/>
      <c r="Q528" s="8"/>
      <c r="R528" s="8"/>
      <c r="S528" s="12"/>
      <c r="T528" s="12"/>
      <c r="U528" s="13"/>
      <c r="V528" s="8"/>
      <c r="W528" s="8"/>
      <c r="AA528" s="10"/>
    </row>
    <row r="529">
      <c r="A529" s="8"/>
      <c r="B529" s="11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12"/>
      <c r="N529" s="8"/>
      <c r="O529" s="13"/>
      <c r="P529" s="12"/>
      <c r="Q529" s="8"/>
      <c r="R529" s="8"/>
      <c r="S529" s="12"/>
      <c r="T529" s="12"/>
      <c r="U529" s="13"/>
      <c r="V529" s="8"/>
      <c r="W529" s="8"/>
      <c r="AA529" s="10"/>
    </row>
    <row r="530">
      <c r="A530" s="8"/>
      <c r="B530" s="11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12"/>
      <c r="N530" s="8"/>
      <c r="O530" s="13"/>
      <c r="P530" s="12"/>
      <c r="Q530" s="8"/>
      <c r="R530" s="8"/>
      <c r="S530" s="12"/>
      <c r="T530" s="12"/>
      <c r="U530" s="13"/>
      <c r="V530" s="8"/>
      <c r="W530" s="8"/>
      <c r="AA530" s="10"/>
    </row>
    <row r="531">
      <c r="A531" s="8"/>
      <c r="B531" s="11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12"/>
      <c r="N531" s="8"/>
      <c r="O531" s="13"/>
      <c r="P531" s="12"/>
      <c r="Q531" s="8"/>
      <c r="R531" s="8"/>
      <c r="S531" s="12"/>
      <c r="T531" s="12"/>
      <c r="U531" s="13"/>
      <c r="V531" s="8"/>
      <c r="W531" s="8"/>
      <c r="AA531" s="10"/>
    </row>
    <row r="532">
      <c r="A532" s="8"/>
      <c r="B532" s="11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12"/>
      <c r="N532" s="8"/>
      <c r="O532" s="13"/>
      <c r="P532" s="12"/>
      <c r="Q532" s="8"/>
      <c r="R532" s="8"/>
      <c r="S532" s="12"/>
      <c r="T532" s="12"/>
      <c r="U532" s="13"/>
      <c r="V532" s="8"/>
      <c r="W532" s="8"/>
      <c r="AA532" s="10"/>
    </row>
    <row r="533">
      <c r="A533" s="8"/>
      <c r="B533" s="11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12"/>
      <c r="N533" s="8"/>
      <c r="O533" s="13"/>
      <c r="P533" s="12"/>
      <c r="Q533" s="8"/>
      <c r="R533" s="8"/>
      <c r="S533" s="12"/>
      <c r="T533" s="12"/>
      <c r="U533" s="13"/>
      <c r="V533" s="8"/>
      <c r="W533" s="8"/>
      <c r="AA533" s="10"/>
    </row>
    <row r="534">
      <c r="A534" s="8"/>
      <c r="B534" s="11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12"/>
      <c r="N534" s="8"/>
      <c r="O534" s="13"/>
      <c r="P534" s="12"/>
      <c r="Q534" s="8"/>
      <c r="R534" s="8"/>
      <c r="S534" s="12"/>
      <c r="T534" s="12"/>
      <c r="U534" s="13"/>
      <c r="V534" s="8"/>
      <c r="W534" s="8"/>
      <c r="AA534" s="10"/>
    </row>
    <row r="535">
      <c r="A535" s="8"/>
      <c r="B535" s="11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12"/>
      <c r="N535" s="8"/>
      <c r="O535" s="13"/>
      <c r="P535" s="12"/>
      <c r="Q535" s="8"/>
      <c r="R535" s="8"/>
      <c r="S535" s="12"/>
      <c r="T535" s="12"/>
      <c r="U535" s="13"/>
      <c r="V535" s="8"/>
      <c r="W535" s="8"/>
      <c r="AA535" s="10"/>
    </row>
    <row r="536">
      <c r="A536" s="8"/>
      <c r="B536" s="11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12"/>
      <c r="N536" s="8"/>
      <c r="O536" s="13"/>
      <c r="P536" s="12"/>
      <c r="Q536" s="8"/>
      <c r="R536" s="8"/>
      <c r="S536" s="12"/>
      <c r="T536" s="12"/>
      <c r="U536" s="13"/>
      <c r="V536" s="8"/>
      <c r="W536" s="8"/>
      <c r="AA536" s="10"/>
    </row>
    <row r="537">
      <c r="A537" s="8"/>
      <c r="B537" s="11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12"/>
      <c r="N537" s="8"/>
      <c r="O537" s="13"/>
      <c r="P537" s="12"/>
      <c r="Q537" s="8"/>
      <c r="R537" s="8"/>
      <c r="S537" s="12"/>
      <c r="T537" s="12"/>
      <c r="U537" s="13"/>
      <c r="V537" s="8"/>
      <c r="W537" s="8"/>
      <c r="AA537" s="10"/>
    </row>
    <row r="538">
      <c r="A538" s="8"/>
      <c r="B538" s="11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12"/>
      <c r="N538" s="8"/>
      <c r="O538" s="13"/>
      <c r="P538" s="12"/>
      <c r="Q538" s="8"/>
      <c r="R538" s="8"/>
      <c r="S538" s="12"/>
      <c r="T538" s="12"/>
      <c r="U538" s="13"/>
      <c r="V538" s="8"/>
      <c r="W538" s="8"/>
      <c r="AA538" s="10"/>
    </row>
    <row r="539">
      <c r="A539" s="8"/>
      <c r="B539" s="11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12"/>
      <c r="N539" s="8"/>
      <c r="O539" s="13"/>
      <c r="P539" s="12"/>
      <c r="Q539" s="8"/>
      <c r="R539" s="8"/>
      <c r="S539" s="12"/>
      <c r="T539" s="12"/>
      <c r="U539" s="13"/>
      <c r="V539" s="8"/>
      <c r="W539" s="8"/>
      <c r="AA539" s="10"/>
    </row>
    <row r="540">
      <c r="A540" s="8"/>
      <c r="B540" s="11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12"/>
      <c r="N540" s="8"/>
      <c r="O540" s="13"/>
      <c r="P540" s="12"/>
      <c r="Q540" s="8"/>
      <c r="R540" s="8"/>
      <c r="S540" s="12"/>
      <c r="T540" s="12"/>
      <c r="U540" s="13"/>
      <c r="V540" s="8"/>
      <c r="W540" s="8"/>
      <c r="AA540" s="10"/>
    </row>
    <row r="541">
      <c r="A541" s="8"/>
      <c r="B541" s="11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12"/>
      <c r="N541" s="8"/>
      <c r="O541" s="13"/>
      <c r="P541" s="12"/>
      <c r="Q541" s="8"/>
      <c r="R541" s="8"/>
      <c r="S541" s="12"/>
      <c r="T541" s="12"/>
      <c r="U541" s="13"/>
      <c r="V541" s="8"/>
      <c r="W541" s="8"/>
      <c r="AA541" s="10"/>
    </row>
    <row r="542">
      <c r="A542" s="8"/>
      <c r="B542" s="11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12"/>
      <c r="N542" s="8"/>
      <c r="O542" s="13"/>
      <c r="P542" s="12"/>
      <c r="Q542" s="8"/>
      <c r="R542" s="8"/>
      <c r="S542" s="12"/>
      <c r="T542" s="12"/>
      <c r="U542" s="13"/>
      <c r="V542" s="8"/>
      <c r="W542" s="8"/>
      <c r="AA542" s="10"/>
    </row>
    <row r="543">
      <c r="A543" s="8"/>
      <c r="B543" s="11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12"/>
      <c r="N543" s="8"/>
      <c r="O543" s="13"/>
      <c r="P543" s="12"/>
      <c r="Q543" s="8"/>
      <c r="R543" s="8"/>
      <c r="S543" s="12"/>
      <c r="T543" s="12"/>
      <c r="U543" s="13"/>
      <c r="V543" s="8"/>
      <c r="W543" s="8"/>
      <c r="AA543" s="10"/>
    </row>
    <row r="544">
      <c r="A544" s="8"/>
      <c r="B544" s="11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12"/>
      <c r="N544" s="8"/>
      <c r="O544" s="13"/>
      <c r="P544" s="12"/>
      <c r="Q544" s="8"/>
      <c r="R544" s="8"/>
      <c r="S544" s="12"/>
      <c r="T544" s="12"/>
      <c r="U544" s="13"/>
      <c r="V544" s="8"/>
      <c r="W544" s="8"/>
      <c r="AA544" s="10"/>
    </row>
    <row r="545">
      <c r="A545" s="8"/>
      <c r="B545" s="11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12"/>
      <c r="N545" s="8"/>
      <c r="O545" s="13"/>
      <c r="P545" s="12"/>
      <c r="Q545" s="8"/>
      <c r="R545" s="8"/>
      <c r="S545" s="12"/>
      <c r="T545" s="12"/>
      <c r="U545" s="13"/>
      <c r="V545" s="8"/>
      <c r="W545" s="8"/>
      <c r="AA545" s="10"/>
    </row>
    <row r="546">
      <c r="A546" s="8"/>
      <c r="B546" s="11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12"/>
      <c r="N546" s="8"/>
      <c r="O546" s="13"/>
      <c r="P546" s="12"/>
      <c r="Q546" s="8"/>
      <c r="R546" s="8"/>
      <c r="S546" s="12"/>
      <c r="T546" s="12"/>
      <c r="U546" s="13"/>
      <c r="V546" s="8"/>
      <c r="W546" s="8"/>
      <c r="AA546" s="10"/>
    </row>
    <row r="547">
      <c r="A547" s="8"/>
      <c r="B547" s="11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12"/>
      <c r="N547" s="8"/>
      <c r="O547" s="13"/>
      <c r="P547" s="12"/>
      <c r="Q547" s="8"/>
      <c r="R547" s="8"/>
      <c r="S547" s="12"/>
      <c r="T547" s="12"/>
      <c r="U547" s="13"/>
      <c r="V547" s="8"/>
      <c r="W547" s="8"/>
      <c r="AA547" s="10"/>
    </row>
    <row r="548">
      <c r="A548" s="8"/>
      <c r="B548" s="11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12"/>
      <c r="N548" s="8"/>
      <c r="O548" s="13"/>
      <c r="P548" s="12"/>
      <c r="Q548" s="8"/>
      <c r="R548" s="8"/>
      <c r="S548" s="12"/>
      <c r="T548" s="12"/>
      <c r="U548" s="13"/>
      <c r="V548" s="8"/>
      <c r="W548" s="8"/>
      <c r="AA548" s="10"/>
    </row>
    <row r="549">
      <c r="A549" s="8"/>
      <c r="B549" s="11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12"/>
      <c r="N549" s="8"/>
      <c r="O549" s="13"/>
      <c r="P549" s="12"/>
      <c r="Q549" s="8"/>
      <c r="R549" s="8"/>
      <c r="S549" s="12"/>
      <c r="T549" s="12"/>
      <c r="U549" s="13"/>
      <c r="V549" s="8"/>
      <c r="W549" s="8"/>
      <c r="AA549" s="10"/>
    </row>
    <row r="550">
      <c r="A550" s="8"/>
      <c r="B550" s="11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12"/>
      <c r="N550" s="8"/>
      <c r="O550" s="13"/>
      <c r="P550" s="12"/>
      <c r="Q550" s="8"/>
      <c r="R550" s="8"/>
      <c r="S550" s="12"/>
      <c r="T550" s="12"/>
      <c r="U550" s="13"/>
      <c r="V550" s="8"/>
      <c r="W550" s="8"/>
      <c r="AA550" s="10"/>
    </row>
    <row r="551">
      <c r="A551" s="8"/>
      <c r="B551" s="11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12"/>
      <c r="N551" s="8"/>
      <c r="O551" s="13"/>
      <c r="P551" s="12"/>
      <c r="Q551" s="8"/>
      <c r="R551" s="8"/>
      <c r="S551" s="12"/>
      <c r="T551" s="12"/>
      <c r="U551" s="13"/>
      <c r="V551" s="8"/>
      <c r="W551" s="8"/>
      <c r="AA551" s="10"/>
    </row>
    <row r="552">
      <c r="A552" s="8"/>
      <c r="B552" s="11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12"/>
      <c r="N552" s="8"/>
      <c r="O552" s="13"/>
      <c r="P552" s="12"/>
      <c r="Q552" s="8"/>
      <c r="R552" s="8"/>
      <c r="S552" s="12"/>
      <c r="T552" s="12"/>
      <c r="U552" s="13"/>
      <c r="V552" s="8"/>
      <c r="W552" s="8"/>
      <c r="AA552" s="10"/>
    </row>
    <row r="553">
      <c r="A553" s="8"/>
      <c r="B553" s="11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12"/>
      <c r="N553" s="8"/>
      <c r="O553" s="13"/>
      <c r="P553" s="12"/>
      <c r="Q553" s="8"/>
      <c r="R553" s="8"/>
      <c r="S553" s="12"/>
      <c r="T553" s="12"/>
      <c r="U553" s="13"/>
      <c r="V553" s="8"/>
      <c r="W553" s="8"/>
      <c r="AA553" s="10"/>
    </row>
    <row r="554">
      <c r="A554" s="8"/>
      <c r="B554" s="11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12"/>
      <c r="N554" s="8"/>
      <c r="O554" s="13"/>
      <c r="P554" s="12"/>
      <c r="Q554" s="8"/>
      <c r="R554" s="8"/>
      <c r="S554" s="12"/>
      <c r="T554" s="12"/>
      <c r="U554" s="13"/>
      <c r="V554" s="8"/>
      <c r="W554" s="8"/>
      <c r="AA554" s="10"/>
    </row>
    <row r="555">
      <c r="A555" s="8"/>
      <c r="B555" s="11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12"/>
      <c r="N555" s="8"/>
      <c r="O555" s="13"/>
      <c r="P555" s="12"/>
      <c r="Q555" s="8"/>
      <c r="R555" s="8"/>
      <c r="S555" s="12"/>
      <c r="T555" s="12"/>
      <c r="U555" s="13"/>
      <c r="V555" s="8"/>
      <c r="W555" s="8"/>
      <c r="AA555" s="10"/>
    </row>
    <row r="556">
      <c r="A556" s="8"/>
      <c r="B556" s="11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12"/>
      <c r="N556" s="8"/>
      <c r="O556" s="13"/>
      <c r="P556" s="12"/>
      <c r="Q556" s="8"/>
      <c r="R556" s="8"/>
      <c r="S556" s="12"/>
      <c r="T556" s="12"/>
      <c r="U556" s="13"/>
      <c r="V556" s="8"/>
      <c r="W556" s="8"/>
      <c r="AA556" s="10"/>
    </row>
    <row r="557">
      <c r="A557" s="8"/>
      <c r="B557" s="11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12"/>
      <c r="N557" s="8"/>
      <c r="O557" s="13"/>
      <c r="P557" s="12"/>
      <c r="Q557" s="8"/>
      <c r="R557" s="8"/>
      <c r="S557" s="12"/>
      <c r="T557" s="12"/>
      <c r="U557" s="13"/>
      <c r="V557" s="8"/>
      <c r="W557" s="8"/>
      <c r="AA557" s="10"/>
    </row>
    <row r="558">
      <c r="A558" s="8"/>
      <c r="B558" s="11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12"/>
      <c r="N558" s="8"/>
      <c r="O558" s="13"/>
      <c r="P558" s="12"/>
      <c r="Q558" s="8"/>
      <c r="R558" s="8"/>
      <c r="S558" s="12"/>
      <c r="T558" s="12"/>
      <c r="U558" s="13"/>
      <c r="V558" s="8"/>
      <c r="W558" s="8"/>
      <c r="AA558" s="10"/>
    </row>
    <row r="559">
      <c r="A559" s="8"/>
      <c r="B559" s="11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12"/>
      <c r="N559" s="8"/>
      <c r="O559" s="13"/>
      <c r="P559" s="12"/>
      <c r="Q559" s="8"/>
      <c r="R559" s="8"/>
      <c r="S559" s="12"/>
      <c r="T559" s="12"/>
      <c r="U559" s="13"/>
      <c r="V559" s="8"/>
      <c r="W559" s="8"/>
      <c r="AA559" s="10"/>
    </row>
    <row r="560">
      <c r="A560" s="8"/>
      <c r="B560" s="11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12"/>
      <c r="N560" s="8"/>
      <c r="O560" s="13"/>
      <c r="P560" s="12"/>
      <c r="Q560" s="8"/>
      <c r="R560" s="8"/>
      <c r="S560" s="12"/>
      <c r="T560" s="12"/>
      <c r="U560" s="13"/>
      <c r="V560" s="8"/>
      <c r="W560" s="8"/>
      <c r="AA560" s="10"/>
    </row>
    <row r="561">
      <c r="A561" s="8"/>
      <c r="B561" s="11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12"/>
      <c r="N561" s="8"/>
      <c r="O561" s="13"/>
      <c r="P561" s="12"/>
      <c r="Q561" s="8"/>
      <c r="R561" s="8"/>
      <c r="S561" s="12"/>
      <c r="T561" s="12"/>
      <c r="U561" s="13"/>
      <c r="V561" s="8"/>
      <c r="W561" s="8"/>
      <c r="AA561" s="10"/>
    </row>
    <row r="562">
      <c r="A562" s="8"/>
      <c r="B562" s="11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12"/>
      <c r="N562" s="8"/>
      <c r="O562" s="13"/>
      <c r="P562" s="12"/>
      <c r="Q562" s="8"/>
      <c r="R562" s="8"/>
      <c r="S562" s="12"/>
      <c r="T562" s="12"/>
      <c r="U562" s="13"/>
      <c r="V562" s="8"/>
      <c r="W562" s="8"/>
      <c r="AA562" s="10"/>
    </row>
    <row r="563">
      <c r="A563" s="8"/>
      <c r="B563" s="11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12"/>
      <c r="N563" s="8"/>
      <c r="O563" s="13"/>
      <c r="P563" s="12"/>
      <c r="Q563" s="8"/>
      <c r="R563" s="8"/>
      <c r="S563" s="12"/>
      <c r="T563" s="12"/>
      <c r="U563" s="13"/>
      <c r="V563" s="8"/>
      <c r="W563" s="8"/>
      <c r="AA563" s="10"/>
    </row>
    <row r="564">
      <c r="A564" s="8"/>
      <c r="B564" s="11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12"/>
      <c r="N564" s="8"/>
      <c r="O564" s="13"/>
      <c r="P564" s="12"/>
      <c r="Q564" s="8"/>
      <c r="R564" s="8"/>
      <c r="S564" s="12"/>
      <c r="T564" s="12"/>
      <c r="U564" s="13"/>
      <c r="V564" s="8"/>
      <c r="W564" s="8"/>
      <c r="AA564" s="10"/>
    </row>
    <row r="565">
      <c r="A565" s="8"/>
      <c r="B565" s="11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12"/>
      <c r="N565" s="8"/>
      <c r="O565" s="13"/>
      <c r="P565" s="12"/>
      <c r="Q565" s="8"/>
      <c r="R565" s="8"/>
      <c r="S565" s="12"/>
      <c r="T565" s="12"/>
      <c r="U565" s="13"/>
      <c r="V565" s="8"/>
      <c r="W565" s="8"/>
      <c r="AA565" s="10"/>
    </row>
    <row r="566">
      <c r="A566" s="8"/>
      <c r="B566" s="11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12"/>
      <c r="N566" s="8"/>
      <c r="O566" s="13"/>
      <c r="P566" s="12"/>
      <c r="Q566" s="8"/>
      <c r="R566" s="8"/>
      <c r="S566" s="12"/>
      <c r="T566" s="12"/>
      <c r="U566" s="13"/>
      <c r="V566" s="8"/>
      <c r="W566" s="8"/>
      <c r="AA566" s="10"/>
    </row>
    <row r="567">
      <c r="A567" s="8"/>
      <c r="B567" s="11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12"/>
      <c r="N567" s="8"/>
      <c r="O567" s="13"/>
      <c r="P567" s="12"/>
      <c r="Q567" s="8"/>
      <c r="R567" s="8"/>
      <c r="S567" s="12"/>
      <c r="T567" s="12"/>
      <c r="U567" s="13"/>
      <c r="V567" s="8"/>
      <c r="W567" s="8"/>
      <c r="AA567" s="10"/>
    </row>
    <row r="568">
      <c r="A568" s="8"/>
      <c r="B568" s="11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12"/>
      <c r="N568" s="8"/>
      <c r="O568" s="13"/>
      <c r="P568" s="12"/>
      <c r="Q568" s="8"/>
      <c r="R568" s="8"/>
      <c r="S568" s="12"/>
      <c r="T568" s="12"/>
      <c r="U568" s="13"/>
      <c r="V568" s="8"/>
      <c r="W568" s="8"/>
      <c r="AA568" s="10"/>
    </row>
    <row r="569">
      <c r="A569" s="8"/>
      <c r="B569" s="11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12"/>
      <c r="N569" s="8"/>
      <c r="O569" s="13"/>
      <c r="P569" s="12"/>
      <c r="Q569" s="8"/>
      <c r="R569" s="8"/>
      <c r="S569" s="12"/>
      <c r="T569" s="12"/>
      <c r="U569" s="13"/>
      <c r="V569" s="8"/>
      <c r="W569" s="8"/>
      <c r="AA569" s="10"/>
    </row>
    <row r="570">
      <c r="A570" s="8"/>
      <c r="B570" s="11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12"/>
      <c r="N570" s="8"/>
      <c r="O570" s="13"/>
      <c r="P570" s="12"/>
      <c r="Q570" s="8"/>
      <c r="R570" s="8"/>
      <c r="S570" s="12"/>
      <c r="T570" s="12"/>
      <c r="U570" s="13"/>
      <c r="V570" s="8"/>
      <c r="W570" s="8"/>
      <c r="AA570" s="10"/>
    </row>
    <row r="571">
      <c r="A571" s="8"/>
      <c r="B571" s="11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12"/>
      <c r="N571" s="8"/>
      <c r="O571" s="13"/>
      <c r="P571" s="12"/>
      <c r="Q571" s="8"/>
      <c r="R571" s="8"/>
      <c r="S571" s="12"/>
      <c r="T571" s="12"/>
      <c r="U571" s="13"/>
      <c r="V571" s="8"/>
      <c r="W571" s="8"/>
      <c r="AA571" s="10"/>
    </row>
    <row r="572">
      <c r="A572" s="8"/>
      <c r="B572" s="11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12"/>
      <c r="N572" s="8"/>
      <c r="O572" s="13"/>
      <c r="P572" s="12"/>
      <c r="Q572" s="8"/>
      <c r="R572" s="8"/>
      <c r="S572" s="12"/>
      <c r="T572" s="12"/>
      <c r="U572" s="13"/>
      <c r="V572" s="8"/>
      <c r="W572" s="8"/>
      <c r="AA572" s="10"/>
    </row>
    <row r="573">
      <c r="A573" s="8"/>
      <c r="B573" s="11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12"/>
      <c r="N573" s="8"/>
      <c r="O573" s="13"/>
      <c r="P573" s="12"/>
      <c r="Q573" s="8"/>
      <c r="R573" s="8"/>
      <c r="S573" s="12"/>
      <c r="T573" s="12"/>
      <c r="U573" s="13"/>
      <c r="V573" s="8"/>
      <c r="W573" s="8"/>
      <c r="AA573" s="10"/>
    </row>
    <row r="574">
      <c r="A574" s="8"/>
      <c r="B574" s="11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12"/>
      <c r="N574" s="8"/>
      <c r="O574" s="13"/>
      <c r="P574" s="12"/>
      <c r="Q574" s="8"/>
      <c r="R574" s="8"/>
      <c r="S574" s="12"/>
      <c r="T574" s="12"/>
      <c r="U574" s="13"/>
      <c r="V574" s="8"/>
      <c r="W574" s="8"/>
      <c r="AA574" s="10"/>
    </row>
    <row r="575">
      <c r="A575" s="8"/>
      <c r="B575" s="11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12"/>
      <c r="N575" s="8"/>
      <c r="O575" s="13"/>
      <c r="P575" s="12"/>
      <c r="Q575" s="8"/>
      <c r="R575" s="8"/>
      <c r="S575" s="12"/>
      <c r="T575" s="12"/>
      <c r="U575" s="13"/>
      <c r="V575" s="8"/>
      <c r="W575" s="8"/>
      <c r="AA575" s="10"/>
    </row>
    <row r="576">
      <c r="A576" s="8"/>
      <c r="B576" s="11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12"/>
      <c r="N576" s="8"/>
      <c r="O576" s="13"/>
      <c r="P576" s="12"/>
      <c r="Q576" s="8"/>
      <c r="R576" s="8"/>
      <c r="S576" s="12"/>
      <c r="T576" s="12"/>
      <c r="U576" s="13"/>
      <c r="V576" s="8"/>
      <c r="W576" s="8"/>
      <c r="AA576" s="10"/>
    </row>
    <row r="577">
      <c r="A577" s="8"/>
      <c r="B577" s="11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12"/>
      <c r="N577" s="8"/>
      <c r="O577" s="13"/>
      <c r="P577" s="12"/>
      <c r="Q577" s="8"/>
      <c r="R577" s="8"/>
      <c r="S577" s="12"/>
      <c r="T577" s="12"/>
      <c r="U577" s="13"/>
      <c r="V577" s="8"/>
      <c r="W577" s="8"/>
      <c r="AA577" s="10"/>
    </row>
    <row r="578">
      <c r="A578" s="8"/>
      <c r="B578" s="11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12"/>
      <c r="N578" s="8"/>
      <c r="O578" s="13"/>
      <c r="P578" s="12"/>
      <c r="Q578" s="8"/>
      <c r="R578" s="8"/>
      <c r="S578" s="12"/>
      <c r="T578" s="12"/>
      <c r="U578" s="13"/>
      <c r="V578" s="8"/>
      <c r="W578" s="8"/>
      <c r="AA578" s="10"/>
    </row>
    <row r="579">
      <c r="A579" s="8"/>
      <c r="B579" s="11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12"/>
      <c r="N579" s="8"/>
      <c r="O579" s="13"/>
      <c r="P579" s="12"/>
      <c r="Q579" s="8"/>
      <c r="R579" s="8"/>
      <c r="S579" s="12"/>
      <c r="T579" s="12"/>
      <c r="U579" s="13"/>
      <c r="V579" s="8"/>
      <c r="W579" s="8"/>
      <c r="AA579" s="10"/>
    </row>
    <row r="580">
      <c r="A580" s="8"/>
      <c r="B580" s="11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12"/>
      <c r="N580" s="8"/>
      <c r="O580" s="13"/>
      <c r="P580" s="12"/>
      <c r="Q580" s="8"/>
      <c r="R580" s="8"/>
      <c r="S580" s="12"/>
      <c r="T580" s="12"/>
      <c r="U580" s="13"/>
      <c r="V580" s="8"/>
      <c r="W580" s="8"/>
      <c r="AA580" s="10"/>
    </row>
    <row r="581">
      <c r="A581" s="8"/>
      <c r="B581" s="11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12"/>
      <c r="N581" s="8"/>
      <c r="O581" s="13"/>
      <c r="P581" s="12"/>
      <c r="Q581" s="8"/>
      <c r="R581" s="8"/>
      <c r="S581" s="12"/>
      <c r="T581" s="12"/>
      <c r="U581" s="13"/>
      <c r="V581" s="8"/>
      <c r="W581" s="8"/>
      <c r="AA581" s="10"/>
    </row>
    <row r="582">
      <c r="A582" s="8"/>
      <c r="B582" s="11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12"/>
      <c r="N582" s="8"/>
      <c r="O582" s="13"/>
      <c r="P582" s="12"/>
      <c r="Q582" s="8"/>
      <c r="R582" s="8"/>
      <c r="S582" s="12"/>
      <c r="T582" s="12"/>
      <c r="U582" s="13"/>
      <c r="V582" s="8"/>
      <c r="W582" s="8"/>
      <c r="AA582" s="10"/>
    </row>
    <row r="583">
      <c r="A583" s="8"/>
      <c r="B583" s="11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12"/>
      <c r="N583" s="8"/>
      <c r="O583" s="13"/>
      <c r="P583" s="12"/>
      <c r="Q583" s="8"/>
      <c r="R583" s="8"/>
      <c r="S583" s="12"/>
      <c r="T583" s="12"/>
      <c r="U583" s="13"/>
      <c r="V583" s="8"/>
      <c r="W583" s="8"/>
      <c r="AA583" s="10"/>
    </row>
    <row r="584">
      <c r="A584" s="8"/>
      <c r="B584" s="11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12"/>
      <c r="N584" s="8"/>
      <c r="O584" s="13"/>
      <c r="P584" s="12"/>
      <c r="Q584" s="8"/>
      <c r="R584" s="8"/>
      <c r="S584" s="12"/>
      <c r="T584" s="12"/>
      <c r="U584" s="13"/>
      <c r="V584" s="8"/>
      <c r="W584" s="8"/>
      <c r="AA584" s="10"/>
    </row>
    <row r="585">
      <c r="A585" s="8"/>
      <c r="B585" s="11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12"/>
      <c r="N585" s="8"/>
      <c r="O585" s="13"/>
      <c r="P585" s="12"/>
      <c r="Q585" s="8"/>
      <c r="R585" s="8"/>
      <c r="S585" s="12"/>
      <c r="T585" s="12"/>
      <c r="U585" s="13"/>
      <c r="V585" s="8"/>
      <c r="W585" s="8"/>
      <c r="AA585" s="10"/>
    </row>
    <row r="586">
      <c r="A586" s="8"/>
      <c r="B586" s="11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12"/>
      <c r="N586" s="8"/>
      <c r="O586" s="13"/>
      <c r="P586" s="12"/>
      <c r="Q586" s="8"/>
      <c r="R586" s="8"/>
      <c r="S586" s="12"/>
      <c r="T586" s="12"/>
      <c r="U586" s="13"/>
      <c r="V586" s="8"/>
      <c r="W586" s="8"/>
      <c r="AA586" s="10"/>
    </row>
    <row r="587">
      <c r="A587" s="8"/>
      <c r="B587" s="11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12"/>
      <c r="N587" s="8"/>
      <c r="O587" s="13"/>
      <c r="P587" s="12"/>
      <c r="Q587" s="8"/>
      <c r="R587" s="8"/>
      <c r="S587" s="12"/>
      <c r="T587" s="12"/>
      <c r="U587" s="13"/>
      <c r="V587" s="8"/>
      <c r="W587" s="8"/>
      <c r="AA587" s="10"/>
    </row>
    <row r="588">
      <c r="A588" s="8"/>
      <c r="B588" s="11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12"/>
      <c r="N588" s="8"/>
      <c r="O588" s="13"/>
      <c r="P588" s="12"/>
      <c r="Q588" s="8"/>
      <c r="R588" s="8"/>
      <c r="S588" s="12"/>
      <c r="T588" s="12"/>
      <c r="U588" s="13"/>
      <c r="V588" s="8"/>
      <c r="W588" s="8"/>
      <c r="AA588" s="10"/>
    </row>
    <row r="589">
      <c r="A589" s="8"/>
      <c r="B589" s="11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12"/>
      <c r="N589" s="8"/>
      <c r="O589" s="13"/>
      <c r="P589" s="12"/>
      <c r="Q589" s="8"/>
      <c r="R589" s="8"/>
      <c r="S589" s="12"/>
      <c r="T589" s="12"/>
      <c r="U589" s="13"/>
      <c r="V589" s="8"/>
      <c r="W589" s="8"/>
      <c r="AA589" s="10"/>
    </row>
    <row r="590">
      <c r="A590" s="8"/>
      <c r="B590" s="11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12"/>
      <c r="N590" s="8"/>
      <c r="O590" s="13"/>
      <c r="P590" s="12"/>
      <c r="Q590" s="8"/>
      <c r="R590" s="8"/>
      <c r="S590" s="12"/>
      <c r="T590" s="12"/>
      <c r="U590" s="13"/>
      <c r="V590" s="8"/>
      <c r="W590" s="8"/>
      <c r="AA590" s="10"/>
    </row>
    <row r="591">
      <c r="A591" s="8"/>
      <c r="B591" s="11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12"/>
      <c r="N591" s="8"/>
      <c r="O591" s="13"/>
      <c r="P591" s="12"/>
      <c r="Q591" s="8"/>
      <c r="R591" s="8"/>
      <c r="S591" s="12"/>
      <c r="T591" s="12"/>
      <c r="U591" s="13"/>
      <c r="V591" s="8"/>
      <c r="W591" s="8"/>
      <c r="AA591" s="10"/>
    </row>
    <row r="592">
      <c r="A592" s="8"/>
      <c r="B592" s="11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12"/>
      <c r="N592" s="8"/>
      <c r="O592" s="13"/>
      <c r="P592" s="12"/>
      <c r="Q592" s="8"/>
      <c r="R592" s="8"/>
      <c r="S592" s="12"/>
      <c r="T592" s="12"/>
      <c r="U592" s="13"/>
      <c r="V592" s="8"/>
      <c r="W592" s="8"/>
      <c r="AA592" s="10"/>
    </row>
    <row r="593">
      <c r="A593" s="8"/>
      <c r="B593" s="11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12"/>
      <c r="N593" s="8"/>
      <c r="O593" s="13"/>
      <c r="P593" s="12"/>
      <c r="Q593" s="8"/>
      <c r="R593" s="8"/>
      <c r="S593" s="12"/>
      <c r="T593" s="12"/>
      <c r="U593" s="13"/>
      <c r="V593" s="8"/>
      <c r="W593" s="8"/>
      <c r="AA593" s="10"/>
    </row>
    <row r="594">
      <c r="A594" s="8"/>
      <c r="B594" s="11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12"/>
      <c r="N594" s="8"/>
      <c r="O594" s="13"/>
      <c r="P594" s="12"/>
      <c r="Q594" s="8"/>
      <c r="R594" s="8"/>
      <c r="S594" s="12"/>
      <c r="T594" s="12"/>
      <c r="U594" s="13"/>
      <c r="V594" s="8"/>
      <c r="W594" s="8"/>
      <c r="AA594" s="10"/>
    </row>
    <row r="595">
      <c r="A595" s="8"/>
      <c r="B595" s="11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12"/>
      <c r="N595" s="8"/>
      <c r="O595" s="13"/>
      <c r="P595" s="12"/>
      <c r="Q595" s="8"/>
      <c r="R595" s="8"/>
      <c r="S595" s="12"/>
      <c r="T595" s="12"/>
      <c r="U595" s="13"/>
      <c r="V595" s="8"/>
      <c r="W595" s="8"/>
      <c r="AA595" s="10"/>
    </row>
    <row r="596">
      <c r="A596" s="8"/>
      <c r="B596" s="11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12"/>
      <c r="N596" s="8"/>
      <c r="O596" s="13"/>
      <c r="P596" s="12"/>
      <c r="Q596" s="8"/>
      <c r="R596" s="8"/>
      <c r="S596" s="12"/>
      <c r="T596" s="12"/>
      <c r="U596" s="13"/>
      <c r="V596" s="8"/>
      <c r="W596" s="8"/>
      <c r="AA596" s="10"/>
    </row>
    <row r="597">
      <c r="A597" s="8"/>
      <c r="B597" s="11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12"/>
      <c r="N597" s="8"/>
      <c r="O597" s="13"/>
      <c r="P597" s="12"/>
      <c r="Q597" s="8"/>
      <c r="R597" s="8"/>
      <c r="S597" s="12"/>
      <c r="T597" s="12"/>
      <c r="U597" s="13"/>
      <c r="V597" s="8"/>
      <c r="W597" s="8"/>
      <c r="AA597" s="10"/>
    </row>
    <row r="598">
      <c r="A598" s="8"/>
      <c r="B598" s="11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12"/>
      <c r="N598" s="8"/>
      <c r="O598" s="13"/>
      <c r="P598" s="12"/>
      <c r="Q598" s="8"/>
      <c r="R598" s="8"/>
      <c r="S598" s="12"/>
      <c r="T598" s="12"/>
      <c r="U598" s="13"/>
      <c r="V598" s="8"/>
      <c r="W598" s="8"/>
      <c r="AA598" s="10"/>
    </row>
    <row r="599">
      <c r="A599" s="8"/>
      <c r="B599" s="11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12"/>
      <c r="N599" s="8"/>
      <c r="O599" s="13"/>
      <c r="P599" s="12"/>
      <c r="Q599" s="8"/>
      <c r="R599" s="8"/>
      <c r="S599" s="12"/>
      <c r="T599" s="12"/>
      <c r="U599" s="13"/>
      <c r="V599" s="8"/>
      <c r="W599" s="8"/>
      <c r="AA599" s="10"/>
    </row>
    <row r="600">
      <c r="A600" s="8"/>
      <c r="B600" s="11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12"/>
      <c r="N600" s="8"/>
      <c r="O600" s="13"/>
      <c r="P600" s="12"/>
      <c r="Q600" s="8"/>
      <c r="R600" s="8"/>
      <c r="S600" s="12"/>
      <c r="T600" s="12"/>
      <c r="U600" s="13"/>
      <c r="V600" s="8"/>
      <c r="W600" s="8"/>
      <c r="AA600" s="10"/>
    </row>
    <row r="601">
      <c r="A601" s="8"/>
      <c r="B601" s="11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12"/>
      <c r="N601" s="8"/>
      <c r="O601" s="13"/>
      <c r="P601" s="12"/>
      <c r="Q601" s="8"/>
      <c r="R601" s="8"/>
      <c r="S601" s="12"/>
      <c r="T601" s="12"/>
      <c r="U601" s="13"/>
      <c r="V601" s="8"/>
      <c r="W601" s="8"/>
      <c r="AA601" s="10"/>
    </row>
    <row r="602">
      <c r="A602" s="8"/>
      <c r="B602" s="11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12"/>
      <c r="N602" s="8"/>
      <c r="O602" s="13"/>
      <c r="P602" s="12"/>
      <c r="Q602" s="8"/>
      <c r="R602" s="8"/>
      <c r="S602" s="12"/>
      <c r="T602" s="12"/>
      <c r="U602" s="13"/>
      <c r="V602" s="8"/>
      <c r="W602" s="8"/>
      <c r="AA602" s="10"/>
    </row>
    <row r="603">
      <c r="A603" s="8"/>
      <c r="B603" s="11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12"/>
      <c r="N603" s="8"/>
      <c r="O603" s="13"/>
      <c r="P603" s="12"/>
      <c r="Q603" s="8"/>
      <c r="R603" s="8"/>
      <c r="S603" s="12"/>
      <c r="T603" s="12"/>
      <c r="U603" s="13"/>
      <c r="V603" s="8"/>
      <c r="W603" s="8"/>
      <c r="AA603" s="10"/>
    </row>
    <row r="604">
      <c r="A604" s="8"/>
      <c r="B604" s="11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12"/>
      <c r="N604" s="8"/>
      <c r="O604" s="13"/>
      <c r="P604" s="12"/>
      <c r="Q604" s="8"/>
      <c r="R604" s="8"/>
      <c r="S604" s="12"/>
      <c r="T604" s="12"/>
      <c r="U604" s="13"/>
      <c r="V604" s="8"/>
      <c r="W604" s="8"/>
      <c r="AA604" s="10"/>
    </row>
    <row r="605">
      <c r="A605" s="8"/>
      <c r="B605" s="11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12"/>
      <c r="N605" s="8"/>
      <c r="O605" s="13"/>
      <c r="P605" s="12"/>
      <c r="Q605" s="8"/>
      <c r="R605" s="8"/>
      <c r="S605" s="12"/>
      <c r="T605" s="12"/>
      <c r="U605" s="13"/>
      <c r="V605" s="8"/>
      <c r="W605" s="8"/>
      <c r="AA605" s="10"/>
    </row>
    <row r="606">
      <c r="A606" s="8"/>
      <c r="B606" s="11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12"/>
      <c r="N606" s="8"/>
      <c r="O606" s="13"/>
      <c r="P606" s="12"/>
      <c r="Q606" s="8"/>
      <c r="R606" s="8"/>
      <c r="S606" s="12"/>
      <c r="T606" s="12"/>
      <c r="U606" s="13"/>
      <c r="V606" s="8"/>
      <c r="W606" s="8"/>
      <c r="AA606" s="10"/>
    </row>
    <row r="607">
      <c r="A607" s="8"/>
      <c r="B607" s="11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12"/>
      <c r="N607" s="8"/>
      <c r="O607" s="13"/>
      <c r="P607" s="12"/>
      <c r="Q607" s="8"/>
      <c r="R607" s="8"/>
      <c r="S607" s="12"/>
      <c r="T607" s="12"/>
      <c r="U607" s="13"/>
      <c r="V607" s="8"/>
      <c r="W607" s="8"/>
      <c r="AA607" s="10"/>
    </row>
    <row r="608">
      <c r="A608" s="8"/>
      <c r="B608" s="11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12"/>
      <c r="N608" s="8"/>
      <c r="O608" s="13"/>
      <c r="P608" s="12"/>
      <c r="Q608" s="8"/>
      <c r="R608" s="8"/>
      <c r="S608" s="12"/>
      <c r="T608" s="12"/>
      <c r="U608" s="13"/>
      <c r="V608" s="8"/>
      <c r="W608" s="8"/>
      <c r="AA608" s="10"/>
    </row>
    <row r="609">
      <c r="A609" s="8"/>
      <c r="B609" s="11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12"/>
      <c r="N609" s="8"/>
      <c r="O609" s="13"/>
      <c r="P609" s="12"/>
      <c r="Q609" s="8"/>
      <c r="R609" s="8"/>
      <c r="S609" s="12"/>
      <c r="T609" s="12"/>
      <c r="U609" s="13"/>
      <c r="V609" s="8"/>
      <c r="W609" s="8"/>
      <c r="AA609" s="10"/>
    </row>
    <row r="610">
      <c r="A610" s="8"/>
      <c r="B610" s="11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12"/>
      <c r="N610" s="8"/>
      <c r="O610" s="13"/>
      <c r="P610" s="12"/>
      <c r="Q610" s="8"/>
      <c r="R610" s="8"/>
      <c r="S610" s="12"/>
      <c r="T610" s="12"/>
      <c r="U610" s="13"/>
      <c r="V610" s="8"/>
      <c r="W610" s="8"/>
      <c r="AA610" s="10"/>
    </row>
    <row r="611">
      <c r="A611" s="8"/>
      <c r="B611" s="11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12"/>
      <c r="N611" s="8"/>
      <c r="O611" s="13"/>
      <c r="P611" s="12"/>
      <c r="Q611" s="8"/>
      <c r="R611" s="8"/>
      <c r="S611" s="12"/>
      <c r="T611" s="12"/>
      <c r="U611" s="13"/>
      <c r="V611" s="8"/>
      <c r="W611" s="8"/>
      <c r="AA611" s="10"/>
    </row>
    <row r="612">
      <c r="A612" s="8"/>
      <c r="B612" s="11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12"/>
      <c r="N612" s="8"/>
      <c r="O612" s="13"/>
      <c r="P612" s="12"/>
      <c r="Q612" s="8"/>
      <c r="R612" s="8"/>
      <c r="S612" s="12"/>
      <c r="T612" s="12"/>
      <c r="U612" s="13"/>
      <c r="V612" s="8"/>
      <c r="W612" s="8"/>
      <c r="AA612" s="10"/>
    </row>
    <row r="613">
      <c r="A613" s="8"/>
      <c r="B613" s="11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12"/>
      <c r="N613" s="8"/>
      <c r="O613" s="13"/>
      <c r="P613" s="12"/>
      <c r="Q613" s="8"/>
      <c r="R613" s="8"/>
      <c r="S613" s="12"/>
      <c r="T613" s="12"/>
      <c r="U613" s="13"/>
      <c r="V613" s="8"/>
      <c r="W613" s="8"/>
      <c r="AA613" s="10"/>
    </row>
    <row r="614">
      <c r="A614" s="8"/>
      <c r="B614" s="11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12"/>
      <c r="N614" s="8"/>
      <c r="O614" s="13"/>
      <c r="P614" s="12"/>
      <c r="Q614" s="8"/>
      <c r="R614" s="8"/>
      <c r="S614" s="12"/>
      <c r="T614" s="12"/>
      <c r="U614" s="13"/>
      <c r="V614" s="8"/>
      <c r="W614" s="8"/>
      <c r="AA614" s="10"/>
    </row>
    <row r="615">
      <c r="A615" s="8"/>
      <c r="B615" s="11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12"/>
      <c r="N615" s="8"/>
      <c r="O615" s="13"/>
      <c r="P615" s="12"/>
      <c r="Q615" s="8"/>
      <c r="R615" s="8"/>
      <c r="S615" s="12"/>
      <c r="T615" s="12"/>
      <c r="U615" s="13"/>
      <c r="V615" s="8"/>
      <c r="W615" s="8"/>
      <c r="AA615" s="10"/>
    </row>
    <row r="616">
      <c r="A616" s="8"/>
      <c r="B616" s="11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12"/>
      <c r="N616" s="8"/>
      <c r="O616" s="13"/>
      <c r="P616" s="12"/>
      <c r="Q616" s="8"/>
      <c r="R616" s="8"/>
      <c r="S616" s="12"/>
      <c r="T616" s="12"/>
      <c r="U616" s="13"/>
      <c r="V616" s="8"/>
      <c r="W616" s="8"/>
      <c r="AA616" s="10"/>
    </row>
    <row r="617">
      <c r="A617" s="8"/>
      <c r="B617" s="11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12"/>
      <c r="N617" s="8"/>
      <c r="O617" s="13"/>
      <c r="P617" s="12"/>
      <c r="Q617" s="8"/>
      <c r="R617" s="8"/>
      <c r="S617" s="12"/>
      <c r="T617" s="12"/>
      <c r="U617" s="13"/>
      <c r="V617" s="8"/>
      <c r="W617" s="8"/>
      <c r="AA617" s="10"/>
    </row>
    <row r="618">
      <c r="A618" s="8"/>
      <c r="B618" s="11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12"/>
      <c r="N618" s="8"/>
      <c r="O618" s="13"/>
      <c r="P618" s="12"/>
      <c r="Q618" s="8"/>
      <c r="R618" s="8"/>
      <c r="S618" s="12"/>
      <c r="T618" s="12"/>
      <c r="U618" s="13"/>
      <c r="V618" s="8"/>
      <c r="W618" s="8"/>
      <c r="AA618" s="10"/>
    </row>
    <row r="619">
      <c r="A619" s="8"/>
      <c r="B619" s="11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12"/>
      <c r="N619" s="8"/>
      <c r="O619" s="13"/>
      <c r="P619" s="12"/>
      <c r="Q619" s="8"/>
      <c r="R619" s="8"/>
      <c r="S619" s="12"/>
      <c r="T619" s="12"/>
      <c r="U619" s="13"/>
      <c r="V619" s="8"/>
      <c r="W619" s="8"/>
      <c r="AA619" s="10"/>
    </row>
    <row r="620">
      <c r="A620" s="8"/>
      <c r="B620" s="11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12"/>
      <c r="N620" s="8"/>
      <c r="O620" s="13"/>
      <c r="P620" s="12"/>
      <c r="Q620" s="8"/>
      <c r="R620" s="8"/>
      <c r="S620" s="12"/>
      <c r="T620" s="12"/>
      <c r="U620" s="13"/>
      <c r="V620" s="8"/>
      <c r="W620" s="8"/>
      <c r="AA620" s="10"/>
    </row>
    <row r="621">
      <c r="A621" s="8"/>
      <c r="B621" s="11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12"/>
      <c r="N621" s="8"/>
      <c r="O621" s="13"/>
      <c r="P621" s="12"/>
      <c r="Q621" s="8"/>
      <c r="R621" s="8"/>
      <c r="S621" s="12"/>
      <c r="T621" s="12"/>
      <c r="U621" s="13"/>
      <c r="V621" s="8"/>
      <c r="W621" s="8"/>
      <c r="AA621" s="10"/>
    </row>
    <row r="622">
      <c r="A622" s="8"/>
      <c r="B622" s="11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12"/>
      <c r="N622" s="8"/>
      <c r="O622" s="13"/>
      <c r="P622" s="12"/>
      <c r="Q622" s="8"/>
      <c r="R622" s="8"/>
      <c r="S622" s="12"/>
      <c r="T622" s="12"/>
      <c r="U622" s="13"/>
      <c r="V622" s="8"/>
      <c r="W622" s="8"/>
      <c r="AA622" s="10"/>
    </row>
    <row r="623">
      <c r="A623" s="8"/>
      <c r="B623" s="11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12"/>
      <c r="N623" s="8"/>
      <c r="O623" s="13"/>
      <c r="P623" s="12"/>
      <c r="Q623" s="8"/>
      <c r="R623" s="8"/>
      <c r="S623" s="12"/>
      <c r="T623" s="12"/>
      <c r="U623" s="13"/>
      <c r="V623" s="8"/>
      <c r="W623" s="8"/>
      <c r="AA623" s="10"/>
    </row>
    <row r="624">
      <c r="A624" s="8"/>
      <c r="B624" s="11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12"/>
      <c r="N624" s="8"/>
      <c r="O624" s="13"/>
      <c r="P624" s="12"/>
      <c r="Q624" s="8"/>
      <c r="R624" s="8"/>
      <c r="S624" s="12"/>
      <c r="T624" s="12"/>
      <c r="U624" s="13"/>
      <c r="V624" s="8"/>
      <c r="W624" s="8"/>
      <c r="AA624" s="10"/>
    </row>
    <row r="625">
      <c r="A625" s="8"/>
      <c r="B625" s="11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12"/>
      <c r="N625" s="8"/>
      <c r="O625" s="13"/>
      <c r="P625" s="12"/>
      <c r="Q625" s="8"/>
      <c r="R625" s="8"/>
      <c r="S625" s="12"/>
      <c r="T625" s="12"/>
      <c r="U625" s="13"/>
      <c r="V625" s="8"/>
      <c r="W625" s="8"/>
      <c r="AA625" s="10"/>
    </row>
    <row r="626">
      <c r="A626" s="8"/>
      <c r="B626" s="11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12"/>
      <c r="N626" s="8"/>
      <c r="O626" s="13"/>
      <c r="P626" s="12"/>
      <c r="Q626" s="8"/>
      <c r="R626" s="8"/>
      <c r="S626" s="12"/>
      <c r="T626" s="12"/>
      <c r="U626" s="13"/>
      <c r="V626" s="8"/>
      <c r="W626" s="8"/>
      <c r="AA626" s="10"/>
    </row>
    <row r="627">
      <c r="A627" s="8"/>
      <c r="B627" s="11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12"/>
      <c r="N627" s="8"/>
      <c r="O627" s="13"/>
      <c r="P627" s="12"/>
      <c r="Q627" s="8"/>
      <c r="R627" s="8"/>
      <c r="S627" s="12"/>
      <c r="T627" s="12"/>
      <c r="U627" s="13"/>
      <c r="V627" s="8"/>
      <c r="W627" s="8"/>
      <c r="AA627" s="10"/>
    </row>
    <row r="628">
      <c r="A628" s="8"/>
      <c r="B628" s="11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12"/>
      <c r="N628" s="8"/>
      <c r="O628" s="13"/>
      <c r="P628" s="12"/>
      <c r="Q628" s="8"/>
      <c r="R628" s="8"/>
      <c r="S628" s="12"/>
      <c r="T628" s="12"/>
      <c r="U628" s="13"/>
      <c r="V628" s="8"/>
      <c r="W628" s="8"/>
      <c r="AA628" s="10"/>
    </row>
    <row r="629">
      <c r="A629" s="8"/>
      <c r="B629" s="11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12"/>
      <c r="N629" s="8"/>
      <c r="O629" s="13"/>
      <c r="P629" s="12"/>
      <c r="Q629" s="8"/>
      <c r="R629" s="8"/>
      <c r="S629" s="12"/>
      <c r="T629" s="12"/>
      <c r="U629" s="13"/>
      <c r="V629" s="8"/>
      <c r="W629" s="8"/>
      <c r="AA629" s="10"/>
    </row>
    <row r="630">
      <c r="A630" s="8"/>
      <c r="B630" s="11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12"/>
      <c r="N630" s="8"/>
      <c r="O630" s="13"/>
      <c r="P630" s="12"/>
      <c r="Q630" s="8"/>
      <c r="R630" s="8"/>
      <c r="S630" s="12"/>
      <c r="T630" s="12"/>
      <c r="U630" s="13"/>
      <c r="V630" s="8"/>
      <c r="W630" s="8"/>
      <c r="AA630" s="10"/>
    </row>
    <row r="631">
      <c r="A631" s="8"/>
      <c r="B631" s="11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12"/>
      <c r="N631" s="8"/>
      <c r="O631" s="13"/>
      <c r="P631" s="12"/>
      <c r="Q631" s="8"/>
      <c r="R631" s="8"/>
      <c r="S631" s="12"/>
      <c r="T631" s="12"/>
      <c r="U631" s="13"/>
      <c r="V631" s="8"/>
      <c r="W631" s="8"/>
      <c r="AA631" s="10"/>
    </row>
    <row r="632">
      <c r="A632" s="8"/>
      <c r="B632" s="11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12"/>
      <c r="N632" s="8"/>
      <c r="O632" s="13"/>
      <c r="P632" s="12"/>
      <c r="Q632" s="8"/>
      <c r="R632" s="8"/>
      <c r="S632" s="12"/>
      <c r="T632" s="12"/>
      <c r="U632" s="13"/>
      <c r="V632" s="8"/>
      <c r="W632" s="8"/>
      <c r="AA632" s="10"/>
    </row>
    <row r="633">
      <c r="A633" s="8"/>
      <c r="B633" s="11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12"/>
      <c r="N633" s="8"/>
      <c r="O633" s="13"/>
      <c r="P633" s="12"/>
      <c r="Q633" s="8"/>
      <c r="R633" s="8"/>
      <c r="S633" s="12"/>
      <c r="T633" s="12"/>
      <c r="U633" s="13"/>
      <c r="V633" s="8"/>
      <c r="W633" s="8"/>
      <c r="AA633" s="10"/>
    </row>
    <row r="634">
      <c r="A634" s="8"/>
      <c r="B634" s="11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12"/>
      <c r="N634" s="8"/>
      <c r="O634" s="13"/>
      <c r="P634" s="12"/>
      <c r="Q634" s="8"/>
      <c r="R634" s="8"/>
      <c r="S634" s="12"/>
      <c r="T634" s="12"/>
      <c r="U634" s="13"/>
      <c r="V634" s="8"/>
      <c r="W634" s="8"/>
      <c r="AA634" s="10"/>
    </row>
    <row r="635">
      <c r="A635" s="8"/>
      <c r="B635" s="11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12"/>
      <c r="N635" s="8"/>
      <c r="O635" s="13"/>
      <c r="P635" s="12"/>
      <c r="Q635" s="8"/>
      <c r="R635" s="8"/>
      <c r="S635" s="12"/>
      <c r="T635" s="12"/>
      <c r="U635" s="13"/>
      <c r="V635" s="8"/>
      <c r="W635" s="8"/>
      <c r="AA635" s="10"/>
    </row>
    <row r="636">
      <c r="A636" s="8"/>
      <c r="B636" s="11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12"/>
      <c r="N636" s="8"/>
      <c r="O636" s="13"/>
      <c r="P636" s="12"/>
      <c r="Q636" s="8"/>
      <c r="R636" s="8"/>
      <c r="S636" s="12"/>
      <c r="T636" s="12"/>
      <c r="U636" s="13"/>
      <c r="V636" s="8"/>
      <c r="W636" s="8"/>
      <c r="AA636" s="10"/>
    </row>
    <row r="637">
      <c r="A637" s="8"/>
      <c r="B637" s="11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12"/>
      <c r="N637" s="8"/>
      <c r="O637" s="13"/>
      <c r="P637" s="12"/>
      <c r="Q637" s="8"/>
      <c r="R637" s="8"/>
      <c r="S637" s="12"/>
      <c r="T637" s="12"/>
      <c r="U637" s="13"/>
      <c r="V637" s="8"/>
      <c r="W637" s="8"/>
      <c r="AA637" s="10"/>
    </row>
    <row r="638">
      <c r="A638" s="8"/>
      <c r="B638" s="11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12"/>
      <c r="N638" s="8"/>
      <c r="O638" s="13"/>
      <c r="P638" s="12"/>
      <c r="Q638" s="8"/>
      <c r="R638" s="8"/>
      <c r="S638" s="12"/>
      <c r="T638" s="12"/>
      <c r="U638" s="13"/>
      <c r="V638" s="8"/>
      <c r="W638" s="8"/>
      <c r="AA638" s="10"/>
    </row>
    <row r="639">
      <c r="A639" s="8"/>
      <c r="B639" s="11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12"/>
      <c r="N639" s="8"/>
      <c r="O639" s="13"/>
      <c r="P639" s="12"/>
      <c r="Q639" s="8"/>
      <c r="R639" s="8"/>
      <c r="S639" s="12"/>
      <c r="T639" s="12"/>
      <c r="U639" s="13"/>
      <c r="V639" s="8"/>
      <c r="W639" s="8"/>
      <c r="AA639" s="10"/>
    </row>
    <row r="640">
      <c r="A640" s="8"/>
      <c r="B640" s="11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12"/>
      <c r="N640" s="8"/>
      <c r="O640" s="13"/>
      <c r="P640" s="12"/>
      <c r="Q640" s="8"/>
      <c r="R640" s="8"/>
      <c r="S640" s="12"/>
      <c r="T640" s="12"/>
      <c r="U640" s="13"/>
      <c r="V640" s="8"/>
      <c r="W640" s="8"/>
      <c r="AA640" s="10"/>
    </row>
    <row r="641">
      <c r="A641" s="8"/>
      <c r="B641" s="11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12"/>
      <c r="N641" s="8"/>
      <c r="O641" s="13"/>
      <c r="P641" s="12"/>
      <c r="Q641" s="8"/>
      <c r="R641" s="8"/>
      <c r="S641" s="12"/>
      <c r="T641" s="12"/>
      <c r="U641" s="13"/>
      <c r="V641" s="8"/>
      <c r="W641" s="8"/>
      <c r="AA641" s="10"/>
    </row>
    <row r="642">
      <c r="A642" s="8"/>
      <c r="B642" s="11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12"/>
      <c r="N642" s="8"/>
      <c r="O642" s="13"/>
      <c r="P642" s="12"/>
      <c r="Q642" s="8"/>
      <c r="R642" s="8"/>
      <c r="S642" s="12"/>
      <c r="T642" s="12"/>
      <c r="U642" s="13"/>
      <c r="V642" s="8"/>
      <c r="W642" s="8"/>
      <c r="AA642" s="10"/>
    </row>
    <row r="643">
      <c r="A643" s="8"/>
      <c r="B643" s="11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12"/>
      <c r="N643" s="8"/>
      <c r="O643" s="13"/>
      <c r="P643" s="12"/>
      <c r="Q643" s="8"/>
      <c r="R643" s="8"/>
      <c r="S643" s="12"/>
      <c r="T643" s="12"/>
      <c r="U643" s="13"/>
      <c r="V643" s="8"/>
      <c r="W643" s="8"/>
      <c r="AA643" s="10"/>
    </row>
    <row r="644">
      <c r="A644" s="8"/>
      <c r="B644" s="11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12"/>
      <c r="N644" s="8"/>
      <c r="O644" s="13"/>
      <c r="P644" s="12"/>
      <c r="Q644" s="8"/>
      <c r="R644" s="8"/>
      <c r="S644" s="12"/>
      <c r="T644" s="12"/>
      <c r="U644" s="13"/>
      <c r="V644" s="8"/>
      <c r="W644" s="8"/>
      <c r="AA644" s="10"/>
    </row>
    <row r="645">
      <c r="A645" s="8"/>
      <c r="B645" s="11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12"/>
      <c r="N645" s="8"/>
      <c r="O645" s="13"/>
      <c r="P645" s="12"/>
      <c r="Q645" s="8"/>
      <c r="R645" s="8"/>
      <c r="S645" s="12"/>
      <c r="T645" s="12"/>
      <c r="U645" s="13"/>
      <c r="V645" s="8"/>
      <c r="W645" s="8"/>
      <c r="AA645" s="10"/>
    </row>
    <row r="646">
      <c r="A646" s="8"/>
      <c r="B646" s="11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12"/>
      <c r="N646" s="8"/>
      <c r="O646" s="13"/>
      <c r="P646" s="12"/>
      <c r="Q646" s="8"/>
      <c r="R646" s="8"/>
      <c r="S646" s="12"/>
      <c r="T646" s="12"/>
      <c r="U646" s="13"/>
      <c r="V646" s="8"/>
      <c r="W646" s="8"/>
      <c r="AA646" s="10"/>
    </row>
    <row r="647">
      <c r="A647" s="8"/>
      <c r="B647" s="11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12"/>
      <c r="N647" s="8"/>
      <c r="O647" s="13"/>
      <c r="P647" s="12"/>
      <c r="Q647" s="8"/>
      <c r="R647" s="8"/>
      <c r="S647" s="12"/>
      <c r="T647" s="12"/>
      <c r="U647" s="13"/>
      <c r="V647" s="8"/>
      <c r="W647" s="8"/>
      <c r="AA647" s="10"/>
    </row>
    <row r="648">
      <c r="A648" s="8"/>
      <c r="B648" s="11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12"/>
      <c r="N648" s="8"/>
      <c r="O648" s="13"/>
      <c r="P648" s="12"/>
      <c r="Q648" s="8"/>
      <c r="R648" s="8"/>
      <c r="S648" s="12"/>
      <c r="T648" s="12"/>
      <c r="U648" s="13"/>
      <c r="V648" s="8"/>
      <c r="W648" s="8"/>
      <c r="AA648" s="10"/>
    </row>
    <row r="649">
      <c r="A649" s="8"/>
      <c r="B649" s="11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12"/>
      <c r="N649" s="8"/>
      <c r="O649" s="13"/>
      <c r="P649" s="12"/>
      <c r="Q649" s="8"/>
      <c r="R649" s="8"/>
      <c r="S649" s="12"/>
      <c r="T649" s="12"/>
      <c r="U649" s="13"/>
      <c r="V649" s="8"/>
      <c r="W649" s="8"/>
      <c r="AA649" s="10"/>
    </row>
    <row r="650">
      <c r="A650" s="8"/>
      <c r="B650" s="11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12"/>
      <c r="N650" s="8"/>
      <c r="O650" s="13"/>
      <c r="P650" s="12"/>
      <c r="Q650" s="8"/>
      <c r="R650" s="8"/>
      <c r="S650" s="12"/>
      <c r="T650" s="12"/>
      <c r="U650" s="13"/>
      <c r="V650" s="8"/>
      <c r="W650" s="8"/>
      <c r="AA650" s="10"/>
    </row>
    <row r="651">
      <c r="A651" s="8"/>
      <c r="B651" s="11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12"/>
      <c r="N651" s="8"/>
      <c r="O651" s="13"/>
      <c r="P651" s="12"/>
      <c r="Q651" s="8"/>
      <c r="R651" s="8"/>
      <c r="S651" s="12"/>
      <c r="T651" s="12"/>
      <c r="U651" s="13"/>
      <c r="V651" s="8"/>
      <c r="W651" s="8"/>
      <c r="AA651" s="10"/>
    </row>
    <row r="652">
      <c r="A652" s="8"/>
      <c r="B652" s="11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12"/>
      <c r="N652" s="8"/>
      <c r="O652" s="13"/>
      <c r="P652" s="12"/>
      <c r="Q652" s="8"/>
      <c r="R652" s="8"/>
      <c r="S652" s="12"/>
      <c r="T652" s="12"/>
      <c r="U652" s="13"/>
      <c r="V652" s="8"/>
      <c r="W652" s="8"/>
      <c r="AA652" s="10"/>
    </row>
    <row r="653">
      <c r="A653" s="8"/>
      <c r="B653" s="11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12"/>
      <c r="N653" s="8"/>
      <c r="O653" s="13"/>
      <c r="P653" s="12"/>
      <c r="Q653" s="8"/>
      <c r="R653" s="8"/>
      <c r="S653" s="12"/>
      <c r="T653" s="12"/>
      <c r="U653" s="13"/>
      <c r="V653" s="8"/>
      <c r="W653" s="8"/>
      <c r="AA653" s="10"/>
    </row>
    <row r="654">
      <c r="A654" s="8"/>
      <c r="B654" s="11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12"/>
      <c r="N654" s="8"/>
      <c r="O654" s="13"/>
      <c r="P654" s="12"/>
      <c r="Q654" s="8"/>
      <c r="R654" s="8"/>
      <c r="S654" s="12"/>
      <c r="T654" s="12"/>
      <c r="U654" s="13"/>
      <c r="V654" s="8"/>
      <c r="W654" s="8"/>
      <c r="AA654" s="10"/>
    </row>
    <row r="655">
      <c r="A655" s="8"/>
      <c r="B655" s="11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12"/>
      <c r="N655" s="8"/>
      <c r="O655" s="13"/>
      <c r="P655" s="12"/>
      <c r="Q655" s="8"/>
      <c r="R655" s="8"/>
      <c r="S655" s="12"/>
      <c r="T655" s="12"/>
      <c r="U655" s="13"/>
      <c r="V655" s="8"/>
      <c r="W655" s="8"/>
      <c r="AA655" s="10"/>
    </row>
    <row r="656">
      <c r="A656" s="8"/>
      <c r="B656" s="11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12"/>
      <c r="N656" s="8"/>
      <c r="O656" s="13"/>
      <c r="P656" s="12"/>
      <c r="Q656" s="8"/>
      <c r="R656" s="8"/>
      <c r="S656" s="12"/>
      <c r="T656" s="12"/>
      <c r="U656" s="13"/>
      <c r="V656" s="8"/>
      <c r="W656" s="8"/>
      <c r="AA656" s="10"/>
    </row>
    <row r="657">
      <c r="A657" s="8"/>
      <c r="B657" s="11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12"/>
      <c r="N657" s="8"/>
      <c r="O657" s="13"/>
      <c r="P657" s="12"/>
      <c r="Q657" s="8"/>
      <c r="R657" s="8"/>
      <c r="S657" s="12"/>
      <c r="T657" s="12"/>
      <c r="U657" s="13"/>
      <c r="V657" s="8"/>
      <c r="W657" s="8"/>
      <c r="AA657" s="10"/>
    </row>
    <row r="658">
      <c r="A658" s="8"/>
      <c r="B658" s="11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12"/>
      <c r="N658" s="8"/>
      <c r="O658" s="13"/>
      <c r="P658" s="12"/>
      <c r="Q658" s="8"/>
      <c r="R658" s="8"/>
      <c r="S658" s="12"/>
      <c r="T658" s="12"/>
      <c r="U658" s="13"/>
      <c r="V658" s="8"/>
      <c r="W658" s="8"/>
      <c r="AA658" s="10"/>
    </row>
    <row r="659">
      <c r="A659" s="8"/>
      <c r="B659" s="11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12"/>
      <c r="N659" s="8"/>
      <c r="O659" s="13"/>
      <c r="P659" s="12"/>
      <c r="Q659" s="8"/>
      <c r="R659" s="8"/>
      <c r="S659" s="12"/>
      <c r="T659" s="12"/>
      <c r="U659" s="13"/>
      <c r="V659" s="8"/>
      <c r="W659" s="8"/>
      <c r="AA659" s="10"/>
    </row>
    <row r="660">
      <c r="A660" s="8"/>
      <c r="B660" s="11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12"/>
      <c r="N660" s="8"/>
      <c r="O660" s="13"/>
      <c r="P660" s="12"/>
      <c r="Q660" s="8"/>
      <c r="R660" s="8"/>
      <c r="S660" s="12"/>
      <c r="T660" s="12"/>
      <c r="U660" s="13"/>
      <c r="V660" s="8"/>
      <c r="W660" s="8"/>
      <c r="AA660" s="10"/>
    </row>
    <row r="661">
      <c r="A661" s="8"/>
      <c r="B661" s="11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12"/>
      <c r="N661" s="8"/>
      <c r="O661" s="13"/>
      <c r="P661" s="12"/>
      <c r="Q661" s="8"/>
      <c r="R661" s="8"/>
      <c r="S661" s="12"/>
      <c r="T661" s="12"/>
      <c r="U661" s="13"/>
      <c r="V661" s="8"/>
      <c r="W661" s="8"/>
      <c r="AA661" s="10"/>
    </row>
    <row r="662">
      <c r="A662" s="8"/>
      <c r="B662" s="11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12"/>
      <c r="N662" s="8"/>
      <c r="O662" s="13"/>
      <c r="P662" s="12"/>
      <c r="Q662" s="8"/>
      <c r="R662" s="8"/>
      <c r="S662" s="12"/>
      <c r="T662" s="12"/>
      <c r="U662" s="13"/>
      <c r="V662" s="8"/>
      <c r="W662" s="8"/>
      <c r="AA662" s="10"/>
    </row>
    <row r="663">
      <c r="A663" s="8"/>
      <c r="B663" s="11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12"/>
      <c r="N663" s="8"/>
      <c r="O663" s="13"/>
      <c r="P663" s="12"/>
      <c r="Q663" s="8"/>
      <c r="R663" s="8"/>
      <c r="S663" s="12"/>
      <c r="T663" s="12"/>
      <c r="U663" s="13"/>
      <c r="V663" s="8"/>
      <c r="W663" s="8"/>
      <c r="AA663" s="10"/>
    </row>
    <row r="664">
      <c r="A664" s="8"/>
      <c r="B664" s="11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12"/>
      <c r="N664" s="8"/>
      <c r="O664" s="13"/>
      <c r="P664" s="12"/>
      <c r="Q664" s="8"/>
      <c r="R664" s="8"/>
      <c r="S664" s="12"/>
      <c r="T664" s="12"/>
      <c r="U664" s="13"/>
      <c r="V664" s="8"/>
      <c r="W664" s="8"/>
      <c r="AA664" s="10"/>
    </row>
    <row r="665">
      <c r="A665" s="8"/>
      <c r="B665" s="11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12"/>
      <c r="N665" s="8"/>
      <c r="O665" s="13"/>
      <c r="P665" s="12"/>
      <c r="Q665" s="8"/>
      <c r="R665" s="8"/>
      <c r="S665" s="12"/>
      <c r="T665" s="12"/>
      <c r="U665" s="13"/>
      <c r="V665" s="8"/>
      <c r="W665" s="8"/>
      <c r="AA665" s="10"/>
    </row>
    <row r="666">
      <c r="A666" s="8"/>
      <c r="B666" s="11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12"/>
      <c r="N666" s="8"/>
      <c r="O666" s="13"/>
      <c r="P666" s="12"/>
      <c r="Q666" s="8"/>
      <c r="R666" s="8"/>
      <c r="S666" s="12"/>
      <c r="T666" s="12"/>
      <c r="U666" s="13"/>
      <c r="V666" s="8"/>
      <c r="W666" s="8"/>
      <c r="AA666" s="10"/>
    </row>
    <row r="667">
      <c r="A667" s="8"/>
      <c r="B667" s="11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12"/>
      <c r="N667" s="8"/>
      <c r="O667" s="13"/>
      <c r="P667" s="12"/>
      <c r="Q667" s="8"/>
      <c r="R667" s="8"/>
      <c r="S667" s="12"/>
      <c r="T667" s="12"/>
      <c r="U667" s="13"/>
      <c r="V667" s="8"/>
      <c r="W667" s="8"/>
      <c r="AA667" s="10"/>
    </row>
    <row r="668">
      <c r="A668" s="8"/>
      <c r="B668" s="11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12"/>
      <c r="N668" s="8"/>
      <c r="O668" s="13"/>
      <c r="P668" s="12"/>
      <c r="Q668" s="8"/>
      <c r="R668" s="8"/>
      <c r="S668" s="12"/>
      <c r="T668" s="12"/>
      <c r="U668" s="13"/>
      <c r="V668" s="8"/>
      <c r="W668" s="8"/>
      <c r="AA668" s="10"/>
    </row>
    <row r="669">
      <c r="A669" s="8"/>
      <c r="B669" s="11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12"/>
      <c r="N669" s="8"/>
      <c r="O669" s="13"/>
      <c r="P669" s="12"/>
      <c r="Q669" s="8"/>
      <c r="R669" s="8"/>
      <c r="S669" s="12"/>
      <c r="T669" s="12"/>
      <c r="U669" s="13"/>
      <c r="V669" s="8"/>
      <c r="W669" s="8"/>
      <c r="AA669" s="10"/>
    </row>
    <row r="670">
      <c r="A670" s="8"/>
      <c r="B670" s="11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12"/>
      <c r="N670" s="8"/>
      <c r="O670" s="13"/>
      <c r="P670" s="12"/>
      <c r="Q670" s="8"/>
      <c r="R670" s="8"/>
      <c r="S670" s="12"/>
      <c r="T670" s="12"/>
      <c r="U670" s="13"/>
      <c r="V670" s="8"/>
      <c r="W670" s="8"/>
      <c r="AA670" s="10"/>
    </row>
    <row r="671">
      <c r="A671" s="8"/>
      <c r="B671" s="11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12"/>
      <c r="N671" s="8"/>
      <c r="O671" s="13"/>
      <c r="P671" s="12"/>
      <c r="Q671" s="8"/>
      <c r="R671" s="8"/>
      <c r="S671" s="12"/>
      <c r="T671" s="12"/>
      <c r="U671" s="13"/>
      <c r="V671" s="8"/>
      <c r="W671" s="8"/>
      <c r="AA671" s="10"/>
    </row>
    <row r="672">
      <c r="A672" s="8"/>
      <c r="B672" s="11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12"/>
      <c r="N672" s="8"/>
      <c r="O672" s="13"/>
      <c r="P672" s="12"/>
      <c r="Q672" s="8"/>
      <c r="R672" s="8"/>
      <c r="S672" s="12"/>
      <c r="T672" s="12"/>
      <c r="U672" s="13"/>
      <c r="V672" s="8"/>
      <c r="W672" s="8"/>
      <c r="AA672" s="10"/>
    </row>
    <row r="673">
      <c r="A673" s="8"/>
      <c r="B673" s="11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12"/>
      <c r="N673" s="8"/>
      <c r="O673" s="13"/>
      <c r="P673" s="12"/>
      <c r="Q673" s="8"/>
      <c r="R673" s="8"/>
      <c r="S673" s="12"/>
      <c r="T673" s="12"/>
      <c r="U673" s="13"/>
      <c r="V673" s="8"/>
      <c r="W673" s="8"/>
      <c r="AA673" s="10"/>
    </row>
    <row r="674">
      <c r="A674" s="8"/>
      <c r="B674" s="11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12"/>
      <c r="N674" s="8"/>
      <c r="O674" s="13"/>
      <c r="P674" s="12"/>
      <c r="Q674" s="8"/>
      <c r="R674" s="8"/>
      <c r="S674" s="12"/>
      <c r="T674" s="12"/>
      <c r="U674" s="13"/>
      <c r="V674" s="8"/>
      <c r="W674" s="8"/>
      <c r="AA674" s="10"/>
    </row>
    <row r="675">
      <c r="A675" s="8"/>
      <c r="B675" s="11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12"/>
      <c r="N675" s="8"/>
      <c r="O675" s="13"/>
      <c r="P675" s="12"/>
      <c r="Q675" s="8"/>
      <c r="R675" s="8"/>
      <c r="S675" s="12"/>
      <c r="T675" s="12"/>
      <c r="U675" s="13"/>
      <c r="V675" s="8"/>
      <c r="W675" s="8"/>
      <c r="AA675" s="10"/>
    </row>
    <row r="676">
      <c r="A676" s="8"/>
      <c r="B676" s="11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12"/>
      <c r="N676" s="8"/>
      <c r="O676" s="13"/>
      <c r="P676" s="12"/>
      <c r="Q676" s="8"/>
      <c r="R676" s="8"/>
      <c r="S676" s="12"/>
      <c r="T676" s="12"/>
      <c r="U676" s="13"/>
      <c r="V676" s="8"/>
      <c r="W676" s="8"/>
      <c r="AA676" s="10"/>
    </row>
    <row r="677">
      <c r="A677" s="8"/>
      <c r="B677" s="11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12"/>
      <c r="N677" s="8"/>
      <c r="O677" s="13"/>
      <c r="P677" s="12"/>
      <c r="Q677" s="8"/>
      <c r="R677" s="8"/>
      <c r="S677" s="12"/>
      <c r="T677" s="12"/>
      <c r="U677" s="13"/>
      <c r="V677" s="8"/>
      <c r="W677" s="8"/>
      <c r="AA677" s="10"/>
    </row>
    <row r="678">
      <c r="A678" s="8"/>
      <c r="B678" s="11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12"/>
      <c r="N678" s="8"/>
      <c r="O678" s="13"/>
      <c r="P678" s="12"/>
      <c r="Q678" s="8"/>
      <c r="R678" s="8"/>
      <c r="S678" s="12"/>
      <c r="T678" s="12"/>
      <c r="U678" s="13"/>
      <c r="V678" s="8"/>
      <c r="W678" s="8"/>
      <c r="AA678" s="10"/>
    </row>
    <row r="679">
      <c r="A679" s="8"/>
      <c r="B679" s="11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12"/>
      <c r="N679" s="8"/>
      <c r="O679" s="13"/>
      <c r="P679" s="12"/>
      <c r="Q679" s="8"/>
      <c r="R679" s="8"/>
      <c r="S679" s="12"/>
      <c r="T679" s="12"/>
      <c r="U679" s="13"/>
      <c r="V679" s="8"/>
      <c r="W679" s="8"/>
      <c r="AA679" s="10"/>
    </row>
    <row r="680">
      <c r="A680" s="8"/>
      <c r="B680" s="11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12"/>
      <c r="N680" s="8"/>
      <c r="O680" s="13"/>
      <c r="P680" s="12"/>
      <c r="Q680" s="8"/>
      <c r="R680" s="8"/>
      <c r="S680" s="12"/>
      <c r="T680" s="12"/>
      <c r="U680" s="13"/>
      <c r="V680" s="8"/>
      <c r="W680" s="8"/>
      <c r="AA680" s="10"/>
    </row>
    <row r="681">
      <c r="A681" s="8"/>
      <c r="B681" s="11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12"/>
      <c r="N681" s="8"/>
      <c r="O681" s="13"/>
      <c r="P681" s="12"/>
      <c r="Q681" s="8"/>
      <c r="R681" s="8"/>
      <c r="S681" s="12"/>
      <c r="T681" s="12"/>
      <c r="U681" s="13"/>
      <c r="V681" s="8"/>
      <c r="W681" s="8"/>
      <c r="AA681" s="10"/>
    </row>
    <row r="682">
      <c r="A682" s="8"/>
      <c r="B682" s="11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12"/>
      <c r="N682" s="8"/>
      <c r="O682" s="13"/>
      <c r="P682" s="12"/>
      <c r="Q682" s="8"/>
      <c r="R682" s="8"/>
      <c r="S682" s="12"/>
      <c r="T682" s="12"/>
      <c r="U682" s="13"/>
      <c r="V682" s="8"/>
      <c r="W682" s="8"/>
      <c r="AA682" s="10"/>
    </row>
    <row r="683">
      <c r="A683" s="8"/>
      <c r="B683" s="11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12"/>
      <c r="N683" s="8"/>
      <c r="O683" s="13"/>
      <c r="P683" s="12"/>
      <c r="Q683" s="8"/>
      <c r="R683" s="8"/>
      <c r="S683" s="12"/>
      <c r="T683" s="12"/>
      <c r="U683" s="13"/>
      <c r="V683" s="8"/>
      <c r="W683" s="8"/>
      <c r="AA683" s="10"/>
    </row>
    <row r="684">
      <c r="A684" s="8"/>
      <c r="B684" s="11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12"/>
      <c r="N684" s="8"/>
      <c r="O684" s="13"/>
      <c r="P684" s="12"/>
      <c r="Q684" s="8"/>
      <c r="R684" s="8"/>
      <c r="S684" s="12"/>
      <c r="T684" s="12"/>
      <c r="U684" s="13"/>
      <c r="V684" s="8"/>
      <c r="W684" s="8"/>
      <c r="AA684" s="10"/>
    </row>
    <row r="685">
      <c r="A685" s="8"/>
      <c r="B685" s="11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12"/>
      <c r="N685" s="8"/>
      <c r="O685" s="13"/>
      <c r="P685" s="12"/>
      <c r="Q685" s="8"/>
      <c r="R685" s="8"/>
      <c r="S685" s="12"/>
      <c r="T685" s="12"/>
      <c r="U685" s="13"/>
      <c r="V685" s="8"/>
      <c r="W685" s="8"/>
      <c r="AA685" s="10"/>
    </row>
    <row r="686">
      <c r="A686" s="8"/>
      <c r="B686" s="11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12"/>
      <c r="N686" s="8"/>
      <c r="O686" s="13"/>
      <c r="P686" s="12"/>
      <c r="Q686" s="8"/>
      <c r="R686" s="8"/>
      <c r="S686" s="12"/>
      <c r="T686" s="12"/>
      <c r="U686" s="13"/>
      <c r="V686" s="8"/>
      <c r="W686" s="8"/>
      <c r="AA686" s="10"/>
    </row>
    <row r="687">
      <c r="A687" s="8"/>
      <c r="B687" s="11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12"/>
      <c r="N687" s="8"/>
      <c r="O687" s="13"/>
      <c r="P687" s="12"/>
      <c r="Q687" s="8"/>
      <c r="R687" s="8"/>
      <c r="S687" s="12"/>
      <c r="T687" s="12"/>
      <c r="U687" s="13"/>
      <c r="V687" s="8"/>
      <c r="W687" s="8"/>
      <c r="AA687" s="10"/>
    </row>
    <row r="688">
      <c r="A688" s="8"/>
      <c r="B688" s="11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12"/>
      <c r="N688" s="8"/>
      <c r="O688" s="13"/>
      <c r="P688" s="12"/>
      <c r="Q688" s="8"/>
      <c r="R688" s="8"/>
      <c r="S688" s="12"/>
      <c r="T688" s="12"/>
      <c r="U688" s="13"/>
      <c r="V688" s="8"/>
      <c r="W688" s="8"/>
      <c r="AA688" s="10"/>
    </row>
    <row r="689">
      <c r="A689" s="8"/>
      <c r="B689" s="11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12"/>
      <c r="N689" s="8"/>
      <c r="O689" s="13"/>
      <c r="P689" s="12"/>
      <c r="Q689" s="8"/>
      <c r="R689" s="8"/>
      <c r="S689" s="12"/>
      <c r="T689" s="12"/>
      <c r="U689" s="13"/>
      <c r="V689" s="8"/>
      <c r="W689" s="8"/>
      <c r="AA689" s="10"/>
    </row>
    <row r="690">
      <c r="A690" s="8"/>
      <c r="B690" s="11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12"/>
      <c r="N690" s="8"/>
      <c r="O690" s="13"/>
      <c r="P690" s="12"/>
      <c r="Q690" s="8"/>
      <c r="R690" s="8"/>
      <c r="S690" s="12"/>
      <c r="T690" s="12"/>
      <c r="U690" s="13"/>
      <c r="V690" s="8"/>
      <c r="W690" s="8"/>
      <c r="AA690" s="10"/>
    </row>
    <row r="691">
      <c r="A691" s="8"/>
      <c r="B691" s="11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12"/>
      <c r="N691" s="8"/>
      <c r="O691" s="13"/>
      <c r="P691" s="12"/>
      <c r="Q691" s="8"/>
      <c r="R691" s="8"/>
      <c r="S691" s="12"/>
      <c r="T691" s="12"/>
      <c r="U691" s="13"/>
      <c r="V691" s="8"/>
      <c r="W691" s="8"/>
      <c r="AA691" s="10"/>
    </row>
    <row r="692">
      <c r="A692" s="8"/>
      <c r="B692" s="11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12"/>
      <c r="N692" s="8"/>
      <c r="O692" s="13"/>
      <c r="P692" s="12"/>
      <c r="Q692" s="8"/>
      <c r="R692" s="8"/>
      <c r="S692" s="12"/>
      <c r="T692" s="12"/>
      <c r="U692" s="13"/>
      <c r="V692" s="8"/>
      <c r="W692" s="8"/>
      <c r="AA692" s="10"/>
    </row>
    <row r="693">
      <c r="A693" s="8"/>
      <c r="B693" s="11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12"/>
      <c r="N693" s="8"/>
      <c r="O693" s="13"/>
      <c r="P693" s="12"/>
      <c r="Q693" s="8"/>
      <c r="R693" s="8"/>
      <c r="S693" s="12"/>
      <c r="T693" s="12"/>
      <c r="U693" s="13"/>
      <c r="V693" s="8"/>
      <c r="W693" s="8"/>
      <c r="AA693" s="10"/>
    </row>
    <row r="694">
      <c r="A694" s="8"/>
      <c r="B694" s="11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12"/>
      <c r="N694" s="8"/>
      <c r="O694" s="13"/>
      <c r="P694" s="12"/>
      <c r="Q694" s="8"/>
      <c r="R694" s="8"/>
      <c r="S694" s="12"/>
      <c r="T694" s="12"/>
      <c r="U694" s="13"/>
      <c r="V694" s="8"/>
      <c r="W694" s="8"/>
      <c r="AA694" s="10"/>
    </row>
    <row r="695">
      <c r="A695" s="8"/>
      <c r="B695" s="11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12"/>
      <c r="N695" s="8"/>
      <c r="O695" s="13"/>
      <c r="P695" s="12"/>
      <c r="Q695" s="8"/>
      <c r="R695" s="8"/>
      <c r="S695" s="12"/>
      <c r="T695" s="12"/>
      <c r="U695" s="13"/>
      <c r="V695" s="8"/>
      <c r="W695" s="8"/>
      <c r="AA695" s="10"/>
    </row>
    <row r="696">
      <c r="A696" s="8"/>
      <c r="B696" s="11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12"/>
      <c r="N696" s="8"/>
      <c r="O696" s="13"/>
      <c r="P696" s="12"/>
      <c r="Q696" s="8"/>
      <c r="R696" s="8"/>
      <c r="S696" s="12"/>
      <c r="T696" s="12"/>
      <c r="U696" s="13"/>
      <c r="V696" s="8"/>
      <c r="W696" s="8"/>
      <c r="AA696" s="10"/>
    </row>
    <row r="697">
      <c r="A697" s="8"/>
      <c r="B697" s="11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12"/>
      <c r="N697" s="8"/>
      <c r="O697" s="13"/>
      <c r="P697" s="12"/>
      <c r="Q697" s="8"/>
      <c r="R697" s="8"/>
      <c r="S697" s="12"/>
      <c r="T697" s="12"/>
      <c r="U697" s="13"/>
      <c r="V697" s="8"/>
      <c r="W697" s="8"/>
      <c r="AA697" s="10"/>
    </row>
    <row r="698">
      <c r="A698" s="8"/>
      <c r="B698" s="11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12"/>
      <c r="N698" s="8"/>
      <c r="O698" s="13"/>
      <c r="P698" s="12"/>
      <c r="Q698" s="8"/>
      <c r="R698" s="8"/>
      <c r="S698" s="12"/>
      <c r="T698" s="12"/>
      <c r="U698" s="13"/>
      <c r="V698" s="8"/>
      <c r="W698" s="8"/>
      <c r="AA698" s="10"/>
    </row>
    <row r="699">
      <c r="A699" s="8"/>
      <c r="B699" s="11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12"/>
      <c r="N699" s="8"/>
      <c r="O699" s="13"/>
      <c r="P699" s="12"/>
      <c r="Q699" s="8"/>
      <c r="R699" s="8"/>
      <c r="S699" s="12"/>
      <c r="T699" s="12"/>
      <c r="U699" s="13"/>
      <c r="V699" s="8"/>
      <c r="W699" s="8"/>
      <c r="AA699" s="10"/>
    </row>
    <row r="700">
      <c r="A700" s="8"/>
      <c r="B700" s="11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12"/>
      <c r="N700" s="8"/>
      <c r="O700" s="13"/>
      <c r="P700" s="12"/>
      <c r="Q700" s="8"/>
      <c r="R700" s="8"/>
      <c r="S700" s="12"/>
      <c r="T700" s="12"/>
      <c r="U700" s="13"/>
      <c r="V700" s="8"/>
      <c r="W700" s="8"/>
      <c r="AA700" s="10"/>
    </row>
    <row r="701">
      <c r="A701" s="8"/>
      <c r="B701" s="11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12"/>
      <c r="N701" s="8"/>
      <c r="O701" s="13"/>
      <c r="P701" s="12"/>
      <c r="Q701" s="8"/>
      <c r="R701" s="8"/>
      <c r="S701" s="12"/>
      <c r="T701" s="12"/>
      <c r="U701" s="13"/>
      <c r="V701" s="8"/>
      <c r="W701" s="8"/>
      <c r="AA701" s="10"/>
    </row>
    <row r="702">
      <c r="A702" s="8"/>
      <c r="B702" s="11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12"/>
      <c r="N702" s="8"/>
      <c r="O702" s="13"/>
      <c r="P702" s="12"/>
      <c r="Q702" s="8"/>
      <c r="R702" s="8"/>
      <c r="S702" s="12"/>
      <c r="T702" s="12"/>
      <c r="U702" s="13"/>
      <c r="V702" s="8"/>
      <c r="W702" s="8"/>
      <c r="AA702" s="10"/>
    </row>
    <row r="703">
      <c r="A703" s="8"/>
      <c r="B703" s="11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12"/>
      <c r="N703" s="8"/>
      <c r="O703" s="13"/>
      <c r="P703" s="12"/>
      <c r="Q703" s="8"/>
      <c r="R703" s="8"/>
      <c r="S703" s="12"/>
      <c r="T703" s="12"/>
      <c r="U703" s="13"/>
      <c r="V703" s="8"/>
      <c r="W703" s="8"/>
      <c r="AA703" s="10"/>
    </row>
    <row r="704">
      <c r="A704" s="8"/>
      <c r="B704" s="11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12"/>
      <c r="N704" s="8"/>
      <c r="O704" s="13"/>
      <c r="P704" s="12"/>
      <c r="Q704" s="8"/>
      <c r="R704" s="8"/>
      <c r="S704" s="12"/>
      <c r="T704" s="12"/>
      <c r="U704" s="13"/>
      <c r="V704" s="8"/>
      <c r="W704" s="8"/>
      <c r="AA704" s="10"/>
    </row>
    <row r="705">
      <c r="A705" s="8"/>
      <c r="B705" s="11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12"/>
      <c r="N705" s="8"/>
      <c r="O705" s="13"/>
      <c r="P705" s="12"/>
      <c r="Q705" s="8"/>
      <c r="R705" s="8"/>
      <c r="S705" s="12"/>
      <c r="T705" s="12"/>
      <c r="U705" s="13"/>
      <c r="V705" s="8"/>
      <c r="W705" s="8"/>
      <c r="AA705" s="10"/>
    </row>
    <row r="706">
      <c r="A706" s="8"/>
      <c r="B706" s="11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12"/>
      <c r="N706" s="8"/>
      <c r="O706" s="13"/>
      <c r="P706" s="12"/>
      <c r="Q706" s="8"/>
      <c r="R706" s="8"/>
      <c r="S706" s="12"/>
      <c r="T706" s="12"/>
      <c r="U706" s="13"/>
      <c r="V706" s="8"/>
      <c r="W706" s="8"/>
      <c r="AA706" s="10"/>
    </row>
    <row r="707">
      <c r="A707" s="8"/>
      <c r="B707" s="11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12"/>
      <c r="N707" s="8"/>
      <c r="O707" s="13"/>
      <c r="P707" s="12"/>
      <c r="Q707" s="8"/>
      <c r="R707" s="8"/>
      <c r="S707" s="12"/>
      <c r="T707" s="12"/>
      <c r="U707" s="13"/>
      <c r="V707" s="8"/>
      <c r="W707" s="8"/>
      <c r="AA707" s="10"/>
    </row>
    <row r="708">
      <c r="A708" s="8"/>
      <c r="B708" s="11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12"/>
      <c r="N708" s="8"/>
      <c r="O708" s="13"/>
      <c r="P708" s="12"/>
      <c r="Q708" s="8"/>
      <c r="R708" s="8"/>
      <c r="S708" s="12"/>
      <c r="T708" s="12"/>
      <c r="U708" s="13"/>
      <c r="V708" s="8"/>
      <c r="W708" s="8"/>
      <c r="AA708" s="10"/>
    </row>
    <row r="709">
      <c r="A709" s="8"/>
      <c r="B709" s="11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12"/>
      <c r="N709" s="8"/>
      <c r="O709" s="13"/>
      <c r="P709" s="12"/>
      <c r="Q709" s="8"/>
      <c r="R709" s="8"/>
      <c r="S709" s="12"/>
      <c r="T709" s="12"/>
      <c r="U709" s="13"/>
      <c r="V709" s="8"/>
      <c r="W709" s="8"/>
      <c r="AA709" s="10"/>
    </row>
    <row r="710">
      <c r="A710" s="8"/>
      <c r="B710" s="11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12"/>
      <c r="N710" s="8"/>
      <c r="O710" s="13"/>
      <c r="P710" s="12"/>
      <c r="Q710" s="8"/>
      <c r="R710" s="8"/>
      <c r="S710" s="12"/>
      <c r="T710" s="12"/>
      <c r="U710" s="13"/>
      <c r="V710" s="8"/>
      <c r="W710" s="8"/>
      <c r="AA710" s="10"/>
    </row>
    <row r="711">
      <c r="A711" s="8"/>
      <c r="B711" s="11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12"/>
      <c r="N711" s="8"/>
      <c r="O711" s="13"/>
      <c r="P711" s="12"/>
      <c r="Q711" s="8"/>
      <c r="R711" s="8"/>
      <c r="S711" s="12"/>
      <c r="T711" s="12"/>
      <c r="U711" s="13"/>
      <c r="V711" s="8"/>
      <c r="W711" s="8"/>
      <c r="AA711" s="10"/>
    </row>
    <row r="712">
      <c r="A712" s="8"/>
      <c r="B712" s="11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12"/>
      <c r="N712" s="8"/>
      <c r="O712" s="13"/>
      <c r="P712" s="12"/>
      <c r="Q712" s="8"/>
      <c r="R712" s="8"/>
      <c r="S712" s="12"/>
      <c r="T712" s="12"/>
      <c r="U712" s="13"/>
      <c r="V712" s="8"/>
      <c r="W712" s="8"/>
      <c r="AA712" s="10"/>
    </row>
    <row r="713">
      <c r="A713" s="8"/>
      <c r="B713" s="11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12"/>
      <c r="N713" s="8"/>
      <c r="O713" s="13"/>
      <c r="P713" s="12"/>
      <c r="Q713" s="8"/>
      <c r="R713" s="8"/>
      <c r="S713" s="12"/>
      <c r="T713" s="12"/>
      <c r="U713" s="13"/>
      <c r="V713" s="8"/>
      <c r="W713" s="8"/>
      <c r="AA713" s="10"/>
    </row>
    <row r="714">
      <c r="A714" s="8"/>
      <c r="B714" s="11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12"/>
      <c r="N714" s="8"/>
      <c r="O714" s="13"/>
      <c r="P714" s="12"/>
      <c r="Q714" s="8"/>
      <c r="R714" s="8"/>
      <c r="S714" s="12"/>
      <c r="T714" s="12"/>
      <c r="U714" s="13"/>
      <c r="V714" s="8"/>
      <c r="W714" s="8"/>
      <c r="AA714" s="10"/>
    </row>
    <row r="715">
      <c r="A715" s="8"/>
      <c r="B715" s="11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12"/>
      <c r="N715" s="8"/>
      <c r="O715" s="13"/>
      <c r="P715" s="12"/>
      <c r="Q715" s="8"/>
      <c r="R715" s="8"/>
      <c r="S715" s="12"/>
      <c r="T715" s="12"/>
      <c r="U715" s="13"/>
      <c r="V715" s="8"/>
      <c r="W715" s="8"/>
      <c r="AA715" s="10"/>
    </row>
    <row r="716">
      <c r="A716" s="8"/>
      <c r="B716" s="11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12"/>
      <c r="N716" s="8"/>
      <c r="O716" s="13"/>
      <c r="P716" s="12"/>
      <c r="Q716" s="8"/>
      <c r="R716" s="8"/>
      <c r="S716" s="12"/>
      <c r="T716" s="12"/>
      <c r="U716" s="13"/>
      <c r="V716" s="8"/>
      <c r="W716" s="8"/>
      <c r="AA716" s="10"/>
    </row>
    <row r="717">
      <c r="A717" s="8"/>
      <c r="B717" s="11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12"/>
      <c r="N717" s="8"/>
      <c r="O717" s="13"/>
      <c r="P717" s="12"/>
      <c r="Q717" s="8"/>
      <c r="R717" s="8"/>
      <c r="S717" s="12"/>
      <c r="T717" s="12"/>
      <c r="U717" s="13"/>
      <c r="V717" s="8"/>
      <c r="W717" s="8"/>
      <c r="AA717" s="10"/>
    </row>
    <row r="718">
      <c r="A718" s="8"/>
      <c r="B718" s="11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12"/>
      <c r="N718" s="8"/>
      <c r="O718" s="13"/>
      <c r="P718" s="12"/>
      <c r="Q718" s="8"/>
      <c r="R718" s="8"/>
      <c r="S718" s="12"/>
      <c r="T718" s="12"/>
      <c r="U718" s="13"/>
      <c r="V718" s="8"/>
      <c r="W718" s="8"/>
      <c r="AA718" s="10"/>
    </row>
    <row r="719">
      <c r="A719" s="8"/>
      <c r="B719" s="11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12"/>
      <c r="N719" s="8"/>
      <c r="O719" s="13"/>
      <c r="P719" s="12"/>
      <c r="Q719" s="8"/>
      <c r="R719" s="8"/>
      <c r="S719" s="12"/>
      <c r="T719" s="12"/>
      <c r="U719" s="13"/>
      <c r="V719" s="8"/>
      <c r="W719" s="8"/>
      <c r="AA719" s="10"/>
    </row>
    <row r="720">
      <c r="A720" s="8"/>
      <c r="B720" s="11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12"/>
      <c r="N720" s="8"/>
      <c r="O720" s="13"/>
      <c r="P720" s="12"/>
      <c r="Q720" s="8"/>
      <c r="R720" s="8"/>
      <c r="S720" s="12"/>
      <c r="T720" s="12"/>
      <c r="U720" s="13"/>
      <c r="V720" s="8"/>
      <c r="W720" s="8"/>
      <c r="AA720" s="10"/>
    </row>
    <row r="721">
      <c r="A721" s="8"/>
      <c r="B721" s="11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12"/>
      <c r="N721" s="8"/>
      <c r="O721" s="13"/>
      <c r="P721" s="12"/>
      <c r="Q721" s="8"/>
      <c r="R721" s="8"/>
      <c r="S721" s="12"/>
      <c r="T721" s="12"/>
      <c r="U721" s="13"/>
      <c r="V721" s="8"/>
      <c r="W721" s="8"/>
      <c r="AA721" s="10"/>
    </row>
    <row r="722">
      <c r="A722" s="8"/>
      <c r="B722" s="11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12"/>
      <c r="N722" s="8"/>
      <c r="O722" s="13"/>
      <c r="P722" s="12"/>
      <c r="Q722" s="8"/>
      <c r="R722" s="8"/>
      <c r="S722" s="12"/>
      <c r="T722" s="12"/>
      <c r="U722" s="13"/>
      <c r="V722" s="8"/>
      <c r="W722" s="8"/>
      <c r="AA722" s="10"/>
    </row>
    <row r="723">
      <c r="A723" s="8"/>
      <c r="B723" s="11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12"/>
      <c r="N723" s="8"/>
      <c r="O723" s="13"/>
      <c r="P723" s="12"/>
      <c r="Q723" s="8"/>
      <c r="R723" s="8"/>
      <c r="S723" s="12"/>
      <c r="T723" s="12"/>
      <c r="U723" s="13"/>
      <c r="V723" s="8"/>
      <c r="W723" s="8"/>
      <c r="AA723" s="10"/>
    </row>
    <row r="724">
      <c r="A724" s="8"/>
      <c r="B724" s="11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12"/>
      <c r="N724" s="8"/>
      <c r="O724" s="13"/>
      <c r="P724" s="12"/>
      <c r="Q724" s="8"/>
      <c r="R724" s="8"/>
      <c r="S724" s="12"/>
      <c r="T724" s="12"/>
      <c r="U724" s="13"/>
      <c r="V724" s="8"/>
      <c r="W724" s="8"/>
      <c r="AA724" s="10"/>
    </row>
    <row r="725">
      <c r="A725" s="8"/>
      <c r="B725" s="11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12"/>
      <c r="N725" s="8"/>
      <c r="O725" s="13"/>
      <c r="P725" s="12"/>
      <c r="Q725" s="8"/>
      <c r="R725" s="8"/>
      <c r="S725" s="12"/>
      <c r="T725" s="12"/>
      <c r="U725" s="13"/>
      <c r="V725" s="8"/>
      <c r="W725" s="8"/>
      <c r="AA725" s="10"/>
    </row>
    <row r="726">
      <c r="A726" s="8"/>
      <c r="B726" s="11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12"/>
      <c r="N726" s="8"/>
      <c r="O726" s="13"/>
      <c r="P726" s="12"/>
      <c r="Q726" s="8"/>
      <c r="R726" s="8"/>
      <c r="S726" s="12"/>
      <c r="T726" s="12"/>
      <c r="U726" s="13"/>
      <c r="V726" s="8"/>
      <c r="W726" s="8"/>
      <c r="AA726" s="10"/>
    </row>
    <row r="727">
      <c r="A727" s="8"/>
      <c r="B727" s="11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12"/>
      <c r="N727" s="8"/>
      <c r="O727" s="13"/>
      <c r="P727" s="12"/>
      <c r="Q727" s="8"/>
      <c r="R727" s="8"/>
      <c r="S727" s="12"/>
      <c r="T727" s="12"/>
      <c r="U727" s="13"/>
      <c r="V727" s="8"/>
      <c r="W727" s="8"/>
      <c r="AA727" s="10"/>
    </row>
    <row r="728">
      <c r="A728" s="8"/>
      <c r="B728" s="11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12"/>
      <c r="N728" s="8"/>
      <c r="O728" s="13"/>
      <c r="P728" s="12"/>
      <c r="Q728" s="8"/>
      <c r="R728" s="8"/>
      <c r="S728" s="12"/>
      <c r="T728" s="12"/>
      <c r="U728" s="13"/>
      <c r="V728" s="8"/>
      <c r="W728" s="8"/>
      <c r="AA728" s="10"/>
    </row>
    <row r="729">
      <c r="A729" s="8"/>
      <c r="B729" s="11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12"/>
      <c r="N729" s="8"/>
      <c r="O729" s="13"/>
      <c r="P729" s="12"/>
      <c r="Q729" s="8"/>
      <c r="R729" s="8"/>
      <c r="S729" s="12"/>
      <c r="T729" s="12"/>
      <c r="U729" s="13"/>
      <c r="V729" s="8"/>
      <c r="W729" s="8"/>
      <c r="AA729" s="10"/>
    </row>
    <row r="730">
      <c r="A730" s="8"/>
      <c r="B730" s="11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12"/>
      <c r="N730" s="8"/>
      <c r="O730" s="13"/>
      <c r="P730" s="12"/>
      <c r="Q730" s="8"/>
      <c r="R730" s="8"/>
      <c r="S730" s="12"/>
      <c r="T730" s="12"/>
      <c r="U730" s="13"/>
      <c r="V730" s="8"/>
      <c r="W730" s="8"/>
      <c r="AA730" s="10"/>
    </row>
    <row r="731">
      <c r="A731" s="8"/>
      <c r="B731" s="11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12"/>
      <c r="N731" s="8"/>
      <c r="O731" s="13"/>
      <c r="P731" s="12"/>
      <c r="Q731" s="8"/>
      <c r="R731" s="8"/>
      <c r="S731" s="12"/>
      <c r="T731" s="12"/>
      <c r="U731" s="13"/>
      <c r="V731" s="8"/>
      <c r="W731" s="8"/>
      <c r="AA731" s="10"/>
    </row>
    <row r="732">
      <c r="A732" s="8"/>
      <c r="B732" s="11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12"/>
      <c r="N732" s="8"/>
      <c r="O732" s="13"/>
      <c r="P732" s="12"/>
      <c r="Q732" s="8"/>
      <c r="R732" s="8"/>
      <c r="S732" s="12"/>
      <c r="T732" s="12"/>
      <c r="U732" s="13"/>
      <c r="V732" s="8"/>
      <c r="W732" s="8"/>
      <c r="AA732" s="10"/>
    </row>
    <row r="733">
      <c r="A733" s="8"/>
      <c r="B733" s="11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12"/>
      <c r="N733" s="8"/>
      <c r="O733" s="13"/>
      <c r="P733" s="12"/>
      <c r="Q733" s="8"/>
      <c r="R733" s="8"/>
      <c r="S733" s="12"/>
      <c r="T733" s="12"/>
      <c r="U733" s="13"/>
      <c r="V733" s="8"/>
      <c r="W733" s="8"/>
      <c r="AA733" s="10"/>
    </row>
    <row r="734">
      <c r="A734" s="8"/>
      <c r="B734" s="11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12"/>
      <c r="N734" s="8"/>
      <c r="O734" s="13"/>
      <c r="P734" s="12"/>
      <c r="Q734" s="8"/>
      <c r="R734" s="8"/>
      <c r="S734" s="12"/>
      <c r="T734" s="12"/>
      <c r="U734" s="13"/>
      <c r="V734" s="8"/>
      <c r="W734" s="8"/>
      <c r="AA734" s="10"/>
    </row>
    <row r="735">
      <c r="A735" s="8"/>
      <c r="B735" s="11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12"/>
      <c r="N735" s="8"/>
      <c r="O735" s="13"/>
      <c r="P735" s="12"/>
      <c r="Q735" s="8"/>
      <c r="R735" s="8"/>
      <c r="S735" s="12"/>
      <c r="T735" s="12"/>
      <c r="U735" s="13"/>
      <c r="V735" s="8"/>
      <c r="W735" s="8"/>
      <c r="AA735" s="10"/>
    </row>
    <row r="736">
      <c r="A736" s="8"/>
      <c r="B736" s="11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12"/>
      <c r="N736" s="8"/>
      <c r="O736" s="13"/>
      <c r="P736" s="12"/>
      <c r="Q736" s="8"/>
      <c r="R736" s="8"/>
      <c r="S736" s="12"/>
      <c r="T736" s="12"/>
      <c r="U736" s="13"/>
      <c r="V736" s="8"/>
      <c r="W736" s="8"/>
      <c r="AA736" s="10"/>
    </row>
    <row r="737">
      <c r="A737" s="8"/>
      <c r="B737" s="11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12"/>
      <c r="N737" s="8"/>
      <c r="O737" s="13"/>
      <c r="P737" s="12"/>
      <c r="Q737" s="8"/>
      <c r="R737" s="8"/>
      <c r="S737" s="12"/>
      <c r="T737" s="12"/>
      <c r="U737" s="13"/>
      <c r="V737" s="8"/>
      <c r="W737" s="8"/>
      <c r="AA737" s="10"/>
    </row>
    <row r="738">
      <c r="A738" s="8"/>
      <c r="B738" s="11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12"/>
      <c r="N738" s="8"/>
      <c r="O738" s="13"/>
      <c r="P738" s="12"/>
      <c r="Q738" s="8"/>
      <c r="R738" s="8"/>
      <c r="S738" s="12"/>
      <c r="T738" s="12"/>
      <c r="U738" s="13"/>
      <c r="V738" s="8"/>
      <c r="W738" s="8"/>
      <c r="AA738" s="10"/>
    </row>
    <row r="739">
      <c r="A739" s="8"/>
      <c r="B739" s="11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12"/>
      <c r="N739" s="8"/>
      <c r="O739" s="13"/>
      <c r="P739" s="12"/>
      <c r="Q739" s="8"/>
      <c r="R739" s="8"/>
      <c r="S739" s="12"/>
      <c r="T739" s="12"/>
      <c r="U739" s="13"/>
      <c r="V739" s="8"/>
      <c r="W739" s="8"/>
      <c r="AA739" s="10"/>
    </row>
    <row r="740">
      <c r="A740" s="8"/>
      <c r="B740" s="11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12"/>
      <c r="N740" s="8"/>
      <c r="O740" s="13"/>
      <c r="P740" s="12"/>
      <c r="Q740" s="8"/>
      <c r="R740" s="8"/>
      <c r="S740" s="12"/>
      <c r="T740" s="12"/>
      <c r="U740" s="13"/>
      <c r="V740" s="8"/>
      <c r="W740" s="8"/>
      <c r="AA740" s="10"/>
    </row>
    <row r="741">
      <c r="A741" s="8"/>
      <c r="B741" s="11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12"/>
      <c r="N741" s="8"/>
      <c r="O741" s="13"/>
      <c r="P741" s="12"/>
      <c r="Q741" s="8"/>
      <c r="R741" s="8"/>
      <c r="S741" s="12"/>
      <c r="T741" s="12"/>
      <c r="U741" s="13"/>
      <c r="V741" s="8"/>
      <c r="W741" s="8"/>
      <c r="AA741" s="10"/>
    </row>
    <row r="742">
      <c r="A742" s="8"/>
      <c r="B742" s="11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12"/>
      <c r="N742" s="8"/>
      <c r="O742" s="13"/>
      <c r="P742" s="12"/>
      <c r="Q742" s="8"/>
      <c r="R742" s="8"/>
      <c r="S742" s="12"/>
      <c r="T742" s="12"/>
      <c r="U742" s="13"/>
      <c r="V742" s="8"/>
      <c r="W742" s="8"/>
      <c r="AA742" s="10"/>
    </row>
    <row r="743">
      <c r="A743" s="8"/>
      <c r="B743" s="11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12"/>
      <c r="N743" s="8"/>
      <c r="O743" s="13"/>
      <c r="P743" s="12"/>
      <c r="Q743" s="8"/>
      <c r="R743" s="8"/>
      <c r="S743" s="12"/>
      <c r="T743" s="12"/>
      <c r="U743" s="13"/>
      <c r="V743" s="8"/>
      <c r="W743" s="8"/>
      <c r="AA743" s="10"/>
    </row>
    <row r="744">
      <c r="A744" s="8"/>
      <c r="B744" s="11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12"/>
      <c r="N744" s="8"/>
      <c r="O744" s="13"/>
      <c r="P744" s="12"/>
      <c r="Q744" s="8"/>
      <c r="R744" s="8"/>
      <c r="S744" s="12"/>
      <c r="T744" s="12"/>
      <c r="U744" s="13"/>
      <c r="V744" s="8"/>
      <c r="W744" s="8"/>
      <c r="AA744" s="10"/>
    </row>
    <row r="745">
      <c r="A745" s="8"/>
      <c r="B745" s="11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12"/>
      <c r="N745" s="8"/>
      <c r="O745" s="13"/>
      <c r="P745" s="12"/>
      <c r="Q745" s="8"/>
      <c r="R745" s="8"/>
      <c r="S745" s="12"/>
      <c r="T745" s="12"/>
      <c r="U745" s="13"/>
      <c r="V745" s="8"/>
      <c r="W745" s="8"/>
      <c r="AA745" s="10"/>
    </row>
    <row r="746">
      <c r="A746" s="8"/>
      <c r="B746" s="11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12"/>
      <c r="N746" s="8"/>
      <c r="O746" s="13"/>
      <c r="P746" s="12"/>
      <c r="Q746" s="8"/>
      <c r="R746" s="8"/>
      <c r="S746" s="12"/>
      <c r="T746" s="12"/>
      <c r="U746" s="13"/>
      <c r="V746" s="8"/>
      <c r="W746" s="8"/>
      <c r="AA746" s="10"/>
    </row>
    <row r="747">
      <c r="A747" s="8"/>
      <c r="B747" s="11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12"/>
      <c r="N747" s="8"/>
      <c r="O747" s="13"/>
      <c r="P747" s="12"/>
      <c r="Q747" s="8"/>
      <c r="R747" s="8"/>
      <c r="S747" s="12"/>
      <c r="T747" s="12"/>
      <c r="U747" s="13"/>
      <c r="V747" s="8"/>
      <c r="W747" s="8"/>
      <c r="AA747" s="10"/>
    </row>
    <row r="748">
      <c r="A748" s="8"/>
      <c r="B748" s="11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12"/>
      <c r="N748" s="8"/>
      <c r="O748" s="13"/>
      <c r="P748" s="12"/>
      <c r="Q748" s="8"/>
      <c r="R748" s="8"/>
      <c r="S748" s="12"/>
      <c r="T748" s="12"/>
      <c r="U748" s="13"/>
      <c r="V748" s="8"/>
      <c r="W748" s="8"/>
      <c r="AA748" s="10"/>
    </row>
    <row r="749">
      <c r="A749" s="8"/>
      <c r="B749" s="11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12"/>
      <c r="N749" s="8"/>
      <c r="O749" s="13"/>
      <c r="P749" s="12"/>
      <c r="Q749" s="8"/>
      <c r="R749" s="8"/>
      <c r="S749" s="12"/>
      <c r="T749" s="12"/>
      <c r="U749" s="13"/>
      <c r="V749" s="8"/>
      <c r="W749" s="8"/>
      <c r="AA749" s="10"/>
    </row>
    <row r="750">
      <c r="A750" s="8"/>
      <c r="B750" s="11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12"/>
      <c r="N750" s="8"/>
      <c r="O750" s="13"/>
      <c r="P750" s="12"/>
      <c r="Q750" s="8"/>
      <c r="R750" s="8"/>
      <c r="S750" s="12"/>
      <c r="T750" s="12"/>
      <c r="U750" s="13"/>
      <c r="V750" s="8"/>
      <c r="W750" s="8"/>
      <c r="AA750" s="10"/>
    </row>
    <row r="751">
      <c r="A751" s="8"/>
      <c r="B751" s="11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12"/>
      <c r="N751" s="8"/>
      <c r="O751" s="13"/>
      <c r="P751" s="12"/>
      <c r="Q751" s="8"/>
      <c r="R751" s="8"/>
      <c r="S751" s="12"/>
      <c r="T751" s="12"/>
      <c r="U751" s="13"/>
      <c r="V751" s="8"/>
      <c r="W751" s="8"/>
      <c r="AA751" s="10"/>
    </row>
    <row r="752">
      <c r="A752" s="8"/>
      <c r="B752" s="11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12"/>
      <c r="N752" s="8"/>
      <c r="O752" s="13"/>
      <c r="P752" s="12"/>
      <c r="Q752" s="8"/>
      <c r="R752" s="8"/>
      <c r="S752" s="12"/>
      <c r="T752" s="12"/>
      <c r="U752" s="13"/>
      <c r="V752" s="8"/>
      <c r="W752" s="8"/>
      <c r="AA752" s="10"/>
    </row>
    <row r="753">
      <c r="A753" s="8"/>
      <c r="B753" s="11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12"/>
      <c r="N753" s="8"/>
      <c r="O753" s="13"/>
      <c r="P753" s="12"/>
      <c r="Q753" s="8"/>
      <c r="R753" s="8"/>
      <c r="S753" s="12"/>
      <c r="T753" s="12"/>
      <c r="U753" s="13"/>
      <c r="V753" s="8"/>
      <c r="W753" s="8"/>
      <c r="AA753" s="10"/>
    </row>
    <row r="754">
      <c r="A754" s="8"/>
      <c r="B754" s="11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12"/>
      <c r="N754" s="8"/>
      <c r="O754" s="13"/>
      <c r="P754" s="12"/>
      <c r="Q754" s="8"/>
      <c r="R754" s="8"/>
      <c r="S754" s="12"/>
      <c r="T754" s="12"/>
      <c r="U754" s="13"/>
      <c r="V754" s="8"/>
      <c r="W754" s="8"/>
      <c r="AA754" s="10"/>
    </row>
    <row r="755">
      <c r="A755" s="8"/>
      <c r="B755" s="11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12"/>
      <c r="N755" s="8"/>
      <c r="O755" s="13"/>
      <c r="P755" s="12"/>
      <c r="Q755" s="8"/>
      <c r="R755" s="8"/>
      <c r="S755" s="12"/>
      <c r="T755" s="12"/>
      <c r="U755" s="13"/>
      <c r="V755" s="8"/>
      <c r="W755" s="8"/>
      <c r="AA755" s="10"/>
    </row>
    <row r="756">
      <c r="A756" s="8"/>
      <c r="B756" s="11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12"/>
      <c r="N756" s="8"/>
      <c r="O756" s="13"/>
      <c r="P756" s="12"/>
      <c r="Q756" s="8"/>
      <c r="R756" s="8"/>
      <c r="S756" s="12"/>
      <c r="T756" s="12"/>
      <c r="U756" s="13"/>
      <c r="V756" s="8"/>
      <c r="W756" s="8"/>
      <c r="AA756" s="10"/>
    </row>
    <row r="757">
      <c r="A757" s="8"/>
      <c r="B757" s="11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12"/>
      <c r="N757" s="8"/>
      <c r="O757" s="13"/>
      <c r="P757" s="12"/>
      <c r="Q757" s="8"/>
      <c r="R757" s="8"/>
      <c r="S757" s="12"/>
      <c r="T757" s="12"/>
      <c r="U757" s="13"/>
      <c r="V757" s="8"/>
      <c r="W757" s="8"/>
      <c r="AA757" s="10"/>
    </row>
    <row r="758">
      <c r="A758" s="8"/>
      <c r="B758" s="11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12"/>
      <c r="N758" s="8"/>
      <c r="O758" s="13"/>
      <c r="P758" s="12"/>
      <c r="Q758" s="8"/>
      <c r="R758" s="8"/>
      <c r="S758" s="12"/>
      <c r="T758" s="12"/>
      <c r="U758" s="13"/>
      <c r="V758" s="8"/>
      <c r="W758" s="8"/>
      <c r="AA758" s="10"/>
    </row>
    <row r="759">
      <c r="A759" s="8"/>
      <c r="B759" s="11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12"/>
      <c r="N759" s="8"/>
      <c r="O759" s="13"/>
      <c r="P759" s="12"/>
      <c r="Q759" s="8"/>
      <c r="R759" s="8"/>
      <c r="S759" s="12"/>
      <c r="T759" s="12"/>
      <c r="U759" s="13"/>
      <c r="V759" s="8"/>
      <c r="W759" s="8"/>
      <c r="AA759" s="10"/>
    </row>
    <row r="760">
      <c r="A760" s="8"/>
      <c r="B760" s="11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12"/>
      <c r="N760" s="8"/>
      <c r="O760" s="13"/>
      <c r="P760" s="12"/>
      <c r="Q760" s="8"/>
      <c r="R760" s="8"/>
      <c r="S760" s="12"/>
      <c r="T760" s="12"/>
      <c r="U760" s="13"/>
      <c r="V760" s="8"/>
      <c r="W760" s="8"/>
      <c r="AA760" s="10"/>
    </row>
    <row r="761">
      <c r="A761" s="8"/>
      <c r="B761" s="11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12"/>
      <c r="N761" s="8"/>
      <c r="O761" s="13"/>
      <c r="P761" s="12"/>
      <c r="Q761" s="8"/>
      <c r="R761" s="8"/>
      <c r="S761" s="12"/>
      <c r="T761" s="12"/>
      <c r="U761" s="13"/>
      <c r="V761" s="8"/>
      <c r="W761" s="8"/>
      <c r="AA761" s="10"/>
    </row>
    <row r="762">
      <c r="A762" s="8"/>
      <c r="B762" s="11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12"/>
      <c r="N762" s="8"/>
      <c r="O762" s="13"/>
      <c r="P762" s="12"/>
      <c r="Q762" s="8"/>
      <c r="R762" s="8"/>
      <c r="S762" s="12"/>
      <c r="T762" s="12"/>
      <c r="U762" s="13"/>
      <c r="V762" s="8"/>
      <c r="W762" s="8"/>
      <c r="AA762" s="10"/>
    </row>
    <row r="763">
      <c r="A763" s="8"/>
      <c r="B763" s="11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12"/>
      <c r="N763" s="8"/>
      <c r="O763" s="13"/>
      <c r="P763" s="12"/>
      <c r="Q763" s="8"/>
      <c r="R763" s="8"/>
      <c r="S763" s="12"/>
      <c r="T763" s="12"/>
      <c r="U763" s="13"/>
      <c r="V763" s="8"/>
      <c r="W763" s="8"/>
      <c r="AA763" s="10"/>
    </row>
    <row r="764">
      <c r="A764" s="8"/>
      <c r="B764" s="11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12"/>
      <c r="N764" s="8"/>
      <c r="O764" s="13"/>
      <c r="P764" s="12"/>
      <c r="Q764" s="8"/>
      <c r="R764" s="8"/>
      <c r="S764" s="12"/>
      <c r="T764" s="12"/>
      <c r="U764" s="13"/>
      <c r="V764" s="8"/>
      <c r="W764" s="8"/>
      <c r="AA764" s="10"/>
    </row>
    <row r="765">
      <c r="A765" s="8"/>
      <c r="B765" s="11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12"/>
      <c r="N765" s="8"/>
      <c r="O765" s="13"/>
      <c r="P765" s="12"/>
      <c r="Q765" s="8"/>
      <c r="R765" s="8"/>
      <c r="S765" s="12"/>
      <c r="T765" s="12"/>
      <c r="U765" s="13"/>
      <c r="V765" s="8"/>
      <c r="W765" s="8"/>
      <c r="AA765" s="10"/>
    </row>
    <row r="766">
      <c r="A766" s="8"/>
      <c r="B766" s="11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12"/>
      <c r="N766" s="8"/>
      <c r="O766" s="13"/>
      <c r="P766" s="12"/>
      <c r="Q766" s="8"/>
      <c r="R766" s="8"/>
      <c r="S766" s="12"/>
      <c r="T766" s="12"/>
      <c r="U766" s="13"/>
      <c r="V766" s="8"/>
      <c r="W766" s="8"/>
      <c r="AA766" s="10"/>
    </row>
    <row r="767">
      <c r="A767" s="8"/>
      <c r="B767" s="11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12"/>
      <c r="N767" s="8"/>
      <c r="O767" s="13"/>
      <c r="P767" s="12"/>
      <c r="Q767" s="8"/>
      <c r="R767" s="8"/>
      <c r="S767" s="12"/>
      <c r="T767" s="12"/>
      <c r="U767" s="13"/>
      <c r="V767" s="8"/>
      <c r="W767" s="8"/>
      <c r="AA767" s="10"/>
    </row>
    <row r="768">
      <c r="A768" s="8"/>
      <c r="B768" s="11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12"/>
      <c r="N768" s="8"/>
      <c r="O768" s="13"/>
      <c r="P768" s="12"/>
      <c r="Q768" s="8"/>
      <c r="R768" s="8"/>
      <c r="S768" s="12"/>
      <c r="T768" s="12"/>
      <c r="U768" s="13"/>
      <c r="V768" s="8"/>
      <c r="W768" s="8"/>
      <c r="AA768" s="10"/>
    </row>
    <row r="769">
      <c r="A769" s="8"/>
      <c r="B769" s="11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12"/>
      <c r="N769" s="8"/>
      <c r="O769" s="13"/>
      <c r="P769" s="12"/>
      <c r="Q769" s="8"/>
      <c r="R769" s="8"/>
      <c r="S769" s="12"/>
      <c r="T769" s="12"/>
      <c r="U769" s="13"/>
      <c r="V769" s="8"/>
      <c r="W769" s="8"/>
      <c r="AA769" s="10"/>
    </row>
    <row r="770">
      <c r="A770" s="8"/>
      <c r="B770" s="11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12"/>
      <c r="N770" s="8"/>
      <c r="O770" s="13"/>
      <c r="P770" s="12"/>
      <c r="Q770" s="8"/>
      <c r="R770" s="8"/>
      <c r="S770" s="12"/>
      <c r="T770" s="12"/>
      <c r="U770" s="13"/>
      <c r="V770" s="8"/>
      <c r="W770" s="8"/>
      <c r="AA770" s="10"/>
    </row>
    <row r="771">
      <c r="A771" s="8"/>
      <c r="B771" s="11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12"/>
      <c r="N771" s="8"/>
      <c r="O771" s="13"/>
      <c r="P771" s="12"/>
      <c r="Q771" s="8"/>
      <c r="R771" s="8"/>
      <c r="S771" s="12"/>
      <c r="T771" s="12"/>
      <c r="U771" s="13"/>
      <c r="V771" s="8"/>
      <c r="W771" s="8"/>
      <c r="AA771" s="10"/>
    </row>
    <row r="772">
      <c r="A772" s="8"/>
      <c r="B772" s="11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12"/>
      <c r="N772" s="8"/>
      <c r="O772" s="13"/>
      <c r="P772" s="12"/>
      <c r="Q772" s="8"/>
      <c r="R772" s="8"/>
      <c r="S772" s="12"/>
      <c r="T772" s="12"/>
      <c r="U772" s="13"/>
      <c r="V772" s="8"/>
      <c r="W772" s="8"/>
      <c r="AA772" s="10"/>
    </row>
    <row r="773">
      <c r="A773" s="8"/>
      <c r="B773" s="11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12"/>
      <c r="N773" s="8"/>
      <c r="O773" s="13"/>
      <c r="P773" s="12"/>
      <c r="Q773" s="8"/>
      <c r="R773" s="8"/>
      <c r="S773" s="12"/>
      <c r="T773" s="12"/>
      <c r="U773" s="13"/>
      <c r="V773" s="8"/>
      <c r="W773" s="8"/>
      <c r="AA773" s="10"/>
    </row>
    <row r="774">
      <c r="A774" s="8"/>
      <c r="B774" s="11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12"/>
      <c r="N774" s="8"/>
      <c r="O774" s="13"/>
      <c r="P774" s="12"/>
      <c r="Q774" s="8"/>
      <c r="R774" s="8"/>
      <c r="S774" s="12"/>
      <c r="T774" s="12"/>
      <c r="U774" s="13"/>
      <c r="V774" s="8"/>
      <c r="W774" s="8"/>
      <c r="AA774" s="10"/>
    </row>
    <row r="775">
      <c r="A775" s="8"/>
      <c r="B775" s="11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12"/>
      <c r="N775" s="8"/>
      <c r="O775" s="13"/>
      <c r="P775" s="12"/>
      <c r="Q775" s="8"/>
      <c r="R775" s="8"/>
      <c r="S775" s="12"/>
      <c r="T775" s="12"/>
      <c r="U775" s="13"/>
      <c r="V775" s="8"/>
      <c r="W775" s="8"/>
      <c r="AA775" s="10"/>
    </row>
    <row r="776">
      <c r="A776" s="8"/>
      <c r="B776" s="11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12"/>
      <c r="N776" s="8"/>
      <c r="O776" s="13"/>
      <c r="P776" s="12"/>
      <c r="Q776" s="8"/>
      <c r="R776" s="8"/>
      <c r="S776" s="12"/>
      <c r="T776" s="12"/>
      <c r="U776" s="13"/>
      <c r="V776" s="8"/>
      <c r="W776" s="8"/>
      <c r="AA776" s="10"/>
    </row>
    <row r="777">
      <c r="A777" s="8"/>
      <c r="B777" s="11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12"/>
      <c r="N777" s="8"/>
      <c r="O777" s="13"/>
      <c r="P777" s="12"/>
      <c r="Q777" s="8"/>
      <c r="R777" s="8"/>
      <c r="S777" s="12"/>
      <c r="T777" s="12"/>
      <c r="U777" s="13"/>
      <c r="V777" s="8"/>
      <c r="W777" s="8"/>
      <c r="AA777" s="10"/>
    </row>
    <row r="778">
      <c r="A778" s="8"/>
      <c r="B778" s="11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12"/>
      <c r="N778" s="8"/>
      <c r="O778" s="13"/>
      <c r="P778" s="12"/>
      <c r="Q778" s="8"/>
      <c r="R778" s="8"/>
      <c r="S778" s="12"/>
      <c r="T778" s="12"/>
      <c r="U778" s="13"/>
      <c r="V778" s="8"/>
      <c r="W778" s="8"/>
      <c r="AA778" s="10"/>
    </row>
    <row r="779">
      <c r="A779" s="8"/>
      <c r="B779" s="11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12"/>
      <c r="N779" s="8"/>
      <c r="O779" s="13"/>
      <c r="P779" s="12"/>
      <c r="Q779" s="8"/>
      <c r="R779" s="8"/>
      <c r="S779" s="12"/>
      <c r="T779" s="12"/>
      <c r="U779" s="13"/>
      <c r="V779" s="8"/>
      <c r="W779" s="8"/>
      <c r="AA779" s="10"/>
    </row>
    <row r="780">
      <c r="A780" s="8"/>
      <c r="B780" s="11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12"/>
      <c r="N780" s="8"/>
      <c r="O780" s="13"/>
      <c r="P780" s="12"/>
      <c r="Q780" s="8"/>
      <c r="R780" s="8"/>
      <c r="S780" s="12"/>
      <c r="T780" s="12"/>
      <c r="U780" s="13"/>
      <c r="V780" s="8"/>
      <c r="W780" s="8"/>
      <c r="AA780" s="10"/>
    </row>
    <row r="781">
      <c r="A781" s="8"/>
      <c r="B781" s="11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12"/>
      <c r="N781" s="8"/>
      <c r="O781" s="13"/>
      <c r="P781" s="12"/>
      <c r="Q781" s="8"/>
      <c r="R781" s="8"/>
      <c r="S781" s="12"/>
      <c r="T781" s="12"/>
      <c r="U781" s="13"/>
      <c r="V781" s="8"/>
      <c r="W781" s="8"/>
      <c r="AA781" s="10"/>
    </row>
    <row r="782">
      <c r="A782" s="8"/>
      <c r="B782" s="11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12"/>
      <c r="N782" s="8"/>
      <c r="O782" s="13"/>
      <c r="P782" s="12"/>
      <c r="Q782" s="8"/>
      <c r="R782" s="8"/>
      <c r="S782" s="12"/>
      <c r="T782" s="12"/>
      <c r="U782" s="13"/>
      <c r="V782" s="8"/>
      <c r="W782" s="8"/>
      <c r="AA782" s="10"/>
    </row>
    <row r="783">
      <c r="A783" s="8"/>
      <c r="B783" s="11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12"/>
      <c r="N783" s="8"/>
      <c r="O783" s="13"/>
      <c r="P783" s="12"/>
      <c r="Q783" s="8"/>
      <c r="R783" s="8"/>
      <c r="S783" s="12"/>
      <c r="T783" s="12"/>
      <c r="U783" s="13"/>
      <c r="V783" s="8"/>
      <c r="W783" s="8"/>
      <c r="AA783" s="10"/>
    </row>
    <row r="784">
      <c r="A784" s="8"/>
      <c r="B784" s="11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12"/>
      <c r="N784" s="8"/>
      <c r="O784" s="13"/>
      <c r="P784" s="12"/>
      <c r="Q784" s="8"/>
      <c r="R784" s="8"/>
      <c r="S784" s="12"/>
      <c r="T784" s="12"/>
      <c r="U784" s="13"/>
      <c r="V784" s="8"/>
      <c r="W784" s="8"/>
      <c r="AA784" s="10"/>
    </row>
    <row r="785">
      <c r="A785" s="8"/>
      <c r="B785" s="11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12"/>
      <c r="N785" s="8"/>
      <c r="O785" s="13"/>
      <c r="P785" s="12"/>
      <c r="Q785" s="8"/>
      <c r="R785" s="8"/>
      <c r="S785" s="12"/>
      <c r="T785" s="12"/>
      <c r="U785" s="13"/>
      <c r="V785" s="8"/>
      <c r="W785" s="8"/>
      <c r="AA785" s="10"/>
    </row>
    <row r="786">
      <c r="A786" s="8"/>
      <c r="B786" s="11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12"/>
      <c r="N786" s="8"/>
      <c r="O786" s="13"/>
      <c r="P786" s="12"/>
      <c r="Q786" s="8"/>
      <c r="R786" s="8"/>
      <c r="S786" s="12"/>
      <c r="T786" s="12"/>
      <c r="U786" s="13"/>
      <c r="V786" s="8"/>
      <c r="W786" s="8"/>
      <c r="AA786" s="10"/>
    </row>
    <row r="787">
      <c r="A787" s="8"/>
      <c r="B787" s="11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12"/>
      <c r="N787" s="8"/>
      <c r="O787" s="13"/>
      <c r="P787" s="12"/>
      <c r="Q787" s="8"/>
      <c r="R787" s="8"/>
      <c r="S787" s="12"/>
      <c r="T787" s="12"/>
      <c r="U787" s="13"/>
      <c r="V787" s="8"/>
      <c r="W787" s="8"/>
      <c r="AA787" s="10"/>
    </row>
    <row r="788">
      <c r="A788" s="8"/>
      <c r="B788" s="11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12"/>
      <c r="N788" s="8"/>
      <c r="O788" s="13"/>
      <c r="P788" s="12"/>
      <c r="Q788" s="8"/>
      <c r="R788" s="8"/>
      <c r="S788" s="12"/>
      <c r="T788" s="12"/>
      <c r="U788" s="13"/>
      <c r="V788" s="8"/>
      <c r="W788" s="8"/>
      <c r="AA788" s="10"/>
    </row>
    <row r="789">
      <c r="A789" s="8"/>
      <c r="B789" s="11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12"/>
      <c r="N789" s="8"/>
      <c r="O789" s="13"/>
      <c r="P789" s="12"/>
      <c r="Q789" s="8"/>
      <c r="R789" s="8"/>
      <c r="S789" s="12"/>
      <c r="T789" s="12"/>
      <c r="U789" s="13"/>
      <c r="V789" s="8"/>
      <c r="W789" s="8"/>
      <c r="AA789" s="10"/>
    </row>
    <row r="790">
      <c r="A790" s="8"/>
      <c r="B790" s="11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12"/>
      <c r="N790" s="8"/>
      <c r="O790" s="13"/>
      <c r="P790" s="12"/>
      <c r="Q790" s="8"/>
      <c r="R790" s="8"/>
      <c r="S790" s="12"/>
      <c r="T790" s="12"/>
      <c r="U790" s="13"/>
      <c r="V790" s="8"/>
      <c r="W790" s="8"/>
      <c r="AA790" s="10"/>
    </row>
    <row r="791">
      <c r="A791" s="8"/>
      <c r="B791" s="11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12"/>
      <c r="N791" s="8"/>
      <c r="O791" s="13"/>
      <c r="P791" s="12"/>
      <c r="Q791" s="8"/>
      <c r="R791" s="8"/>
      <c r="S791" s="12"/>
      <c r="T791" s="12"/>
      <c r="U791" s="13"/>
      <c r="V791" s="8"/>
      <c r="W791" s="8"/>
      <c r="AA791" s="10"/>
    </row>
    <row r="792">
      <c r="A792" s="8"/>
      <c r="B792" s="11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12"/>
      <c r="N792" s="8"/>
      <c r="O792" s="13"/>
      <c r="P792" s="12"/>
      <c r="Q792" s="8"/>
      <c r="R792" s="8"/>
      <c r="S792" s="12"/>
      <c r="T792" s="12"/>
      <c r="U792" s="13"/>
      <c r="V792" s="8"/>
      <c r="W792" s="8"/>
      <c r="AA792" s="10"/>
    </row>
    <row r="793">
      <c r="A793" s="8"/>
      <c r="B793" s="11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12"/>
      <c r="N793" s="8"/>
      <c r="O793" s="13"/>
      <c r="P793" s="12"/>
      <c r="Q793" s="8"/>
      <c r="R793" s="8"/>
      <c r="S793" s="12"/>
      <c r="T793" s="12"/>
      <c r="U793" s="13"/>
      <c r="V793" s="8"/>
      <c r="W793" s="8"/>
      <c r="AA793" s="10"/>
    </row>
    <row r="794">
      <c r="A794" s="8"/>
      <c r="B794" s="11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12"/>
      <c r="N794" s="8"/>
      <c r="O794" s="13"/>
      <c r="P794" s="12"/>
      <c r="Q794" s="8"/>
      <c r="R794" s="8"/>
      <c r="S794" s="12"/>
      <c r="T794" s="12"/>
      <c r="U794" s="13"/>
      <c r="V794" s="8"/>
      <c r="W794" s="8"/>
      <c r="AA794" s="10"/>
    </row>
    <row r="795">
      <c r="A795" s="8"/>
      <c r="B795" s="11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12"/>
      <c r="N795" s="8"/>
      <c r="O795" s="13"/>
      <c r="P795" s="12"/>
      <c r="Q795" s="8"/>
      <c r="R795" s="8"/>
      <c r="S795" s="12"/>
      <c r="T795" s="12"/>
      <c r="U795" s="13"/>
      <c r="V795" s="8"/>
      <c r="W795" s="8"/>
      <c r="AA795" s="10"/>
    </row>
    <row r="796">
      <c r="A796" s="8"/>
      <c r="B796" s="11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12"/>
      <c r="N796" s="8"/>
      <c r="O796" s="13"/>
      <c r="P796" s="12"/>
      <c r="Q796" s="8"/>
      <c r="R796" s="8"/>
      <c r="S796" s="12"/>
      <c r="T796" s="12"/>
      <c r="U796" s="13"/>
      <c r="V796" s="8"/>
      <c r="W796" s="8"/>
      <c r="AA796" s="10"/>
    </row>
    <row r="797">
      <c r="A797" s="8"/>
      <c r="B797" s="11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12"/>
      <c r="N797" s="8"/>
      <c r="O797" s="13"/>
      <c r="P797" s="12"/>
      <c r="Q797" s="8"/>
      <c r="R797" s="8"/>
      <c r="S797" s="12"/>
      <c r="T797" s="12"/>
      <c r="U797" s="13"/>
      <c r="V797" s="8"/>
      <c r="W797" s="8"/>
      <c r="AA797" s="10"/>
    </row>
    <row r="798">
      <c r="A798" s="8"/>
      <c r="B798" s="11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12"/>
      <c r="N798" s="8"/>
      <c r="O798" s="13"/>
      <c r="P798" s="12"/>
      <c r="Q798" s="8"/>
      <c r="R798" s="8"/>
      <c r="S798" s="12"/>
      <c r="T798" s="12"/>
      <c r="U798" s="13"/>
      <c r="V798" s="8"/>
      <c r="W798" s="8"/>
      <c r="AA798" s="10"/>
    </row>
    <row r="799">
      <c r="A799" s="8"/>
      <c r="B799" s="11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12"/>
      <c r="N799" s="8"/>
      <c r="O799" s="13"/>
      <c r="P799" s="12"/>
      <c r="Q799" s="8"/>
      <c r="R799" s="8"/>
      <c r="S799" s="12"/>
      <c r="T799" s="12"/>
      <c r="U799" s="13"/>
      <c r="V799" s="8"/>
      <c r="W799" s="8"/>
      <c r="AA799" s="10"/>
    </row>
    <row r="800">
      <c r="A800" s="8"/>
      <c r="B800" s="11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12"/>
      <c r="N800" s="8"/>
      <c r="O800" s="13"/>
      <c r="P800" s="12"/>
      <c r="Q800" s="8"/>
      <c r="R800" s="8"/>
      <c r="S800" s="12"/>
      <c r="T800" s="12"/>
      <c r="U800" s="13"/>
      <c r="V800" s="8"/>
      <c r="W800" s="8"/>
      <c r="AA800" s="10"/>
    </row>
    <row r="801">
      <c r="A801" s="8"/>
      <c r="B801" s="11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12"/>
      <c r="N801" s="8"/>
      <c r="O801" s="13"/>
      <c r="P801" s="12"/>
      <c r="Q801" s="8"/>
      <c r="R801" s="8"/>
      <c r="S801" s="12"/>
      <c r="T801" s="12"/>
      <c r="U801" s="13"/>
      <c r="V801" s="8"/>
      <c r="W801" s="8"/>
      <c r="AA801" s="10"/>
    </row>
    <row r="802">
      <c r="A802" s="8"/>
      <c r="B802" s="11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12"/>
      <c r="N802" s="8"/>
      <c r="O802" s="13"/>
      <c r="P802" s="12"/>
      <c r="Q802" s="8"/>
      <c r="R802" s="8"/>
      <c r="S802" s="12"/>
      <c r="T802" s="12"/>
      <c r="U802" s="13"/>
      <c r="V802" s="8"/>
      <c r="W802" s="8"/>
      <c r="AA802" s="10"/>
    </row>
    <row r="803">
      <c r="A803" s="8"/>
      <c r="B803" s="11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12"/>
      <c r="N803" s="8"/>
      <c r="O803" s="13"/>
      <c r="P803" s="12"/>
      <c r="Q803" s="8"/>
      <c r="R803" s="8"/>
      <c r="S803" s="12"/>
      <c r="T803" s="12"/>
      <c r="U803" s="13"/>
      <c r="V803" s="8"/>
      <c r="W803" s="8"/>
      <c r="AA803" s="10"/>
    </row>
    <row r="804">
      <c r="A804" s="8"/>
      <c r="B804" s="11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12"/>
      <c r="N804" s="8"/>
      <c r="O804" s="13"/>
      <c r="P804" s="12"/>
      <c r="Q804" s="8"/>
      <c r="R804" s="8"/>
      <c r="S804" s="12"/>
      <c r="T804" s="12"/>
      <c r="U804" s="13"/>
      <c r="V804" s="8"/>
      <c r="W804" s="8"/>
      <c r="AA804" s="10"/>
    </row>
    <row r="805">
      <c r="A805" s="8"/>
      <c r="B805" s="11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12"/>
      <c r="N805" s="8"/>
      <c r="O805" s="13"/>
      <c r="P805" s="12"/>
      <c r="Q805" s="8"/>
      <c r="R805" s="8"/>
      <c r="S805" s="12"/>
      <c r="T805" s="12"/>
      <c r="U805" s="13"/>
      <c r="V805" s="8"/>
      <c r="W805" s="8"/>
      <c r="AA805" s="10"/>
    </row>
    <row r="806">
      <c r="A806" s="8"/>
      <c r="B806" s="11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12"/>
      <c r="N806" s="8"/>
      <c r="O806" s="13"/>
      <c r="P806" s="12"/>
      <c r="Q806" s="8"/>
      <c r="R806" s="8"/>
      <c r="S806" s="12"/>
      <c r="T806" s="12"/>
      <c r="U806" s="13"/>
      <c r="V806" s="8"/>
      <c r="W806" s="8"/>
      <c r="AA806" s="10"/>
    </row>
    <row r="807">
      <c r="A807" s="8"/>
      <c r="B807" s="11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12"/>
      <c r="N807" s="8"/>
      <c r="O807" s="13"/>
      <c r="P807" s="12"/>
      <c r="Q807" s="8"/>
      <c r="R807" s="8"/>
      <c r="S807" s="12"/>
      <c r="T807" s="12"/>
      <c r="U807" s="13"/>
      <c r="V807" s="8"/>
      <c r="W807" s="8"/>
      <c r="AA807" s="10"/>
    </row>
    <row r="808">
      <c r="A808" s="8"/>
      <c r="B808" s="11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12"/>
      <c r="N808" s="8"/>
      <c r="O808" s="13"/>
      <c r="P808" s="12"/>
      <c r="Q808" s="8"/>
      <c r="R808" s="8"/>
      <c r="S808" s="12"/>
      <c r="T808" s="12"/>
      <c r="U808" s="13"/>
      <c r="V808" s="8"/>
      <c r="W808" s="8"/>
      <c r="AA808" s="10"/>
    </row>
    <row r="809">
      <c r="A809" s="8"/>
      <c r="B809" s="11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12"/>
      <c r="N809" s="8"/>
      <c r="O809" s="13"/>
      <c r="P809" s="12"/>
      <c r="Q809" s="8"/>
      <c r="R809" s="8"/>
      <c r="S809" s="12"/>
      <c r="T809" s="12"/>
      <c r="U809" s="13"/>
      <c r="V809" s="8"/>
      <c r="W809" s="8"/>
      <c r="AA809" s="10"/>
    </row>
    <row r="810">
      <c r="A810" s="8"/>
      <c r="B810" s="11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12"/>
      <c r="N810" s="8"/>
      <c r="O810" s="13"/>
      <c r="P810" s="12"/>
      <c r="Q810" s="8"/>
      <c r="R810" s="8"/>
      <c r="S810" s="12"/>
      <c r="T810" s="12"/>
      <c r="U810" s="13"/>
      <c r="V810" s="8"/>
      <c r="W810" s="8"/>
      <c r="AA810" s="10"/>
    </row>
    <row r="811">
      <c r="A811" s="8"/>
      <c r="B811" s="11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12"/>
      <c r="N811" s="8"/>
      <c r="O811" s="13"/>
      <c r="P811" s="12"/>
      <c r="Q811" s="8"/>
      <c r="R811" s="8"/>
      <c r="S811" s="12"/>
      <c r="T811" s="12"/>
      <c r="U811" s="13"/>
      <c r="V811" s="8"/>
      <c r="W811" s="8"/>
      <c r="AA811" s="10"/>
    </row>
    <row r="812">
      <c r="A812" s="8"/>
      <c r="B812" s="11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12"/>
      <c r="N812" s="8"/>
      <c r="O812" s="13"/>
      <c r="P812" s="12"/>
      <c r="Q812" s="8"/>
      <c r="R812" s="8"/>
      <c r="S812" s="12"/>
      <c r="T812" s="12"/>
      <c r="U812" s="13"/>
      <c r="V812" s="8"/>
      <c r="W812" s="8"/>
      <c r="AA812" s="10"/>
    </row>
    <row r="813">
      <c r="A813" s="8"/>
      <c r="B813" s="11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12"/>
      <c r="N813" s="8"/>
      <c r="O813" s="13"/>
      <c r="P813" s="12"/>
      <c r="Q813" s="8"/>
      <c r="R813" s="8"/>
      <c r="S813" s="12"/>
      <c r="T813" s="12"/>
      <c r="U813" s="13"/>
      <c r="V813" s="8"/>
      <c r="W813" s="8"/>
      <c r="AA813" s="10"/>
    </row>
    <row r="814">
      <c r="A814" s="8"/>
      <c r="B814" s="11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12"/>
      <c r="N814" s="8"/>
      <c r="O814" s="13"/>
      <c r="P814" s="12"/>
      <c r="Q814" s="8"/>
      <c r="R814" s="8"/>
      <c r="S814" s="12"/>
      <c r="T814" s="12"/>
      <c r="U814" s="13"/>
      <c r="V814" s="8"/>
      <c r="W814" s="8"/>
      <c r="AA814" s="10"/>
    </row>
    <row r="815">
      <c r="A815" s="8"/>
      <c r="B815" s="11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12"/>
      <c r="N815" s="8"/>
      <c r="O815" s="13"/>
      <c r="P815" s="12"/>
      <c r="Q815" s="8"/>
      <c r="R815" s="8"/>
      <c r="S815" s="12"/>
      <c r="T815" s="12"/>
      <c r="U815" s="13"/>
      <c r="V815" s="8"/>
      <c r="W815" s="8"/>
      <c r="AA815" s="10"/>
    </row>
    <row r="816">
      <c r="A816" s="8"/>
      <c r="B816" s="11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12"/>
      <c r="N816" s="8"/>
      <c r="O816" s="13"/>
      <c r="P816" s="12"/>
      <c r="Q816" s="8"/>
      <c r="R816" s="8"/>
      <c r="S816" s="12"/>
      <c r="T816" s="12"/>
      <c r="U816" s="13"/>
      <c r="V816" s="8"/>
      <c r="W816" s="8"/>
      <c r="AA816" s="10"/>
    </row>
    <row r="817">
      <c r="A817" s="8"/>
      <c r="B817" s="11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12"/>
      <c r="N817" s="8"/>
      <c r="O817" s="13"/>
      <c r="P817" s="12"/>
      <c r="Q817" s="8"/>
      <c r="R817" s="8"/>
      <c r="S817" s="12"/>
      <c r="T817" s="12"/>
      <c r="U817" s="13"/>
      <c r="V817" s="8"/>
      <c r="W817" s="8"/>
      <c r="AA817" s="10"/>
    </row>
    <row r="818">
      <c r="A818" s="8"/>
      <c r="B818" s="11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12"/>
      <c r="N818" s="8"/>
      <c r="O818" s="13"/>
      <c r="P818" s="12"/>
      <c r="Q818" s="8"/>
      <c r="R818" s="8"/>
      <c r="S818" s="12"/>
      <c r="T818" s="12"/>
      <c r="U818" s="13"/>
      <c r="V818" s="8"/>
      <c r="W818" s="8"/>
      <c r="AA818" s="10"/>
    </row>
    <row r="819">
      <c r="A819" s="8"/>
      <c r="B819" s="11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12"/>
      <c r="N819" s="8"/>
      <c r="O819" s="13"/>
      <c r="P819" s="12"/>
      <c r="Q819" s="8"/>
      <c r="R819" s="8"/>
      <c r="S819" s="12"/>
      <c r="T819" s="12"/>
      <c r="U819" s="13"/>
      <c r="V819" s="8"/>
      <c r="W819" s="8"/>
      <c r="AA819" s="10"/>
    </row>
    <row r="820">
      <c r="A820" s="8"/>
      <c r="B820" s="11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12"/>
      <c r="N820" s="8"/>
      <c r="O820" s="13"/>
      <c r="P820" s="12"/>
      <c r="Q820" s="8"/>
      <c r="R820" s="8"/>
      <c r="S820" s="12"/>
      <c r="T820" s="12"/>
      <c r="U820" s="13"/>
      <c r="V820" s="8"/>
      <c r="W820" s="8"/>
      <c r="AA820" s="10"/>
    </row>
    <row r="821">
      <c r="A821" s="8"/>
      <c r="B821" s="11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12"/>
      <c r="N821" s="8"/>
      <c r="O821" s="13"/>
      <c r="P821" s="12"/>
      <c r="Q821" s="8"/>
      <c r="R821" s="8"/>
      <c r="S821" s="12"/>
      <c r="T821" s="12"/>
      <c r="U821" s="13"/>
      <c r="V821" s="8"/>
      <c r="W821" s="8"/>
      <c r="AA821" s="10"/>
    </row>
    <row r="822">
      <c r="A822" s="8"/>
      <c r="B822" s="11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12"/>
      <c r="N822" s="8"/>
      <c r="O822" s="13"/>
      <c r="P822" s="12"/>
      <c r="Q822" s="8"/>
      <c r="R822" s="8"/>
      <c r="S822" s="12"/>
      <c r="T822" s="12"/>
      <c r="U822" s="13"/>
      <c r="V822" s="8"/>
      <c r="W822" s="8"/>
      <c r="AA822" s="10"/>
    </row>
    <row r="823">
      <c r="A823" s="8"/>
      <c r="B823" s="11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12"/>
      <c r="N823" s="8"/>
      <c r="O823" s="13"/>
      <c r="P823" s="12"/>
      <c r="Q823" s="8"/>
      <c r="R823" s="8"/>
      <c r="S823" s="12"/>
      <c r="T823" s="12"/>
      <c r="U823" s="13"/>
      <c r="V823" s="8"/>
      <c r="W823" s="8"/>
      <c r="AA823" s="10"/>
    </row>
    <row r="824">
      <c r="A824" s="8"/>
      <c r="B824" s="11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12"/>
      <c r="N824" s="8"/>
      <c r="O824" s="13"/>
      <c r="P824" s="12"/>
      <c r="Q824" s="8"/>
      <c r="R824" s="8"/>
      <c r="S824" s="12"/>
      <c r="T824" s="12"/>
      <c r="U824" s="13"/>
      <c r="V824" s="8"/>
      <c r="W824" s="8"/>
      <c r="AA824" s="10"/>
    </row>
    <row r="825">
      <c r="A825" s="8"/>
      <c r="B825" s="11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12"/>
      <c r="N825" s="8"/>
      <c r="O825" s="13"/>
      <c r="P825" s="12"/>
      <c r="Q825" s="8"/>
      <c r="R825" s="8"/>
      <c r="S825" s="12"/>
      <c r="T825" s="12"/>
      <c r="U825" s="13"/>
      <c r="V825" s="8"/>
      <c r="W825" s="8"/>
      <c r="AA825" s="10"/>
    </row>
    <row r="826">
      <c r="A826" s="8"/>
      <c r="B826" s="11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12"/>
      <c r="N826" s="8"/>
      <c r="O826" s="13"/>
      <c r="P826" s="12"/>
      <c r="Q826" s="8"/>
      <c r="R826" s="8"/>
      <c r="S826" s="12"/>
      <c r="T826" s="12"/>
      <c r="U826" s="13"/>
      <c r="V826" s="8"/>
      <c r="W826" s="8"/>
      <c r="AA826" s="10"/>
    </row>
    <row r="827">
      <c r="A827" s="8"/>
      <c r="B827" s="11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12"/>
      <c r="N827" s="8"/>
      <c r="O827" s="13"/>
      <c r="P827" s="12"/>
      <c r="Q827" s="8"/>
      <c r="R827" s="8"/>
      <c r="S827" s="12"/>
      <c r="T827" s="12"/>
      <c r="U827" s="13"/>
      <c r="V827" s="8"/>
      <c r="W827" s="8"/>
      <c r="AA827" s="10"/>
    </row>
    <row r="828">
      <c r="A828" s="8"/>
      <c r="B828" s="11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12"/>
      <c r="N828" s="8"/>
      <c r="O828" s="13"/>
      <c r="P828" s="12"/>
      <c r="Q828" s="8"/>
      <c r="R828" s="8"/>
      <c r="S828" s="12"/>
      <c r="T828" s="12"/>
      <c r="U828" s="13"/>
      <c r="V828" s="8"/>
      <c r="W828" s="8"/>
      <c r="AA828" s="10"/>
    </row>
    <row r="829">
      <c r="A829" s="8"/>
      <c r="B829" s="11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12"/>
      <c r="N829" s="8"/>
      <c r="O829" s="13"/>
      <c r="P829" s="12"/>
      <c r="Q829" s="8"/>
      <c r="R829" s="8"/>
      <c r="S829" s="12"/>
      <c r="T829" s="12"/>
      <c r="U829" s="13"/>
      <c r="V829" s="8"/>
      <c r="W829" s="8"/>
      <c r="AA829" s="10"/>
    </row>
    <row r="830">
      <c r="A830" s="8"/>
      <c r="B830" s="11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12"/>
      <c r="N830" s="8"/>
      <c r="O830" s="13"/>
      <c r="P830" s="12"/>
      <c r="Q830" s="8"/>
      <c r="R830" s="8"/>
      <c r="S830" s="12"/>
      <c r="T830" s="12"/>
      <c r="U830" s="13"/>
      <c r="V830" s="8"/>
      <c r="W830" s="8"/>
      <c r="AA830" s="10"/>
    </row>
    <row r="831">
      <c r="A831" s="8"/>
      <c r="B831" s="11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12"/>
      <c r="N831" s="8"/>
      <c r="O831" s="13"/>
      <c r="P831" s="12"/>
      <c r="Q831" s="8"/>
      <c r="R831" s="8"/>
      <c r="S831" s="12"/>
      <c r="T831" s="12"/>
      <c r="U831" s="13"/>
      <c r="V831" s="8"/>
      <c r="W831" s="8"/>
      <c r="AA831" s="10"/>
    </row>
    <row r="832">
      <c r="A832" s="8"/>
      <c r="B832" s="11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12"/>
      <c r="N832" s="8"/>
      <c r="O832" s="13"/>
      <c r="P832" s="12"/>
      <c r="Q832" s="8"/>
      <c r="R832" s="8"/>
      <c r="S832" s="12"/>
      <c r="T832" s="12"/>
      <c r="U832" s="13"/>
      <c r="V832" s="8"/>
      <c r="W832" s="8"/>
      <c r="AA832" s="10"/>
    </row>
    <row r="833">
      <c r="A833" s="8"/>
      <c r="B833" s="11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12"/>
      <c r="N833" s="8"/>
      <c r="O833" s="13"/>
      <c r="P833" s="12"/>
      <c r="Q833" s="8"/>
      <c r="R833" s="8"/>
      <c r="S833" s="12"/>
      <c r="T833" s="12"/>
      <c r="U833" s="13"/>
      <c r="V833" s="8"/>
      <c r="W833" s="8"/>
      <c r="AA833" s="10"/>
    </row>
    <row r="834">
      <c r="A834" s="8"/>
      <c r="B834" s="11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12"/>
      <c r="N834" s="8"/>
      <c r="O834" s="13"/>
      <c r="P834" s="12"/>
      <c r="Q834" s="8"/>
      <c r="R834" s="8"/>
      <c r="S834" s="12"/>
      <c r="T834" s="12"/>
      <c r="U834" s="13"/>
      <c r="V834" s="8"/>
      <c r="W834" s="8"/>
      <c r="AA834" s="10"/>
    </row>
    <row r="835">
      <c r="A835" s="8"/>
      <c r="B835" s="11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12"/>
      <c r="N835" s="8"/>
      <c r="O835" s="13"/>
      <c r="P835" s="12"/>
      <c r="Q835" s="8"/>
      <c r="R835" s="8"/>
      <c r="S835" s="12"/>
      <c r="T835" s="12"/>
      <c r="U835" s="13"/>
      <c r="V835" s="8"/>
      <c r="W835" s="8"/>
      <c r="AA835" s="10"/>
    </row>
    <row r="836">
      <c r="A836" s="8"/>
      <c r="B836" s="11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12"/>
      <c r="N836" s="8"/>
      <c r="O836" s="13"/>
      <c r="P836" s="12"/>
      <c r="Q836" s="8"/>
      <c r="R836" s="8"/>
      <c r="S836" s="12"/>
      <c r="T836" s="12"/>
      <c r="U836" s="13"/>
      <c r="V836" s="8"/>
      <c r="W836" s="8"/>
      <c r="AA836" s="10"/>
    </row>
    <row r="837">
      <c r="A837" s="8"/>
      <c r="B837" s="11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12"/>
      <c r="N837" s="8"/>
      <c r="O837" s="13"/>
      <c r="P837" s="12"/>
      <c r="Q837" s="8"/>
      <c r="R837" s="8"/>
      <c r="S837" s="12"/>
      <c r="T837" s="12"/>
      <c r="U837" s="13"/>
      <c r="V837" s="8"/>
      <c r="W837" s="8"/>
      <c r="AA837" s="10"/>
    </row>
    <row r="838">
      <c r="A838" s="8"/>
      <c r="B838" s="11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12"/>
      <c r="N838" s="8"/>
      <c r="O838" s="13"/>
      <c r="P838" s="12"/>
      <c r="Q838" s="8"/>
      <c r="R838" s="8"/>
      <c r="S838" s="12"/>
      <c r="T838" s="12"/>
      <c r="U838" s="13"/>
      <c r="V838" s="8"/>
      <c r="W838" s="8"/>
      <c r="AA838" s="10"/>
    </row>
    <row r="839">
      <c r="A839" s="8"/>
      <c r="B839" s="11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12"/>
      <c r="N839" s="8"/>
      <c r="O839" s="13"/>
      <c r="P839" s="12"/>
      <c r="Q839" s="8"/>
      <c r="R839" s="8"/>
      <c r="S839" s="12"/>
      <c r="T839" s="12"/>
      <c r="U839" s="13"/>
      <c r="V839" s="8"/>
      <c r="W839" s="8"/>
      <c r="AA839" s="10"/>
    </row>
    <row r="840">
      <c r="A840" s="8"/>
      <c r="B840" s="11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12"/>
      <c r="N840" s="8"/>
      <c r="O840" s="13"/>
      <c r="P840" s="12"/>
      <c r="Q840" s="8"/>
      <c r="R840" s="8"/>
      <c r="S840" s="12"/>
      <c r="T840" s="12"/>
      <c r="U840" s="13"/>
      <c r="V840" s="8"/>
      <c r="W840" s="8"/>
      <c r="AA840" s="10"/>
    </row>
    <row r="841">
      <c r="A841" s="8"/>
      <c r="B841" s="11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12"/>
      <c r="N841" s="8"/>
      <c r="O841" s="13"/>
      <c r="P841" s="12"/>
      <c r="Q841" s="8"/>
      <c r="R841" s="8"/>
      <c r="S841" s="12"/>
      <c r="T841" s="12"/>
      <c r="U841" s="13"/>
      <c r="V841" s="8"/>
      <c r="W841" s="8"/>
      <c r="AA841" s="10"/>
    </row>
    <row r="842">
      <c r="A842" s="8"/>
      <c r="B842" s="11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12"/>
      <c r="N842" s="8"/>
      <c r="O842" s="13"/>
      <c r="P842" s="12"/>
      <c r="Q842" s="8"/>
      <c r="R842" s="8"/>
      <c r="S842" s="12"/>
      <c r="T842" s="12"/>
      <c r="U842" s="13"/>
      <c r="V842" s="8"/>
      <c r="W842" s="8"/>
      <c r="AA842" s="10"/>
    </row>
    <row r="843">
      <c r="A843" s="8"/>
      <c r="B843" s="11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12"/>
      <c r="N843" s="8"/>
      <c r="O843" s="13"/>
      <c r="P843" s="12"/>
      <c r="Q843" s="8"/>
      <c r="R843" s="8"/>
      <c r="S843" s="12"/>
      <c r="T843" s="12"/>
      <c r="U843" s="13"/>
      <c r="V843" s="8"/>
      <c r="W843" s="8"/>
      <c r="AA843" s="10"/>
    </row>
    <row r="844">
      <c r="A844" s="8"/>
      <c r="B844" s="11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12"/>
      <c r="N844" s="8"/>
      <c r="O844" s="13"/>
      <c r="P844" s="12"/>
      <c r="Q844" s="8"/>
      <c r="R844" s="8"/>
      <c r="S844" s="12"/>
      <c r="T844" s="12"/>
      <c r="U844" s="13"/>
      <c r="V844" s="8"/>
      <c r="W844" s="8"/>
      <c r="AA844" s="10"/>
    </row>
    <row r="845">
      <c r="A845" s="8"/>
      <c r="B845" s="11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12"/>
      <c r="N845" s="8"/>
      <c r="O845" s="13"/>
      <c r="P845" s="12"/>
      <c r="Q845" s="8"/>
      <c r="R845" s="8"/>
      <c r="S845" s="12"/>
      <c r="T845" s="12"/>
      <c r="U845" s="13"/>
      <c r="V845" s="8"/>
      <c r="W845" s="8"/>
      <c r="AA845" s="10"/>
    </row>
    <row r="846">
      <c r="A846" s="8"/>
      <c r="B846" s="11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12"/>
      <c r="N846" s="8"/>
      <c r="O846" s="13"/>
      <c r="P846" s="12"/>
      <c r="Q846" s="8"/>
      <c r="R846" s="8"/>
      <c r="S846" s="12"/>
      <c r="T846" s="12"/>
      <c r="U846" s="13"/>
      <c r="V846" s="8"/>
      <c r="W846" s="8"/>
      <c r="AA846" s="10"/>
    </row>
    <row r="847">
      <c r="A847" s="8"/>
      <c r="B847" s="11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12"/>
      <c r="N847" s="8"/>
      <c r="O847" s="13"/>
      <c r="P847" s="12"/>
      <c r="Q847" s="8"/>
      <c r="R847" s="8"/>
      <c r="S847" s="12"/>
      <c r="T847" s="12"/>
      <c r="U847" s="13"/>
      <c r="V847" s="8"/>
      <c r="W847" s="8"/>
      <c r="AA847" s="10"/>
    </row>
    <row r="848">
      <c r="A848" s="8"/>
      <c r="B848" s="11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12"/>
      <c r="N848" s="8"/>
      <c r="O848" s="13"/>
      <c r="P848" s="12"/>
      <c r="Q848" s="8"/>
      <c r="R848" s="8"/>
      <c r="S848" s="12"/>
      <c r="T848" s="12"/>
      <c r="U848" s="13"/>
      <c r="V848" s="8"/>
      <c r="W848" s="8"/>
      <c r="AA848" s="10"/>
    </row>
    <row r="849">
      <c r="A849" s="8"/>
      <c r="B849" s="11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12"/>
      <c r="N849" s="8"/>
      <c r="O849" s="13"/>
      <c r="P849" s="12"/>
      <c r="Q849" s="8"/>
      <c r="R849" s="8"/>
      <c r="S849" s="12"/>
      <c r="T849" s="12"/>
      <c r="U849" s="13"/>
      <c r="V849" s="8"/>
      <c r="W849" s="8"/>
      <c r="AA849" s="10"/>
    </row>
    <row r="850">
      <c r="A850" s="8"/>
      <c r="B850" s="11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12"/>
      <c r="N850" s="8"/>
      <c r="O850" s="13"/>
      <c r="P850" s="12"/>
      <c r="Q850" s="8"/>
      <c r="R850" s="8"/>
      <c r="S850" s="12"/>
      <c r="T850" s="12"/>
      <c r="U850" s="13"/>
      <c r="V850" s="8"/>
      <c r="W850" s="8"/>
      <c r="AA850" s="10"/>
    </row>
    <row r="851">
      <c r="A851" s="8"/>
      <c r="B851" s="11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12"/>
      <c r="N851" s="8"/>
      <c r="O851" s="13"/>
      <c r="P851" s="12"/>
      <c r="Q851" s="8"/>
      <c r="R851" s="8"/>
      <c r="S851" s="12"/>
      <c r="T851" s="12"/>
      <c r="U851" s="13"/>
      <c r="V851" s="8"/>
      <c r="W851" s="8"/>
      <c r="AA851" s="10"/>
    </row>
    <row r="852">
      <c r="A852" s="8"/>
      <c r="B852" s="11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12"/>
      <c r="N852" s="8"/>
      <c r="O852" s="13"/>
      <c r="P852" s="12"/>
      <c r="Q852" s="8"/>
      <c r="R852" s="8"/>
      <c r="S852" s="12"/>
      <c r="T852" s="12"/>
      <c r="U852" s="13"/>
      <c r="V852" s="8"/>
      <c r="W852" s="8"/>
      <c r="AA852" s="10"/>
    </row>
    <row r="853">
      <c r="A853" s="8"/>
      <c r="B853" s="11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12"/>
      <c r="N853" s="8"/>
      <c r="O853" s="13"/>
      <c r="P853" s="12"/>
      <c r="Q853" s="8"/>
      <c r="R853" s="8"/>
      <c r="S853" s="12"/>
      <c r="T853" s="12"/>
      <c r="U853" s="13"/>
      <c r="V853" s="8"/>
      <c r="W853" s="8"/>
      <c r="AA853" s="10"/>
    </row>
    <row r="854">
      <c r="A854" s="8"/>
      <c r="B854" s="11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12"/>
      <c r="N854" s="8"/>
      <c r="O854" s="13"/>
      <c r="P854" s="12"/>
      <c r="Q854" s="8"/>
      <c r="R854" s="8"/>
      <c r="S854" s="12"/>
      <c r="T854" s="12"/>
      <c r="U854" s="13"/>
      <c r="V854" s="8"/>
      <c r="W854" s="8"/>
      <c r="AA854" s="10"/>
    </row>
    <row r="855">
      <c r="A855" s="8"/>
      <c r="B855" s="11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12"/>
      <c r="N855" s="8"/>
      <c r="O855" s="13"/>
      <c r="P855" s="12"/>
      <c r="Q855" s="8"/>
      <c r="R855" s="8"/>
      <c r="S855" s="12"/>
      <c r="T855" s="12"/>
      <c r="U855" s="13"/>
      <c r="V855" s="8"/>
      <c r="W855" s="8"/>
      <c r="AA855" s="10"/>
    </row>
    <row r="856">
      <c r="A856" s="8"/>
      <c r="B856" s="11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12"/>
      <c r="N856" s="8"/>
      <c r="O856" s="13"/>
      <c r="P856" s="12"/>
      <c r="Q856" s="8"/>
      <c r="R856" s="8"/>
      <c r="S856" s="12"/>
      <c r="T856" s="12"/>
      <c r="U856" s="13"/>
      <c r="V856" s="8"/>
      <c r="W856" s="8"/>
      <c r="AA856" s="10"/>
    </row>
    <row r="857">
      <c r="A857" s="8"/>
      <c r="B857" s="11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12"/>
      <c r="N857" s="8"/>
      <c r="O857" s="13"/>
      <c r="P857" s="12"/>
      <c r="Q857" s="8"/>
      <c r="R857" s="8"/>
      <c r="S857" s="12"/>
      <c r="T857" s="12"/>
      <c r="U857" s="13"/>
      <c r="V857" s="8"/>
      <c r="W857" s="8"/>
      <c r="AA857" s="10"/>
    </row>
    <row r="858">
      <c r="A858" s="8"/>
      <c r="B858" s="11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12"/>
      <c r="N858" s="8"/>
      <c r="O858" s="13"/>
      <c r="P858" s="12"/>
      <c r="Q858" s="8"/>
      <c r="R858" s="8"/>
      <c r="S858" s="12"/>
      <c r="T858" s="12"/>
      <c r="U858" s="13"/>
      <c r="V858" s="8"/>
      <c r="W858" s="8"/>
      <c r="AA858" s="10"/>
    </row>
    <row r="859">
      <c r="A859" s="8"/>
      <c r="B859" s="11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12"/>
      <c r="N859" s="8"/>
      <c r="O859" s="13"/>
      <c r="P859" s="12"/>
      <c r="Q859" s="8"/>
      <c r="R859" s="8"/>
      <c r="S859" s="12"/>
      <c r="T859" s="12"/>
      <c r="U859" s="13"/>
      <c r="V859" s="8"/>
      <c r="W859" s="8"/>
      <c r="AA859" s="10"/>
    </row>
    <row r="860">
      <c r="A860" s="8"/>
      <c r="B860" s="11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12"/>
      <c r="N860" s="8"/>
      <c r="O860" s="13"/>
      <c r="P860" s="12"/>
      <c r="Q860" s="8"/>
      <c r="R860" s="8"/>
      <c r="S860" s="12"/>
      <c r="T860" s="12"/>
      <c r="U860" s="13"/>
      <c r="V860" s="8"/>
      <c r="W860" s="8"/>
      <c r="AA860" s="10"/>
    </row>
    <row r="861">
      <c r="A861" s="8"/>
      <c r="B861" s="11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12"/>
      <c r="N861" s="8"/>
      <c r="O861" s="13"/>
      <c r="P861" s="12"/>
      <c r="Q861" s="8"/>
      <c r="R861" s="8"/>
      <c r="S861" s="12"/>
      <c r="T861" s="12"/>
      <c r="U861" s="13"/>
      <c r="V861" s="8"/>
      <c r="W861" s="8"/>
      <c r="AA861" s="10"/>
    </row>
    <row r="862">
      <c r="A862" s="8"/>
      <c r="B862" s="11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12"/>
      <c r="N862" s="8"/>
      <c r="O862" s="13"/>
      <c r="P862" s="12"/>
      <c r="Q862" s="8"/>
      <c r="R862" s="8"/>
      <c r="S862" s="12"/>
      <c r="T862" s="12"/>
      <c r="U862" s="13"/>
      <c r="V862" s="8"/>
      <c r="W862" s="8"/>
      <c r="AA862" s="10"/>
    </row>
    <row r="863">
      <c r="A863" s="8"/>
      <c r="B863" s="11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12"/>
      <c r="N863" s="8"/>
      <c r="O863" s="13"/>
      <c r="P863" s="12"/>
      <c r="Q863" s="8"/>
      <c r="R863" s="8"/>
      <c r="S863" s="12"/>
      <c r="T863" s="12"/>
      <c r="U863" s="13"/>
      <c r="V863" s="8"/>
      <c r="W863" s="8"/>
      <c r="AA863" s="10"/>
    </row>
    <row r="864">
      <c r="A864" s="8"/>
      <c r="B864" s="11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12"/>
      <c r="N864" s="8"/>
      <c r="O864" s="13"/>
      <c r="P864" s="12"/>
      <c r="Q864" s="8"/>
      <c r="R864" s="8"/>
      <c r="S864" s="12"/>
      <c r="T864" s="12"/>
      <c r="U864" s="13"/>
      <c r="V864" s="8"/>
      <c r="W864" s="8"/>
      <c r="AA864" s="10"/>
    </row>
    <row r="865">
      <c r="A865" s="8"/>
      <c r="B865" s="11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12"/>
      <c r="N865" s="8"/>
      <c r="O865" s="13"/>
      <c r="P865" s="12"/>
      <c r="Q865" s="8"/>
      <c r="R865" s="8"/>
      <c r="S865" s="12"/>
      <c r="T865" s="12"/>
      <c r="U865" s="13"/>
      <c r="V865" s="8"/>
      <c r="W865" s="8"/>
      <c r="AA865" s="10"/>
    </row>
    <row r="866">
      <c r="A866" s="8"/>
      <c r="B866" s="11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12"/>
      <c r="N866" s="8"/>
      <c r="O866" s="13"/>
      <c r="P866" s="12"/>
      <c r="Q866" s="8"/>
      <c r="R866" s="8"/>
      <c r="S866" s="12"/>
      <c r="T866" s="12"/>
      <c r="U866" s="13"/>
      <c r="V866" s="8"/>
      <c r="W866" s="8"/>
      <c r="AA866" s="10"/>
    </row>
    <row r="867">
      <c r="A867" s="8"/>
      <c r="B867" s="11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12"/>
      <c r="N867" s="8"/>
      <c r="O867" s="13"/>
      <c r="P867" s="12"/>
      <c r="Q867" s="8"/>
      <c r="R867" s="8"/>
      <c r="S867" s="12"/>
      <c r="T867" s="12"/>
      <c r="U867" s="13"/>
      <c r="V867" s="8"/>
      <c r="W867" s="8"/>
      <c r="AA867" s="10"/>
    </row>
    <row r="868">
      <c r="A868" s="8"/>
      <c r="B868" s="11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12"/>
      <c r="N868" s="8"/>
      <c r="O868" s="13"/>
      <c r="P868" s="12"/>
      <c r="Q868" s="8"/>
      <c r="R868" s="8"/>
      <c r="S868" s="12"/>
      <c r="T868" s="12"/>
      <c r="U868" s="13"/>
      <c r="V868" s="8"/>
      <c r="W868" s="8"/>
      <c r="AA868" s="10"/>
    </row>
    <row r="869">
      <c r="A869" s="8"/>
      <c r="B869" s="11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12"/>
      <c r="N869" s="8"/>
      <c r="O869" s="13"/>
      <c r="P869" s="12"/>
      <c r="Q869" s="8"/>
      <c r="R869" s="8"/>
      <c r="S869" s="12"/>
      <c r="T869" s="12"/>
      <c r="U869" s="13"/>
      <c r="V869" s="8"/>
      <c r="W869" s="8"/>
      <c r="AA869" s="10"/>
    </row>
    <row r="870">
      <c r="A870" s="8"/>
      <c r="B870" s="11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12"/>
      <c r="N870" s="8"/>
      <c r="O870" s="13"/>
      <c r="P870" s="12"/>
      <c r="Q870" s="8"/>
      <c r="R870" s="8"/>
      <c r="S870" s="12"/>
      <c r="T870" s="12"/>
      <c r="U870" s="13"/>
      <c r="V870" s="8"/>
      <c r="W870" s="8"/>
      <c r="AA870" s="10"/>
    </row>
    <row r="871">
      <c r="A871" s="8"/>
      <c r="B871" s="11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12"/>
      <c r="N871" s="8"/>
      <c r="O871" s="13"/>
      <c r="P871" s="12"/>
      <c r="Q871" s="8"/>
      <c r="R871" s="8"/>
      <c r="S871" s="12"/>
      <c r="T871" s="12"/>
      <c r="U871" s="13"/>
      <c r="V871" s="8"/>
      <c r="W871" s="8"/>
      <c r="AA871" s="10"/>
    </row>
    <row r="872">
      <c r="A872" s="8"/>
      <c r="B872" s="11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12"/>
      <c r="N872" s="8"/>
      <c r="O872" s="13"/>
      <c r="P872" s="12"/>
      <c r="Q872" s="8"/>
      <c r="R872" s="8"/>
      <c r="S872" s="12"/>
      <c r="T872" s="12"/>
      <c r="U872" s="13"/>
      <c r="V872" s="8"/>
      <c r="W872" s="8"/>
      <c r="AA872" s="10"/>
    </row>
    <row r="873">
      <c r="A873" s="8"/>
      <c r="B873" s="11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12"/>
      <c r="N873" s="8"/>
      <c r="O873" s="13"/>
      <c r="P873" s="12"/>
      <c r="Q873" s="8"/>
      <c r="R873" s="8"/>
      <c r="S873" s="12"/>
      <c r="T873" s="12"/>
      <c r="U873" s="13"/>
      <c r="V873" s="8"/>
      <c r="W873" s="8"/>
      <c r="AA873" s="10"/>
    </row>
    <row r="874">
      <c r="A874" s="8"/>
      <c r="B874" s="11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12"/>
      <c r="N874" s="8"/>
      <c r="O874" s="13"/>
      <c r="P874" s="12"/>
      <c r="Q874" s="8"/>
      <c r="R874" s="8"/>
      <c r="S874" s="12"/>
      <c r="T874" s="12"/>
      <c r="U874" s="13"/>
      <c r="V874" s="8"/>
      <c r="W874" s="8"/>
      <c r="AA874" s="10"/>
    </row>
    <row r="875">
      <c r="A875" s="8"/>
      <c r="B875" s="11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12"/>
      <c r="N875" s="8"/>
      <c r="O875" s="13"/>
      <c r="P875" s="12"/>
      <c r="Q875" s="8"/>
      <c r="R875" s="8"/>
      <c r="S875" s="12"/>
      <c r="T875" s="12"/>
      <c r="U875" s="13"/>
      <c r="V875" s="8"/>
      <c r="W875" s="8"/>
      <c r="AA875" s="10"/>
    </row>
    <row r="876">
      <c r="A876" s="8"/>
      <c r="B876" s="11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12"/>
      <c r="N876" s="8"/>
      <c r="O876" s="13"/>
      <c r="P876" s="12"/>
      <c r="Q876" s="8"/>
      <c r="R876" s="8"/>
      <c r="S876" s="12"/>
      <c r="T876" s="12"/>
      <c r="U876" s="13"/>
      <c r="V876" s="8"/>
      <c r="W876" s="8"/>
      <c r="AA876" s="10"/>
    </row>
    <row r="877">
      <c r="A877" s="8"/>
      <c r="B877" s="11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12"/>
      <c r="N877" s="8"/>
      <c r="O877" s="13"/>
      <c r="P877" s="12"/>
      <c r="Q877" s="8"/>
      <c r="R877" s="8"/>
      <c r="S877" s="12"/>
      <c r="T877" s="12"/>
      <c r="U877" s="13"/>
      <c r="V877" s="8"/>
      <c r="W877" s="8"/>
      <c r="AA877" s="10"/>
    </row>
    <row r="878">
      <c r="A878" s="8"/>
      <c r="B878" s="11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12"/>
      <c r="N878" s="8"/>
      <c r="O878" s="13"/>
      <c r="P878" s="12"/>
      <c r="Q878" s="8"/>
      <c r="R878" s="8"/>
      <c r="S878" s="12"/>
      <c r="T878" s="12"/>
      <c r="U878" s="13"/>
      <c r="V878" s="8"/>
      <c r="W878" s="8"/>
      <c r="AA878" s="10"/>
    </row>
    <row r="879">
      <c r="A879" s="8"/>
      <c r="B879" s="11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12"/>
      <c r="N879" s="8"/>
      <c r="O879" s="13"/>
      <c r="P879" s="12"/>
      <c r="Q879" s="8"/>
      <c r="R879" s="8"/>
      <c r="S879" s="12"/>
      <c r="T879" s="12"/>
      <c r="U879" s="13"/>
      <c r="V879" s="8"/>
      <c r="W879" s="8"/>
      <c r="AA879" s="10"/>
    </row>
    <row r="880">
      <c r="A880" s="8"/>
      <c r="B880" s="11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12"/>
      <c r="N880" s="8"/>
      <c r="O880" s="13"/>
      <c r="P880" s="12"/>
      <c r="Q880" s="8"/>
      <c r="R880" s="8"/>
      <c r="S880" s="12"/>
      <c r="T880" s="12"/>
      <c r="U880" s="13"/>
      <c r="V880" s="8"/>
      <c r="W880" s="8"/>
      <c r="AA880" s="10"/>
    </row>
    <row r="881">
      <c r="A881" s="8"/>
      <c r="B881" s="11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12"/>
      <c r="N881" s="8"/>
      <c r="O881" s="13"/>
      <c r="P881" s="12"/>
      <c r="Q881" s="8"/>
      <c r="R881" s="8"/>
      <c r="S881" s="12"/>
      <c r="T881" s="12"/>
      <c r="U881" s="13"/>
      <c r="V881" s="8"/>
      <c r="W881" s="8"/>
      <c r="AA881" s="10"/>
    </row>
    <row r="882">
      <c r="A882" s="8"/>
      <c r="B882" s="11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12"/>
      <c r="N882" s="8"/>
      <c r="O882" s="13"/>
      <c r="P882" s="12"/>
      <c r="Q882" s="8"/>
      <c r="R882" s="8"/>
      <c r="S882" s="12"/>
      <c r="T882" s="12"/>
      <c r="U882" s="13"/>
      <c r="V882" s="8"/>
      <c r="W882" s="8"/>
      <c r="AA882" s="10"/>
    </row>
    <row r="883">
      <c r="A883" s="8"/>
      <c r="B883" s="11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12"/>
      <c r="N883" s="8"/>
      <c r="O883" s="13"/>
      <c r="P883" s="12"/>
      <c r="Q883" s="8"/>
      <c r="R883" s="8"/>
      <c r="S883" s="12"/>
      <c r="T883" s="12"/>
      <c r="U883" s="13"/>
      <c r="V883" s="8"/>
      <c r="W883" s="8"/>
      <c r="AA883" s="10"/>
    </row>
    <row r="884">
      <c r="A884" s="8"/>
      <c r="B884" s="11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12"/>
      <c r="N884" s="8"/>
      <c r="O884" s="13"/>
      <c r="P884" s="12"/>
      <c r="Q884" s="8"/>
      <c r="R884" s="8"/>
      <c r="S884" s="12"/>
      <c r="T884" s="12"/>
      <c r="U884" s="13"/>
      <c r="V884" s="8"/>
      <c r="W884" s="8"/>
      <c r="AA884" s="10"/>
    </row>
    <row r="885">
      <c r="A885" s="8"/>
      <c r="B885" s="11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12"/>
      <c r="N885" s="8"/>
      <c r="O885" s="13"/>
      <c r="P885" s="12"/>
      <c r="Q885" s="8"/>
      <c r="R885" s="8"/>
      <c r="S885" s="12"/>
      <c r="T885" s="12"/>
      <c r="U885" s="13"/>
      <c r="V885" s="8"/>
      <c r="W885" s="8"/>
      <c r="AA885" s="10"/>
    </row>
    <row r="886">
      <c r="A886" s="8"/>
      <c r="B886" s="11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12"/>
      <c r="N886" s="8"/>
      <c r="O886" s="13"/>
      <c r="P886" s="12"/>
      <c r="Q886" s="8"/>
      <c r="R886" s="8"/>
      <c r="S886" s="12"/>
      <c r="T886" s="12"/>
      <c r="U886" s="13"/>
      <c r="V886" s="8"/>
      <c r="W886" s="8"/>
      <c r="AA886" s="10"/>
    </row>
    <row r="887">
      <c r="A887" s="8"/>
      <c r="B887" s="11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12"/>
      <c r="N887" s="8"/>
      <c r="O887" s="13"/>
      <c r="P887" s="12"/>
      <c r="Q887" s="8"/>
      <c r="R887" s="8"/>
      <c r="S887" s="12"/>
      <c r="T887" s="12"/>
      <c r="U887" s="13"/>
      <c r="V887" s="8"/>
      <c r="W887" s="8"/>
      <c r="AA887" s="10"/>
    </row>
    <row r="888">
      <c r="A888" s="8"/>
      <c r="B888" s="11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12"/>
      <c r="N888" s="8"/>
      <c r="O888" s="13"/>
      <c r="P888" s="12"/>
      <c r="Q888" s="8"/>
      <c r="R888" s="8"/>
      <c r="S888" s="12"/>
      <c r="T888" s="12"/>
      <c r="U888" s="13"/>
      <c r="V888" s="8"/>
      <c r="W888" s="8"/>
      <c r="AA888" s="10"/>
    </row>
    <row r="889">
      <c r="A889" s="8"/>
      <c r="B889" s="11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12"/>
      <c r="N889" s="8"/>
      <c r="O889" s="13"/>
      <c r="P889" s="12"/>
      <c r="Q889" s="8"/>
      <c r="R889" s="8"/>
      <c r="S889" s="12"/>
      <c r="T889" s="12"/>
      <c r="U889" s="13"/>
      <c r="V889" s="8"/>
      <c r="W889" s="8"/>
      <c r="AA889" s="10"/>
    </row>
    <row r="890">
      <c r="A890" s="8"/>
      <c r="B890" s="11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12"/>
      <c r="N890" s="8"/>
      <c r="O890" s="13"/>
      <c r="P890" s="12"/>
      <c r="Q890" s="8"/>
      <c r="R890" s="8"/>
      <c r="S890" s="12"/>
      <c r="T890" s="12"/>
      <c r="U890" s="13"/>
      <c r="V890" s="8"/>
      <c r="W890" s="8"/>
      <c r="AA890" s="10"/>
    </row>
    <row r="891">
      <c r="A891" s="8"/>
      <c r="B891" s="11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12"/>
      <c r="N891" s="8"/>
      <c r="O891" s="13"/>
      <c r="P891" s="12"/>
      <c r="Q891" s="8"/>
      <c r="R891" s="8"/>
      <c r="S891" s="12"/>
      <c r="T891" s="12"/>
      <c r="U891" s="13"/>
      <c r="V891" s="8"/>
      <c r="W891" s="8"/>
      <c r="AA891" s="10"/>
    </row>
    <row r="892">
      <c r="A892" s="8"/>
      <c r="B892" s="11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12"/>
      <c r="N892" s="8"/>
      <c r="O892" s="13"/>
      <c r="P892" s="12"/>
      <c r="Q892" s="8"/>
      <c r="R892" s="8"/>
      <c r="S892" s="12"/>
      <c r="T892" s="12"/>
      <c r="U892" s="13"/>
      <c r="V892" s="8"/>
      <c r="W892" s="8"/>
      <c r="AA892" s="10"/>
    </row>
    <row r="893">
      <c r="A893" s="8"/>
      <c r="B893" s="11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12"/>
      <c r="N893" s="8"/>
      <c r="O893" s="13"/>
      <c r="P893" s="12"/>
      <c r="Q893" s="8"/>
      <c r="R893" s="8"/>
      <c r="S893" s="12"/>
      <c r="T893" s="12"/>
      <c r="U893" s="13"/>
      <c r="V893" s="8"/>
      <c r="W893" s="8"/>
      <c r="AA893" s="10"/>
    </row>
    <row r="894">
      <c r="A894" s="8"/>
      <c r="B894" s="11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12"/>
      <c r="N894" s="8"/>
      <c r="O894" s="13"/>
      <c r="P894" s="12"/>
      <c r="Q894" s="8"/>
      <c r="R894" s="8"/>
      <c r="S894" s="12"/>
      <c r="T894" s="12"/>
      <c r="U894" s="13"/>
      <c r="V894" s="8"/>
      <c r="W894" s="8"/>
      <c r="AA894" s="10"/>
    </row>
    <row r="895">
      <c r="A895" s="8"/>
      <c r="B895" s="11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12"/>
      <c r="N895" s="8"/>
      <c r="O895" s="13"/>
      <c r="P895" s="12"/>
      <c r="Q895" s="8"/>
      <c r="R895" s="8"/>
      <c r="S895" s="12"/>
      <c r="T895" s="12"/>
      <c r="U895" s="13"/>
      <c r="V895" s="8"/>
      <c r="W895" s="8"/>
      <c r="AA895" s="10"/>
    </row>
    <row r="896">
      <c r="A896" s="8"/>
      <c r="B896" s="11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12"/>
      <c r="N896" s="8"/>
      <c r="O896" s="13"/>
      <c r="P896" s="12"/>
      <c r="Q896" s="8"/>
      <c r="R896" s="8"/>
      <c r="S896" s="12"/>
      <c r="T896" s="12"/>
      <c r="U896" s="13"/>
      <c r="V896" s="8"/>
      <c r="W896" s="8"/>
      <c r="AA896" s="10"/>
    </row>
    <row r="897">
      <c r="A897" s="8"/>
      <c r="B897" s="11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12"/>
      <c r="N897" s="8"/>
      <c r="O897" s="13"/>
      <c r="P897" s="12"/>
      <c r="Q897" s="8"/>
      <c r="R897" s="8"/>
      <c r="S897" s="12"/>
      <c r="T897" s="12"/>
      <c r="U897" s="13"/>
      <c r="V897" s="8"/>
      <c r="W897" s="8"/>
      <c r="AA897" s="10"/>
    </row>
    <row r="898">
      <c r="A898" s="8"/>
      <c r="B898" s="11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12"/>
      <c r="N898" s="8"/>
      <c r="O898" s="13"/>
      <c r="P898" s="12"/>
      <c r="Q898" s="8"/>
      <c r="R898" s="8"/>
      <c r="S898" s="12"/>
      <c r="T898" s="12"/>
      <c r="U898" s="13"/>
      <c r="V898" s="8"/>
      <c r="W898" s="8"/>
      <c r="AA898" s="10"/>
    </row>
    <row r="899">
      <c r="A899" s="8"/>
      <c r="B899" s="11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12"/>
      <c r="N899" s="8"/>
      <c r="O899" s="13"/>
      <c r="P899" s="12"/>
      <c r="Q899" s="8"/>
      <c r="R899" s="8"/>
      <c r="S899" s="12"/>
      <c r="T899" s="12"/>
      <c r="U899" s="13"/>
      <c r="V899" s="8"/>
      <c r="W899" s="8"/>
      <c r="AA899" s="10"/>
    </row>
    <row r="900">
      <c r="A900" s="8"/>
      <c r="B900" s="11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12"/>
      <c r="N900" s="8"/>
      <c r="O900" s="13"/>
      <c r="P900" s="12"/>
      <c r="Q900" s="8"/>
      <c r="R900" s="8"/>
      <c r="S900" s="12"/>
      <c r="T900" s="12"/>
      <c r="U900" s="13"/>
      <c r="V900" s="8"/>
      <c r="W900" s="8"/>
      <c r="AA900" s="10"/>
    </row>
    <row r="901">
      <c r="A901" s="8"/>
      <c r="B901" s="11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12"/>
      <c r="N901" s="8"/>
      <c r="O901" s="13"/>
      <c r="P901" s="12"/>
      <c r="Q901" s="8"/>
      <c r="R901" s="8"/>
      <c r="S901" s="12"/>
      <c r="T901" s="12"/>
      <c r="U901" s="13"/>
      <c r="V901" s="8"/>
      <c r="W901" s="8"/>
      <c r="AA901" s="10"/>
    </row>
    <row r="902">
      <c r="A902" s="8"/>
      <c r="B902" s="11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12"/>
      <c r="N902" s="8"/>
      <c r="O902" s="13"/>
      <c r="P902" s="12"/>
      <c r="Q902" s="8"/>
      <c r="R902" s="8"/>
      <c r="S902" s="12"/>
      <c r="T902" s="12"/>
      <c r="U902" s="13"/>
      <c r="V902" s="8"/>
      <c r="W902" s="8"/>
      <c r="AA902" s="10"/>
    </row>
    <row r="903">
      <c r="A903" s="8"/>
      <c r="B903" s="11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12"/>
      <c r="N903" s="8"/>
      <c r="O903" s="13"/>
      <c r="P903" s="12"/>
      <c r="Q903" s="8"/>
      <c r="R903" s="8"/>
      <c r="S903" s="12"/>
      <c r="T903" s="12"/>
      <c r="U903" s="13"/>
      <c r="V903" s="8"/>
      <c r="W903" s="8"/>
      <c r="AA903" s="10"/>
    </row>
    <row r="904">
      <c r="A904" s="8"/>
      <c r="B904" s="11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12"/>
      <c r="N904" s="8"/>
      <c r="O904" s="13"/>
      <c r="P904" s="12"/>
      <c r="Q904" s="8"/>
      <c r="R904" s="8"/>
      <c r="S904" s="12"/>
      <c r="T904" s="12"/>
      <c r="U904" s="13"/>
      <c r="V904" s="8"/>
      <c r="W904" s="8"/>
      <c r="AA904" s="10"/>
    </row>
    <row r="905">
      <c r="A905" s="8"/>
      <c r="B905" s="11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12"/>
      <c r="N905" s="8"/>
      <c r="O905" s="13"/>
      <c r="P905" s="12"/>
      <c r="Q905" s="8"/>
      <c r="R905" s="8"/>
      <c r="S905" s="12"/>
      <c r="T905" s="12"/>
      <c r="U905" s="13"/>
      <c r="V905" s="8"/>
      <c r="W905" s="8"/>
      <c r="AA905" s="10"/>
    </row>
    <row r="906">
      <c r="A906" s="8"/>
      <c r="B906" s="11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12"/>
      <c r="N906" s="8"/>
      <c r="O906" s="13"/>
      <c r="P906" s="12"/>
      <c r="Q906" s="8"/>
      <c r="R906" s="8"/>
      <c r="S906" s="12"/>
      <c r="T906" s="12"/>
      <c r="U906" s="13"/>
      <c r="V906" s="8"/>
      <c r="W906" s="8"/>
      <c r="AA906" s="10"/>
    </row>
    <row r="907">
      <c r="A907" s="8"/>
      <c r="B907" s="11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12"/>
      <c r="N907" s="8"/>
      <c r="O907" s="13"/>
      <c r="P907" s="12"/>
      <c r="Q907" s="8"/>
      <c r="R907" s="8"/>
      <c r="S907" s="12"/>
      <c r="T907" s="12"/>
      <c r="U907" s="13"/>
      <c r="V907" s="8"/>
      <c r="W907" s="8"/>
      <c r="AA907" s="10"/>
    </row>
    <row r="908">
      <c r="A908" s="8"/>
      <c r="B908" s="11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12"/>
      <c r="N908" s="8"/>
      <c r="O908" s="13"/>
      <c r="P908" s="12"/>
      <c r="Q908" s="8"/>
      <c r="R908" s="8"/>
      <c r="S908" s="12"/>
      <c r="T908" s="12"/>
      <c r="U908" s="13"/>
      <c r="V908" s="8"/>
      <c r="W908" s="8"/>
      <c r="AA908" s="10"/>
    </row>
    <row r="909">
      <c r="A909" s="8"/>
      <c r="B909" s="11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12"/>
      <c r="N909" s="8"/>
      <c r="O909" s="13"/>
      <c r="P909" s="12"/>
      <c r="Q909" s="8"/>
      <c r="R909" s="8"/>
      <c r="S909" s="12"/>
      <c r="T909" s="12"/>
      <c r="U909" s="13"/>
      <c r="V909" s="8"/>
      <c r="W909" s="8"/>
      <c r="AA909" s="10"/>
    </row>
    <row r="910">
      <c r="A910" s="8"/>
      <c r="B910" s="11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12"/>
      <c r="N910" s="8"/>
      <c r="O910" s="13"/>
      <c r="P910" s="12"/>
      <c r="Q910" s="8"/>
      <c r="R910" s="8"/>
      <c r="S910" s="12"/>
      <c r="T910" s="12"/>
      <c r="U910" s="13"/>
      <c r="V910" s="8"/>
      <c r="W910" s="8"/>
      <c r="AA910" s="10"/>
    </row>
    <row r="911">
      <c r="A911" s="8"/>
      <c r="B911" s="11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12"/>
      <c r="N911" s="8"/>
      <c r="O911" s="13"/>
      <c r="P911" s="12"/>
      <c r="Q911" s="8"/>
      <c r="R911" s="8"/>
      <c r="S911" s="12"/>
      <c r="T911" s="12"/>
      <c r="U911" s="13"/>
      <c r="V911" s="8"/>
      <c r="W911" s="8"/>
      <c r="AA911" s="10"/>
    </row>
    <row r="912">
      <c r="A912" s="8"/>
      <c r="B912" s="11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12"/>
      <c r="N912" s="8"/>
      <c r="O912" s="13"/>
      <c r="P912" s="12"/>
      <c r="Q912" s="8"/>
      <c r="R912" s="8"/>
      <c r="S912" s="12"/>
      <c r="T912" s="12"/>
      <c r="U912" s="13"/>
      <c r="V912" s="8"/>
      <c r="W912" s="8"/>
      <c r="AA912" s="10"/>
    </row>
    <row r="913">
      <c r="A913" s="8"/>
      <c r="B913" s="11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12"/>
      <c r="N913" s="8"/>
      <c r="O913" s="13"/>
      <c r="P913" s="12"/>
      <c r="Q913" s="8"/>
      <c r="R913" s="8"/>
      <c r="S913" s="12"/>
      <c r="T913" s="12"/>
      <c r="U913" s="13"/>
      <c r="V913" s="8"/>
      <c r="W913" s="8"/>
      <c r="AA913" s="10"/>
    </row>
    <row r="914">
      <c r="A914" s="8"/>
      <c r="B914" s="11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12"/>
      <c r="N914" s="8"/>
      <c r="O914" s="13"/>
      <c r="P914" s="12"/>
      <c r="Q914" s="8"/>
      <c r="R914" s="8"/>
      <c r="S914" s="12"/>
      <c r="T914" s="12"/>
      <c r="U914" s="13"/>
      <c r="V914" s="8"/>
      <c r="W914" s="8"/>
      <c r="AA914" s="10"/>
    </row>
    <row r="915">
      <c r="A915" s="8"/>
      <c r="B915" s="11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12"/>
      <c r="N915" s="8"/>
      <c r="O915" s="13"/>
      <c r="P915" s="12"/>
      <c r="Q915" s="8"/>
      <c r="R915" s="8"/>
      <c r="S915" s="12"/>
      <c r="T915" s="12"/>
      <c r="U915" s="13"/>
      <c r="V915" s="8"/>
      <c r="W915" s="8"/>
      <c r="AA915" s="10"/>
    </row>
    <row r="916">
      <c r="A916" s="8"/>
      <c r="B916" s="11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12"/>
      <c r="N916" s="8"/>
      <c r="O916" s="13"/>
      <c r="P916" s="12"/>
      <c r="Q916" s="8"/>
      <c r="R916" s="8"/>
      <c r="S916" s="12"/>
      <c r="T916" s="12"/>
      <c r="U916" s="13"/>
      <c r="V916" s="8"/>
      <c r="W916" s="8"/>
      <c r="AA916" s="10"/>
    </row>
    <row r="917">
      <c r="A917" s="8"/>
      <c r="B917" s="11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12"/>
      <c r="N917" s="8"/>
      <c r="O917" s="13"/>
      <c r="P917" s="12"/>
      <c r="Q917" s="8"/>
      <c r="R917" s="8"/>
      <c r="S917" s="12"/>
      <c r="T917" s="12"/>
      <c r="U917" s="13"/>
      <c r="V917" s="8"/>
      <c r="W917" s="8"/>
      <c r="AA917" s="10"/>
    </row>
    <row r="918">
      <c r="A918" s="8"/>
      <c r="B918" s="11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12"/>
      <c r="N918" s="8"/>
      <c r="O918" s="13"/>
      <c r="P918" s="12"/>
      <c r="Q918" s="8"/>
      <c r="R918" s="8"/>
      <c r="S918" s="12"/>
      <c r="T918" s="12"/>
      <c r="U918" s="13"/>
      <c r="V918" s="8"/>
      <c r="W918" s="8"/>
      <c r="AA918" s="10"/>
    </row>
    <row r="919">
      <c r="A919" s="8"/>
      <c r="B919" s="11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12"/>
      <c r="N919" s="8"/>
      <c r="O919" s="13"/>
      <c r="P919" s="12"/>
      <c r="Q919" s="8"/>
      <c r="R919" s="8"/>
      <c r="S919" s="12"/>
      <c r="T919" s="12"/>
      <c r="U919" s="13"/>
      <c r="V919" s="8"/>
      <c r="W919" s="8"/>
      <c r="AA919" s="10"/>
    </row>
    <row r="920">
      <c r="A920" s="8"/>
      <c r="B920" s="11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12"/>
      <c r="N920" s="8"/>
      <c r="O920" s="13"/>
      <c r="P920" s="12"/>
      <c r="Q920" s="8"/>
      <c r="R920" s="8"/>
      <c r="S920" s="12"/>
      <c r="T920" s="12"/>
      <c r="U920" s="13"/>
      <c r="V920" s="8"/>
      <c r="W920" s="8"/>
      <c r="AA920" s="10"/>
    </row>
    <row r="921">
      <c r="A921" s="8"/>
      <c r="B921" s="11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12"/>
      <c r="N921" s="8"/>
      <c r="O921" s="13"/>
      <c r="P921" s="12"/>
      <c r="Q921" s="8"/>
      <c r="R921" s="8"/>
      <c r="S921" s="12"/>
      <c r="T921" s="12"/>
      <c r="U921" s="13"/>
      <c r="V921" s="8"/>
      <c r="W921" s="8"/>
      <c r="AA921" s="10"/>
    </row>
    <row r="922">
      <c r="A922" s="8"/>
      <c r="B922" s="11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12"/>
      <c r="N922" s="8"/>
      <c r="O922" s="13"/>
      <c r="P922" s="12"/>
      <c r="Q922" s="8"/>
      <c r="R922" s="8"/>
      <c r="S922" s="12"/>
      <c r="T922" s="12"/>
      <c r="U922" s="13"/>
      <c r="V922" s="8"/>
      <c r="W922" s="8"/>
      <c r="AA922" s="10"/>
    </row>
    <row r="923">
      <c r="A923" s="8"/>
      <c r="B923" s="11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12"/>
      <c r="N923" s="8"/>
      <c r="O923" s="13"/>
      <c r="P923" s="12"/>
      <c r="Q923" s="8"/>
      <c r="R923" s="8"/>
      <c r="S923" s="12"/>
      <c r="T923" s="12"/>
      <c r="U923" s="13"/>
      <c r="V923" s="8"/>
      <c r="W923" s="8"/>
      <c r="AA923" s="10"/>
    </row>
    <row r="924">
      <c r="A924" s="8"/>
      <c r="B924" s="11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12"/>
      <c r="N924" s="8"/>
      <c r="O924" s="13"/>
      <c r="P924" s="12"/>
      <c r="Q924" s="8"/>
      <c r="R924" s="8"/>
      <c r="S924" s="12"/>
      <c r="T924" s="12"/>
      <c r="U924" s="13"/>
      <c r="V924" s="8"/>
      <c r="W924" s="8"/>
      <c r="AA924" s="10"/>
    </row>
    <row r="925">
      <c r="A925" s="8"/>
      <c r="B925" s="11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12"/>
      <c r="N925" s="8"/>
      <c r="O925" s="13"/>
      <c r="P925" s="12"/>
      <c r="Q925" s="8"/>
      <c r="R925" s="8"/>
      <c r="S925" s="12"/>
      <c r="T925" s="12"/>
      <c r="U925" s="13"/>
      <c r="V925" s="8"/>
      <c r="W925" s="8"/>
      <c r="AA925" s="10"/>
    </row>
    <row r="926">
      <c r="A926" s="8"/>
      <c r="B926" s="11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12"/>
      <c r="N926" s="8"/>
      <c r="O926" s="13"/>
      <c r="P926" s="12"/>
      <c r="Q926" s="8"/>
      <c r="R926" s="8"/>
      <c r="S926" s="12"/>
      <c r="T926" s="12"/>
      <c r="U926" s="13"/>
      <c r="V926" s="8"/>
      <c r="W926" s="8"/>
      <c r="AA926" s="10"/>
    </row>
    <row r="927">
      <c r="A927" s="8"/>
      <c r="B927" s="11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12"/>
      <c r="N927" s="8"/>
      <c r="O927" s="13"/>
      <c r="P927" s="12"/>
      <c r="Q927" s="8"/>
      <c r="R927" s="8"/>
      <c r="S927" s="12"/>
      <c r="T927" s="12"/>
      <c r="U927" s="13"/>
      <c r="V927" s="8"/>
      <c r="W927" s="8"/>
      <c r="AA927" s="10"/>
    </row>
    <row r="928">
      <c r="A928" s="8"/>
      <c r="B928" s="11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12"/>
      <c r="N928" s="8"/>
      <c r="O928" s="13"/>
      <c r="P928" s="12"/>
      <c r="Q928" s="8"/>
      <c r="R928" s="8"/>
      <c r="S928" s="12"/>
      <c r="T928" s="12"/>
      <c r="U928" s="13"/>
      <c r="V928" s="8"/>
      <c r="W928" s="8"/>
      <c r="AA928" s="10"/>
    </row>
    <row r="929">
      <c r="A929" s="8"/>
      <c r="B929" s="11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12"/>
      <c r="N929" s="8"/>
      <c r="O929" s="13"/>
      <c r="P929" s="12"/>
      <c r="Q929" s="8"/>
      <c r="R929" s="8"/>
      <c r="S929" s="12"/>
      <c r="T929" s="12"/>
      <c r="U929" s="13"/>
      <c r="V929" s="8"/>
      <c r="W929" s="8"/>
      <c r="AA929" s="10"/>
    </row>
    <row r="930">
      <c r="A930" s="8"/>
      <c r="B930" s="11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12"/>
      <c r="N930" s="8"/>
      <c r="O930" s="13"/>
      <c r="P930" s="12"/>
      <c r="Q930" s="8"/>
      <c r="R930" s="8"/>
      <c r="S930" s="12"/>
      <c r="T930" s="12"/>
      <c r="U930" s="13"/>
      <c r="V930" s="8"/>
      <c r="W930" s="8"/>
      <c r="AA930" s="10"/>
    </row>
    <row r="931">
      <c r="A931" s="8"/>
      <c r="B931" s="11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12"/>
      <c r="N931" s="8"/>
      <c r="O931" s="13"/>
      <c r="P931" s="12"/>
      <c r="Q931" s="8"/>
      <c r="R931" s="8"/>
      <c r="S931" s="12"/>
      <c r="T931" s="12"/>
      <c r="U931" s="13"/>
      <c r="V931" s="8"/>
      <c r="W931" s="8"/>
      <c r="AA931" s="10"/>
    </row>
    <row r="932">
      <c r="A932" s="8"/>
      <c r="B932" s="11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12"/>
      <c r="N932" s="8"/>
      <c r="O932" s="13"/>
      <c r="P932" s="12"/>
      <c r="Q932" s="8"/>
      <c r="R932" s="8"/>
      <c r="S932" s="12"/>
      <c r="T932" s="12"/>
      <c r="U932" s="13"/>
      <c r="V932" s="8"/>
      <c r="W932" s="8"/>
      <c r="AA932" s="10"/>
    </row>
    <row r="933">
      <c r="A933" s="8"/>
      <c r="B933" s="11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12"/>
      <c r="N933" s="8"/>
      <c r="O933" s="13"/>
      <c r="P933" s="12"/>
      <c r="Q933" s="8"/>
      <c r="R933" s="8"/>
      <c r="S933" s="12"/>
      <c r="T933" s="12"/>
      <c r="U933" s="13"/>
      <c r="V933" s="8"/>
      <c r="W933" s="8"/>
      <c r="AA933" s="10"/>
    </row>
    <row r="934">
      <c r="A934" s="8"/>
      <c r="B934" s="11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12"/>
      <c r="N934" s="8"/>
      <c r="O934" s="13"/>
      <c r="P934" s="12"/>
      <c r="Q934" s="8"/>
      <c r="R934" s="8"/>
      <c r="S934" s="12"/>
      <c r="T934" s="12"/>
      <c r="U934" s="13"/>
      <c r="V934" s="8"/>
      <c r="W934" s="8"/>
      <c r="AA934" s="10"/>
    </row>
    <row r="935">
      <c r="A935" s="8"/>
      <c r="B935" s="11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12"/>
      <c r="N935" s="8"/>
      <c r="O935" s="13"/>
      <c r="P935" s="12"/>
      <c r="Q935" s="8"/>
      <c r="R935" s="8"/>
      <c r="S935" s="12"/>
      <c r="T935" s="12"/>
      <c r="U935" s="13"/>
      <c r="V935" s="8"/>
      <c r="W935" s="8"/>
      <c r="AA935" s="10"/>
    </row>
    <row r="936">
      <c r="A936" s="8"/>
      <c r="B936" s="11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12"/>
      <c r="N936" s="8"/>
      <c r="O936" s="13"/>
      <c r="P936" s="12"/>
      <c r="Q936" s="8"/>
      <c r="R936" s="8"/>
      <c r="S936" s="12"/>
      <c r="T936" s="12"/>
      <c r="U936" s="13"/>
      <c r="V936" s="8"/>
      <c r="W936" s="8"/>
      <c r="AA936" s="10"/>
    </row>
    <row r="937">
      <c r="A937" s="8"/>
      <c r="B937" s="11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12"/>
      <c r="N937" s="8"/>
      <c r="O937" s="13"/>
      <c r="P937" s="12"/>
      <c r="Q937" s="8"/>
      <c r="R937" s="8"/>
      <c r="S937" s="12"/>
      <c r="T937" s="12"/>
      <c r="U937" s="13"/>
      <c r="V937" s="8"/>
      <c r="W937" s="8"/>
      <c r="AA937" s="10"/>
    </row>
    <row r="938">
      <c r="A938" s="8"/>
      <c r="B938" s="11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12"/>
      <c r="N938" s="8"/>
      <c r="O938" s="13"/>
      <c r="P938" s="12"/>
      <c r="Q938" s="8"/>
      <c r="R938" s="8"/>
      <c r="S938" s="12"/>
      <c r="T938" s="12"/>
      <c r="U938" s="13"/>
      <c r="V938" s="8"/>
      <c r="W938" s="8"/>
      <c r="AA938" s="10"/>
    </row>
    <row r="939">
      <c r="A939" s="8"/>
      <c r="B939" s="11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12"/>
      <c r="N939" s="8"/>
      <c r="O939" s="13"/>
      <c r="P939" s="12"/>
      <c r="Q939" s="8"/>
      <c r="R939" s="8"/>
      <c r="S939" s="12"/>
      <c r="T939" s="12"/>
      <c r="U939" s="13"/>
      <c r="V939" s="8"/>
      <c r="W939" s="8"/>
      <c r="AA939" s="10"/>
    </row>
    <row r="940">
      <c r="A940" s="8"/>
      <c r="B940" s="11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12"/>
      <c r="N940" s="8"/>
      <c r="O940" s="13"/>
      <c r="P940" s="12"/>
      <c r="Q940" s="8"/>
      <c r="R940" s="8"/>
      <c r="S940" s="12"/>
      <c r="T940" s="12"/>
      <c r="U940" s="13"/>
      <c r="V940" s="8"/>
      <c r="W940" s="8"/>
      <c r="AA940" s="10"/>
    </row>
    <row r="941">
      <c r="A941" s="8"/>
      <c r="B941" s="11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12"/>
      <c r="N941" s="8"/>
      <c r="O941" s="13"/>
      <c r="P941" s="12"/>
      <c r="Q941" s="8"/>
      <c r="R941" s="8"/>
      <c r="S941" s="12"/>
      <c r="T941" s="12"/>
      <c r="U941" s="13"/>
      <c r="V941" s="8"/>
      <c r="W941" s="8"/>
      <c r="AA941" s="10"/>
    </row>
    <row r="942">
      <c r="A942" s="8"/>
      <c r="B942" s="11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12"/>
      <c r="N942" s="8"/>
      <c r="O942" s="13"/>
      <c r="P942" s="12"/>
      <c r="Q942" s="8"/>
      <c r="R942" s="8"/>
      <c r="S942" s="12"/>
      <c r="T942" s="12"/>
      <c r="U942" s="13"/>
      <c r="V942" s="8"/>
      <c r="W942" s="8"/>
      <c r="AA942" s="10"/>
    </row>
    <row r="943">
      <c r="A943" s="8"/>
      <c r="B943" s="11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12"/>
      <c r="N943" s="8"/>
      <c r="O943" s="13"/>
      <c r="P943" s="12"/>
      <c r="Q943" s="8"/>
      <c r="R943" s="8"/>
      <c r="S943" s="12"/>
      <c r="T943" s="12"/>
      <c r="U943" s="13"/>
      <c r="V943" s="8"/>
      <c r="W943" s="8"/>
      <c r="AA943" s="10"/>
    </row>
    <row r="944">
      <c r="A944" s="8"/>
      <c r="B944" s="11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12"/>
      <c r="N944" s="8"/>
      <c r="O944" s="13"/>
      <c r="P944" s="12"/>
      <c r="Q944" s="8"/>
      <c r="R944" s="8"/>
      <c r="S944" s="12"/>
      <c r="T944" s="12"/>
      <c r="U944" s="13"/>
      <c r="V944" s="8"/>
      <c r="W944" s="8"/>
      <c r="AA944" s="10"/>
    </row>
    <row r="945">
      <c r="A945" s="8"/>
      <c r="B945" s="11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12"/>
      <c r="N945" s="8"/>
      <c r="O945" s="13"/>
      <c r="P945" s="12"/>
      <c r="Q945" s="8"/>
      <c r="R945" s="8"/>
      <c r="S945" s="12"/>
      <c r="T945" s="12"/>
      <c r="U945" s="13"/>
      <c r="V945" s="8"/>
      <c r="W945" s="8"/>
      <c r="AA945" s="10"/>
    </row>
    <row r="946">
      <c r="A946" s="8"/>
      <c r="B946" s="11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12"/>
      <c r="N946" s="8"/>
      <c r="O946" s="13"/>
      <c r="P946" s="12"/>
      <c r="Q946" s="8"/>
      <c r="R946" s="8"/>
      <c r="S946" s="12"/>
      <c r="T946" s="12"/>
      <c r="U946" s="13"/>
      <c r="V946" s="8"/>
      <c r="W946" s="8"/>
      <c r="AA946" s="10"/>
    </row>
    <row r="947">
      <c r="A947" s="8"/>
      <c r="B947" s="11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12"/>
      <c r="N947" s="8"/>
      <c r="O947" s="13"/>
      <c r="P947" s="12"/>
      <c r="Q947" s="8"/>
      <c r="R947" s="8"/>
      <c r="S947" s="12"/>
      <c r="T947" s="12"/>
      <c r="U947" s="13"/>
      <c r="V947" s="8"/>
      <c r="W947" s="8"/>
      <c r="AA947" s="10"/>
    </row>
    <row r="948">
      <c r="A948" s="8"/>
      <c r="B948" s="11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12"/>
      <c r="N948" s="8"/>
      <c r="O948" s="13"/>
      <c r="P948" s="12"/>
      <c r="Q948" s="8"/>
      <c r="R948" s="8"/>
      <c r="S948" s="12"/>
      <c r="T948" s="12"/>
      <c r="U948" s="13"/>
      <c r="V948" s="8"/>
      <c r="W948" s="8"/>
      <c r="AA948" s="10"/>
    </row>
    <row r="949">
      <c r="A949" s="8"/>
      <c r="B949" s="11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12"/>
      <c r="N949" s="8"/>
      <c r="O949" s="13"/>
      <c r="P949" s="12"/>
      <c r="Q949" s="8"/>
      <c r="R949" s="8"/>
      <c r="S949" s="12"/>
      <c r="T949" s="12"/>
      <c r="U949" s="13"/>
      <c r="V949" s="8"/>
      <c r="W949" s="8"/>
      <c r="AA949" s="10"/>
    </row>
    <row r="950">
      <c r="A950" s="8"/>
      <c r="B950" s="11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12"/>
      <c r="N950" s="8"/>
      <c r="O950" s="13"/>
      <c r="P950" s="12"/>
      <c r="Q950" s="8"/>
      <c r="R950" s="8"/>
      <c r="S950" s="12"/>
      <c r="T950" s="12"/>
      <c r="U950" s="13"/>
      <c r="V950" s="8"/>
      <c r="W950" s="8"/>
      <c r="AA950" s="10"/>
    </row>
    <row r="951">
      <c r="A951" s="8"/>
      <c r="B951" s="11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12"/>
      <c r="N951" s="8"/>
      <c r="O951" s="13"/>
      <c r="P951" s="12"/>
      <c r="Q951" s="8"/>
      <c r="R951" s="8"/>
      <c r="S951" s="12"/>
      <c r="T951" s="12"/>
      <c r="U951" s="13"/>
      <c r="V951" s="8"/>
      <c r="W951" s="8"/>
      <c r="AA951" s="10"/>
    </row>
    <row r="952">
      <c r="A952" s="8"/>
      <c r="B952" s="11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12"/>
      <c r="N952" s="8"/>
      <c r="O952" s="13"/>
      <c r="P952" s="12"/>
      <c r="Q952" s="8"/>
      <c r="R952" s="8"/>
      <c r="S952" s="12"/>
      <c r="T952" s="12"/>
      <c r="U952" s="13"/>
      <c r="V952" s="8"/>
      <c r="W952" s="8"/>
      <c r="AA952" s="10"/>
    </row>
    <row r="953">
      <c r="A953" s="8"/>
      <c r="B953" s="11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12"/>
      <c r="N953" s="8"/>
      <c r="O953" s="13"/>
      <c r="P953" s="12"/>
      <c r="Q953" s="8"/>
      <c r="R953" s="8"/>
      <c r="S953" s="12"/>
      <c r="T953" s="12"/>
      <c r="U953" s="13"/>
      <c r="V953" s="8"/>
      <c r="W953" s="8"/>
      <c r="AA953" s="10"/>
    </row>
    <row r="954">
      <c r="A954" s="8"/>
      <c r="B954" s="11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12"/>
      <c r="N954" s="8"/>
      <c r="O954" s="13"/>
      <c r="P954" s="12"/>
      <c r="Q954" s="8"/>
      <c r="R954" s="8"/>
      <c r="S954" s="12"/>
      <c r="T954" s="12"/>
      <c r="U954" s="13"/>
      <c r="V954" s="8"/>
      <c r="W954" s="8"/>
      <c r="AA954" s="10"/>
    </row>
    <row r="955">
      <c r="A955" s="8"/>
      <c r="B955" s="11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12"/>
      <c r="N955" s="8"/>
      <c r="O955" s="13"/>
      <c r="P955" s="12"/>
      <c r="Q955" s="8"/>
      <c r="R955" s="8"/>
      <c r="S955" s="12"/>
      <c r="T955" s="12"/>
      <c r="U955" s="13"/>
      <c r="V955" s="8"/>
      <c r="W955" s="8"/>
      <c r="AA955" s="10"/>
    </row>
    <row r="956">
      <c r="A956" s="8"/>
      <c r="B956" s="11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12"/>
      <c r="N956" s="8"/>
      <c r="O956" s="13"/>
      <c r="P956" s="12"/>
      <c r="Q956" s="8"/>
      <c r="R956" s="8"/>
      <c r="S956" s="12"/>
      <c r="T956" s="12"/>
      <c r="U956" s="13"/>
      <c r="V956" s="8"/>
      <c r="W956" s="8"/>
      <c r="AA956" s="10"/>
    </row>
    <row r="957">
      <c r="A957" s="8"/>
      <c r="B957" s="11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12"/>
      <c r="N957" s="8"/>
      <c r="O957" s="13"/>
      <c r="P957" s="12"/>
      <c r="Q957" s="8"/>
      <c r="R957" s="8"/>
      <c r="S957" s="12"/>
      <c r="T957" s="12"/>
      <c r="U957" s="13"/>
      <c r="V957" s="8"/>
      <c r="W957" s="8"/>
      <c r="AA957" s="10"/>
    </row>
    <row r="958">
      <c r="A958" s="8"/>
      <c r="B958" s="11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12"/>
      <c r="N958" s="8"/>
      <c r="O958" s="13"/>
      <c r="P958" s="12"/>
      <c r="Q958" s="8"/>
      <c r="R958" s="8"/>
      <c r="S958" s="12"/>
      <c r="T958" s="12"/>
      <c r="U958" s="13"/>
      <c r="V958" s="8"/>
      <c r="W958" s="8"/>
      <c r="AA958" s="10"/>
    </row>
    <row r="959">
      <c r="A959" s="8"/>
      <c r="B959" s="11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12"/>
      <c r="N959" s="8"/>
      <c r="O959" s="13"/>
      <c r="P959" s="12"/>
      <c r="Q959" s="8"/>
      <c r="R959" s="8"/>
      <c r="S959" s="12"/>
      <c r="T959" s="12"/>
      <c r="U959" s="13"/>
      <c r="V959" s="8"/>
      <c r="W959" s="8"/>
      <c r="AA959" s="10"/>
    </row>
    <row r="960">
      <c r="A960" s="8"/>
      <c r="B960" s="11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12"/>
      <c r="N960" s="8"/>
      <c r="O960" s="13"/>
      <c r="P960" s="12"/>
      <c r="Q960" s="8"/>
      <c r="R960" s="8"/>
      <c r="S960" s="12"/>
      <c r="T960" s="12"/>
      <c r="U960" s="13"/>
      <c r="V960" s="8"/>
      <c r="W960" s="8"/>
      <c r="AA960" s="10"/>
    </row>
    <row r="961">
      <c r="A961" s="8"/>
      <c r="B961" s="11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12"/>
      <c r="N961" s="8"/>
      <c r="O961" s="13"/>
      <c r="P961" s="12"/>
      <c r="Q961" s="8"/>
      <c r="R961" s="8"/>
      <c r="S961" s="12"/>
      <c r="T961" s="12"/>
      <c r="U961" s="13"/>
      <c r="V961" s="8"/>
      <c r="W961" s="8"/>
      <c r="AA961" s="10"/>
    </row>
    <row r="962">
      <c r="A962" s="8"/>
      <c r="B962" s="11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12"/>
      <c r="N962" s="8"/>
      <c r="O962" s="13"/>
      <c r="P962" s="12"/>
      <c r="Q962" s="8"/>
      <c r="R962" s="8"/>
      <c r="S962" s="12"/>
      <c r="T962" s="12"/>
      <c r="U962" s="13"/>
      <c r="V962" s="8"/>
      <c r="W962" s="8"/>
      <c r="AA962" s="10"/>
    </row>
    <row r="963">
      <c r="A963" s="8"/>
      <c r="B963" s="11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12"/>
      <c r="N963" s="8"/>
      <c r="O963" s="13"/>
      <c r="P963" s="12"/>
      <c r="Q963" s="8"/>
      <c r="R963" s="8"/>
      <c r="S963" s="12"/>
      <c r="T963" s="12"/>
      <c r="U963" s="13"/>
      <c r="V963" s="8"/>
      <c r="W963" s="8"/>
      <c r="AA963" s="10"/>
    </row>
    <row r="964">
      <c r="A964" s="8"/>
      <c r="B964" s="11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12"/>
      <c r="N964" s="8"/>
      <c r="O964" s="13"/>
      <c r="P964" s="12"/>
      <c r="Q964" s="8"/>
      <c r="R964" s="8"/>
      <c r="S964" s="12"/>
      <c r="T964" s="12"/>
      <c r="U964" s="13"/>
      <c r="V964" s="8"/>
      <c r="W964" s="8"/>
      <c r="AA964" s="10"/>
    </row>
    <row r="965">
      <c r="A965" s="8"/>
      <c r="B965" s="11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12"/>
      <c r="N965" s="8"/>
      <c r="O965" s="13"/>
      <c r="P965" s="12"/>
      <c r="Q965" s="8"/>
      <c r="R965" s="8"/>
      <c r="S965" s="12"/>
      <c r="T965" s="12"/>
      <c r="U965" s="13"/>
      <c r="V965" s="8"/>
      <c r="W965" s="8"/>
      <c r="AA965" s="10"/>
    </row>
    <row r="966">
      <c r="A966" s="8"/>
      <c r="B966" s="11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12"/>
      <c r="N966" s="8"/>
      <c r="O966" s="13"/>
      <c r="P966" s="12"/>
      <c r="Q966" s="8"/>
      <c r="R966" s="8"/>
      <c r="S966" s="12"/>
      <c r="T966" s="12"/>
      <c r="U966" s="13"/>
      <c r="V966" s="8"/>
      <c r="W966" s="8"/>
      <c r="AA966" s="10"/>
    </row>
    <row r="967">
      <c r="A967" s="8"/>
      <c r="B967" s="11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12"/>
      <c r="N967" s="8"/>
      <c r="O967" s="13"/>
      <c r="P967" s="12"/>
      <c r="Q967" s="8"/>
      <c r="R967" s="8"/>
      <c r="S967" s="12"/>
      <c r="T967" s="12"/>
      <c r="U967" s="13"/>
      <c r="V967" s="8"/>
      <c r="W967" s="8"/>
      <c r="AA967" s="10"/>
    </row>
    <row r="968">
      <c r="A968" s="8"/>
      <c r="B968" s="11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12"/>
      <c r="N968" s="8"/>
      <c r="O968" s="13"/>
      <c r="P968" s="12"/>
      <c r="Q968" s="8"/>
      <c r="R968" s="8"/>
      <c r="S968" s="12"/>
      <c r="T968" s="12"/>
      <c r="U968" s="13"/>
      <c r="V968" s="8"/>
      <c r="W968" s="8"/>
      <c r="AA968" s="10"/>
    </row>
    <row r="969">
      <c r="A969" s="8"/>
      <c r="B969" s="11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12"/>
      <c r="N969" s="8"/>
      <c r="O969" s="13"/>
      <c r="P969" s="12"/>
      <c r="Q969" s="8"/>
      <c r="R969" s="8"/>
      <c r="S969" s="12"/>
      <c r="T969" s="12"/>
      <c r="U969" s="13"/>
      <c r="V969" s="8"/>
      <c r="W969" s="8"/>
      <c r="AA969" s="10"/>
    </row>
    <row r="970">
      <c r="A970" s="8"/>
      <c r="B970" s="11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12"/>
      <c r="N970" s="8"/>
      <c r="O970" s="13"/>
      <c r="P970" s="12"/>
      <c r="Q970" s="8"/>
      <c r="R970" s="8"/>
      <c r="S970" s="12"/>
      <c r="T970" s="12"/>
      <c r="U970" s="13"/>
      <c r="V970" s="8"/>
      <c r="W970" s="8"/>
      <c r="AA970" s="10"/>
    </row>
    <row r="971">
      <c r="A971" s="8"/>
      <c r="B971" s="11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12"/>
      <c r="N971" s="8"/>
      <c r="O971" s="13"/>
      <c r="P971" s="12"/>
      <c r="Q971" s="8"/>
      <c r="R971" s="8"/>
      <c r="S971" s="12"/>
      <c r="T971" s="12"/>
      <c r="U971" s="13"/>
      <c r="V971" s="8"/>
      <c r="W971" s="8"/>
      <c r="AA971" s="10"/>
    </row>
    <row r="972">
      <c r="A972" s="8"/>
      <c r="B972" s="11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12"/>
      <c r="N972" s="8"/>
      <c r="O972" s="13"/>
      <c r="P972" s="12"/>
      <c r="Q972" s="8"/>
      <c r="R972" s="8"/>
      <c r="S972" s="12"/>
      <c r="T972" s="12"/>
      <c r="U972" s="13"/>
      <c r="V972" s="8"/>
      <c r="W972" s="8"/>
      <c r="AA972" s="10"/>
    </row>
    <row r="973">
      <c r="A973" s="8"/>
      <c r="B973" s="11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12"/>
      <c r="N973" s="8"/>
      <c r="O973" s="13"/>
      <c r="P973" s="12"/>
      <c r="Q973" s="8"/>
      <c r="R973" s="8"/>
      <c r="S973" s="12"/>
      <c r="T973" s="12"/>
      <c r="U973" s="13"/>
      <c r="V973" s="8"/>
      <c r="W973" s="8"/>
      <c r="AA973" s="10"/>
    </row>
    <row r="974">
      <c r="A974" s="8"/>
      <c r="B974" s="11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12"/>
      <c r="N974" s="8"/>
      <c r="O974" s="13"/>
      <c r="P974" s="12"/>
      <c r="Q974" s="8"/>
      <c r="R974" s="8"/>
      <c r="S974" s="12"/>
      <c r="T974" s="12"/>
      <c r="U974" s="13"/>
      <c r="V974" s="8"/>
      <c r="W974" s="8"/>
      <c r="AA974" s="10"/>
    </row>
    <row r="975">
      <c r="A975" s="8"/>
      <c r="B975" s="11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12"/>
      <c r="N975" s="8"/>
      <c r="O975" s="13"/>
      <c r="P975" s="12"/>
      <c r="Q975" s="8"/>
      <c r="R975" s="8"/>
      <c r="S975" s="12"/>
      <c r="T975" s="12"/>
      <c r="U975" s="13"/>
      <c r="V975" s="8"/>
      <c r="W975" s="8"/>
      <c r="AA975" s="10"/>
    </row>
    <row r="976">
      <c r="A976" s="8"/>
      <c r="B976" s="11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12"/>
      <c r="N976" s="8"/>
      <c r="O976" s="13"/>
      <c r="P976" s="12"/>
      <c r="Q976" s="8"/>
      <c r="R976" s="8"/>
      <c r="S976" s="12"/>
      <c r="T976" s="12"/>
      <c r="U976" s="13"/>
      <c r="V976" s="8"/>
      <c r="W976" s="8"/>
      <c r="AA976" s="10"/>
    </row>
    <row r="977">
      <c r="A977" s="8"/>
      <c r="B977" s="11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12"/>
      <c r="N977" s="8"/>
      <c r="O977" s="13"/>
      <c r="P977" s="12"/>
      <c r="Q977" s="8"/>
      <c r="R977" s="8"/>
      <c r="S977" s="12"/>
      <c r="T977" s="12"/>
      <c r="U977" s="13"/>
      <c r="V977" s="8"/>
      <c r="W977" s="8"/>
      <c r="AA977" s="10"/>
    </row>
    <row r="978">
      <c r="A978" s="8"/>
      <c r="B978" s="11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12"/>
      <c r="N978" s="8"/>
      <c r="O978" s="13"/>
      <c r="P978" s="12"/>
      <c r="Q978" s="8"/>
      <c r="R978" s="8"/>
      <c r="S978" s="12"/>
      <c r="T978" s="12"/>
      <c r="U978" s="13"/>
      <c r="V978" s="8"/>
      <c r="W978" s="8"/>
      <c r="AA978" s="10"/>
    </row>
    <row r="979">
      <c r="A979" s="8"/>
      <c r="B979" s="11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12"/>
      <c r="N979" s="8"/>
      <c r="O979" s="13"/>
      <c r="P979" s="12"/>
      <c r="Q979" s="8"/>
      <c r="R979" s="8"/>
      <c r="S979" s="12"/>
      <c r="T979" s="12"/>
      <c r="U979" s="13"/>
      <c r="V979" s="8"/>
      <c r="W979" s="8"/>
      <c r="AA979" s="10"/>
    </row>
    <row r="980">
      <c r="A980" s="8"/>
      <c r="B980" s="11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12"/>
      <c r="N980" s="8"/>
      <c r="O980" s="13"/>
      <c r="P980" s="12"/>
      <c r="Q980" s="8"/>
      <c r="R980" s="8"/>
      <c r="S980" s="12"/>
      <c r="T980" s="12"/>
      <c r="U980" s="13"/>
      <c r="V980" s="8"/>
      <c r="W980" s="8"/>
      <c r="AA980" s="10"/>
    </row>
    <row r="981">
      <c r="A981" s="8"/>
      <c r="B981" s="11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12"/>
      <c r="N981" s="8"/>
      <c r="O981" s="13"/>
      <c r="P981" s="12"/>
      <c r="Q981" s="8"/>
      <c r="R981" s="8"/>
      <c r="S981" s="12"/>
      <c r="T981" s="12"/>
      <c r="U981" s="13"/>
      <c r="V981" s="8"/>
      <c r="W981" s="8"/>
      <c r="AA981" s="10"/>
    </row>
    <row r="982">
      <c r="A982" s="8"/>
      <c r="B982" s="11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12"/>
      <c r="N982" s="8"/>
      <c r="O982" s="13"/>
      <c r="P982" s="12"/>
      <c r="Q982" s="8"/>
      <c r="R982" s="8"/>
      <c r="S982" s="12"/>
      <c r="T982" s="12"/>
      <c r="U982" s="13"/>
      <c r="V982" s="8"/>
      <c r="W982" s="8"/>
      <c r="AA982" s="10"/>
    </row>
    <row r="983">
      <c r="A983" s="8"/>
      <c r="B983" s="11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12"/>
      <c r="N983" s="8"/>
      <c r="O983" s="13"/>
      <c r="P983" s="12"/>
      <c r="Q983" s="8"/>
      <c r="R983" s="8"/>
      <c r="S983" s="12"/>
      <c r="T983" s="12"/>
      <c r="U983" s="13"/>
      <c r="V983" s="8"/>
      <c r="W983" s="8"/>
      <c r="AA983" s="10"/>
    </row>
    <row r="984">
      <c r="A984" s="8"/>
      <c r="B984" s="11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12"/>
      <c r="N984" s="8"/>
      <c r="O984" s="13"/>
      <c r="P984" s="12"/>
      <c r="Q984" s="8"/>
      <c r="R984" s="8"/>
      <c r="S984" s="12"/>
      <c r="T984" s="12"/>
      <c r="U984" s="13"/>
      <c r="V984" s="8"/>
      <c r="W984" s="8"/>
      <c r="AA984" s="10"/>
    </row>
    <row r="985">
      <c r="A985" s="8"/>
      <c r="B985" s="11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12"/>
      <c r="N985" s="8"/>
      <c r="O985" s="13"/>
      <c r="P985" s="12"/>
      <c r="Q985" s="8"/>
      <c r="R985" s="8"/>
      <c r="S985" s="12"/>
      <c r="T985" s="12"/>
      <c r="U985" s="13"/>
      <c r="V985" s="8"/>
      <c r="W985" s="8"/>
      <c r="AA985" s="10"/>
    </row>
    <row r="986">
      <c r="A986" s="8"/>
      <c r="B986" s="11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12"/>
      <c r="N986" s="8"/>
      <c r="O986" s="13"/>
      <c r="P986" s="12"/>
      <c r="Q986" s="8"/>
      <c r="R986" s="8"/>
      <c r="S986" s="12"/>
      <c r="T986" s="12"/>
      <c r="U986" s="13"/>
      <c r="V986" s="8"/>
      <c r="W986" s="8"/>
      <c r="AA986" s="10"/>
    </row>
    <row r="987">
      <c r="A987" s="8"/>
      <c r="B987" s="11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12"/>
      <c r="N987" s="8"/>
      <c r="O987" s="13"/>
      <c r="P987" s="12"/>
      <c r="Q987" s="8"/>
      <c r="R987" s="8"/>
      <c r="S987" s="12"/>
      <c r="T987" s="12"/>
      <c r="U987" s="13"/>
      <c r="V987" s="8"/>
      <c r="W987" s="8"/>
      <c r="AA987" s="10"/>
    </row>
    <row r="988">
      <c r="A988" s="8"/>
      <c r="B988" s="11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12"/>
      <c r="N988" s="8"/>
      <c r="O988" s="13"/>
      <c r="P988" s="12"/>
      <c r="Q988" s="8"/>
      <c r="R988" s="8"/>
      <c r="S988" s="12"/>
      <c r="T988" s="12"/>
      <c r="U988" s="13"/>
      <c r="V988" s="8"/>
      <c r="W988" s="8"/>
      <c r="AA988" s="10"/>
    </row>
    <row r="989">
      <c r="A989" s="8"/>
      <c r="B989" s="11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12"/>
      <c r="N989" s="8"/>
      <c r="O989" s="13"/>
      <c r="P989" s="12"/>
      <c r="Q989" s="8"/>
      <c r="R989" s="8"/>
      <c r="S989" s="12"/>
      <c r="T989" s="12"/>
      <c r="U989" s="13"/>
      <c r="V989" s="8"/>
      <c r="W989" s="8"/>
      <c r="AA989" s="10"/>
    </row>
    <row r="990">
      <c r="A990" s="8"/>
      <c r="B990" s="11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12"/>
      <c r="N990" s="8"/>
      <c r="O990" s="13"/>
      <c r="P990" s="12"/>
      <c r="Q990" s="8"/>
      <c r="R990" s="8"/>
      <c r="S990" s="12"/>
      <c r="T990" s="12"/>
      <c r="U990" s="13"/>
      <c r="V990" s="8"/>
      <c r="W990" s="8"/>
      <c r="AA990" s="10"/>
    </row>
    <row r="991">
      <c r="A991" s="8"/>
      <c r="B991" s="11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12"/>
      <c r="N991" s="8"/>
      <c r="O991" s="13"/>
      <c r="P991" s="12"/>
      <c r="Q991" s="8"/>
      <c r="R991" s="8"/>
      <c r="S991" s="12"/>
      <c r="T991" s="12"/>
      <c r="U991" s="13"/>
      <c r="V991" s="8"/>
      <c r="W991" s="8"/>
      <c r="AA991" s="10"/>
    </row>
    <row r="992">
      <c r="A992" s="8"/>
      <c r="B992" s="11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12"/>
      <c r="N992" s="8"/>
      <c r="O992" s="13"/>
      <c r="P992" s="12"/>
      <c r="Q992" s="8"/>
      <c r="R992" s="8"/>
      <c r="S992" s="12"/>
      <c r="T992" s="12"/>
      <c r="U992" s="13"/>
      <c r="V992" s="8"/>
      <c r="W992" s="8"/>
      <c r="AA992" s="10"/>
    </row>
    <row r="993">
      <c r="A993" s="8"/>
      <c r="B993" s="11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12"/>
      <c r="N993" s="8"/>
      <c r="O993" s="13"/>
      <c r="P993" s="12"/>
      <c r="Q993" s="8"/>
      <c r="R993" s="8"/>
      <c r="S993" s="12"/>
      <c r="T993" s="12"/>
      <c r="U993" s="13"/>
      <c r="V993" s="8"/>
      <c r="W993" s="8"/>
      <c r="AA993" s="10"/>
    </row>
    <row r="994">
      <c r="A994" s="8"/>
      <c r="B994" s="11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12"/>
      <c r="N994" s="8"/>
      <c r="O994" s="13"/>
      <c r="P994" s="12"/>
      <c r="Q994" s="8"/>
      <c r="R994" s="8"/>
      <c r="S994" s="12"/>
      <c r="T994" s="12"/>
      <c r="U994" s="13"/>
      <c r="V994" s="8"/>
      <c r="W994" s="8"/>
      <c r="AA994" s="10"/>
    </row>
    <row r="995">
      <c r="A995" s="8"/>
      <c r="B995" s="11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12"/>
      <c r="N995" s="8"/>
      <c r="O995" s="13"/>
      <c r="P995" s="12"/>
      <c r="Q995" s="8"/>
      <c r="R995" s="8"/>
      <c r="S995" s="12"/>
      <c r="T995" s="12"/>
      <c r="U995" s="13"/>
      <c r="V995" s="8"/>
      <c r="W995" s="8"/>
      <c r="AA995" s="10"/>
    </row>
    <row r="996">
      <c r="A996" s="8"/>
      <c r="B996" s="11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12"/>
      <c r="N996" s="8"/>
      <c r="O996" s="13"/>
      <c r="P996" s="12"/>
      <c r="Q996" s="8"/>
      <c r="R996" s="8"/>
      <c r="S996" s="12"/>
      <c r="T996" s="12"/>
      <c r="U996" s="13"/>
      <c r="V996" s="8"/>
      <c r="W996" s="8"/>
      <c r="AA996" s="10"/>
    </row>
    <row r="997">
      <c r="A997" s="8"/>
      <c r="B997" s="11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12"/>
      <c r="N997" s="8"/>
      <c r="O997" s="13"/>
      <c r="P997" s="12"/>
      <c r="Q997" s="8"/>
      <c r="R997" s="8"/>
      <c r="S997" s="12"/>
      <c r="T997" s="12"/>
      <c r="U997" s="13"/>
      <c r="V997" s="8"/>
      <c r="W997" s="8"/>
      <c r="AA997" s="10"/>
    </row>
    <row r="998">
      <c r="A998" s="8"/>
      <c r="B998" s="11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12"/>
      <c r="N998" s="8"/>
      <c r="O998" s="13"/>
      <c r="P998" s="12"/>
      <c r="Q998" s="8"/>
      <c r="R998" s="8"/>
      <c r="S998" s="12"/>
      <c r="T998" s="12"/>
      <c r="U998" s="13"/>
      <c r="V998" s="8"/>
      <c r="W998" s="8"/>
      <c r="AA998" s="10"/>
    </row>
    <row r="999">
      <c r="A999" s="8"/>
      <c r="B999" s="11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12"/>
      <c r="N999" s="8"/>
      <c r="O999" s="13"/>
      <c r="P999" s="12"/>
      <c r="Q999" s="8"/>
      <c r="R999" s="8"/>
      <c r="S999" s="12"/>
      <c r="T999" s="12"/>
      <c r="U999" s="13"/>
      <c r="V999" s="8"/>
      <c r="W999" s="8"/>
      <c r="AA999" s="10"/>
    </row>
    <row r="1000">
      <c r="A1000" s="8"/>
      <c r="B1000" s="11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12"/>
      <c r="N1000" s="8"/>
      <c r="O1000" s="13"/>
      <c r="P1000" s="12"/>
      <c r="Q1000" s="8"/>
      <c r="R1000" s="8"/>
      <c r="S1000" s="12"/>
      <c r="T1000" s="12"/>
      <c r="U1000" s="13"/>
      <c r="V1000" s="8"/>
      <c r="W1000" s="8"/>
      <c r="AA1000" s="10"/>
    </row>
  </sheetData>
  <drawing r:id="rId1"/>
</worksheet>
</file>