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ccident Rate" sheetId="1" r:id="rId4"/>
    <sheet state="visible" name="tbl user" sheetId="2" r:id="rId5"/>
    <sheet state="hidden" name="tbl equipment" sheetId="3" r:id="rId6"/>
    <sheet state="hidden" name="tbl driver 2" sheetId="4" r:id="rId7"/>
    <sheet state="hidden" name="tbl kategori kecelakaan" sheetId="5" r:id="rId8"/>
    <sheet state="hidden" name="tbl departemen kecelakaan" sheetId="6" r:id="rId9"/>
    <sheet state="hidden" name="tbl tempat insiden" sheetId="7" r:id="rId10"/>
  </sheets>
  <definedNames/>
  <calcPr/>
</workbook>
</file>

<file path=xl/sharedStrings.xml><?xml version="1.0" encoding="utf-8"?>
<sst xmlns="http://schemas.openxmlformats.org/spreadsheetml/2006/main" count="642" uniqueCount="282">
  <si>
    <t>timestamps</t>
  </si>
  <si>
    <t>ID ACCIDENT RATE</t>
  </si>
  <si>
    <t>DATE OF LOSS</t>
  </si>
  <si>
    <t>NO. BA ACCIDENT</t>
  </si>
  <si>
    <t>KLASIFIKASI KECELAKAAN</t>
  </si>
  <si>
    <t>TEMPAT INSIDEN</t>
  </si>
  <si>
    <t>ID UNIT</t>
  </si>
  <si>
    <t>DEPARTEMEN</t>
  </si>
  <si>
    <t>NAMA KERYAWAN</t>
  </si>
  <si>
    <t>UMUR</t>
  </si>
  <si>
    <t>ESTIMASI KERUGIAN MATERIAL</t>
  </si>
  <si>
    <t>KRONOLOGI INSIDEN</t>
  </si>
  <si>
    <t>CODE USER</t>
  </si>
  <si>
    <t>USER</t>
  </si>
  <si>
    <r>
      <rPr>
        <rFont val="Arial"/>
        <i/>
        <color theme="1"/>
        <sz val="10.0"/>
      </rPr>
      <t xml:space="preserve">Note : Double klik untuk menampilkan </t>
    </r>
    <r>
      <rPr>
        <rFont val="Arial"/>
        <b/>
        <i/>
        <color theme="1"/>
        <sz val="10.0"/>
      </rPr>
      <t>UI Date</t>
    </r>
  </si>
  <si>
    <r>
      <rPr>
        <rFont val="Arial"/>
        <i/>
        <color theme="1"/>
        <sz val="10.0"/>
      </rPr>
      <t xml:space="preserve">Note : Inputan berformat </t>
    </r>
    <r>
      <rPr>
        <rFont val="Arial"/>
        <b/>
        <i/>
        <color theme="1"/>
        <sz val="10.0"/>
      </rPr>
      <t>Angka</t>
    </r>
  </si>
  <si>
    <r>
      <rPr>
        <rFont val="Arial"/>
        <i/>
        <color theme="1"/>
        <sz val="10.0"/>
      </rPr>
      <t xml:space="preserve">Note : Double klik untuk menampilkan </t>
    </r>
    <r>
      <rPr>
        <rFont val="Arial"/>
        <b/>
        <i/>
        <color theme="1"/>
        <sz val="10.0"/>
      </rPr>
      <t>List Klasifikasi Kecelakaan</t>
    </r>
  </si>
  <si>
    <r>
      <rPr>
        <rFont val="Arial"/>
        <i/>
        <color theme="1"/>
        <sz val="10.0"/>
      </rPr>
      <t xml:space="preserve">Note : Double klik untuk menampilkan </t>
    </r>
    <r>
      <rPr>
        <rFont val="Arial"/>
        <b/>
        <i/>
        <color theme="1"/>
        <sz val="10.0"/>
      </rPr>
      <t>List Tempat Insiden</t>
    </r>
  </si>
  <si>
    <r>
      <rPr>
        <rFont val="Arial"/>
        <i/>
        <color theme="1"/>
        <sz val="10.0"/>
      </rPr>
      <t xml:space="preserve">Note : Kosongkan bila insiden tidak berhubungan dengan </t>
    </r>
    <r>
      <rPr>
        <rFont val="Arial"/>
        <b/>
        <i/>
        <color theme="1"/>
        <sz val="10.0"/>
      </rPr>
      <t>Equipment</t>
    </r>
  </si>
  <si>
    <r>
      <rPr>
        <rFont val="Arial"/>
        <i/>
        <color theme="1"/>
        <sz val="10.0"/>
      </rPr>
      <t xml:space="preserve">Note : Double klik untuk menampilkan </t>
    </r>
    <r>
      <rPr>
        <rFont val="Arial"/>
        <b/>
        <i/>
        <color theme="1"/>
        <sz val="10.0"/>
      </rPr>
      <t>List Departemen Terjadi Kecelakaan</t>
    </r>
  </si>
  <si>
    <r>
      <rPr>
        <rFont val="Arial"/>
        <i/>
        <color theme="1"/>
        <sz val="10.0"/>
      </rPr>
      <t xml:space="preserve">Note : Double klik untuk menampilkan </t>
    </r>
    <r>
      <rPr>
        <rFont val="Arial"/>
        <b/>
        <i/>
        <color theme="1"/>
        <sz val="10.0"/>
      </rPr>
      <t>List ID Karyawan</t>
    </r>
  </si>
  <si>
    <r>
      <rPr>
        <rFont val="Arial"/>
        <i/>
        <color theme="1"/>
        <sz val="10.0"/>
      </rPr>
      <t xml:space="preserve">Note : </t>
    </r>
    <r>
      <rPr>
        <rFont val="Arial"/>
        <b/>
        <i/>
        <color theme="1"/>
        <sz val="10.0"/>
      </rPr>
      <t xml:space="preserve">Umur </t>
    </r>
    <r>
      <rPr>
        <rFont val="Arial"/>
        <i/>
        <color theme="1"/>
        <sz val="10.0"/>
      </rPr>
      <t xml:space="preserve">akan terisi otomatis jika </t>
    </r>
    <r>
      <rPr>
        <rFont val="Arial"/>
        <b/>
        <i/>
        <color theme="1"/>
        <sz val="10.0"/>
      </rPr>
      <t xml:space="preserve">Database Karyawan </t>
    </r>
    <r>
      <rPr>
        <rFont val="Arial"/>
        <i/>
        <color theme="1"/>
        <sz val="10.0"/>
      </rPr>
      <t>terlengkapi</t>
    </r>
  </si>
  <si>
    <r>
      <rPr>
        <rFont val="Arial"/>
        <b val="0"/>
        <i/>
        <color theme="1"/>
        <sz val="10.0"/>
      </rPr>
      <t xml:space="preserve">Note : Inputan berformat </t>
    </r>
    <r>
      <rPr>
        <rFont val="Arial"/>
        <b/>
        <i/>
        <color theme="1"/>
        <sz val="10.0"/>
      </rPr>
      <t>Angka</t>
    </r>
  </si>
  <si>
    <t>Note : User terisi automatis sesuai email terdaftar</t>
  </si>
  <si>
    <t>001/BA/SA-HSE/I/2024</t>
  </si>
  <si>
    <t>Property Demage</t>
  </si>
  <si>
    <t>Workshop</t>
  </si>
  <si>
    <t>LV-10</t>
  </si>
  <si>
    <t>zulfadli aftitah</t>
  </si>
  <si>
    <t>Memindahkan unit LV 10 dari workshop tyre, sehingga menabrak mundur unit yang sedang di perbaiki</t>
  </si>
  <si>
    <t>AInSvgGeTDI+4Fp7D9tYEE63gpfwcCV/ctC0an9LQHjwego8bG9rroxOJU6pJXfrjsOC+EpP2LVY</t>
  </si>
  <si>
    <t>001/EKS/BA/BDM-HSE/KON/I/2024</t>
  </si>
  <si>
    <t>Near Miss</t>
  </si>
  <si>
    <t>Jalan Angkut/Hauling Road</t>
  </si>
  <si>
    <t>DT-161</t>
  </si>
  <si>
    <t>Kendaraan &amp; Unit Support</t>
  </si>
  <si>
    <t>[110231845] SELIN</t>
  </si>
  <si>
    <t>KENDARAAN DT SA 161 TERGELINCIR TIDAK MAMPU MENANJAK DI JALAN HAULING BDM KM 4</t>
  </si>
  <si>
    <t>001/BA/SA-HSE/KON/I/2024</t>
  </si>
  <si>
    <t>DT-268</t>
  </si>
  <si>
    <t>kevin</t>
  </si>
  <si>
    <t>KENDARAAN DT SA 268 MENABRAK VESSEL DT BMS</t>
  </si>
  <si>
    <t>KENDARAAN DT SA 285 MASUK EMERGENCY STOP</t>
  </si>
  <si>
    <t>002/BA/SA-HSE/KON/I/2024</t>
  </si>
  <si>
    <t>DT-347</t>
  </si>
  <si>
    <t>[212201312] I WAYAN RUDI YASTAWA</t>
  </si>
  <si>
    <t>Masuk Emergency Stop, karena rem kurang pakem</t>
  </si>
  <si>
    <t>005/BA/SA-HSE/I/2024</t>
  </si>
  <si>
    <t>Pabrik</t>
  </si>
  <si>
    <t>DT-398</t>
  </si>
  <si>
    <t>[101211334] YATMAN F PANGANDE</t>
  </si>
  <si>
    <t xml:space="preserve">Dump truck Pabrik tiba-tiba berhenti karena ada Dump truck lain yang melintas, sehingga DT SA 398 menabrak vssel belakang Dump Truck tersebut   </t>
  </si>
  <si>
    <t>006/BA/SA-HSE/I/2024</t>
  </si>
  <si>
    <t>DT-260</t>
  </si>
  <si>
    <t>edo</t>
  </si>
  <si>
    <t>Masuk Emergency Stop dikarenakan pengereman kurang pakem akibat dari miss pengoperasian</t>
  </si>
  <si>
    <t>007/BA/SA-HSE/I/2024</t>
  </si>
  <si>
    <t>DT-285</t>
  </si>
  <si>
    <t>[204231749] MICHAEL JONAS THOMPSON FREDHYK KARUNDENG</t>
  </si>
  <si>
    <t>005/BA/APP-HSE/I/2024</t>
  </si>
  <si>
    <t>Tambang / Pit</t>
  </si>
  <si>
    <t>PC200-25</t>
  </si>
  <si>
    <t>Produksi</t>
  </si>
  <si>
    <t>Noverdandi Magania</t>
  </si>
  <si>
    <t>Unit Excavator PC 200 25 terbalik saat melakukan pekerjaan land clearing di area KBM E karena dudukan dari exca tersebut pecah</t>
  </si>
  <si>
    <t>001/BA/APP-HSE/I/2024</t>
  </si>
  <si>
    <t>LV-09</t>
  </si>
  <si>
    <t>[205221631] ILHAM</t>
  </si>
  <si>
    <t>Pada hari Senin, Tanggal 08-01-2024 pukul 08.30 Sdr. Ilham berangkat dari mess/Camp tujuan bandara umbele bungku untuk menjemput Sdr. Hendra dan Sdr. Eky Sidik Pratama, di Tengah perjalanan sekitar pukul 09.00 antara bahodopi dan bungku Sdr. Ilham mengalami accident dengan pengendara lain yang mana tiba-tiba melakukan pengereman mendadak, Sdr. Ilham pun melakukan pengereman dan menghindari kesisi kiri jalan namun tidak cukup ruang dan akhirnya lampu dan bumper sebelah kanan pecah karena mengenai sisi kiri belakang unit yang berada didepan.</t>
  </si>
  <si>
    <t>003/BA/APP-HSE/I/2024</t>
  </si>
  <si>
    <t>DT-323</t>
  </si>
  <si>
    <t>[202221591] YOHANES BAHARI</t>
  </si>
  <si>
    <t>Unit DT APP 323 yang di operasikan sdr. Yohanes bahari mengalami panas pada bagian tromol sehingga rem kurang pakem</t>
  </si>
  <si>
    <t>004/BA/APP-HSE/I/2024</t>
  </si>
  <si>
    <t>DT-383</t>
  </si>
  <si>
    <t>[209201227] MUKSIN</t>
  </si>
  <si>
    <t>Berdasarkan keterangan dari driver, pada saat unit di operasikan driver menggunakan gear 3 akan tetapi RPM pada unit terus meningkat dan sudah tidak bisa stabil, ketika driver menginjak rem unit tdk bisa menahan karena merasakan adanya perubahan pada muatan. Kejadian tersebut terjadi pada saat retase ke 2.</t>
  </si>
  <si>
    <t>08/HSE-SA/II/2024</t>
  </si>
  <si>
    <t>DT-368</t>
  </si>
  <si>
    <t>[210201250] PARAHAN</t>
  </si>
  <si>
    <t>DT SA 368 memaksakan unit melambung unit triler milik pabrik, tiba-tiba ada unit dari arah berlawanan unit DT SA 368 berhenti disamping unit trailer karena DT SA 368 terlalu mepet ke unit trailer akhir unit DT SA 368 disenggol oleh unit trailer milik pabrik</t>
  </si>
  <si>
    <t>006/BA/APP-HSE/II/2024</t>
  </si>
  <si>
    <t>Excavator PC 200 No 25 jatuh kedalam jurang saat melakukan pekerjaan, dimana pijakan pada unit tersebut amblas.</t>
  </si>
  <si>
    <t>09/HSE-SA/II/2024</t>
  </si>
  <si>
    <t>DT-341</t>
  </si>
  <si>
    <t>Firgo</t>
  </si>
  <si>
    <t>DT SA 341 melaju dengan kecepatan tinggi, sehingga penggunaan rem kaki secara berlebih mengakibatkan kampas rem panas mengakibatkan permasalahan pada rem kaki/service break</t>
  </si>
  <si>
    <t>10/HSE-SA/II/2024</t>
  </si>
  <si>
    <t>DT-359</t>
  </si>
  <si>
    <t>[206221649] IDRUS</t>
  </si>
  <si>
    <t>DT SA 359 menyenggol Kanopi teras kantor PT. HMSI</t>
  </si>
  <si>
    <t>007/BA/APP-HSE/II/2024</t>
  </si>
  <si>
    <t>D85-17</t>
  </si>
  <si>
    <t>[104211373] DELVIYANTO PERUPA</t>
  </si>
  <si>
    <t>Bulldozer D85 No. 17 terbawa material longsoran.</t>
  </si>
  <si>
    <t>11/HSE-SA/II/2024</t>
  </si>
  <si>
    <t>DT-357</t>
  </si>
  <si>
    <t>[201221568] MUH IQRAM NUR</t>
  </si>
  <si>
    <t>DT QMB 76 menyalip dari sisi kiri sehingga menyerempat DT SA 357</t>
  </si>
  <si>
    <t>Medical Treatment Injury (Pertolongan Medis)</t>
  </si>
  <si>
    <t>Ismail</t>
  </si>
  <si>
    <t>Terkena Hantaman Engkol Mesin Compresor</t>
  </si>
  <si>
    <t>13/HSE-SA/II/2024</t>
  </si>
  <si>
    <t>PC200-21</t>
  </si>
  <si>
    <t>[208191034] EVANTINUS IRWANDI MAHAL</t>
  </si>
  <si>
    <t>Sdr. Evantinus mahal terjebit bagian bahunya sebelah kiri dikarenan tanggannya memengang penutup pintu pompa exca PC 400 No. 03 dan Sdr. Evantinus mahal tidak segaja menginjak pedal kaki gas sehingga unit yang di operasikan oleh Evantinus maju kedpan dan tanggannya ikut terjebit, setelah itu penutup pintu pompa  PC 400 No. 03 terlebas dan terpental ke kaca milik unit PC 200 No. 21</t>
  </si>
  <si>
    <t>PC400-03</t>
  </si>
  <si>
    <t>[205231767] KAYSAR</t>
  </si>
  <si>
    <t>14/HSE-SA/II/2024</t>
  </si>
  <si>
    <t>DT-351</t>
  </si>
  <si>
    <t>Orland</t>
  </si>
  <si>
    <t>Sdr orland mengoperasikan unit DT SA 351 pada saat di penurunan arjunan km 25 dengan menggunakan gear 2, RPM pada unit bertambah sehingga driver berusaha untuk menurunkan tetapi fungsi rem tidak berfungsi dengan baik, sehingga driver mencoba meminggirkan unit tetapi unit tidak bisa berhenti dan memanjat safety berm dan rebah</t>
  </si>
  <si>
    <t>DT-350</t>
  </si>
  <si>
    <t>[201221574] UDIN DG SEWANG</t>
  </si>
  <si>
    <t>DT 350 mengalami insiden saat keluar dari loading point yudistira rental, dimana DT 350 mengalami slip sehingga rebah.</t>
  </si>
  <si>
    <t>DT-342</t>
  </si>
  <si>
    <t>[204231751] MUSAKKAR</t>
  </si>
  <si>
    <t>DT SA 342 masuk Emergency Stop</t>
  </si>
  <si>
    <t>DT-124</t>
  </si>
  <si>
    <t>[212231871] RIZALDI</t>
  </si>
  <si>
    <t>DT SA 124 mencoba berhenti di sisi kiri jalan dikarenakan temperatur radiator naik panas, tetapi karena Sdr Rizaldi terlalu dekat dengan sisi kiri jalan akhirnya DT SA 124 mengalami rebah</t>
  </si>
  <si>
    <t>LV-11</t>
  </si>
  <si>
    <t>[202231723] OKTAVIANUS MAAK</t>
  </si>
  <si>
    <t>Unit LV APP 11 menabrak mundur dozer yang sedang parkir</t>
  </si>
  <si>
    <t>DT-307</t>
  </si>
  <si>
    <t>[202231721] SIDANG</t>
  </si>
  <si>
    <t>DT SA 343 yang di operasiakan oleh Sdr Sidang menyenggol DT SA 307 yang sedang parkir di halaman Workshop HMSI</t>
  </si>
  <si>
    <t>DT-386</t>
  </si>
  <si>
    <t>Vessel DT APP 386 belum turun semua unit sudah di jalankan sehingga menyabambar kanopi dari line 17 IMIP</t>
  </si>
  <si>
    <t>[204231752] ROFIK</t>
  </si>
  <si>
    <t>Pada saat melakukan pengecekan dinamo cabin unit Dumpt truck, Driver lupa menutup pintu cabin sehingga setelah selesai driver melakukan pemeriksaan, pada saat berdiri Sdr Rofik tidak memperhatikan bahwa pintu dalam keadaan terbuka sehingga kepala terbentur di pintu kabin sebelah kiri</t>
  </si>
  <si>
    <t>MPE</t>
  </si>
  <si>
    <t>[205231770] MUH ARIF DG NOMBONG</t>
  </si>
  <si>
    <t>Pada Saat melakukan pekerjaan sdr. Arif kurang sehat, sehingga mengakibatkan sdr Arif pingsan dan terjatuh</t>
  </si>
  <si>
    <t>DT-511</t>
  </si>
  <si>
    <t>[108201211] ISRUN AKANGKUNG</t>
  </si>
  <si>
    <t>Pada Jumat 05 April 2024, karyawan an. Isrun Akangkung mengoperasikan unit DT APP 511 dari KBM menuju ke pabrik line 3 untuk ret pertama. Pada saat dalam perjalanan menuju pabrik, tepatnya di km 2 jalan hauling BDM-IMIP, unit DT APP 511 mengalami insiden. Dimana pada saat itu DT APP 511 mau masuk kedalam pencucian di km 2, akan tetapi ada exa yang sedang melakukan perbaikan jalan masuk ke pencucian. Sehingga DT APP 511 langsung mengambil Haluan ke kiri untuk masuk ke jalur, akan tetapi driver DT APP 511 tidak memperhatikan unit DT PMS yang berada di sisi kiri, sehingga DT APP 511 menyambar vessel dari DT PMS tersebut.</t>
  </si>
  <si>
    <t>DT-355</t>
  </si>
  <si>
    <t>[204190824] AMIRUDDIN</t>
  </si>
  <si>
    <t>Pada saat mengoperasikan unit dump truck SA 355, toughroot dari unit yang di operasikan terlepas sehingga terkena conector angin pada unit yang menyebabkan unit tekor angin.</t>
  </si>
  <si>
    <t>15/HSE-SA/IV/2024</t>
  </si>
  <si>
    <t>DT-328</t>
  </si>
  <si>
    <t>[205231765] RICHARD VALDO SADURI</t>
  </si>
  <si>
    <t>Unit DT 328 mengalami permasalahan pada ajuster rem, sehingga rem tidak berfungsi dengan baik, yang menyebabkan unit harus dimasukan kedalam emergency stop</t>
  </si>
  <si>
    <t>Agusman</t>
  </si>
  <si>
    <t>Jari manis dan kelingking terjepit saat mengangkat bessi plat setebal 5CM</t>
  </si>
  <si>
    <t>Abdul Hakim Asis</t>
  </si>
  <si>
    <t>[203241900] ABD DJALIL</t>
  </si>
  <si>
    <t>Pinggul Sebelah kanan lebam</t>
  </si>
  <si>
    <t>[207231808] PUTRAWAN PADJO</t>
  </si>
  <si>
    <t>Pada saat menghidupkan mesin compresor pedal dari mesin compresor tersebut terlepas dan terlempar ke dagu Sdr Putrawan Padjo</t>
  </si>
  <si>
    <t>ANrORtnYQuDeB2FP6t/+XethWTQZoc4LbDDHGRIJDeN+LY7+Q3ZORdXiyVuN5F6QK9ZmTlbXCbrE</t>
  </si>
  <si>
    <t>[111201282] JUMADI</t>
  </si>
  <si>
    <t>DT-330</t>
  </si>
  <si>
    <t>[104211369] SAID PETAA</t>
  </si>
  <si>
    <t>DT-306</t>
  </si>
  <si>
    <t>[108201187] ARAFNAL</t>
  </si>
  <si>
    <t>DT-281</t>
  </si>
  <si>
    <t>Ahmad Hamid</t>
  </si>
  <si>
    <t>[208231821] IMRAN</t>
  </si>
  <si>
    <t>DT-336</t>
  </si>
  <si>
    <t>[104211367] AWALUDIN</t>
  </si>
  <si>
    <t>BUS-03</t>
  </si>
  <si>
    <t>[204221618] MUH. BASRI</t>
  </si>
  <si>
    <t>William/Dandy</t>
  </si>
  <si>
    <t>SK200-11</t>
  </si>
  <si>
    <t>[112191124] RAOLINUS HENDRO HATU</t>
  </si>
  <si>
    <t>Eki Ratno Julias P</t>
  </si>
  <si>
    <t>Rein</t>
  </si>
  <si>
    <t>DT-370</t>
  </si>
  <si>
    <t>[112201320] SALDI</t>
  </si>
  <si>
    <t>LV-05</t>
  </si>
  <si>
    <t>[104190916] YASMIN AKUBA</t>
  </si>
  <si>
    <t>DT-283</t>
  </si>
  <si>
    <t>Yuspinus Sasela</t>
  </si>
  <si>
    <t>DT-314</t>
  </si>
  <si>
    <t>[112201318] MIDUN HULOPI</t>
  </si>
  <si>
    <t>DT-303</t>
  </si>
  <si>
    <t>Salta Lamaga</t>
  </si>
  <si>
    <t>DT-324</t>
  </si>
  <si>
    <t>Subri Kurniawan</t>
  </si>
  <si>
    <t>LV-06</t>
  </si>
  <si>
    <t>[101170090] PERDIANTO PALIU</t>
  </si>
  <si>
    <t>ADT 08</t>
  </si>
  <si>
    <t>[209201234] KAMARUDDIN</t>
  </si>
  <si>
    <t>DT-279</t>
  </si>
  <si>
    <t>[212211551] ASSE</t>
  </si>
  <si>
    <t>DT-296</t>
  </si>
  <si>
    <t>DT-393</t>
  </si>
  <si>
    <t>[105211388] RONAL TODING</t>
  </si>
  <si>
    <t>DT-315</t>
  </si>
  <si>
    <t>[103211357] RAHMAN SUKARDI</t>
  </si>
  <si>
    <t>DT-309</t>
  </si>
  <si>
    <t>[208201175] SUPRIYADI DG NAKKU</t>
  </si>
  <si>
    <t>DT-365</t>
  </si>
  <si>
    <t>DT-264</t>
  </si>
  <si>
    <t>[211221702] SANDI</t>
  </si>
  <si>
    <t>LT-09</t>
  </si>
  <si>
    <t>[110211521] MUH TAUFIK PARINGKUAN</t>
  </si>
  <si>
    <t>LV-32</t>
  </si>
  <si>
    <t>[107190949] TAUFIQ HIDAYAT</t>
  </si>
  <si>
    <t>LOADER-02</t>
  </si>
  <si>
    <t>[202201128] ABD. RIFAI</t>
  </si>
  <si>
    <t>DT-165</t>
  </si>
  <si>
    <t>Irvans Malaihang</t>
  </si>
  <si>
    <t>DT-361</t>
  </si>
  <si>
    <t>[107221659] ANDI B.</t>
  </si>
  <si>
    <t>DT-360</t>
  </si>
  <si>
    <t>[110191090] NUR YASIN SIDENG</t>
  </si>
  <si>
    <t>DT-290</t>
  </si>
  <si>
    <t>Harianto</t>
  </si>
  <si>
    <t>DT-369</t>
  </si>
  <si>
    <t>Ferdinan Rapar</t>
  </si>
  <si>
    <t>[104211382] THAMRIN LAIDA</t>
  </si>
  <si>
    <t>[104211387] MIRZAL</t>
  </si>
  <si>
    <t>DT-356</t>
  </si>
  <si>
    <t>[107180499] IBRAHIM</t>
  </si>
  <si>
    <t>HRGA</t>
  </si>
  <si>
    <t>Edwin Mayer Tatali</t>
  </si>
  <si>
    <t>FT-02</t>
  </si>
  <si>
    <t>[205231763] AMBO ULENG</t>
  </si>
  <si>
    <t>DT-512</t>
  </si>
  <si>
    <t>Andi Arifi</t>
  </si>
  <si>
    <t>DT-380</t>
  </si>
  <si>
    <t>Imran</t>
  </si>
  <si>
    <t>PC300-16</t>
  </si>
  <si>
    <t>[211180653] AMBO IRI</t>
  </si>
  <si>
    <t>DT-318</t>
  </si>
  <si>
    <t>[201221570] AMAL RAIS</t>
  </si>
  <si>
    <t>Zulfadli Aftitah</t>
  </si>
  <si>
    <t>DT-280</t>
  </si>
  <si>
    <t>Irvans M</t>
  </si>
  <si>
    <t>DT-299</t>
  </si>
  <si>
    <t>Arifuddin</t>
  </si>
  <si>
    <t>[208231817] GERSON MAABUAT</t>
  </si>
  <si>
    <t>SK200-15</t>
  </si>
  <si>
    <t>[201241875] SUPARDI</t>
  </si>
  <si>
    <t>DT-387</t>
  </si>
  <si>
    <t>[209150698] BUSTAN</t>
  </si>
  <si>
    <t>PC400-06</t>
  </si>
  <si>
    <t>[208211463] DOMINGGUS</t>
  </si>
  <si>
    <t>DT-304</t>
  </si>
  <si>
    <t>[212221712] ASRIANTO</t>
  </si>
  <si>
    <t>DT-396</t>
  </si>
  <si>
    <t>DT-288</t>
  </si>
  <si>
    <t>Yohanis Parung</t>
  </si>
  <si>
    <t>DT-363</t>
  </si>
  <si>
    <t>[203221603] ROY BARAU</t>
  </si>
  <si>
    <t>DT-501</t>
  </si>
  <si>
    <t>DT-262</t>
  </si>
  <si>
    <t>DT-213</t>
  </si>
  <si>
    <t>-</t>
  </si>
  <si>
    <t>DT-265</t>
  </si>
  <si>
    <t>Sahrul</t>
  </si>
  <si>
    <t>NAMA USER</t>
  </si>
  <si>
    <t>ID</t>
  </si>
  <si>
    <t>PASSWORD</t>
  </si>
  <si>
    <t>kristian DJ</t>
  </si>
  <si>
    <t>AInSvgHfCHFtCvrtS+qHbEpg3Lu5/DQrqpuSQweTCRgejhmgmfRY7NNy8Q546R74opysR/HgRus3</t>
  </si>
  <si>
    <t>Dicky</t>
  </si>
  <si>
    <t>AG2+AYO6a3J1I3wz7Xh1NT8GR/7GVX6bWDsZqLlwv4Z4CN57thpA5qfqEP0W4SpNzE/N/7qNlFwy</t>
  </si>
  <si>
    <t>AInSvgEednc6cx1xfZ2V0xjMgyQ1abAyeUc7f0NOUXb6latjBzoeVU21Ey3YpVQWo996zYfx2UKM</t>
  </si>
  <si>
    <t>KRISTIAN DJ</t>
  </si>
  <si>
    <t>Age</t>
  </si>
  <si>
    <t>id</t>
  </si>
  <si>
    <t>kategori kecelakaan</t>
  </si>
  <si>
    <t>Fatality</t>
  </si>
  <si>
    <t>Lost Time Injury</t>
  </si>
  <si>
    <t>First Aid Case (Pertolongan P3K)</t>
  </si>
  <si>
    <t>Fire Case</t>
  </si>
  <si>
    <t>Enviro Case Minor</t>
  </si>
  <si>
    <t>departemen kecelakaan</t>
  </si>
  <si>
    <t>HSE</t>
  </si>
  <si>
    <t>Grade Control</t>
  </si>
  <si>
    <t>Finance</t>
  </si>
  <si>
    <t>Logistik</t>
  </si>
  <si>
    <t>Infra</t>
  </si>
  <si>
    <t>tempat insiden</t>
  </si>
  <si>
    <t>Timbangan</t>
  </si>
  <si>
    <t>Mess/ Parkiran</t>
  </si>
  <si>
    <t>Stockpile</t>
  </si>
  <si>
    <t>Jalan Propinsi</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</si>
</sst>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m/d/yyyy h:mm:ss"/>
    <numFmt numFmtId="165" formatCode="m/d/yyyy"/>
    <numFmt numFmtId="166" formatCode="_-[$Rp-421]* #,##0_-;_-[$Rp-421]* \-#,##0_-;_-[$Rp-421]* &quot;-&quot;??_-;_-@"/>
    <numFmt numFmtId="167" formatCode="dd/mm/yyyy"/>
    <numFmt numFmtId="168" formatCode="dd-mm-yyyy"/>
    <numFmt numFmtId="169" formatCode="d-m-yyyy"/>
    <numFmt numFmtId="170" formatCode="dd/MM/yyyy H:mm:ss"/>
    <numFmt numFmtId="171" formatCode="yyyy-mm-dd"/>
  </numFmts>
  <fonts count="15">
    <font>
      <sz val="10.0"/>
      <color rgb="FF000000"/>
      <name val="Arial"/>
      <scheme val="minor"/>
    </font>
    <font>
      <b/>
      <sz val="10.0"/>
      <color theme="1"/>
      <name val="Arial"/>
    </font>
    <font>
      <i/>
      <sz val="10.0"/>
      <color theme="1"/>
      <name val="Arial"/>
    </font>
    <font>
      <b/>
      <i/>
      <sz val="10.0"/>
      <color theme="1"/>
      <name val="Arial"/>
    </font>
    <font>
      <i/>
      <color theme="1"/>
      <name val="Arial"/>
      <scheme val="minor"/>
    </font>
    <font>
      <sz val="9.0"/>
      <color rgb="FF000000"/>
      <name val="Arial"/>
    </font>
    <font>
      <sz val="11.0"/>
      <color rgb="FF000000"/>
      <name val="Calibri"/>
    </font>
    <font>
      <color theme="1"/>
      <name val="Arial"/>
    </font>
    <font>
      <sz val="11.0"/>
      <color theme="1"/>
      <name val="Cambria"/>
    </font>
    <font>
      <sz val="11.0"/>
      <color rgb="FF000000"/>
      <name val="Cambria"/>
    </font>
    <font>
      <sz val="11.0"/>
      <color rgb="FF000000"/>
      <name val="&quot;Times New Roman&quot;"/>
    </font>
    <font>
      <b/>
      <color theme="1"/>
      <name val="Arial"/>
    </font>
    <font>
      <color theme="1"/>
      <name val="Arial"/>
      <scheme val="minor"/>
    </font>
    <font>
      <sz val="9.0"/>
      <color rgb="FF000000"/>
      <name val="&quot;Google Sans Mono&quot;"/>
    </font>
    <font>
      <sz val="12.0"/>
      <color theme="1"/>
      <name val="Calibri"/>
    </font>
  </fonts>
  <fills count="20">
    <fill>
      <patternFill patternType="none"/>
    </fill>
    <fill>
      <patternFill patternType="lightGray"/>
    </fill>
    <fill>
      <patternFill patternType="solid">
        <fgColor rgb="FFD5A6BD"/>
        <bgColor rgb="FFD5A6BD"/>
      </patternFill>
    </fill>
    <fill>
      <patternFill patternType="solid">
        <fgColor rgb="FFA2C4C9"/>
        <bgColor rgb="FFA2C4C9"/>
      </patternFill>
    </fill>
    <fill>
      <patternFill patternType="solid">
        <fgColor rgb="FFF9CB9C"/>
        <bgColor rgb="FFF9CB9C"/>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DD7E6B"/>
        <bgColor rgb="FFDD7E6B"/>
      </patternFill>
    </fill>
    <fill>
      <patternFill patternType="solid">
        <fgColor rgb="FFD9D9D9"/>
        <bgColor rgb="FFD9D9D9"/>
      </patternFill>
    </fill>
    <fill>
      <patternFill patternType="solid">
        <fgColor rgb="FFF3F3F3"/>
        <bgColor rgb="FFF3F3F3"/>
      </patternFill>
    </fill>
    <fill>
      <patternFill patternType="solid">
        <fgColor rgb="FFEAD1DC"/>
        <bgColor rgb="FFEAD1DC"/>
      </patternFill>
    </fill>
    <fill>
      <patternFill patternType="solid">
        <fgColor rgb="FFD0E0E3"/>
        <bgColor rgb="FFD0E0E3"/>
      </patternFill>
    </fill>
    <fill>
      <patternFill patternType="solid">
        <fgColor rgb="FFFCE5CD"/>
        <bgColor rgb="FFFCE5CD"/>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E6B8AF"/>
        <bgColor rgb="FFE6B8AF"/>
      </patternFill>
    </fill>
    <fill>
      <patternFill patternType="solid">
        <fgColor rgb="FFFFFFFF"/>
        <bgColor rgb="FFFFFFFF"/>
      </patternFill>
    </fill>
    <fill>
      <patternFill patternType="solid">
        <fgColor rgb="FF9FC5E8"/>
        <bgColor rgb="FF9FC5E8"/>
      </patternFill>
    </fill>
  </fills>
  <borders count="3">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1" numFmtId="49" xfId="0" applyAlignment="1" applyFont="1" applyNumberFormat="1">
      <alignment horizontal="center" readingOrder="0" vertical="center"/>
    </xf>
    <xf borderId="0" fillId="2" fontId="1" numFmtId="0" xfId="0" applyAlignment="1" applyFill="1" applyFont="1">
      <alignment horizontal="center" readingOrder="0" vertical="center"/>
    </xf>
    <xf borderId="0" fillId="3" fontId="1" numFmtId="0" xfId="0" applyAlignment="1" applyFill="1" applyFont="1">
      <alignment horizontal="center" readingOrder="0" vertical="center"/>
    </xf>
    <xf borderId="0" fillId="4" fontId="1" numFmtId="0" xfId="0" applyAlignment="1" applyFill="1" applyFont="1">
      <alignment horizontal="center" readingOrder="0" vertical="center"/>
    </xf>
    <xf borderId="0" fillId="5" fontId="1" numFmtId="0" xfId="0" applyAlignment="1" applyFill="1" applyFont="1">
      <alignment horizontal="center" readingOrder="0" vertical="center"/>
    </xf>
    <xf borderId="0" fillId="6" fontId="1" numFmtId="0" xfId="0" applyAlignment="1" applyFill="1" applyFont="1">
      <alignment horizontal="center" readingOrder="0" vertical="center"/>
    </xf>
    <xf borderId="0" fillId="7" fontId="1" numFmtId="0" xfId="0" applyAlignment="1" applyFill="1" applyFont="1">
      <alignment horizontal="center" readingOrder="0" vertical="center"/>
    </xf>
    <xf borderId="0" fillId="8" fontId="1" numFmtId="0" xfId="0" applyAlignment="1" applyFill="1" applyFont="1">
      <alignment horizontal="center" readingOrder="0" vertical="center"/>
    </xf>
    <xf borderId="0" fillId="9" fontId="1" numFmtId="0" xfId="0" applyAlignment="1" applyFill="1" applyFont="1">
      <alignment horizontal="center" readingOrder="0" vertical="center"/>
    </xf>
    <xf borderId="0" fillId="0" fontId="1" numFmtId="0" xfId="0" applyAlignment="1" applyFont="1">
      <alignment horizontal="center" readingOrder="0" shrinkToFit="0" vertical="center" wrapText="0"/>
    </xf>
    <xf borderId="0" fillId="10" fontId="1" numFmtId="0" xfId="0" applyAlignment="1" applyFill="1" applyFont="1">
      <alignment horizontal="center" readingOrder="0" vertical="center"/>
    </xf>
    <xf borderId="0" fillId="11" fontId="2" numFmtId="0" xfId="0" applyAlignment="1" applyFill="1" applyFont="1">
      <alignment horizontal="center" shrinkToFit="0" vertical="center" wrapText="1"/>
    </xf>
    <xf borderId="0" fillId="12" fontId="2" numFmtId="0" xfId="0" applyAlignment="1" applyFill="1" applyFont="1">
      <alignment horizontal="center" readingOrder="0" shrinkToFit="0" vertical="center" wrapText="1"/>
    </xf>
    <xf borderId="0" fillId="13" fontId="2" numFmtId="0" xfId="0" applyAlignment="1" applyFill="1" applyFont="1">
      <alignment horizontal="center" readingOrder="0" shrinkToFit="0" vertical="center" wrapText="1"/>
    </xf>
    <xf borderId="0" fillId="14" fontId="2" numFmtId="0" xfId="0" applyAlignment="1" applyFill="1" applyFont="1">
      <alignment horizontal="center" readingOrder="0" shrinkToFit="0" vertical="center" wrapText="1"/>
    </xf>
    <xf borderId="0" fillId="15" fontId="2" numFmtId="0" xfId="0" applyAlignment="1" applyFill="1" applyFont="1">
      <alignment horizontal="center" readingOrder="0" shrinkToFit="0" vertical="center" wrapText="1"/>
    </xf>
    <xf borderId="0" fillId="16" fontId="2" numFmtId="0" xfId="0" applyAlignment="1" applyFill="1" applyFont="1">
      <alignment horizontal="center" readingOrder="0" shrinkToFit="0" vertical="center" wrapText="1"/>
    </xf>
    <xf borderId="0" fillId="17" fontId="2" numFmtId="0" xfId="0" applyAlignment="1" applyFill="1" applyFont="1">
      <alignment horizontal="center" readingOrder="0" shrinkToFit="0" vertical="center" wrapText="1"/>
    </xf>
    <xf borderId="0" fillId="10" fontId="2" numFmtId="0" xfId="0" applyAlignment="1" applyFont="1">
      <alignment horizontal="center" readingOrder="0" shrinkToFit="0" vertical="center" wrapText="1"/>
    </xf>
    <xf borderId="0" fillId="13" fontId="3" numFmtId="0" xfId="0" applyAlignment="1" applyFont="1">
      <alignment horizontal="center" readingOrder="0" vertical="center"/>
    </xf>
    <xf borderId="0" fillId="10" fontId="4" numFmtId="0" xfId="0" applyAlignment="1" applyFont="1">
      <alignment horizontal="center" readingOrder="0" shrinkToFit="0" vertical="center" wrapText="1"/>
    </xf>
    <xf borderId="0" fillId="18" fontId="5" numFmtId="164" xfId="0" applyAlignment="1" applyFill="1" applyFont="1" applyNumberFormat="1">
      <alignment horizontal="center" vertical="center"/>
    </xf>
    <xf borderId="0" fillId="18" fontId="5" numFmtId="49" xfId="0" applyAlignment="1" applyFont="1" applyNumberFormat="1">
      <alignment horizontal="center" vertical="center"/>
    </xf>
    <xf borderId="0" fillId="0" fontId="6" numFmtId="165" xfId="0" applyAlignment="1" applyFont="1" applyNumberFormat="1">
      <alignment readingOrder="0" shrinkToFit="0" vertical="bottom" wrapText="0"/>
    </xf>
    <xf borderId="0" fillId="0" fontId="7" numFmtId="0" xfId="0" applyAlignment="1" applyFont="1">
      <alignment horizontal="center" readingOrder="0" vertical="center"/>
    </xf>
    <xf borderId="0" fillId="0" fontId="7" numFmtId="0" xfId="0" applyAlignment="1" applyFont="1">
      <alignment horizontal="left" readingOrder="0" vertical="center"/>
    </xf>
    <xf borderId="0" fillId="0" fontId="7" numFmtId="0" xfId="0" applyAlignment="1" applyFont="1">
      <alignment horizontal="center" vertical="center"/>
    </xf>
    <xf borderId="0" fillId="0" fontId="7" numFmtId="166" xfId="0" applyAlignment="1" applyFont="1" applyNumberFormat="1">
      <alignment horizontal="center" readingOrder="0" vertical="center"/>
    </xf>
    <xf borderId="0" fillId="0" fontId="7" numFmtId="0" xfId="0" applyAlignment="1" applyFont="1">
      <alignment horizontal="center" readingOrder="0" shrinkToFit="0" vertical="center" wrapText="0"/>
    </xf>
    <xf borderId="0" fillId="0" fontId="7" numFmtId="166" xfId="0" applyAlignment="1" applyFont="1" applyNumberFormat="1">
      <alignment horizontal="center" vertical="center"/>
    </xf>
    <xf borderId="0" fillId="0" fontId="6" numFmtId="167" xfId="0" applyAlignment="1" applyFont="1" applyNumberFormat="1">
      <alignment readingOrder="0" shrinkToFit="0" vertical="bottom" wrapText="0"/>
    </xf>
    <xf borderId="0" fillId="0" fontId="7" numFmtId="167" xfId="0" applyAlignment="1" applyFont="1" applyNumberFormat="1">
      <alignment horizontal="center" readingOrder="0" vertical="center"/>
    </xf>
    <xf borderId="0" fillId="0" fontId="7" numFmtId="0" xfId="0" applyAlignment="1" applyFont="1">
      <alignment horizontal="left" vertical="center"/>
    </xf>
    <xf borderId="0" fillId="0" fontId="6" numFmtId="168" xfId="0" applyAlignment="1" applyFont="1" applyNumberFormat="1">
      <alignment readingOrder="0" shrinkToFit="0" vertical="bottom" wrapText="0"/>
    </xf>
    <xf borderId="0" fillId="0" fontId="8" numFmtId="0" xfId="0" applyAlignment="1" applyFont="1">
      <alignment readingOrder="0"/>
    </xf>
    <xf borderId="1" fillId="18" fontId="9" numFmtId="0" xfId="0" applyAlignment="1" applyBorder="1" applyFont="1">
      <alignment readingOrder="0" vertical="top"/>
    </xf>
    <xf borderId="2" fillId="0" fontId="10" numFmtId="0" xfId="0" applyAlignment="1" applyBorder="1" applyFont="1">
      <alignment horizontal="center" readingOrder="0" shrinkToFit="0" wrapText="0"/>
    </xf>
    <xf borderId="0" fillId="0" fontId="7" numFmtId="0" xfId="0" applyAlignment="1" applyFont="1">
      <alignment horizontal="center" shrinkToFit="0" vertical="center" wrapText="0"/>
    </xf>
    <xf borderId="0" fillId="0" fontId="6" numFmtId="169" xfId="0" applyAlignment="1" applyFont="1" applyNumberFormat="1">
      <alignment readingOrder="0" shrinkToFit="0" vertical="bottom" wrapText="0"/>
    </xf>
    <xf borderId="0" fillId="4" fontId="11" numFmtId="0" xfId="0" applyAlignment="1" applyFont="1">
      <alignment horizontal="center" vertical="center"/>
    </xf>
    <xf borderId="0" fillId="19" fontId="11" numFmtId="0" xfId="0" applyAlignment="1" applyFill="1" applyFont="1">
      <alignment horizontal="center" vertical="center"/>
    </xf>
    <xf borderId="0" fillId="5" fontId="11" numFmtId="0" xfId="0" applyAlignment="1" applyFont="1">
      <alignment horizontal="center" vertical="center"/>
    </xf>
    <xf borderId="0" fillId="7" fontId="11" numFmtId="0" xfId="0" applyAlignment="1" applyFont="1">
      <alignment horizontal="center" vertical="center"/>
    </xf>
    <xf borderId="0" fillId="0" fontId="7" numFmtId="0" xfId="0" applyAlignment="1" applyFont="1">
      <alignment horizontal="center" readingOrder="0"/>
    </xf>
    <xf borderId="0" fillId="0" fontId="7" numFmtId="0" xfId="0" applyAlignment="1" applyFont="1">
      <alignment horizontal="center"/>
    </xf>
    <xf borderId="0" fillId="0" fontId="7" numFmtId="0" xfId="0" applyAlignment="1" applyFont="1">
      <alignment readingOrder="0"/>
    </xf>
    <xf borderId="0" fillId="0" fontId="7" numFmtId="0" xfId="0" applyAlignment="1" applyFont="1">
      <alignment readingOrder="0" vertical="bottom"/>
    </xf>
    <xf borderId="0" fillId="0" fontId="7" numFmtId="0" xfId="0" applyFont="1"/>
    <xf borderId="0" fillId="0" fontId="7" numFmtId="0" xfId="0" applyAlignment="1" applyFont="1">
      <alignment vertical="bottom"/>
    </xf>
    <xf borderId="0" fillId="0" fontId="12" numFmtId="0" xfId="0" applyFont="1"/>
    <xf borderId="0" fillId="0" fontId="12" numFmtId="0" xfId="0" applyAlignment="1" applyFont="1">
      <alignment horizontal="center" vertical="center"/>
    </xf>
    <xf borderId="0" fillId="0" fontId="12" numFmtId="170" xfId="0" applyAlignment="1" applyFont="1" applyNumberFormat="1">
      <alignment horizontal="center" vertical="center"/>
    </xf>
    <xf borderId="0" fillId="0" fontId="12" numFmtId="0" xfId="0" applyAlignment="1" applyFont="1">
      <alignment horizontal="center" readingOrder="0" vertical="center"/>
    </xf>
    <xf borderId="0" fillId="0" fontId="12" numFmtId="171" xfId="0" applyAlignment="1" applyFont="1" applyNumberFormat="1">
      <alignment horizontal="center" vertical="center"/>
    </xf>
    <xf borderId="0" fillId="0" fontId="11" numFmtId="49" xfId="0" applyAlignment="1" applyFont="1" applyNumberFormat="1">
      <alignment horizontal="center" vertical="center"/>
    </xf>
    <xf borderId="0" fillId="0" fontId="11" numFmtId="0" xfId="0" applyAlignment="1" applyFont="1">
      <alignment horizontal="center" readingOrder="0" vertical="center"/>
    </xf>
    <xf borderId="0" fillId="18" fontId="13" numFmtId="49" xfId="0" applyAlignment="1" applyFont="1" applyNumberFormat="1">
      <alignment horizontal="center" readingOrder="0" vertical="center"/>
    </xf>
    <xf borderId="0" fillId="0" fontId="7" numFmtId="49" xfId="0" applyAlignment="1" applyFont="1" applyNumberFormat="1">
      <alignment horizontal="center" vertical="center"/>
    </xf>
    <xf borderId="0" fillId="0" fontId="1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hidden="1" min="1" max="1" width="10.25"/>
    <col customWidth="1" hidden="1" min="2" max="2" width="16.63"/>
    <col customWidth="1" min="3" max="3" width="20.38"/>
    <col customWidth="1" min="4" max="4" width="19.0"/>
    <col customWidth="1" min="5" max="5" width="33.88"/>
    <col customWidth="1" min="6" max="6" width="27.5"/>
    <col customWidth="1" min="7" max="7" width="31.0"/>
    <col customWidth="1" min="8" max="8" width="32.75"/>
    <col customWidth="1" min="9" max="9" width="26.88"/>
    <col customWidth="1" min="10" max="10" width="30.25"/>
    <col customWidth="1" min="11" max="12" width="38.5"/>
    <col customWidth="1" hidden="1" min="13" max="13" width="10.88"/>
    <col customWidth="1" min="14" max="14" width="20.25"/>
  </cols>
  <sheetData>
    <row r="1" ht="41.25" customHeight="1">
      <c r="A1" s="1" t="s">
        <v>0</v>
      </c>
      <c r="B1" s="2" t="s">
        <v>1</v>
      </c>
      <c r="C1" s="3" t="s">
        <v>2</v>
      </c>
      <c r="D1" s="4" t="s">
        <v>3</v>
      </c>
      <c r="E1" s="5" t="s">
        <v>4</v>
      </c>
      <c r="F1" s="6" t="s">
        <v>5</v>
      </c>
      <c r="G1" s="7" t="s">
        <v>6</v>
      </c>
      <c r="H1" s="8" t="s">
        <v>7</v>
      </c>
      <c r="I1" s="9" t="s">
        <v>8</v>
      </c>
      <c r="J1" s="10" t="s">
        <v>9</v>
      </c>
      <c r="K1" s="5" t="s">
        <v>10</v>
      </c>
      <c r="L1" s="11" t="s">
        <v>11</v>
      </c>
      <c r="M1" s="11" t="s">
        <v>12</v>
      </c>
      <c r="N1" s="12" t="s">
        <v>13</v>
      </c>
    </row>
    <row r="2" ht="29.25" customHeight="1">
      <c r="C2" s="13" t="s">
        <v>14</v>
      </c>
      <c r="D2" s="14" t="s">
        <v>15</v>
      </c>
      <c r="E2" s="15" t="s">
        <v>16</v>
      </c>
      <c r="F2" s="16" t="s">
        <v>17</v>
      </c>
      <c r="G2" s="17" t="s">
        <v>18</v>
      </c>
      <c r="H2" s="18" t="s">
        <v>19</v>
      </c>
      <c r="I2" s="19" t="s">
        <v>20</v>
      </c>
      <c r="J2" s="20" t="s">
        <v>21</v>
      </c>
      <c r="K2" s="21" t="s">
        <v>22</v>
      </c>
      <c r="N2" s="22" t="s">
        <v>23</v>
      </c>
    </row>
    <row r="3">
      <c r="A3" s="23">
        <f t="shared" ref="A3:A81" si="1">IF(C3="","",IF(A3="",NOW(), A3))</f>
        <v>45468.60627</v>
      </c>
      <c r="B3" s="24">
        <f>if(C3="","",0)</f>
        <v>0</v>
      </c>
      <c r="C3" s="25">
        <v>45295.0</v>
      </c>
      <c r="D3" s="26" t="s">
        <v>24</v>
      </c>
      <c r="E3" s="27" t="s">
        <v>25</v>
      </c>
      <c r="F3" s="27" t="s">
        <v>26</v>
      </c>
      <c r="G3" s="27" t="s">
        <v>27</v>
      </c>
      <c r="H3" s="27" t="s">
        <v>26</v>
      </c>
      <c r="I3" s="27" t="s">
        <v>28</v>
      </c>
      <c r="J3" s="28" t="str">
        <f>IFERROR(__xludf.DUMMYFUNCTION("iferror(if(I3="""","""",unique(query('tbl driver 2'!$K$2:$L1508,""SELECT L WHERE K = '""&amp;I3&amp;""'""))),"""")"),"")</f>
        <v/>
      </c>
      <c r="K3" s="29"/>
      <c r="L3" s="30" t="s">
        <v>29</v>
      </c>
      <c r="M3" s="30" t="s">
        <v>30</v>
      </c>
      <c r="N3" s="28" t="str">
        <f>IFERROR(__xludf.DUMMYFUNCTION("IF(OR(C3="""",M3=""""),"""",IFERROR(IF(M3="""","""",query('tbl user'!$A$2:$D1508,""SELECT A WHERE D = '""&amp;M3&amp;""'"")),""USER TIDAK DIKETAHUI""))"),"USER TIDAK DIKETAHUI")</f>
        <v>USER TIDAK DIKETAHUI</v>
      </c>
    </row>
    <row r="4">
      <c r="A4" s="23">
        <f t="shared" si="1"/>
        <v>45468.60627</v>
      </c>
      <c r="B4" s="24">
        <f t="shared" ref="B4:B81" si="2">if(C4="","",B3+1)</f>
        <v>1</v>
      </c>
      <c r="C4" s="25">
        <v>45295.0</v>
      </c>
      <c r="D4" s="26" t="s">
        <v>31</v>
      </c>
      <c r="E4" s="27" t="s">
        <v>32</v>
      </c>
      <c r="F4" s="27" t="s">
        <v>33</v>
      </c>
      <c r="G4" s="27" t="s">
        <v>34</v>
      </c>
      <c r="H4" s="27" t="s">
        <v>35</v>
      </c>
      <c r="I4" s="27" t="s">
        <v>36</v>
      </c>
      <c r="J4" s="28" t="str">
        <f>IFERROR(__xludf.DUMMYFUNCTION("iferror(if(I4="""","""",unique(query('tbl driver 2'!$K$2:$L1508,""SELECT L WHERE K = '""&amp;I4&amp;""'""))),"""")"),"")</f>
        <v/>
      </c>
      <c r="K4" s="31"/>
      <c r="L4" s="30" t="s">
        <v>37</v>
      </c>
      <c r="M4" s="30" t="s">
        <v>30</v>
      </c>
      <c r="N4" s="28" t="str">
        <f>IFERROR(__xludf.DUMMYFUNCTION("IF(OR(C4="""",M4=""""),"""",IFERROR(IF(M4="""","""",query('tbl user'!$A$2:$D1508,""SELECT A WHERE D = '""&amp;M4&amp;""'"")),""USER TIDAK DIKETAHUI""))"),"USER TIDAK DIKETAHUI")</f>
        <v>USER TIDAK DIKETAHUI</v>
      </c>
    </row>
    <row r="5">
      <c r="A5" s="23">
        <f t="shared" si="1"/>
        <v>45468.60627</v>
      </c>
      <c r="B5" s="24">
        <f t="shared" si="2"/>
        <v>2</v>
      </c>
      <c r="C5" s="32">
        <v>45298.0</v>
      </c>
      <c r="D5" s="26" t="s">
        <v>38</v>
      </c>
      <c r="E5" s="27" t="s">
        <v>25</v>
      </c>
      <c r="F5" s="27" t="s">
        <v>33</v>
      </c>
      <c r="G5" s="27" t="s">
        <v>39</v>
      </c>
      <c r="H5" s="27" t="s">
        <v>35</v>
      </c>
      <c r="I5" s="27" t="s">
        <v>40</v>
      </c>
      <c r="J5" s="28" t="str">
        <f>IFERROR(__xludf.DUMMYFUNCTION("iferror(if(I5="""","""",unique(query('tbl driver 2'!$K$2:$L1508,""SELECT L WHERE K = '""&amp;I5&amp;""'""))),"""")"),"")</f>
        <v/>
      </c>
      <c r="K5" s="31"/>
      <c r="L5" s="30" t="s">
        <v>41</v>
      </c>
      <c r="M5" s="30" t="s">
        <v>30</v>
      </c>
      <c r="N5" s="28" t="str">
        <f>IFERROR(__xludf.DUMMYFUNCTION("IF(OR(C5="""",M5=""""),"""",IFERROR(IF(M5="""","""",query('tbl user'!$A$2:$D1508,""SELECT A WHERE D = '""&amp;M5&amp;""'"")),""USER TIDAK DIKETAHUI""))"),"USER TIDAK DIKETAHUI")</f>
        <v>USER TIDAK DIKETAHUI</v>
      </c>
    </row>
    <row r="6">
      <c r="A6" s="23">
        <f t="shared" si="1"/>
        <v>45468.60627</v>
      </c>
      <c r="B6" s="24">
        <f t="shared" si="2"/>
        <v>3</v>
      </c>
      <c r="C6" s="32">
        <v>45299.0</v>
      </c>
      <c r="D6" s="33"/>
      <c r="E6" s="27" t="s">
        <v>32</v>
      </c>
      <c r="F6" s="34"/>
      <c r="G6" s="34"/>
      <c r="H6" s="34"/>
      <c r="I6" s="27"/>
      <c r="J6" s="28" t="str">
        <f>IFERROR(__xludf.DUMMYFUNCTION("iferror(if(I6="""","""",unique(query('tbl driver 2'!$K$2:$L1508,""SELECT L WHERE K = '""&amp;I6&amp;""'""))),"""")"),"")</f>
        <v/>
      </c>
      <c r="K6" s="31"/>
      <c r="L6" s="30" t="s">
        <v>42</v>
      </c>
      <c r="M6" s="30" t="s">
        <v>30</v>
      </c>
      <c r="N6" s="28" t="str">
        <f>IFERROR(__xludf.DUMMYFUNCTION("IF(OR(C6="""",M6=""""),"""",IFERROR(IF(M6="""","""",query('tbl user'!$A$2:$D1508,""SELECT A WHERE D = '""&amp;M6&amp;""'"")),""USER TIDAK DIKETAHUI""))"),"USER TIDAK DIKETAHUI")</f>
        <v>USER TIDAK DIKETAHUI</v>
      </c>
    </row>
    <row r="7">
      <c r="A7" s="23">
        <f t="shared" si="1"/>
        <v>45468.60627</v>
      </c>
      <c r="B7" s="24">
        <f t="shared" si="2"/>
        <v>4</v>
      </c>
      <c r="C7" s="35">
        <v>45308.0</v>
      </c>
      <c r="D7" s="36" t="s">
        <v>43</v>
      </c>
      <c r="E7" s="27" t="s">
        <v>32</v>
      </c>
      <c r="F7" s="27" t="s">
        <v>33</v>
      </c>
      <c r="G7" s="27" t="s">
        <v>44</v>
      </c>
      <c r="H7" s="27" t="s">
        <v>35</v>
      </c>
      <c r="I7" s="27" t="s">
        <v>45</v>
      </c>
      <c r="J7" s="28" t="str">
        <f>IFERROR(__xludf.DUMMYFUNCTION("iferror(if(I7="""","""",unique(query('tbl driver 2'!$K$2:$L1508,""SELECT L WHERE K = '""&amp;I7&amp;""'""))),"""")"),"")</f>
        <v/>
      </c>
      <c r="K7" s="31"/>
      <c r="L7" s="30" t="s">
        <v>46</v>
      </c>
      <c r="M7" s="30" t="s">
        <v>30</v>
      </c>
      <c r="N7" s="28" t="str">
        <f>IFERROR(__xludf.DUMMYFUNCTION("IF(OR(C7="""",M7=""""),"""",IFERROR(IF(M7="""","""",query('tbl user'!$A$2:$D1508,""SELECT A WHERE D = '""&amp;M7&amp;""'"")),""USER TIDAK DIKETAHUI""))"),"USER TIDAK DIKETAHUI")</f>
        <v>USER TIDAK DIKETAHUI</v>
      </c>
    </row>
    <row r="8">
      <c r="A8" s="23">
        <f t="shared" si="1"/>
        <v>45468.60627</v>
      </c>
      <c r="B8" s="24">
        <f t="shared" si="2"/>
        <v>5</v>
      </c>
      <c r="C8" s="35">
        <v>45308.0</v>
      </c>
      <c r="D8" s="36" t="s">
        <v>47</v>
      </c>
      <c r="E8" s="27" t="s">
        <v>25</v>
      </c>
      <c r="F8" s="27" t="s">
        <v>48</v>
      </c>
      <c r="G8" s="27" t="s">
        <v>49</v>
      </c>
      <c r="H8" s="27" t="s">
        <v>35</v>
      </c>
      <c r="I8" s="27" t="s">
        <v>50</v>
      </c>
      <c r="J8" s="28" t="str">
        <f>IFERROR(__xludf.DUMMYFUNCTION("iferror(if(I8="""","""",unique(query('tbl driver 2'!$K$2:$L1508,""SELECT L WHERE K = '""&amp;I8&amp;""'""))),"""")"),"")</f>
        <v/>
      </c>
      <c r="K8" s="31"/>
      <c r="L8" s="30" t="s">
        <v>51</v>
      </c>
      <c r="M8" s="30" t="s">
        <v>30</v>
      </c>
      <c r="N8" s="28" t="str">
        <f>IFERROR(__xludf.DUMMYFUNCTION("IF(OR(C8="""",M8=""""),"""",IFERROR(IF(M8="""","""",query('tbl user'!$A$2:$D1508,""SELECT A WHERE D = '""&amp;M8&amp;""'"")),""USER TIDAK DIKETAHUI""))"),"USER TIDAK DIKETAHUI")</f>
        <v>USER TIDAK DIKETAHUI</v>
      </c>
    </row>
    <row r="9">
      <c r="A9" s="23">
        <f t="shared" si="1"/>
        <v>45468.60627</v>
      </c>
      <c r="B9" s="24">
        <f t="shared" si="2"/>
        <v>6</v>
      </c>
      <c r="C9" s="35">
        <v>45316.0</v>
      </c>
      <c r="D9" s="36" t="s">
        <v>52</v>
      </c>
      <c r="E9" s="27" t="s">
        <v>32</v>
      </c>
      <c r="F9" s="27" t="s">
        <v>33</v>
      </c>
      <c r="G9" s="27" t="s">
        <v>53</v>
      </c>
      <c r="H9" s="27" t="s">
        <v>35</v>
      </c>
      <c r="I9" s="27" t="s">
        <v>54</v>
      </c>
      <c r="J9" s="28" t="str">
        <f>IFERROR(__xludf.DUMMYFUNCTION("iferror(if(I9="""","""",unique(query('tbl driver 2'!$K$2:$L1508,""SELECT L WHERE K = '""&amp;I9&amp;""'""))),"""")"),"")</f>
        <v/>
      </c>
      <c r="K9" s="31"/>
      <c r="L9" s="30" t="s">
        <v>55</v>
      </c>
      <c r="M9" s="30" t="s">
        <v>30</v>
      </c>
      <c r="N9" s="28" t="str">
        <f>IFERROR(__xludf.DUMMYFUNCTION("IF(OR(C9="""",M9=""""),"""",IFERROR(IF(M9="""","""",query('tbl user'!$A$2:$D1508,""SELECT A WHERE D = '""&amp;M9&amp;""'"")),""USER TIDAK DIKETAHUI""))"),"USER TIDAK DIKETAHUI")</f>
        <v>USER TIDAK DIKETAHUI</v>
      </c>
    </row>
    <row r="10">
      <c r="A10" s="23">
        <f t="shared" si="1"/>
        <v>45468.60627</v>
      </c>
      <c r="B10" s="24">
        <f t="shared" si="2"/>
        <v>7</v>
      </c>
      <c r="C10" s="35">
        <v>45316.0</v>
      </c>
      <c r="D10" s="36" t="s">
        <v>56</v>
      </c>
      <c r="E10" s="27" t="s">
        <v>32</v>
      </c>
      <c r="F10" s="27" t="s">
        <v>33</v>
      </c>
      <c r="G10" s="27" t="s">
        <v>57</v>
      </c>
      <c r="H10" s="27" t="s">
        <v>35</v>
      </c>
      <c r="I10" s="27" t="s">
        <v>58</v>
      </c>
      <c r="J10" s="28" t="str">
        <f>IFERROR(__xludf.DUMMYFUNCTION("iferror(if(I10="""","""",unique(query('tbl driver 2'!$K$2:$L1508,""SELECT L WHERE K = '""&amp;I10&amp;""'""))),"""")"),"")</f>
        <v/>
      </c>
      <c r="K10" s="31"/>
      <c r="L10" s="30" t="s">
        <v>42</v>
      </c>
      <c r="M10" s="30" t="s">
        <v>30</v>
      </c>
      <c r="N10" s="28" t="str">
        <f>IFERROR(__xludf.DUMMYFUNCTION("IF(OR(C10="""",M10=""""),"""",IFERROR(IF(M10="""","""",query('tbl user'!$A$2:$D1508,""SELECT A WHERE D = '""&amp;M10&amp;""'"")),""USER TIDAK DIKETAHUI""))"),"USER TIDAK DIKETAHUI")</f>
        <v>USER TIDAK DIKETAHUI</v>
      </c>
    </row>
    <row r="11">
      <c r="A11" s="23">
        <f t="shared" si="1"/>
        <v>45468.60627</v>
      </c>
      <c r="B11" s="24">
        <f t="shared" si="2"/>
        <v>8</v>
      </c>
      <c r="C11" s="35">
        <v>45299.0</v>
      </c>
      <c r="D11" s="36" t="s">
        <v>59</v>
      </c>
      <c r="E11" s="27" t="s">
        <v>25</v>
      </c>
      <c r="F11" s="27" t="s">
        <v>60</v>
      </c>
      <c r="G11" s="27" t="s">
        <v>61</v>
      </c>
      <c r="H11" s="27" t="s">
        <v>62</v>
      </c>
      <c r="I11" s="27" t="s">
        <v>63</v>
      </c>
      <c r="J11" s="28" t="str">
        <f>IFERROR(__xludf.DUMMYFUNCTION("iferror(if(I11="""","""",unique(query('tbl driver 2'!$K$2:$L1508,""SELECT L WHERE K = '""&amp;I11&amp;""'""))),"""")"),"")</f>
        <v/>
      </c>
      <c r="K11" s="31"/>
      <c r="L11" s="30" t="s">
        <v>64</v>
      </c>
      <c r="M11" s="30" t="s">
        <v>30</v>
      </c>
      <c r="N11" s="28" t="str">
        <f>IFERROR(__xludf.DUMMYFUNCTION("IF(OR(C11="""",M11=""""),"""",IFERROR(IF(M11="""","""",query('tbl user'!$A$2:$D1508,""SELECT A WHERE D = '""&amp;M11&amp;""'"")),""USER TIDAK DIKETAHUI""))"),"USER TIDAK DIKETAHUI")</f>
        <v>USER TIDAK DIKETAHUI</v>
      </c>
    </row>
    <row r="12">
      <c r="A12" s="23">
        <f t="shared" si="1"/>
        <v>45468.60627</v>
      </c>
      <c r="B12" s="24">
        <f t="shared" si="2"/>
        <v>9</v>
      </c>
      <c r="C12" s="35">
        <v>45306.0</v>
      </c>
      <c r="D12" s="37" t="s">
        <v>65</v>
      </c>
      <c r="E12" s="27" t="s">
        <v>25</v>
      </c>
      <c r="F12" s="27" t="s">
        <v>60</v>
      </c>
      <c r="G12" s="27" t="s">
        <v>66</v>
      </c>
      <c r="H12" s="27" t="s">
        <v>35</v>
      </c>
      <c r="I12" s="27" t="s">
        <v>67</v>
      </c>
      <c r="J12" s="28" t="str">
        <f>IFERROR(__xludf.DUMMYFUNCTION("iferror(if(I12="""","""",unique(query('tbl driver 2'!$K$2:$L1508,""SELECT L WHERE K = '""&amp;I12&amp;""'""))),"""")"),"")</f>
        <v/>
      </c>
      <c r="K12" s="31"/>
      <c r="L12" s="30" t="s">
        <v>68</v>
      </c>
      <c r="M12" s="30" t="s">
        <v>30</v>
      </c>
      <c r="N12" s="28" t="str">
        <f>IFERROR(__xludf.DUMMYFUNCTION("IF(OR(C12="""",M12=""""),"""",IFERROR(IF(M12="""","""",query('tbl user'!$A$2:$D1508,""SELECT A WHERE D = '""&amp;M12&amp;""'"")),""USER TIDAK DIKETAHUI""))"),"USER TIDAK DIKETAHUI")</f>
        <v>USER TIDAK DIKETAHUI</v>
      </c>
    </row>
    <row r="13">
      <c r="A13" s="23">
        <f t="shared" si="1"/>
        <v>45468.60627</v>
      </c>
      <c r="B13" s="24">
        <f t="shared" si="2"/>
        <v>10</v>
      </c>
      <c r="C13" s="35">
        <v>45313.0</v>
      </c>
      <c r="D13" s="36" t="s">
        <v>69</v>
      </c>
      <c r="E13" s="27" t="s">
        <v>32</v>
      </c>
      <c r="F13" s="27" t="s">
        <v>33</v>
      </c>
      <c r="G13" s="27" t="s">
        <v>70</v>
      </c>
      <c r="H13" s="27" t="s">
        <v>35</v>
      </c>
      <c r="I13" s="27" t="s">
        <v>71</v>
      </c>
      <c r="J13" s="28" t="str">
        <f>IFERROR(__xludf.DUMMYFUNCTION("iferror(if(I13="""","""",unique(query('tbl driver 2'!$K$2:$L1508,""SELECT L WHERE K = '""&amp;I13&amp;""'""))),"""")"),"")</f>
        <v/>
      </c>
      <c r="K13" s="31"/>
      <c r="L13" s="30" t="s">
        <v>72</v>
      </c>
      <c r="M13" s="30" t="s">
        <v>30</v>
      </c>
      <c r="N13" s="28" t="str">
        <f>IFERROR(__xludf.DUMMYFUNCTION("IF(OR(C13="""",M13=""""),"""",IFERROR(IF(M13="""","""",query('tbl user'!$A$2:$D1508,""SELECT A WHERE D = '""&amp;M13&amp;""'"")),""USER TIDAK DIKETAHUI""))"),"USER TIDAK DIKETAHUI")</f>
        <v>USER TIDAK DIKETAHUI</v>
      </c>
    </row>
    <row r="14">
      <c r="A14" s="23">
        <f t="shared" si="1"/>
        <v>45468.60627</v>
      </c>
      <c r="B14" s="24">
        <f t="shared" si="2"/>
        <v>11</v>
      </c>
      <c r="C14" s="35">
        <v>45323.0</v>
      </c>
      <c r="D14" s="36" t="s">
        <v>73</v>
      </c>
      <c r="E14" s="27" t="s">
        <v>25</v>
      </c>
      <c r="F14" s="27" t="s">
        <v>33</v>
      </c>
      <c r="G14" s="27" t="s">
        <v>74</v>
      </c>
      <c r="H14" s="27" t="s">
        <v>35</v>
      </c>
      <c r="I14" s="27" t="s">
        <v>75</v>
      </c>
      <c r="J14" s="28" t="str">
        <f>IFERROR(__xludf.DUMMYFUNCTION("iferror(if(I14="""","""",unique(query('tbl driver 2'!$K$2:$L1508,""SELECT L WHERE K = '""&amp;I14&amp;""'""))),"""")"),"")</f>
        <v/>
      </c>
      <c r="K14" s="31"/>
      <c r="L14" s="30" t="s">
        <v>76</v>
      </c>
      <c r="M14" s="30" t="s">
        <v>30</v>
      </c>
      <c r="N14" s="28" t="str">
        <f>IFERROR(__xludf.DUMMYFUNCTION("IF(OR(C14="""",M14=""""),"""",IFERROR(IF(M14="""","""",query('tbl user'!$A$2:$D1508,""SELECT A WHERE D = '""&amp;M14&amp;""'"")),""USER TIDAK DIKETAHUI""))"),"USER TIDAK DIKETAHUI")</f>
        <v>USER TIDAK DIKETAHUI</v>
      </c>
    </row>
    <row r="15">
      <c r="A15" s="23">
        <f t="shared" si="1"/>
        <v>45468.60627</v>
      </c>
      <c r="B15" s="24">
        <f t="shared" si="2"/>
        <v>12</v>
      </c>
      <c r="C15" s="35">
        <v>45328.0</v>
      </c>
      <c r="D15" s="36" t="s">
        <v>77</v>
      </c>
      <c r="E15" s="27" t="s">
        <v>25</v>
      </c>
      <c r="F15" s="27" t="s">
        <v>33</v>
      </c>
      <c r="G15" s="27" t="s">
        <v>78</v>
      </c>
      <c r="H15" s="27" t="s">
        <v>35</v>
      </c>
      <c r="I15" s="27" t="s">
        <v>79</v>
      </c>
      <c r="J15" s="28" t="str">
        <f>IFERROR(__xludf.DUMMYFUNCTION("iferror(if(I15="""","""",unique(query('tbl driver 2'!$K$2:$L1508,""SELECT L WHERE K = '""&amp;I15&amp;""'""))),"""")"),"")</f>
        <v/>
      </c>
      <c r="K15" s="31"/>
      <c r="L15" s="30" t="s">
        <v>80</v>
      </c>
      <c r="M15" s="30" t="s">
        <v>30</v>
      </c>
      <c r="N15" s="28" t="str">
        <f>IFERROR(__xludf.DUMMYFUNCTION("IF(OR(C15="""",M15=""""),"""",IFERROR(IF(M15="""","""",query('tbl user'!$A$2:$D1508,""SELECT A WHERE D = '""&amp;M15&amp;""'"")),""USER TIDAK DIKETAHUI""))"),"USER TIDAK DIKETAHUI")</f>
        <v>USER TIDAK DIKETAHUI</v>
      </c>
    </row>
    <row r="16">
      <c r="A16" s="23">
        <f t="shared" si="1"/>
        <v>45468.60627</v>
      </c>
      <c r="B16" s="24">
        <f t="shared" si="2"/>
        <v>13</v>
      </c>
      <c r="C16" s="35">
        <v>45330.0</v>
      </c>
      <c r="D16" s="36" t="s">
        <v>81</v>
      </c>
      <c r="E16" s="27" t="s">
        <v>25</v>
      </c>
      <c r="F16" s="27" t="s">
        <v>33</v>
      </c>
      <c r="G16" s="27" t="s">
        <v>61</v>
      </c>
      <c r="H16" s="27" t="s">
        <v>62</v>
      </c>
      <c r="I16" s="27" t="s">
        <v>63</v>
      </c>
      <c r="J16" s="28" t="str">
        <f>IFERROR(__xludf.DUMMYFUNCTION("iferror(if(I16="""","""",unique(query('tbl driver 2'!$K$2:$L1508,""SELECT L WHERE K = '""&amp;I16&amp;""'""))),"""")"),"")</f>
        <v/>
      </c>
      <c r="K16" s="31"/>
      <c r="L16" s="30" t="s">
        <v>82</v>
      </c>
      <c r="M16" s="30" t="s">
        <v>30</v>
      </c>
      <c r="N16" s="28" t="str">
        <f>IFERROR(__xludf.DUMMYFUNCTION("IF(OR(C16="""",M16=""""),"""",IFERROR(IF(M16="""","""",query('tbl user'!$A$2:$D1508,""SELECT A WHERE D = '""&amp;M16&amp;""'"")),""USER TIDAK DIKETAHUI""))"),"USER TIDAK DIKETAHUI")</f>
        <v>USER TIDAK DIKETAHUI</v>
      </c>
    </row>
    <row r="17">
      <c r="A17" s="23">
        <f t="shared" si="1"/>
        <v>45468.60627</v>
      </c>
      <c r="B17" s="24">
        <f t="shared" si="2"/>
        <v>14</v>
      </c>
      <c r="C17" s="35">
        <v>45331.0</v>
      </c>
      <c r="D17" s="36" t="s">
        <v>83</v>
      </c>
      <c r="E17" s="27" t="s">
        <v>25</v>
      </c>
      <c r="F17" s="27" t="s">
        <v>33</v>
      </c>
      <c r="G17" s="27" t="s">
        <v>84</v>
      </c>
      <c r="H17" s="27" t="s">
        <v>35</v>
      </c>
      <c r="I17" s="27" t="s">
        <v>85</v>
      </c>
      <c r="J17" s="28" t="str">
        <f>IFERROR(__xludf.DUMMYFUNCTION("iferror(if(I17="""","""",unique(query('tbl driver 2'!$K$2:$L1508,""SELECT L WHERE K = '""&amp;I17&amp;""'""))),"""")"),"")</f>
        <v/>
      </c>
      <c r="K17" s="31"/>
      <c r="L17" s="30" t="s">
        <v>86</v>
      </c>
      <c r="M17" s="30" t="s">
        <v>30</v>
      </c>
      <c r="N17" s="28" t="str">
        <f>IFERROR(__xludf.DUMMYFUNCTION("IF(OR(C17="""",M17=""""),"""",IFERROR(IF(M17="""","""",query('tbl user'!$A$2:$D1508,""SELECT A WHERE D = '""&amp;M17&amp;""'"")),""USER TIDAK DIKETAHUI""))"),"USER TIDAK DIKETAHUI")</f>
        <v>USER TIDAK DIKETAHUI</v>
      </c>
    </row>
    <row r="18">
      <c r="A18" s="23">
        <f t="shared" si="1"/>
        <v>45468.60627</v>
      </c>
      <c r="B18" s="24">
        <f t="shared" si="2"/>
        <v>15</v>
      </c>
      <c r="C18" s="35">
        <v>45334.0</v>
      </c>
      <c r="D18" s="36" t="s">
        <v>87</v>
      </c>
      <c r="E18" s="27" t="s">
        <v>25</v>
      </c>
      <c r="F18" s="27" t="s">
        <v>26</v>
      </c>
      <c r="G18" s="27" t="s">
        <v>88</v>
      </c>
      <c r="H18" s="27" t="s">
        <v>35</v>
      </c>
      <c r="I18" s="27" t="s">
        <v>89</v>
      </c>
      <c r="J18" s="28" t="str">
        <f>IFERROR(__xludf.DUMMYFUNCTION("iferror(if(I18="""","""",unique(query('tbl driver 2'!$K$2:$L1508,""SELECT L WHERE K = '""&amp;I18&amp;""'""))),"""")"),"")</f>
        <v/>
      </c>
      <c r="K18" s="31"/>
      <c r="L18" s="30" t="s">
        <v>90</v>
      </c>
      <c r="M18" s="30" t="s">
        <v>30</v>
      </c>
      <c r="N18" s="28" t="str">
        <f>IFERROR(__xludf.DUMMYFUNCTION("IF(OR(C18="""",M18=""""),"""",IFERROR(IF(M18="""","""",query('tbl user'!$A$2:$D1508,""SELECT A WHERE D = '""&amp;M18&amp;""'"")),""USER TIDAK DIKETAHUI""))"),"USER TIDAK DIKETAHUI")</f>
        <v>USER TIDAK DIKETAHUI</v>
      </c>
    </row>
    <row r="19">
      <c r="A19" s="23">
        <f t="shared" si="1"/>
        <v>45468.60627</v>
      </c>
      <c r="B19" s="24">
        <f t="shared" si="2"/>
        <v>16</v>
      </c>
      <c r="C19" s="35">
        <v>45341.0</v>
      </c>
      <c r="D19" s="36" t="s">
        <v>91</v>
      </c>
      <c r="E19" s="27" t="s">
        <v>25</v>
      </c>
      <c r="F19" s="27" t="s">
        <v>60</v>
      </c>
      <c r="G19" s="27" t="s">
        <v>92</v>
      </c>
      <c r="H19" s="27" t="s">
        <v>62</v>
      </c>
      <c r="I19" s="27" t="s">
        <v>93</v>
      </c>
      <c r="J19" s="28" t="str">
        <f>IFERROR(__xludf.DUMMYFUNCTION("iferror(if(I19="""","""",unique(query('tbl driver 2'!$K$2:$L1508,""SELECT L WHERE K = '""&amp;I19&amp;""'""))),"""")"),"")</f>
        <v/>
      </c>
      <c r="K19" s="31"/>
      <c r="L19" s="30" t="s">
        <v>94</v>
      </c>
      <c r="M19" s="30" t="s">
        <v>30</v>
      </c>
      <c r="N19" s="28" t="str">
        <f>IFERROR(__xludf.DUMMYFUNCTION("IF(OR(C19="""",M19=""""),"""",IFERROR(IF(M19="""","""",query('tbl user'!$A$2:$D1508,""SELECT A WHERE D = '""&amp;M19&amp;""'"")),""USER TIDAK DIKETAHUI""))"),"USER TIDAK DIKETAHUI")</f>
        <v>USER TIDAK DIKETAHUI</v>
      </c>
    </row>
    <row r="20">
      <c r="A20" s="23">
        <f t="shared" si="1"/>
        <v>45468.60627</v>
      </c>
      <c r="B20" s="24">
        <f t="shared" si="2"/>
        <v>17</v>
      </c>
      <c r="C20" s="35">
        <v>45342.0</v>
      </c>
      <c r="D20" s="36" t="s">
        <v>95</v>
      </c>
      <c r="E20" s="27" t="s">
        <v>25</v>
      </c>
      <c r="F20" s="27" t="s">
        <v>48</v>
      </c>
      <c r="G20" s="27" t="s">
        <v>96</v>
      </c>
      <c r="H20" s="27" t="s">
        <v>35</v>
      </c>
      <c r="I20" s="27" t="s">
        <v>97</v>
      </c>
      <c r="J20" s="28" t="str">
        <f>IFERROR(__xludf.DUMMYFUNCTION("iferror(if(I20="""","""",unique(query('tbl driver 2'!$K$2:$L1508,""SELECT L WHERE K = '""&amp;I20&amp;""'""))),"""")"),"")</f>
        <v/>
      </c>
      <c r="K20" s="31"/>
      <c r="L20" s="30" t="s">
        <v>98</v>
      </c>
      <c r="M20" s="30" t="s">
        <v>30</v>
      </c>
      <c r="N20" s="28" t="str">
        <f>IFERROR(__xludf.DUMMYFUNCTION("IF(OR(C20="""",M20=""""),"""",IFERROR(IF(M20="""","""",query('tbl user'!$A$2:$D1508,""SELECT A WHERE D = '""&amp;M20&amp;""'"")),""USER TIDAK DIKETAHUI""))"),"USER TIDAK DIKETAHUI")</f>
        <v>USER TIDAK DIKETAHUI</v>
      </c>
    </row>
    <row r="21">
      <c r="A21" s="23">
        <f t="shared" si="1"/>
        <v>45468.60627</v>
      </c>
      <c r="B21" s="24">
        <f t="shared" si="2"/>
        <v>18</v>
      </c>
      <c r="C21" s="35">
        <v>45348.0</v>
      </c>
      <c r="D21" s="28"/>
      <c r="E21" s="27" t="s">
        <v>99</v>
      </c>
      <c r="F21" s="27" t="s">
        <v>26</v>
      </c>
      <c r="G21" s="27"/>
      <c r="H21" s="27" t="s">
        <v>26</v>
      </c>
      <c r="I21" s="27" t="s">
        <v>100</v>
      </c>
      <c r="J21" s="28" t="str">
        <f>IFERROR(__xludf.DUMMYFUNCTION("iferror(if(I21="""","""",unique(query('tbl driver 2'!$K$2:$L1508,""SELECT L WHERE K = '""&amp;I21&amp;""'""))),"""")"),"")</f>
        <v/>
      </c>
      <c r="K21" s="31"/>
      <c r="L21" s="30" t="s">
        <v>101</v>
      </c>
      <c r="M21" s="30" t="s">
        <v>30</v>
      </c>
      <c r="N21" s="28" t="str">
        <f>IFERROR(__xludf.DUMMYFUNCTION("IF(OR(C21="""",M21=""""),"""",IFERROR(IF(M21="""","""",query('tbl user'!$A$2:$D1508,""SELECT A WHERE D = '""&amp;M21&amp;""'"")),""USER TIDAK DIKETAHUI""))"),"USER TIDAK DIKETAHUI")</f>
        <v>USER TIDAK DIKETAHUI</v>
      </c>
    </row>
    <row r="22">
      <c r="A22" s="23">
        <f t="shared" si="1"/>
        <v>45468.60627</v>
      </c>
      <c r="B22" s="24">
        <f t="shared" si="2"/>
        <v>19</v>
      </c>
      <c r="C22" s="35">
        <v>45349.0</v>
      </c>
      <c r="D22" s="36" t="s">
        <v>102</v>
      </c>
      <c r="E22" s="27" t="s">
        <v>25</v>
      </c>
      <c r="F22" s="27" t="s">
        <v>60</v>
      </c>
      <c r="G22" s="27" t="s">
        <v>103</v>
      </c>
      <c r="H22" s="27" t="s">
        <v>62</v>
      </c>
      <c r="I22" s="27" t="s">
        <v>104</v>
      </c>
      <c r="J22" s="28" t="str">
        <f>IFERROR(__xludf.DUMMYFUNCTION("iferror(if(I22="""","""",unique(query('tbl driver 2'!$K$2:$L1508,""SELECT L WHERE K = '""&amp;I22&amp;""'""))),"""")"),"")</f>
        <v/>
      </c>
      <c r="K22" s="31"/>
      <c r="L22" s="30" t="s">
        <v>105</v>
      </c>
      <c r="M22" s="30" t="s">
        <v>30</v>
      </c>
      <c r="N22" s="28" t="str">
        <f>IFERROR(__xludf.DUMMYFUNCTION("IF(OR(C22="""",M22=""""),"""",IFERROR(IF(M22="""","""",query('tbl user'!$A$2:$D1508,""SELECT A WHERE D = '""&amp;M22&amp;""'"")),""USER TIDAK DIKETAHUI""))"),"USER TIDAK DIKETAHUI")</f>
        <v>USER TIDAK DIKETAHUI</v>
      </c>
    </row>
    <row r="23">
      <c r="A23" s="23">
        <f t="shared" si="1"/>
        <v>45468.60627</v>
      </c>
      <c r="B23" s="24">
        <f t="shared" si="2"/>
        <v>20</v>
      </c>
      <c r="C23" s="35">
        <v>45348.0</v>
      </c>
      <c r="D23" s="36" t="s">
        <v>102</v>
      </c>
      <c r="E23" s="27" t="s">
        <v>25</v>
      </c>
      <c r="F23" s="27" t="s">
        <v>60</v>
      </c>
      <c r="G23" s="27" t="s">
        <v>106</v>
      </c>
      <c r="H23" s="27" t="s">
        <v>62</v>
      </c>
      <c r="I23" s="27" t="s">
        <v>107</v>
      </c>
      <c r="J23" s="28" t="str">
        <f>IFERROR(__xludf.DUMMYFUNCTION("iferror(if(I23="""","""",unique(query('tbl driver 2'!$K$2:$L1508,""SELECT L WHERE K = '""&amp;I23&amp;""'""))),"""")"),"")</f>
        <v/>
      </c>
      <c r="K23" s="31"/>
      <c r="L23" s="30" t="s">
        <v>105</v>
      </c>
      <c r="M23" s="30" t="s">
        <v>30</v>
      </c>
      <c r="N23" s="28" t="str">
        <f>IFERROR(__xludf.DUMMYFUNCTION("IF(OR(C23="""",M23=""""),"""",IFERROR(IF(M23="""","""",query('tbl user'!$A$2:$D1508,""SELECT A WHERE D = '""&amp;M23&amp;""'"")),""USER TIDAK DIKETAHUI""))"),"USER TIDAK DIKETAHUI")</f>
        <v>USER TIDAK DIKETAHUI</v>
      </c>
    </row>
    <row r="24">
      <c r="A24" s="23">
        <f t="shared" si="1"/>
        <v>45468.60627</v>
      </c>
      <c r="B24" s="24">
        <f t="shared" si="2"/>
        <v>21</v>
      </c>
      <c r="C24" s="35">
        <v>45352.0</v>
      </c>
      <c r="D24" s="36" t="s">
        <v>108</v>
      </c>
      <c r="E24" s="27" t="s">
        <v>25</v>
      </c>
      <c r="F24" s="27" t="s">
        <v>33</v>
      </c>
      <c r="G24" s="27" t="s">
        <v>109</v>
      </c>
      <c r="H24" s="27" t="s">
        <v>35</v>
      </c>
      <c r="I24" s="27" t="s">
        <v>110</v>
      </c>
      <c r="J24" s="28" t="str">
        <f>IFERROR(__xludf.DUMMYFUNCTION("iferror(if(I24="""","""",unique(query('tbl driver 2'!$K$2:$L1508,""SELECT L WHERE K = '""&amp;I24&amp;""'""))),"""")"),"")</f>
        <v/>
      </c>
      <c r="K24" s="31"/>
      <c r="L24" s="30" t="s">
        <v>111</v>
      </c>
      <c r="M24" s="30" t="s">
        <v>30</v>
      </c>
      <c r="N24" s="28" t="str">
        <f>IFERROR(__xludf.DUMMYFUNCTION("IF(OR(C24="""",M24=""""),"""",IFERROR(IF(M24="""","""",query('tbl user'!$A$2:$D1508,""SELECT A WHERE D = '""&amp;M24&amp;""'"")),""USER TIDAK DIKETAHUI""))"),"USER TIDAK DIKETAHUI")</f>
        <v>USER TIDAK DIKETAHUI</v>
      </c>
    </row>
    <row r="25">
      <c r="A25" s="23">
        <f t="shared" si="1"/>
        <v>45468.60627</v>
      </c>
      <c r="B25" s="24">
        <f t="shared" si="2"/>
        <v>22</v>
      </c>
      <c r="C25" s="35">
        <v>45355.0</v>
      </c>
      <c r="D25" s="28"/>
      <c r="E25" s="27" t="s">
        <v>25</v>
      </c>
      <c r="F25" s="27" t="s">
        <v>33</v>
      </c>
      <c r="G25" s="27" t="s">
        <v>112</v>
      </c>
      <c r="H25" s="27" t="s">
        <v>35</v>
      </c>
      <c r="I25" s="27" t="s">
        <v>113</v>
      </c>
      <c r="J25" s="28" t="str">
        <f>IFERROR(__xludf.DUMMYFUNCTION("iferror(if(I25="""","""",unique(query('tbl driver 2'!$K$2:$L1508,""SELECT L WHERE K = '""&amp;I25&amp;""'""))),"""")"),"")</f>
        <v/>
      </c>
      <c r="K25" s="31"/>
      <c r="L25" s="30" t="s">
        <v>114</v>
      </c>
      <c r="M25" s="30" t="s">
        <v>30</v>
      </c>
      <c r="N25" s="28" t="str">
        <f>IFERROR(__xludf.DUMMYFUNCTION("IF(OR(C25="""",M25=""""),"""",IFERROR(IF(M25="""","""",query('tbl user'!$A$2:$D1508,""SELECT A WHERE D = '""&amp;M25&amp;""'"")),""USER TIDAK DIKETAHUI""))"),"USER TIDAK DIKETAHUI")</f>
        <v>USER TIDAK DIKETAHUI</v>
      </c>
    </row>
    <row r="26">
      <c r="A26" s="23">
        <f t="shared" si="1"/>
        <v>45468.60627</v>
      </c>
      <c r="B26" s="24">
        <f t="shared" si="2"/>
        <v>23</v>
      </c>
      <c r="C26" s="35">
        <v>45358.0</v>
      </c>
      <c r="D26" s="28"/>
      <c r="E26" s="27" t="s">
        <v>32</v>
      </c>
      <c r="F26" s="27" t="s">
        <v>33</v>
      </c>
      <c r="G26" s="27" t="s">
        <v>115</v>
      </c>
      <c r="H26" s="27" t="s">
        <v>35</v>
      </c>
      <c r="I26" s="27" t="s">
        <v>116</v>
      </c>
      <c r="J26" s="28" t="str">
        <f>IFERROR(__xludf.DUMMYFUNCTION("iferror(if(I26="""","""",unique(query('tbl driver 2'!$K$2:$L1508,""SELECT L WHERE K = '""&amp;I26&amp;""'""))),"""")"),"")</f>
        <v/>
      </c>
      <c r="K26" s="31"/>
      <c r="L26" s="30" t="s">
        <v>117</v>
      </c>
      <c r="M26" s="30" t="s">
        <v>30</v>
      </c>
      <c r="N26" s="28" t="str">
        <f>IFERROR(__xludf.DUMMYFUNCTION("IF(OR(C26="""",M26=""""),"""",IFERROR(IF(M26="""","""",query('tbl user'!$A$2:$D1508,""SELECT A WHERE D = '""&amp;M26&amp;""'"")),""USER TIDAK DIKETAHUI""))"),"USER TIDAK DIKETAHUI")</f>
        <v>USER TIDAK DIKETAHUI</v>
      </c>
    </row>
    <row r="27">
      <c r="A27" s="23">
        <f t="shared" si="1"/>
        <v>45468.60627</v>
      </c>
      <c r="B27" s="24">
        <f t="shared" si="2"/>
        <v>24</v>
      </c>
      <c r="C27" s="35">
        <v>45359.0</v>
      </c>
      <c r="D27" s="28"/>
      <c r="E27" s="27" t="s">
        <v>25</v>
      </c>
      <c r="F27" s="27" t="s">
        <v>33</v>
      </c>
      <c r="G27" s="27" t="s">
        <v>118</v>
      </c>
      <c r="H27" s="27" t="s">
        <v>35</v>
      </c>
      <c r="I27" s="27" t="s">
        <v>119</v>
      </c>
      <c r="J27" s="28" t="str">
        <f>IFERROR(__xludf.DUMMYFUNCTION("iferror(if(I27="""","""",unique(query('tbl driver 2'!$K$2:$L1508,""SELECT L WHERE K = '""&amp;I27&amp;""'""))),"""")"),"")</f>
        <v/>
      </c>
      <c r="K27" s="31"/>
      <c r="L27" s="30" t="s">
        <v>120</v>
      </c>
      <c r="M27" s="30" t="s">
        <v>30</v>
      </c>
      <c r="N27" s="28" t="str">
        <f>IFERROR(__xludf.DUMMYFUNCTION("IF(OR(C27="""",M27=""""),"""",IFERROR(IF(M27="""","""",query('tbl user'!$A$2:$D1508,""SELECT A WHERE D = '""&amp;M27&amp;""'"")),""USER TIDAK DIKETAHUI""))"),"USER TIDAK DIKETAHUI")</f>
        <v>USER TIDAK DIKETAHUI</v>
      </c>
    </row>
    <row r="28">
      <c r="A28" s="23">
        <f t="shared" si="1"/>
        <v>45468.60627</v>
      </c>
      <c r="B28" s="24">
        <f t="shared" si="2"/>
        <v>25</v>
      </c>
      <c r="C28" s="35">
        <v>45363.0</v>
      </c>
      <c r="D28" s="28"/>
      <c r="E28" s="27" t="s">
        <v>25</v>
      </c>
      <c r="F28" s="27" t="s">
        <v>60</v>
      </c>
      <c r="G28" s="27" t="s">
        <v>121</v>
      </c>
      <c r="H28" s="27" t="s">
        <v>62</v>
      </c>
      <c r="I28" s="27" t="s">
        <v>122</v>
      </c>
      <c r="J28" s="28" t="str">
        <f>IFERROR(__xludf.DUMMYFUNCTION("iferror(if(I28="""","""",unique(query('tbl driver 2'!$K$2:$L1508,""SELECT L WHERE K = '""&amp;I28&amp;""'""))),"""")"),"")</f>
        <v/>
      </c>
      <c r="K28" s="31"/>
      <c r="L28" s="30" t="s">
        <v>123</v>
      </c>
      <c r="M28" s="30" t="s">
        <v>30</v>
      </c>
      <c r="N28" s="28" t="str">
        <f>IFERROR(__xludf.DUMMYFUNCTION("IF(OR(C28="""",M28=""""),"""",IFERROR(IF(M28="""","""",query('tbl user'!$A$2:$D1508,""SELECT A WHERE D = '""&amp;M28&amp;""'"")),""USER TIDAK DIKETAHUI""))"),"USER TIDAK DIKETAHUI")</f>
        <v>USER TIDAK DIKETAHUI</v>
      </c>
    </row>
    <row r="29">
      <c r="A29" s="23">
        <f t="shared" si="1"/>
        <v>45468.60627</v>
      </c>
      <c r="B29" s="24">
        <f t="shared" si="2"/>
        <v>26</v>
      </c>
      <c r="C29" s="35">
        <v>45367.0</v>
      </c>
      <c r="D29" s="28"/>
      <c r="E29" s="27" t="s">
        <v>25</v>
      </c>
      <c r="F29" s="27" t="s">
        <v>26</v>
      </c>
      <c r="G29" s="27" t="s">
        <v>124</v>
      </c>
      <c r="H29" s="27" t="s">
        <v>35</v>
      </c>
      <c r="I29" s="27" t="s">
        <v>125</v>
      </c>
      <c r="J29" s="28" t="str">
        <f>IFERROR(__xludf.DUMMYFUNCTION("iferror(if(I29="""","""",unique(query('tbl driver 2'!$K$2:$L1508,""SELECT L WHERE K = '""&amp;I29&amp;""'""))),"""")"),"")</f>
        <v/>
      </c>
      <c r="K29" s="31"/>
      <c r="L29" s="30" t="s">
        <v>126</v>
      </c>
      <c r="M29" s="30" t="s">
        <v>30</v>
      </c>
      <c r="N29" s="28" t="str">
        <f>IFERROR(__xludf.DUMMYFUNCTION("IF(OR(C29="""",M29=""""),"""",IFERROR(IF(M29="""","""",query('tbl user'!$A$2:$D1508,""SELECT A WHERE D = '""&amp;M29&amp;""'"")),""USER TIDAK DIKETAHUI""))"),"USER TIDAK DIKETAHUI")</f>
        <v>USER TIDAK DIKETAHUI</v>
      </c>
    </row>
    <row r="30">
      <c r="A30" s="23">
        <f t="shared" si="1"/>
        <v>45468.60627</v>
      </c>
      <c r="B30" s="24">
        <f t="shared" si="2"/>
        <v>27</v>
      </c>
      <c r="C30" s="35">
        <v>45368.0</v>
      </c>
      <c r="D30" s="28"/>
      <c r="E30" s="27" t="s">
        <v>25</v>
      </c>
      <c r="F30" s="27" t="s">
        <v>48</v>
      </c>
      <c r="G30" s="27" t="s">
        <v>127</v>
      </c>
      <c r="H30" s="27" t="s">
        <v>35</v>
      </c>
      <c r="I30" s="27" t="s">
        <v>67</v>
      </c>
      <c r="J30" s="28" t="str">
        <f>IFERROR(__xludf.DUMMYFUNCTION("iferror(if(I30="""","""",unique(query('tbl driver 2'!$K$2:$L1508,""SELECT L WHERE K = '""&amp;I30&amp;""'""))),"""")"),"")</f>
        <v/>
      </c>
      <c r="K30" s="31"/>
      <c r="L30" s="30" t="s">
        <v>128</v>
      </c>
      <c r="M30" s="30" t="s">
        <v>30</v>
      </c>
      <c r="N30" s="28" t="str">
        <f>IFERROR(__xludf.DUMMYFUNCTION("IF(OR(C30="""",M30=""""),"""",IFERROR(IF(M30="""","""",query('tbl user'!$A$2:$D1508,""SELECT A WHERE D = '""&amp;M30&amp;""'"")),""USER TIDAK DIKETAHUI""))"),"USER TIDAK DIKETAHUI")</f>
        <v>USER TIDAK DIKETAHUI</v>
      </c>
    </row>
    <row r="31">
      <c r="A31" s="23">
        <f t="shared" si="1"/>
        <v>45468.60627</v>
      </c>
      <c r="B31" s="24">
        <f t="shared" si="2"/>
        <v>28</v>
      </c>
      <c r="C31" s="35">
        <v>45387.0</v>
      </c>
      <c r="D31" s="28"/>
      <c r="E31" s="27" t="s">
        <v>99</v>
      </c>
      <c r="F31" s="27" t="s">
        <v>33</v>
      </c>
      <c r="G31" s="27"/>
      <c r="H31" s="27" t="s">
        <v>35</v>
      </c>
      <c r="I31" s="27" t="s">
        <v>129</v>
      </c>
      <c r="J31" s="28" t="str">
        <f>IFERROR(__xludf.DUMMYFUNCTION("iferror(if(I31="""","""",unique(query('tbl driver 2'!$K$2:$L1508,""SELECT L WHERE K = '""&amp;I31&amp;""'""))),"""")"),"")</f>
        <v/>
      </c>
      <c r="K31" s="31"/>
      <c r="L31" s="30" t="s">
        <v>130</v>
      </c>
      <c r="M31" s="30" t="s">
        <v>30</v>
      </c>
      <c r="N31" s="28" t="str">
        <f>IFERROR(__xludf.DUMMYFUNCTION("IF(OR(C31="""",M31=""""),"""",IFERROR(IF(M31="""","""",query('tbl user'!$A$2:$D1508,""SELECT A WHERE D = '""&amp;M31&amp;""'"")),""USER TIDAK DIKETAHUI""))"),"USER TIDAK DIKETAHUI")</f>
        <v>USER TIDAK DIKETAHUI</v>
      </c>
    </row>
    <row r="32">
      <c r="A32" s="23">
        <f t="shared" si="1"/>
        <v>45468.60627</v>
      </c>
      <c r="B32" s="24">
        <f t="shared" si="2"/>
        <v>29</v>
      </c>
      <c r="C32" s="35">
        <v>45387.0</v>
      </c>
      <c r="D32" s="28"/>
      <c r="E32" s="27" t="s">
        <v>99</v>
      </c>
      <c r="F32" s="27" t="s">
        <v>60</v>
      </c>
      <c r="G32" s="27"/>
      <c r="H32" s="27" t="s">
        <v>131</v>
      </c>
      <c r="I32" s="27" t="s">
        <v>132</v>
      </c>
      <c r="J32" s="28" t="str">
        <f>IFERROR(__xludf.DUMMYFUNCTION("iferror(if(I32="""","""",unique(query('tbl driver 2'!$K$2:$L1508,""SELECT L WHERE K = '""&amp;I32&amp;""'""))),"""")"),"")</f>
        <v/>
      </c>
      <c r="K32" s="31"/>
      <c r="L32" s="30" t="s">
        <v>133</v>
      </c>
      <c r="M32" s="30" t="s">
        <v>30</v>
      </c>
      <c r="N32" s="28" t="str">
        <f>IFERROR(__xludf.DUMMYFUNCTION("IF(OR(C32="""",M32=""""),"""",IFERROR(IF(M32="""","""",query('tbl user'!$A$2:$D1508,""SELECT A WHERE D = '""&amp;M32&amp;""'"")),""USER TIDAK DIKETAHUI""))"),"USER TIDAK DIKETAHUI")</f>
        <v>USER TIDAK DIKETAHUI</v>
      </c>
    </row>
    <row r="33">
      <c r="A33" s="23">
        <f t="shared" si="1"/>
        <v>45468.60627</v>
      </c>
      <c r="B33" s="24">
        <f t="shared" si="2"/>
        <v>30</v>
      </c>
      <c r="C33" s="35">
        <v>45388.0</v>
      </c>
      <c r="D33" s="28"/>
      <c r="E33" s="27" t="s">
        <v>25</v>
      </c>
      <c r="F33" s="27" t="s">
        <v>33</v>
      </c>
      <c r="G33" s="27" t="s">
        <v>134</v>
      </c>
      <c r="H33" s="27" t="s">
        <v>35</v>
      </c>
      <c r="I33" s="27" t="s">
        <v>135</v>
      </c>
      <c r="J33" s="28" t="str">
        <f>IFERROR(__xludf.DUMMYFUNCTION("iferror(if(I33="""","""",unique(query('tbl driver 2'!$K$2:$L1508,""SELECT L WHERE K = '""&amp;I33&amp;""'""))),"""")"),"")</f>
        <v/>
      </c>
      <c r="K33" s="31"/>
      <c r="L33" s="30" t="s">
        <v>136</v>
      </c>
      <c r="M33" s="30" t="s">
        <v>30</v>
      </c>
      <c r="N33" s="28" t="str">
        <f>IFERROR(__xludf.DUMMYFUNCTION("IF(OR(C33="""",M33=""""),"""",IFERROR(IF(M33="""","""",query('tbl user'!$A$2:$D1508,""SELECT A WHERE D = '""&amp;M33&amp;""'"")),""USER TIDAK DIKETAHUI""))"),"USER TIDAK DIKETAHUI")</f>
        <v>USER TIDAK DIKETAHUI</v>
      </c>
    </row>
    <row r="34">
      <c r="A34" s="23">
        <f t="shared" si="1"/>
        <v>45468.60627</v>
      </c>
      <c r="B34" s="24">
        <f t="shared" si="2"/>
        <v>31</v>
      </c>
      <c r="C34" s="35">
        <v>45388.0</v>
      </c>
      <c r="D34" s="28"/>
      <c r="E34" s="27" t="s">
        <v>32</v>
      </c>
      <c r="F34" s="27" t="s">
        <v>33</v>
      </c>
      <c r="G34" s="27" t="s">
        <v>137</v>
      </c>
      <c r="H34" s="27" t="s">
        <v>35</v>
      </c>
      <c r="I34" s="27" t="s">
        <v>138</v>
      </c>
      <c r="J34" s="28" t="str">
        <f>IFERROR(__xludf.DUMMYFUNCTION("iferror(if(I34="""","""",unique(query('tbl driver 2'!$K$2:$L1508,""SELECT L WHERE K = '""&amp;I34&amp;""'""))),"""")"),"")</f>
        <v/>
      </c>
      <c r="K34" s="31"/>
      <c r="L34" s="30" t="s">
        <v>139</v>
      </c>
      <c r="M34" s="30" t="s">
        <v>30</v>
      </c>
      <c r="N34" s="28" t="str">
        <f>IFERROR(__xludf.DUMMYFUNCTION("IF(OR(C34="""",M34=""""),"""",IFERROR(IF(M34="""","""",query('tbl user'!$A$2:$D1508,""SELECT A WHERE D = '""&amp;M34&amp;""'"")),""USER TIDAK DIKETAHUI""))"),"USER TIDAK DIKETAHUI")</f>
        <v>USER TIDAK DIKETAHUI</v>
      </c>
    </row>
    <row r="35">
      <c r="A35" s="23">
        <f t="shared" si="1"/>
        <v>45468.60627</v>
      </c>
      <c r="B35" s="24">
        <f t="shared" si="2"/>
        <v>32</v>
      </c>
      <c r="C35" s="35">
        <v>45402.0</v>
      </c>
      <c r="D35" s="36" t="s">
        <v>140</v>
      </c>
      <c r="E35" s="27" t="s">
        <v>32</v>
      </c>
      <c r="F35" s="27" t="s">
        <v>33</v>
      </c>
      <c r="G35" s="27" t="s">
        <v>141</v>
      </c>
      <c r="H35" s="27" t="s">
        <v>35</v>
      </c>
      <c r="I35" s="27" t="s">
        <v>142</v>
      </c>
      <c r="J35" s="28" t="str">
        <f>IFERROR(__xludf.DUMMYFUNCTION("iferror(if(I35="""","""",unique(query('tbl driver 2'!$K$2:$L1508,""SELECT L WHERE K = '""&amp;I35&amp;""'""))),"""")"),"")</f>
        <v/>
      </c>
      <c r="K35" s="31"/>
      <c r="L35" s="30" t="s">
        <v>143</v>
      </c>
      <c r="M35" s="30" t="s">
        <v>30</v>
      </c>
      <c r="N35" s="28" t="str">
        <f>IFERROR(__xludf.DUMMYFUNCTION("IF(OR(C35="""",M35=""""),"""",IFERROR(IF(M35="""","""",query('tbl user'!$A$2:$D1508,""SELECT A WHERE D = '""&amp;M35&amp;""'"")),""USER TIDAK DIKETAHUI""))"),"USER TIDAK DIKETAHUI")</f>
        <v>USER TIDAK DIKETAHUI</v>
      </c>
    </row>
    <row r="36">
      <c r="A36" s="23">
        <f t="shared" si="1"/>
        <v>45468.60627</v>
      </c>
      <c r="B36" s="24">
        <f t="shared" si="2"/>
        <v>33</v>
      </c>
      <c r="C36" s="35">
        <v>45402.0</v>
      </c>
      <c r="D36" s="28"/>
      <c r="E36" s="27" t="s">
        <v>99</v>
      </c>
      <c r="F36" s="27" t="s">
        <v>26</v>
      </c>
      <c r="G36" s="27"/>
      <c r="H36" s="27" t="s">
        <v>26</v>
      </c>
      <c r="I36" s="27" t="s">
        <v>144</v>
      </c>
      <c r="J36" s="28" t="str">
        <f>IFERROR(__xludf.DUMMYFUNCTION("iferror(if(I36="""","""",unique(query('tbl driver 2'!$K$2:$L1508,""SELECT L WHERE K = '""&amp;I36&amp;""'""))),"""")"),"")</f>
        <v/>
      </c>
      <c r="K36" s="31"/>
      <c r="L36" s="30" t="s">
        <v>145</v>
      </c>
      <c r="M36" s="30" t="s">
        <v>30</v>
      </c>
      <c r="N36" s="28" t="str">
        <f>IFERROR(__xludf.DUMMYFUNCTION("IF(OR(C36="""",M36=""""),"""",IFERROR(IF(M36="""","""",query('tbl user'!$A$2:$D1508,""SELECT A WHERE D = '""&amp;M36&amp;""'"")),""USER TIDAK DIKETAHUI""))"),"USER TIDAK DIKETAHUI")</f>
        <v>USER TIDAK DIKETAHUI</v>
      </c>
    </row>
    <row r="37">
      <c r="A37" s="23">
        <f t="shared" si="1"/>
        <v>45468.60627</v>
      </c>
      <c r="B37" s="24">
        <f t="shared" si="2"/>
        <v>34</v>
      </c>
      <c r="C37" s="35">
        <v>45420.0</v>
      </c>
      <c r="D37" s="28"/>
      <c r="E37" s="27" t="s">
        <v>99</v>
      </c>
      <c r="F37" s="27" t="s">
        <v>26</v>
      </c>
      <c r="G37" s="27"/>
      <c r="H37" s="27" t="s">
        <v>26</v>
      </c>
      <c r="I37" s="27" t="s">
        <v>146</v>
      </c>
      <c r="J37" s="28" t="str">
        <f>IFERROR(__xludf.DUMMYFUNCTION("iferror(if(I37="""","""",unique(query('tbl driver 2'!$K$2:$L1508,""SELECT L WHERE K = '""&amp;I37&amp;""'""))),"""")"),"")</f>
        <v/>
      </c>
      <c r="K37" s="31"/>
      <c r="L37" s="30" t="s">
        <v>145</v>
      </c>
      <c r="M37" s="30" t="s">
        <v>30</v>
      </c>
      <c r="N37" s="28" t="str">
        <f>IFERROR(__xludf.DUMMYFUNCTION("IF(OR(C37="""",M37=""""),"""",IFERROR(IF(M37="""","""",query('tbl user'!$A$2:$D1508,""SELECT A WHERE D = '""&amp;M37&amp;""'"")),""USER TIDAK DIKETAHUI""))"),"USER TIDAK DIKETAHUI")</f>
        <v>USER TIDAK DIKETAHUI</v>
      </c>
    </row>
    <row r="38">
      <c r="A38" s="23">
        <f t="shared" si="1"/>
        <v>45468.60627</v>
      </c>
      <c r="B38" s="24">
        <f t="shared" si="2"/>
        <v>35</v>
      </c>
      <c r="C38" s="35">
        <v>45429.0</v>
      </c>
      <c r="D38" s="28"/>
      <c r="E38" s="27" t="s">
        <v>99</v>
      </c>
      <c r="F38" s="27" t="s">
        <v>26</v>
      </c>
      <c r="G38" s="27"/>
      <c r="H38" s="27" t="s">
        <v>26</v>
      </c>
      <c r="I38" s="27" t="s">
        <v>147</v>
      </c>
      <c r="J38" s="28" t="str">
        <f>IFERROR(__xludf.DUMMYFUNCTION("iferror(if(I38="""","""",unique(query('tbl driver 2'!$K$2:$L1508,""SELECT L WHERE K = '""&amp;I38&amp;""'""))),"""")"),"")</f>
        <v/>
      </c>
      <c r="K38" s="31"/>
      <c r="L38" s="38" t="s">
        <v>148</v>
      </c>
      <c r="M38" s="30" t="s">
        <v>30</v>
      </c>
      <c r="N38" s="28" t="str">
        <f>IFERROR(__xludf.DUMMYFUNCTION("IF(OR(C38="""",M38=""""),"""",IFERROR(IF(M38="""","""",query('tbl user'!$A$2:$D1508,""SELECT A WHERE D = '""&amp;M38&amp;""'"")),""USER TIDAK DIKETAHUI""))"),"USER TIDAK DIKETAHUI")</f>
        <v>USER TIDAK DIKETAHUI</v>
      </c>
    </row>
    <row r="39">
      <c r="A39" s="23">
        <f t="shared" si="1"/>
        <v>45468.60627</v>
      </c>
      <c r="B39" s="24">
        <f t="shared" si="2"/>
        <v>36</v>
      </c>
      <c r="C39" s="35">
        <v>45429.0</v>
      </c>
      <c r="D39" s="28"/>
      <c r="E39" s="27" t="s">
        <v>99</v>
      </c>
      <c r="F39" s="27" t="s">
        <v>26</v>
      </c>
      <c r="G39" s="27"/>
      <c r="H39" s="27" t="s">
        <v>26</v>
      </c>
      <c r="I39" s="27" t="s">
        <v>149</v>
      </c>
      <c r="J39" s="28" t="str">
        <f>IFERROR(__xludf.DUMMYFUNCTION("iferror(if(I39="""","""",unique(query('tbl driver 2'!$K$2:$L1508,""SELECT L WHERE K = '""&amp;I39&amp;""'""))),"""")"),"")</f>
        <v/>
      </c>
      <c r="K39" s="31"/>
      <c r="L39" s="30" t="s">
        <v>150</v>
      </c>
      <c r="M39" s="30" t="s">
        <v>151</v>
      </c>
      <c r="N39" s="28" t="str">
        <f>IFERROR(__xludf.DUMMYFUNCTION("IF(OR(C39="""",M39=""""),"""",IFERROR(IF(M39="""","""",query('tbl user'!$A$2:$D1508,""SELECT A WHERE D = '""&amp;M39&amp;""'"")),""USER TIDAK DIKETAHUI""))"),"#REF!")</f>
        <v>#REF!</v>
      </c>
    </row>
    <row r="40">
      <c r="A40" s="23">
        <f t="shared" si="1"/>
        <v>45468.60627</v>
      </c>
      <c r="B40" s="24">
        <f t="shared" si="2"/>
        <v>37</v>
      </c>
      <c r="C40" s="35">
        <v>44935.0</v>
      </c>
      <c r="D40" s="28"/>
      <c r="E40" s="27" t="s">
        <v>25</v>
      </c>
      <c r="F40" s="27">
        <v>0.0</v>
      </c>
      <c r="G40" s="27" t="s">
        <v>84</v>
      </c>
      <c r="H40" s="27" t="s">
        <v>35</v>
      </c>
      <c r="I40" s="27" t="s">
        <v>152</v>
      </c>
      <c r="J40" s="28" t="str">
        <f>IFERROR(__xludf.DUMMYFUNCTION("iferror(if(I40="""","""",unique(query('tbl driver 2'!$K$2:$L1508,""SELECT L WHERE K = '""&amp;I40&amp;""'""))),"""")"),"")</f>
        <v/>
      </c>
      <c r="K40" s="31"/>
      <c r="L40" s="30">
        <v>0.0</v>
      </c>
      <c r="M40" s="30" t="s">
        <v>30</v>
      </c>
      <c r="N40" s="28" t="str">
        <f>IFERROR(__xludf.DUMMYFUNCTION("IF(OR(C40="""",M40=""""),"""",IFERROR(IF(M40="""","""",query('tbl user'!$A$2:$D1508,""SELECT A WHERE D = '""&amp;M40&amp;""'"")),""USER TIDAK DIKETAHUI""))"),"USER TIDAK DIKETAHUI")</f>
        <v>USER TIDAK DIKETAHUI</v>
      </c>
    </row>
    <row r="41">
      <c r="A41" s="23">
        <f t="shared" si="1"/>
        <v>45468.60627</v>
      </c>
      <c r="B41" s="24">
        <f t="shared" si="2"/>
        <v>38</v>
      </c>
      <c r="C41" s="35">
        <v>44935.0</v>
      </c>
      <c r="D41" s="28"/>
      <c r="E41" s="27" t="s">
        <v>25</v>
      </c>
      <c r="F41" s="27">
        <v>0.0</v>
      </c>
      <c r="G41" s="27" t="s">
        <v>153</v>
      </c>
      <c r="H41" s="27" t="s">
        <v>35</v>
      </c>
      <c r="I41" s="27" t="s">
        <v>154</v>
      </c>
      <c r="J41" s="28" t="str">
        <f>IFERROR(__xludf.DUMMYFUNCTION("iferror(if(I41="""","""",unique(query('tbl driver 2'!$K$2:$L1508,""SELECT L WHERE K = '""&amp;I41&amp;""'""))),"""")"),"")</f>
        <v/>
      </c>
      <c r="K41" s="31"/>
      <c r="L41" s="30">
        <v>0.0</v>
      </c>
      <c r="M41" s="30" t="s">
        <v>30</v>
      </c>
      <c r="N41" s="28" t="str">
        <f>IFERROR(__xludf.DUMMYFUNCTION("IF(OR(C41="""",M41=""""),"""",IFERROR(IF(M41="""","""",query('tbl user'!$A$2:$D1508,""SELECT A WHERE D = '""&amp;M41&amp;""'"")),""USER TIDAK DIKETAHUI""))"),"USER TIDAK DIKETAHUI")</f>
        <v>USER TIDAK DIKETAHUI</v>
      </c>
    </row>
    <row r="42">
      <c r="A42" s="23">
        <f t="shared" si="1"/>
        <v>45468.60627</v>
      </c>
      <c r="B42" s="24">
        <f t="shared" si="2"/>
        <v>39</v>
      </c>
      <c r="C42" s="35">
        <v>44939.0</v>
      </c>
      <c r="D42" s="28"/>
      <c r="E42" s="27" t="s">
        <v>25</v>
      </c>
      <c r="F42" s="27">
        <v>0.0</v>
      </c>
      <c r="G42" s="27"/>
      <c r="H42" s="27" t="s">
        <v>35</v>
      </c>
      <c r="I42" s="27" t="s">
        <v>152</v>
      </c>
      <c r="J42" s="28" t="str">
        <f>IFERROR(__xludf.DUMMYFUNCTION("iferror(if(I42="""","""",unique(query('tbl driver 2'!$K$2:$L1508,""SELECT L WHERE K = '""&amp;I42&amp;""'""))),"""")"),"")</f>
        <v/>
      </c>
      <c r="K42" s="31"/>
      <c r="L42" s="30">
        <v>0.0</v>
      </c>
      <c r="M42" s="30" t="s">
        <v>30</v>
      </c>
      <c r="N42" s="28" t="str">
        <f>IFERROR(__xludf.DUMMYFUNCTION("IF(OR(C42="""",M42=""""),"""",IFERROR(IF(M42="""","""",query('tbl user'!$A$2:$D1508,""SELECT A WHERE D = '""&amp;M42&amp;""'"")),""USER TIDAK DIKETAHUI""))"),"USER TIDAK DIKETAHUI")</f>
        <v>USER TIDAK DIKETAHUI</v>
      </c>
    </row>
    <row r="43">
      <c r="A43" s="23">
        <f t="shared" si="1"/>
        <v>45468.60627</v>
      </c>
      <c r="B43" s="24">
        <f t="shared" si="2"/>
        <v>40</v>
      </c>
      <c r="C43" s="35">
        <v>44942.0</v>
      </c>
      <c r="D43" s="28"/>
      <c r="E43" s="27" t="s">
        <v>25</v>
      </c>
      <c r="F43" s="27">
        <v>0.0</v>
      </c>
      <c r="G43" s="27" t="s">
        <v>155</v>
      </c>
      <c r="H43" s="27" t="s">
        <v>35</v>
      </c>
      <c r="I43" s="27" t="s">
        <v>156</v>
      </c>
      <c r="J43" s="28" t="str">
        <f>IFERROR(__xludf.DUMMYFUNCTION("iferror(if(I43="""","""",unique(query('tbl driver 2'!$K$2:$L1508,""SELECT L WHERE K = '""&amp;I43&amp;""'""))),"""")"),"")</f>
        <v/>
      </c>
      <c r="K43" s="31"/>
      <c r="L43" s="30">
        <v>0.0</v>
      </c>
      <c r="M43" s="30" t="s">
        <v>30</v>
      </c>
      <c r="N43" s="28" t="str">
        <f>IFERROR(__xludf.DUMMYFUNCTION("IF(OR(C43="""",M43=""""),"""",IFERROR(IF(M43="""","""",query('tbl user'!$A$2:$D1508,""SELECT A WHERE D = '""&amp;M43&amp;""'"")),""USER TIDAK DIKETAHUI""))"),"USER TIDAK DIKETAHUI")</f>
        <v>USER TIDAK DIKETAHUI</v>
      </c>
    </row>
    <row r="44">
      <c r="A44" s="23">
        <f t="shared" si="1"/>
        <v>45468.60627</v>
      </c>
      <c r="B44" s="24">
        <f t="shared" si="2"/>
        <v>41</v>
      </c>
      <c r="C44" s="35">
        <v>44949.0</v>
      </c>
      <c r="D44" s="28"/>
      <c r="E44" s="27" t="s">
        <v>25</v>
      </c>
      <c r="F44" s="27">
        <v>0.0</v>
      </c>
      <c r="G44" s="27" t="s">
        <v>157</v>
      </c>
      <c r="H44" s="27" t="s">
        <v>35</v>
      </c>
      <c r="I44" s="27" t="s">
        <v>158</v>
      </c>
      <c r="J44" s="28" t="str">
        <f>IFERROR(__xludf.DUMMYFUNCTION("iferror(if(I44="""","""",unique(query('tbl driver 2'!$K$2:$L1508,""SELECT L WHERE K = '""&amp;I44&amp;""'""))),"""")"),"")</f>
        <v/>
      </c>
      <c r="K44" s="31"/>
      <c r="L44" s="30">
        <v>0.0</v>
      </c>
      <c r="M44" s="30" t="s">
        <v>30</v>
      </c>
      <c r="N44" s="28" t="str">
        <f>IFERROR(__xludf.DUMMYFUNCTION("IF(OR(C44="""",M44=""""),"""",IFERROR(IF(M44="""","""",query('tbl user'!$A$2:$D1508,""SELECT A WHERE D = '""&amp;M44&amp;""'"")),""USER TIDAK DIKETAHUI""))"),"USER TIDAK DIKETAHUI")</f>
        <v>USER TIDAK DIKETAHUI</v>
      </c>
    </row>
    <row r="45">
      <c r="A45" s="23">
        <f t="shared" si="1"/>
        <v>45468.60627</v>
      </c>
      <c r="B45" s="24">
        <f t="shared" si="2"/>
        <v>42</v>
      </c>
      <c r="C45" s="35">
        <v>44950.0</v>
      </c>
      <c r="D45" s="28"/>
      <c r="E45" s="27" t="s">
        <v>99</v>
      </c>
      <c r="F45" s="27">
        <v>0.0</v>
      </c>
      <c r="G45" s="27"/>
      <c r="H45" s="27" t="s">
        <v>35</v>
      </c>
      <c r="I45" s="27" t="s">
        <v>159</v>
      </c>
      <c r="J45" s="28" t="str">
        <f>IFERROR(__xludf.DUMMYFUNCTION("iferror(if(I45="""","""",unique(query('tbl driver 2'!$K$2:$L1508,""SELECT L WHERE K = '""&amp;I45&amp;""'""))),"""")"),"")</f>
        <v/>
      </c>
      <c r="K45" s="31"/>
      <c r="L45" s="30">
        <v>0.0</v>
      </c>
      <c r="M45" s="30" t="s">
        <v>30</v>
      </c>
      <c r="N45" s="28" t="str">
        <f>IFERROR(__xludf.DUMMYFUNCTION("IF(OR(C45="""",M45=""""),"""",IFERROR(IF(M45="""","""",query('tbl user'!$A$2:$D1508,""SELECT A WHERE D = '""&amp;M45&amp;""'"")),""USER TIDAK DIKETAHUI""))"),"USER TIDAK DIKETAHUI")</f>
        <v>USER TIDAK DIKETAHUI</v>
      </c>
    </row>
    <row r="46">
      <c r="A46" s="23">
        <f t="shared" si="1"/>
        <v>45468.60627</v>
      </c>
      <c r="B46" s="24">
        <f t="shared" si="2"/>
        <v>43</v>
      </c>
      <c r="C46" s="35">
        <v>44951.0</v>
      </c>
      <c r="D46" s="28"/>
      <c r="E46" s="27" t="s">
        <v>25</v>
      </c>
      <c r="F46" s="27">
        <v>0.0</v>
      </c>
      <c r="G46" s="27" t="s">
        <v>160</v>
      </c>
      <c r="H46" s="27" t="s">
        <v>35</v>
      </c>
      <c r="I46" s="27" t="s">
        <v>161</v>
      </c>
      <c r="J46" s="28" t="str">
        <f>IFERROR(__xludf.DUMMYFUNCTION("iferror(if(I46="""","""",unique(query('tbl driver 2'!$K$2:$L1508,""SELECT L WHERE K = '""&amp;I46&amp;""'""))),"""")"),"")</f>
        <v/>
      </c>
      <c r="K46" s="31"/>
      <c r="L46" s="30">
        <v>0.0</v>
      </c>
      <c r="M46" s="30" t="s">
        <v>30</v>
      </c>
      <c r="N46" s="28" t="str">
        <f>IFERROR(__xludf.DUMMYFUNCTION("IF(OR(C46="""",M46=""""),"""",IFERROR(IF(M46="""","""",query('tbl user'!$A$2:$D1508,""SELECT A WHERE D = '""&amp;M46&amp;""'"")),""USER TIDAK DIKETAHUI""))"),"USER TIDAK DIKETAHUI")</f>
        <v>USER TIDAK DIKETAHUI</v>
      </c>
    </row>
    <row r="47">
      <c r="A47" s="23">
        <f t="shared" si="1"/>
        <v>45468.60627</v>
      </c>
      <c r="B47" s="24">
        <f t="shared" si="2"/>
        <v>44</v>
      </c>
      <c r="C47" s="35">
        <v>44953.0</v>
      </c>
      <c r="D47" s="28"/>
      <c r="E47" s="27" t="s">
        <v>25</v>
      </c>
      <c r="F47" s="27">
        <v>0.0</v>
      </c>
      <c r="G47" s="27" t="s">
        <v>162</v>
      </c>
      <c r="H47" s="27" t="s">
        <v>35</v>
      </c>
      <c r="I47" s="27" t="s">
        <v>163</v>
      </c>
      <c r="J47" s="28" t="str">
        <f>IFERROR(__xludf.DUMMYFUNCTION("iferror(if(I47="""","""",unique(query('tbl driver 2'!$K$2:$L1508,""SELECT L WHERE K = '""&amp;I47&amp;""'""))),"""")"),"")</f>
        <v/>
      </c>
      <c r="K47" s="31"/>
      <c r="L47" s="30">
        <v>0.0</v>
      </c>
      <c r="M47" s="30" t="s">
        <v>30</v>
      </c>
      <c r="N47" s="28" t="str">
        <f>IFERROR(__xludf.DUMMYFUNCTION("IF(OR(C47="""",M47=""""),"""",IFERROR(IF(M47="""","""",query('tbl user'!$A$2:$D1508,""SELECT A WHERE D = '""&amp;M47&amp;""'"")),""USER TIDAK DIKETAHUI""))"),"USER TIDAK DIKETAHUI")</f>
        <v>USER TIDAK DIKETAHUI</v>
      </c>
    </row>
    <row r="48">
      <c r="A48" s="23">
        <f t="shared" si="1"/>
        <v>45468.60627</v>
      </c>
      <c r="B48" s="24">
        <f t="shared" si="2"/>
        <v>45</v>
      </c>
      <c r="C48" s="35">
        <v>44954.0</v>
      </c>
      <c r="D48" s="28"/>
      <c r="E48" s="27" t="s">
        <v>25</v>
      </c>
      <c r="F48" s="27">
        <v>0.0</v>
      </c>
      <c r="G48" s="27" t="s">
        <v>121</v>
      </c>
      <c r="H48" s="27" t="s">
        <v>35</v>
      </c>
      <c r="I48" s="27" t="s">
        <v>164</v>
      </c>
      <c r="J48" s="28" t="str">
        <f>IFERROR(__xludf.DUMMYFUNCTION("iferror(if(I48="""","""",unique(query('tbl driver 2'!$K$2:$L1508,""SELECT L WHERE K = '""&amp;I48&amp;""'""))),"""")"),"")</f>
        <v/>
      </c>
      <c r="K48" s="31"/>
      <c r="L48" s="30">
        <v>0.0</v>
      </c>
      <c r="M48" s="30" t="s">
        <v>30</v>
      </c>
      <c r="N48" s="28" t="str">
        <f>IFERROR(__xludf.DUMMYFUNCTION("IF(OR(C48="""",M48=""""),"""",IFERROR(IF(M48="""","""",query('tbl user'!$A$2:$D1508,""SELECT A WHERE D = '""&amp;M48&amp;""'"")),""USER TIDAK DIKETAHUI""))"),"USER TIDAK DIKETAHUI")</f>
        <v>USER TIDAK DIKETAHUI</v>
      </c>
    </row>
    <row r="49">
      <c r="A49" s="23">
        <f t="shared" si="1"/>
        <v>45468.60627</v>
      </c>
      <c r="B49" s="24">
        <f t="shared" si="2"/>
        <v>46</v>
      </c>
      <c r="C49" s="35">
        <v>44976.0</v>
      </c>
      <c r="D49" s="28"/>
      <c r="E49" s="27" t="s">
        <v>25</v>
      </c>
      <c r="F49" s="27">
        <v>0.0</v>
      </c>
      <c r="G49" s="27" t="s">
        <v>165</v>
      </c>
      <c r="H49" s="27" t="s">
        <v>62</v>
      </c>
      <c r="I49" s="27" t="s">
        <v>166</v>
      </c>
      <c r="J49" s="28" t="str">
        <f>IFERROR(__xludf.DUMMYFUNCTION("iferror(if(I49="""","""",unique(query('tbl driver 2'!$K$2:$L1508,""SELECT L WHERE K = '""&amp;I49&amp;""'""))),"""")"),"")</f>
        <v/>
      </c>
      <c r="K49" s="31"/>
      <c r="L49" s="30">
        <v>0.0</v>
      </c>
      <c r="M49" s="30" t="s">
        <v>30</v>
      </c>
      <c r="N49" s="28" t="str">
        <f>IFERROR(__xludf.DUMMYFUNCTION("IF(OR(C49="""",M49=""""),"""",IFERROR(IF(M49="""","""",query('tbl user'!$A$2:$D1508,""SELECT A WHERE D = '""&amp;M49&amp;""'"")),""USER TIDAK DIKETAHUI""))"),"USER TIDAK DIKETAHUI")</f>
        <v>USER TIDAK DIKETAHUI</v>
      </c>
    </row>
    <row r="50">
      <c r="A50" s="23">
        <f t="shared" si="1"/>
        <v>45468.60627</v>
      </c>
      <c r="B50" s="24">
        <f t="shared" si="2"/>
        <v>47</v>
      </c>
      <c r="C50" s="35">
        <v>44973.0</v>
      </c>
      <c r="D50" s="28"/>
      <c r="E50" s="27" t="s">
        <v>25</v>
      </c>
      <c r="F50" s="27">
        <v>0.0</v>
      </c>
      <c r="G50" s="27" t="s">
        <v>53</v>
      </c>
      <c r="H50" s="27" t="s">
        <v>35</v>
      </c>
      <c r="I50" s="27" t="s">
        <v>167</v>
      </c>
      <c r="J50" s="28" t="str">
        <f>IFERROR(__xludf.DUMMYFUNCTION("iferror(if(I50="""","""",unique(query('tbl driver 2'!$K$2:$L1508,""SELECT L WHERE K = '""&amp;I50&amp;""'""))),"""")"),"")</f>
        <v/>
      </c>
      <c r="K50" s="31"/>
      <c r="L50" s="30">
        <v>0.0</v>
      </c>
      <c r="M50" s="30" t="s">
        <v>30</v>
      </c>
      <c r="N50" s="28" t="str">
        <f>IFERROR(__xludf.DUMMYFUNCTION("IF(OR(C50="""",M50=""""),"""",IFERROR(IF(M50="""","""",query('tbl user'!$A$2:$D1508,""SELECT A WHERE D = '""&amp;M50&amp;""'"")),""USER TIDAK DIKETAHUI""))"),"USER TIDAK DIKETAHUI")</f>
        <v>USER TIDAK DIKETAHUI</v>
      </c>
    </row>
    <row r="51">
      <c r="A51" s="23">
        <f t="shared" si="1"/>
        <v>45468.60627</v>
      </c>
      <c r="B51" s="24">
        <f t="shared" si="2"/>
        <v>48</v>
      </c>
      <c r="C51" s="35">
        <v>44984.0</v>
      </c>
      <c r="D51" s="28"/>
      <c r="E51" s="27" t="s">
        <v>99</v>
      </c>
      <c r="F51" s="27">
        <v>0.0</v>
      </c>
      <c r="G51" s="27"/>
      <c r="H51" s="27" t="s">
        <v>26</v>
      </c>
      <c r="I51" s="27" t="s">
        <v>168</v>
      </c>
      <c r="J51" s="28" t="str">
        <f>IFERROR(__xludf.DUMMYFUNCTION("iferror(if(I51="""","""",unique(query('tbl driver 2'!$K$2:$L1508,""SELECT L WHERE K = '""&amp;I51&amp;""'""))),"""")"),"")</f>
        <v/>
      </c>
      <c r="K51" s="31"/>
      <c r="L51" s="30">
        <v>0.0</v>
      </c>
      <c r="M51" s="30" t="s">
        <v>30</v>
      </c>
      <c r="N51" s="28" t="str">
        <f>IFERROR(__xludf.DUMMYFUNCTION("IF(OR(C51="""",M51=""""),"""",IFERROR(IF(M51="""","""",query('tbl user'!$A$2:$D1508,""SELECT A WHERE D = '""&amp;M51&amp;""'"")),""USER TIDAK DIKETAHUI""))"),"USER TIDAK DIKETAHUI")</f>
        <v>USER TIDAK DIKETAHUI</v>
      </c>
    </row>
    <row r="52">
      <c r="A52" s="23">
        <f t="shared" si="1"/>
        <v>45468.60627</v>
      </c>
      <c r="B52" s="24">
        <f t="shared" si="2"/>
        <v>49</v>
      </c>
      <c r="C52" s="35">
        <v>44988.0</v>
      </c>
      <c r="D52" s="28"/>
      <c r="E52" s="27" t="s">
        <v>25</v>
      </c>
      <c r="F52" s="27">
        <v>0.0</v>
      </c>
      <c r="G52" s="27" t="s">
        <v>169</v>
      </c>
      <c r="H52" s="27" t="s">
        <v>35</v>
      </c>
      <c r="I52" s="27" t="s">
        <v>170</v>
      </c>
      <c r="J52" s="28" t="str">
        <f>IFERROR(__xludf.DUMMYFUNCTION("iferror(if(I52="""","""",unique(query('tbl driver 2'!$K$2:$L1508,""SELECT L WHERE K = '""&amp;I52&amp;""'""))),"""")"),"")</f>
        <v/>
      </c>
      <c r="K52" s="31"/>
      <c r="L52" s="30">
        <v>0.0</v>
      </c>
      <c r="M52" s="30" t="s">
        <v>30</v>
      </c>
      <c r="N52" s="28" t="str">
        <f>IFERROR(__xludf.DUMMYFUNCTION("IF(OR(C52="""",M52=""""),"""",IFERROR(IF(M52="""","""",query('tbl user'!$A$2:$D1508,""SELECT A WHERE D = '""&amp;M52&amp;""'"")),""USER TIDAK DIKETAHUI""))"),"USER TIDAK DIKETAHUI")</f>
        <v>USER TIDAK DIKETAHUI</v>
      </c>
    </row>
    <row r="53">
      <c r="A53" s="23">
        <f t="shared" si="1"/>
        <v>45468.60627</v>
      </c>
      <c r="B53" s="24">
        <f t="shared" si="2"/>
        <v>50</v>
      </c>
      <c r="C53" s="35">
        <v>44999.0</v>
      </c>
      <c r="D53" s="28"/>
      <c r="E53" s="27" t="s">
        <v>25</v>
      </c>
      <c r="F53" s="27">
        <v>0.0</v>
      </c>
      <c r="G53" s="27" t="s">
        <v>171</v>
      </c>
      <c r="H53" s="27" t="s">
        <v>26</v>
      </c>
      <c r="I53" s="27" t="s">
        <v>172</v>
      </c>
      <c r="J53" s="28" t="str">
        <f>IFERROR(__xludf.DUMMYFUNCTION("iferror(if(I53="""","""",unique(query('tbl driver 2'!$K$2:$L1508,""SELECT L WHERE K = '""&amp;I53&amp;""'""))),"""")"),"")</f>
        <v/>
      </c>
      <c r="K53" s="31"/>
      <c r="L53" s="30">
        <v>0.0</v>
      </c>
      <c r="M53" s="30" t="s">
        <v>30</v>
      </c>
      <c r="N53" s="28" t="str">
        <f>IFERROR(__xludf.DUMMYFUNCTION("IF(OR(C53="""",M53=""""),"""",IFERROR(IF(M53="""","""",query('tbl user'!$A$2:$D1508,""SELECT A WHERE D = '""&amp;M53&amp;""'"")),""USER TIDAK DIKETAHUI""))"),"USER TIDAK DIKETAHUI")</f>
        <v>USER TIDAK DIKETAHUI</v>
      </c>
    </row>
    <row r="54">
      <c r="A54" s="23">
        <f t="shared" si="1"/>
        <v>45468.60627</v>
      </c>
      <c r="B54" s="24">
        <f t="shared" si="2"/>
        <v>51</v>
      </c>
      <c r="C54" s="35">
        <v>45002.0</v>
      </c>
      <c r="D54" s="28"/>
      <c r="E54" s="27" t="s">
        <v>25</v>
      </c>
      <c r="F54" s="27">
        <v>0.0</v>
      </c>
      <c r="G54" s="27" t="s">
        <v>173</v>
      </c>
      <c r="H54" s="27" t="s">
        <v>35</v>
      </c>
      <c r="I54" s="27" t="s">
        <v>174</v>
      </c>
      <c r="J54" s="28" t="str">
        <f>IFERROR(__xludf.DUMMYFUNCTION("iferror(if(I54="""","""",unique(query('tbl driver 2'!$K$2:$L1508,""SELECT L WHERE K = '""&amp;I54&amp;""'""))),"""")"),"")</f>
        <v/>
      </c>
      <c r="K54" s="31"/>
      <c r="L54" s="30">
        <v>0.0</v>
      </c>
      <c r="M54" s="30" t="s">
        <v>30</v>
      </c>
      <c r="N54" s="28" t="str">
        <f>IFERROR(__xludf.DUMMYFUNCTION("IF(OR(C54="""",M54=""""),"""",IFERROR(IF(M54="""","""",query('tbl user'!$A$2:$D1508,""SELECT A WHERE D = '""&amp;M54&amp;""'"")),""USER TIDAK DIKETAHUI""))"),"USER TIDAK DIKETAHUI")</f>
        <v>USER TIDAK DIKETAHUI</v>
      </c>
    </row>
    <row r="55">
      <c r="A55" s="23">
        <f t="shared" si="1"/>
        <v>45468.60627</v>
      </c>
      <c r="B55" s="24">
        <f t="shared" si="2"/>
        <v>52</v>
      </c>
      <c r="C55" s="35">
        <v>45003.0</v>
      </c>
      <c r="D55" s="28"/>
      <c r="E55" s="27" t="s">
        <v>25</v>
      </c>
      <c r="F55" s="27">
        <v>0.0</v>
      </c>
      <c r="G55" s="27" t="s">
        <v>175</v>
      </c>
      <c r="H55" s="27" t="s">
        <v>35</v>
      </c>
      <c r="I55" s="27" t="s">
        <v>176</v>
      </c>
      <c r="J55" s="28" t="str">
        <f>IFERROR(__xludf.DUMMYFUNCTION("iferror(if(I55="""","""",unique(query('tbl driver 2'!$K$2:$L1508,""SELECT L WHERE K = '""&amp;I55&amp;""'""))),"""")"),"")</f>
        <v/>
      </c>
      <c r="K55" s="31"/>
      <c r="L55" s="30">
        <v>0.0</v>
      </c>
      <c r="M55" s="30" t="s">
        <v>30</v>
      </c>
      <c r="N55" s="28" t="str">
        <f>IFERROR(__xludf.DUMMYFUNCTION("IF(OR(C55="""",M55=""""),"""",IFERROR(IF(M55="""","""",query('tbl user'!$A$2:$D1508,""SELECT A WHERE D = '""&amp;M55&amp;""'"")),""USER TIDAK DIKETAHUI""))"),"USER TIDAK DIKETAHUI")</f>
        <v>USER TIDAK DIKETAHUI</v>
      </c>
    </row>
    <row r="56">
      <c r="A56" s="23">
        <f t="shared" si="1"/>
        <v>45468.60627</v>
      </c>
      <c r="B56" s="24">
        <f t="shared" si="2"/>
        <v>53</v>
      </c>
      <c r="C56" s="35">
        <v>45004.0</v>
      </c>
      <c r="D56" s="28"/>
      <c r="E56" s="27" t="s">
        <v>25</v>
      </c>
      <c r="F56" s="27">
        <v>0.0</v>
      </c>
      <c r="G56" s="27" t="s">
        <v>177</v>
      </c>
      <c r="H56" s="27" t="s">
        <v>35</v>
      </c>
      <c r="I56" s="27" t="s">
        <v>178</v>
      </c>
      <c r="J56" s="28" t="str">
        <f>IFERROR(__xludf.DUMMYFUNCTION("iferror(if(I56="""","""",unique(query('tbl driver 2'!$K$2:$L1508,""SELECT L WHERE K = '""&amp;I56&amp;""'""))),"""")"),"")</f>
        <v/>
      </c>
      <c r="K56" s="31"/>
      <c r="L56" s="30">
        <v>0.0</v>
      </c>
      <c r="M56" s="30" t="s">
        <v>30</v>
      </c>
      <c r="N56" s="28" t="str">
        <f>IFERROR(__xludf.DUMMYFUNCTION("IF(OR(C56="""",M56=""""),"""",IFERROR(IF(M56="""","""",query('tbl user'!$A$2:$D1508,""SELECT A WHERE D = '""&amp;M56&amp;""'"")),""USER TIDAK DIKETAHUI""))"),"USER TIDAK DIKETAHUI")</f>
        <v>USER TIDAK DIKETAHUI</v>
      </c>
    </row>
    <row r="57">
      <c r="A57" s="23">
        <f t="shared" si="1"/>
        <v>45468.60627</v>
      </c>
      <c r="B57" s="24">
        <f t="shared" si="2"/>
        <v>54</v>
      </c>
      <c r="C57" s="35">
        <v>45005.0</v>
      </c>
      <c r="D57" s="28"/>
      <c r="E57" s="27" t="s">
        <v>25</v>
      </c>
      <c r="F57" s="27">
        <v>0.0</v>
      </c>
      <c r="G57" s="27" t="s">
        <v>179</v>
      </c>
      <c r="H57" s="27" t="s">
        <v>35</v>
      </c>
      <c r="I57" s="27" t="s">
        <v>180</v>
      </c>
      <c r="J57" s="28" t="str">
        <f>IFERROR(__xludf.DUMMYFUNCTION("iferror(if(I57="""","""",unique(query('tbl driver 2'!$K$2:$L1508,""SELECT L WHERE K = '""&amp;I57&amp;""'""))),"""")"),"")</f>
        <v/>
      </c>
      <c r="K57" s="31"/>
      <c r="L57" s="30">
        <v>0.0</v>
      </c>
      <c r="M57" s="30" t="s">
        <v>30</v>
      </c>
      <c r="N57" s="28" t="str">
        <f>IFERROR(__xludf.DUMMYFUNCTION("IF(OR(C57="""",M57=""""),"""",IFERROR(IF(M57="""","""",query('tbl user'!$A$2:$D1508,""SELECT A WHERE D = '""&amp;M57&amp;""'"")),""USER TIDAK DIKETAHUI""))"),"USER TIDAK DIKETAHUI")</f>
        <v>USER TIDAK DIKETAHUI</v>
      </c>
    </row>
    <row r="58">
      <c r="A58" s="23">
        <f t="shared" si="1"/>
        <v>45468.60627</v>
      </c>
      <c r="B58" s="24">
        <f t="shared" si="2"/>
        <v>55</v>
      </c>
      <c r="C58" s="35">
        <v>45008.0</v>
      </c>
      <c r="D58" s="28"/>
      <c r="E58" s="27" t="s">
        <v>99</v>
      </c>
      <c r="F58" s="27">
        <v>0.0</v>
      </c>
      <c r="G58" s="27" t="s">
        <v>181</v>
      </c>
      <c r="H58" s="27" t="s">
        <v>26</v>
      </c>
      <c r="I58" s="27" t="s">
        <v>182</v>
      </c>
      <c r="J58" s="28" t="str">
        <f>IFERROR(__xludf.DUMMYFUNCTION("iferror(if(I58="""","""",unique(query('tbl driver 2'!$K$2:$L1508,""SELECT L WHERE K = '""&amp;I58&amp;""'""))),"""")"),"")</f>
        <v/>
      </c>
      <c r="K58" s="31"/>
      <c r="L58" s="30">
        <v>0.0</v>
      </c>
      <c r="M58" s="30" t="s">
        <v>30</v>
      </c>
      <c r="N58" s="28" t="str">
        <f>IFERROR(__xludf.DUMMYFUNCTION("IF(OR(C58="""",M58=""""),"""",IFERROR(IF(M58="""","""",query('tbl user'!$A$2:$D1508,""SELECT A WHERE D = '""&amp;M58&amp;""'"")),""USER TIDAK DIKETAHUI""))"),"USER TIDAK DIKETAHUI")</f>
        <v>USER TIDAK DIKETAHUI</v>
      </c>
    </row>
    <row r="59">
      <c r="A59" s="23">
        <f t="shared" si="1"/>
        <v>45468.60627</v>
      </c>
      <c r="B59" s="24">
        <f t="shared" si="2"/>
        <v>56</v>
      </c>
      <c r="C59" s="35">
        <v>45011.0</v>
      </c>
      <c r="D59" s="28"/>
      <c r="E59" s="27" t="s">
        <v>25</v>
      </c>
      <c r="F59" s="27">
        <v>0.0</v>
      </c>
      <c r="G59" s="27" t="s">
        <v>183</v>
      </c>
      <c r="H59" s="27" t="s">
        <v>62</v>
      </c>
      <c r="I59" s="27" t="s">
        <v>184</v>
      </c>
      <c r="J59" s="28" t="str">
        <f>IFERROR(__xludf.DUMMYFUNCTION("iferror(if(I59="""","""",unique(query('tbl driver 2'!$K$2:$L1508,""SELECT L WHERE K = '""&amp;I59&amp;""'""))),"""")"),"")</f>
        <v/>
      </c>
      <c r="K59" s="31"/>
      <c r="L59" s="30">
        <v>0.0</v>
      </c>
      <c r="M59" s="30" t="s">
        <v>30</v>
      </c>
      <c r="N59" s="28" t="str">
        <f>IFERROR(__xludf.DUMMYFUNCTION("IF(OR(C59="""",M59=""""),"""",IFERROR(IF(M59="""","""",query('tbl user'!$A$2:$D1508,""SELECT A WHERE D = '""&amp;M59&amp;""'"")),""USER TIDAK DIKETAHUI""))"),"USER TIDAK DIKETAHUI")</f>
        <v>USER TIDAK DIKETAHUI</v>
      </c>
    </row>
    <row r="60">
      <c r="A60" s="23">
        <f t="shared" si="1"/>
        <v>45468.60627</v>
      </c>
      <c r="B60" s="24">
        <f t="shared" si="2"/>
        <v>57</v>
      </c>
      <c r="C60" s="35">
        <v>45016.0</v>
      </c>
      <c r="D60" s="28"/>
      <c r="E60" s="27" t="s">
        <v>25</v>
      </c>
      <c r="F60" s="27">
        <v>0.0</v>
      </c>
      <c r="G60" s="27" t="s">
        <v>185</v>
      </c>
      <c r="H60" s="27" t="s">
        <v>35</v>
      </c>
      <c r="I60" s="27" t="s">
        <v>186</v>
      </c>
      <c r="J60" s="28" t="str">
        <f>IFERROR(__xludf.DUMMYFUNCTION("iferror(if(I60="""","""",unique(query('tbl driver 2'!$K$2:$L1508,""SELECT L WHERE K = '""&amp;I60&amp;""'""))),"""")"),"")</f>
        <v/>
      </c>
      <c r="K60" s="31"/>
      <c r="L60" s="30">
        <v>0.0</v>
      </c>
      <c r="M60" s="30" t="s">
        <v>30</v>
      </c>
      <c r="N60" s="28" t="str">
        <f>IFERROR(__xludf.DUMMYFUNCTION("IF(OR(C60="""",M60=""""),"""",IFERROR(IF(M60="""","""",query('tbl user'!$A$2:$D1508,""SELECT A WHERE D = '""&amp;M60&amp;""'"")),""USER TIDAK DIKETAHUI""))"),"USER TIDAK DIKETAHUI")</f>
        <v>USER TIDAK DIKETAHUI</v>
      </c>
    </row>
    <row r="61">
      <c r="A61" s="23">
        <f t="shared" si="1"/>
        <v>45468.60627</v>
      </c>
      <c r="B61" s="24">
        <f t="shared" si="2"/>
        <v>58</v>
      </c>
      <c r="C61" s="35">
        <v>45017.0</v>
      </c>
      <c r="D61" s="28"/>
      <c r="E61" s="27" t="s">
        <v>25</v>
      </c>
      <c r="F61" s="27">
        <v>0.0</v>
      </c>
      <c r="G61" s="27" t="s">
        <v>187</v>
      </c>
      <c r="H61" s="27" t="s">
        <v>35</v>
      </c>
      <c r="I61" s="27" t="s">
        <v>89</v>
      </c>
      <c r="J61" s="28" t="str">
        <f>IFERROR(__xludf.DUMMYFUNCTION("iferror(if(I61="""","""",unique(query('tbl driver 2'!$K$2:$L1508,""SELECT L WHERE K = '""&amp;I61&amp;""'""))),"""")"),"")</f>
        <v/>
      </c>
      <c r="K61" s="31"/>
      <c r="L61" s="30">
        <v>0.0</v>
      </c>
      <c r="M61" s="30" t="s">
        <v>30</v>
      </c>
      <c r="N61" s="28" t="str">
        <f>IFERROR(__xludf.DUMMYFUNCTION("IF(OR(C61="""",M61=""""),"""",IFERROR(IF(M61="""","""",query('tbl user'!$A$2:$D1508,""SELECT A WHERE D = '""&amp;M61&amp;""'"")),""USER TIDAK DIKETAHUI""))"),"USER TIDAK DIKETAHUI")</f>
        <v>USER TIDAK DIKETAHUI</v>
      </c>
    </row>
    <row r="62">
      <c r="A62" s="23">
        <f t="shared" si="1"/>
        <v>45468.60627</v>
      </c>
      <c r="B62" s="24">
        <f t="shared" si="2"/>
        <v>59</v>
      </c>
      <c r="C62" s="35">
        <v>45019.0</v>
      </c>
      <c r="D62" s="28"/>
      <c r="E62" s="27" t="s">
        <v>25</v>
      </c>
      <c r="F62" s="27">
        <v>0.0</v>
      </c>
      <c r="G62" s="27" t="s">
        <v>188</v>
      </c>
      <c r="H62" s="27" t="s">
        <v>35</v>
      </c>
      <c r="I62" s="27" t="s">
        <v>189</v>
      </c>
      <c r="J62" s="28" t="str">
        <f>IFERROR(__xludf.DUMMYFUNCTION("iferror(if(I62="""","""",unique(query('tbl driver 2'!$K$2:$L1508,""SELECT L WHERE K = '""&amp;I62&amp;""'""))),"""")"),"")</f>
        <v/>
      </c>
      <c r="K62" s="31"/>
      <c r="L62" s="30">
        <v>0.0</v>
      </c>
      <c r="M62" s="30" t="s">
        <v>30</v>
      </c>
      <c r="N62" s="28" t="str">
        <f>IFERROR(__xludf.DUMMYFUNCTION("IF(OR(C62="""",M62=""""),"""",IFERROR(IF(M62="""","""",query('tbl user'!$A$2:$D1508,""SELECT A WHERE D = '""&amp;M62&amp;""'"")),""USER TIDAK DIKETAHUI""))"),"USER TIDAK DIKETAHUI")</f>
        <v>USER TIDAK DIKETAHUI</v>
      </c>
    </row>
    <row r="63">
      <c r="A63" s="23">
        <f t="shared" si="1"/>
        <v>45468.60627</v>
      </c>
      <c r="B63" s="24">
        <f t="shared" si="2"/>
        <v>60</v>
      </c>
      <c r="C63" s="35">
        <v>45034.0</v>
      </c>
      <c r="D63" s="28"/>
      <c r="E63" s="27" t="s">
        <v>25</v>
      </c>
      <c r="F63" s="27">
        <v>0.0</v>
      </c>
      <c r="G63" s="27" t="s">
        <v>190</v>
      </c>
      <c r="H63" s="27" t="s">
        <v>35</v>
      </c>
      <c r="I63" s="27" t="s">
        <v>191</v>
      </c>
      <c r="J63" s="28" t="str">
        <f>IFERROR(__xludf.DUMMYFUNCTION("iferror(if(I63="""","""",unique(query('tbl driver 2'!$K$2:$L1508,""SELECT L WHERE K = '""&amp;I63&amp;""'""))),"""")"),"")</f>
        <v/>
      </c>
      <c r="K63" s="31"/>
      <c r="L63" s="30">
        <v>0.0</v>
      </c>
      <c r="M63" s="30" t="s">
        <v>30</v>
      </c>
      <c r="N63" s="28" t="str">
        <f>IFERROR(__xludf.DUMMYFUNCTION("IF(OR(C63="""",M63=""""),"""",IFERROR(IF(M63="""","""",query('tbl user'!$A$2:$D1508,""SELECT A WHERE D = '""&amp;M63&amp;""'"")),""USER TIDAK DIKETAHUI""))"),"USER TIDAK DIKETAHUI")</f>
        <v>USER TIDAK DIKETAHUI</v>
      </c>
    </row>
    <row r="64">
      <c r="A64" s="23">
        <f t="shared" si="1"/>
        <v>45468.60627</v>
      </c>
      <c r="B64" s="24">
        <f t="shared" si="2"/>
        <v>61</v>
      </c>
      <c r="C64" s="35">
        <v>45061.0</v>
      </c>
      <c r="D64" s="28"/>
      <c r="E64" s="27" t="s">
        <v>25</v>
      </c>
      <c r="F64" s="27">
        <v>0.0</v>
      </c>
      <c r="G64" s="27" t="s">
        <v>192</v>
      </c>
      <c r="H64" s="27" t="s">
        <v>35</v>
      </c>
      <c r="I64" s="27" t="s">
        <v>193</v>
      </c>
      <c r="J64" s="28" t="str">
        <f>IFERROR(__xludf.DUMMYFUNCTION("iferror(if(I64="""","""",unique(query('tbl driver 2'!$K$2:$L1508,""SELECT L WHERE K = '""&amp;I64&amp;""'""))),"""")"),"")</f>
        <v/>
      </c>
      <c r="K64" s="31"/>
      <c r="L64" s="30">
        <v>0.0</v>
      </c>
      <c r="M64" s="30" t="s">
        <v>30</v>
      </c>
      <c r="N64" s="28" t="str">
        <f>IFERROR(__xludf.DUMMYFUNCTION("IF(OR(C64="""",M64=""""),"""",IFERROR(IF(M64="""","""",query('tbl user'!$A$2:$D1508,""SELECT A WHERE D = '""&amp;M64&amp;""'"")),""USER TIDAK DIKETAHUI""))"),"USER TIDAK DIKETAHUI")</f>
        <v>USER TIDAK DIKETAHUI</v>
      </c>
    </row>
    <row r="65">
      <c r="A65" s="23">
        <f t="shared" si="1"/>
        <v>45468.60627</v>
      </c>
      <c r="B65" s="24">
        <f t="shared" si="2"/>
        <v>62</v>
      </c>
      <c r="C65" s="35">
        <v>45068.0</v>
      </c>
      <c r="D65" s="28"/>
      <c r="E65" s="27" t="s">
        <v>25</v>
      </c>
      <c r="F65" s="27">
        <v>0.0</v>
      </c>
      <c r="G65" s="27" t="s">
        <v>194</v>
      </c>
      <c r="H65" s="27" t="s">
        <v>35</v>
      </c>
      <c r="I65" s="27" t="s">
        <v>152</v>
      </c>
      <c r="J65" s="28" t="str">
        <f>IFERROR(__xludf.DUMMYFUNCTION("iferror(if(I65="""","""",unique(query('tbl driver 2'!$K$2:$L1508,""SELECT L WHERE K = '""&amp;I65&amp;""'""))),"""")"),"")</f>
        <v/>
      </c>
      <c r="K65" s="31"/>
      <c r="L65" s="30">
        <v>0.0</v>
      </c>
      <c r="M65" s="30" t="s">
        <v>30</v>
      </c>
      <c r="N65" s="28" t="str">
        <f>IFERROR(__xludf.DUMMYFUNCTION("IF(OR(C65="""",M65=""""),"""",IFERROR(IF(M65="""","""",query('tbl user'!$A$2:$D1508,""SELECT A WHERE D = '""&amp;M65&amp;""'"")),""USER TIDAK DIKETAHUI""))"),"USER TIDAK DIKETAHUI")</f>
        <v>USER TIDAK DIKETAHUI</v>
      </c>
    </row>
    <row r="66">
      <c r="A66" s="23">
        <f t="shared" si="1"/>
        <v>45468.60627</v>
      </c>
      <c r="B66" s="24">
        <f t="shared" si="2"/>
        <v>63</v>
      </c>
      <c r="C66" s="35">
        <v>45079.0</v>
      </c>
      <c r="D66" s="28"/>
      <c r="E66" s="27" t="s">
        <v>99</v>
      </c>
      <c r="F66" s="27">
        <v>0.0</v>
      </c>
      <c r="G66" s="27" t="s">
        <v>195</v>
      </c>
      <c r="H66" s="27" t="s">
        <v>35</v>
      </c>
      <c r="I66" s="27" t="s">
        <v>196</v>
      </c>
      <c r="J66" s="28" t="str">
        <f>IFERROR(__xludf.DUMMYFUNCTION("iferror(if(I66="""","""",unique(query('tbl driver 2'!$K$2:$L1508,""SELECT L WHERE K = '""&amp;I66&amp;""'""))),"""")"),"")</f>
        <v/>
      </c>
      <c r="K66" s="31"/>
      <c r="L66" s="30">
        <v>0.0</v>
      </c>
      <c r="M66" s="30" t="s">
        <v>30</v>
      </c>
      <c r="N66" s="28" t="str">
        <f>IFERROR(__xludf.DUMMYFUNCTION("IF(OR(C66="""",M66=""""),"""",IFERROR(IF(M66="""","""",query('tbl user'!$A$2:$D1508,""SELECT A WHERE D = '""&amp;M66&amp;""'"")),""USER TIDAK DIKETAHUI""))"),"USER TIDAK DIKETAHUI")</f>
        <v>USER TIDAK DIKETAHUI</v>
      </c>
    </row>
    <row r="67">
      <c r="A67" s="23">
        <f t="shared" si="1"/>
        <v>45468.60627</v>
      </c>
      <c r="B67" s="24">
        <f t="shared" si="2"/>
        <v>64</v>
      </c>
      <c r="C67" s="35">
        <v>45088.0</v>
      </c>
      <c r="D67" s="28"/>
      <c r="E67" s="27" t="s">
        <v>99</v>
      </c>
      <c r="F67" s="27">
        <v>0.0</v>
      </c>
      <c r="G67" s="27" t="s">
        <v>197</v>
      </c>
      <c r="H67" s="27" t="s">
        <v>26</v>
      </c>
      <c r="I67" s="27" t="s">
        <v>198</v>
      </c>
      <c r="J67" s="28" t="str">
        <f>IFERROR(__xludf.DUMMYFUNCTION("iferror(if(I67="""","""",unique(query('tbl driver 2'!$K$2:$L1508,""SELECT L WHERE K = '""&amp;I67&amp;""'""))),"""")"),"")</f>
        <v/>
      </c>
      <c r="K67" s="31"/>
      <c r="L67" s="30">
        <v>0.0</v>
      </c>
      <c r="M67" s="30" t="s">
        <v>30</v>
      </c>
      <c r="N67" s="28" t="str">
        <f>IFERROR(__xludf.DUMMYFUNCTION("IF(OR(C67="""",M67=""""),"""",IFERROR(IF(M67="""","""",query('tbl user'!$A$2:$D1508,""SELECT A WHERE D = '""&amp;M67&amp;""'"")),""USER TIDAK DIKETAHUI""))"),"USER TIDAK DIKETAHUI")</f>
        <v>USER TIDAK DIKETAHUI</v>
      </c>
    </row>
    <row r="68">
      <c r="A68" s="23">
        <f t="shared" si="1"/>
        <v>45468.60627</v>
      </c>
      <c r="B68" s="24">
        <f t="shared" si="2"/>
        <v>65</v>
      </c>
      <c r="C68" s="35">
        <v>45090.0</v>
      </c>
      <c r="D68" s="28"/>
      <c r="E68" s="27" t="s">
        <v>25</v>
      </c>
      <c r="F68" s="27">
        <v>0.0</v>
      </c>
      <c r="G68" s="27" t="s">
        <v>199</v>
      </c>
      <c r="H68" s="27" t="s">
        <v>35</v>
      </c>
      <c r="I68" s="27" t="s">
        <v>200</v>
      </c>
      <c r="J68" s="28" t="str">
        <f>IFERROR(__xludf.DUMMYFUNCTION("iferror(if(I68="""","""",unique(query('tbl driver 2'!$K$2:$L1508,""SELECT L WHERE K = '""&amp;I68&amp;""'""))),"""")"),"")</f>
        <v/>
      </c>
      <c r="K68" s="31"/>
      <c r="L68" s="30">
        <v>0.0</v>
      </c>
      <c r="M68" s="30" t="s">
        <v>30</v>
      </c>
      <c r="N68" s="28" t="str">
        <f>IFERROR(__xludf.DUMMYFUNCTION("IF(OR(C68="""",M68=""""),"""",IFERROR(IF(M68="""","""",query('tbl user'!$A$2:$D1508,""SELECT A WHERE D = '""&amp;M68&amp;""'"")),""USER TIDAK DIKETAHUI""))"),"USER TIDAK DIKETAHUI")</f>
        <v>USER TIDAK DIKETAHUI</v>
      </c>
    </row>
    <row r="69">
      <c r="A69" s="23">
        <f t="shared" si="1"/>
        <v>45468.60627</v>
      </c>
      <c r="B69" s="24">
        <f t="shared" si="2"/>
        <v>66</v>
      </c>
      <c r="C69" s="35">
        <v>45098.0</v>
      </c>
      <c r="D69" s="28"/>
      <c r="E69" s="27" t="s">
        <v>25</v>
      </c>
      <c r="F69" s="27">
        <v>0.0</v>
      </c>
      <c r="G69" s="27" t="s">
        <v>201</v>
      </c>
      <c r="H69" s="27" t="s">
        <v>62</v>
      </c>
      <c r="I69" s="27" t="s">
        <v>202</v>
      </c>
      <c r="J69" s="28" t="str">
        <f>IFERROR(__xludf.DUMMYFUNCTION("iferror(if(I69="""","""",unique(query('tbl driver 2'!$K$2:$L1508,""SELECT L WHERE K = '""&amp;I69&amp;""'""))),"""")"),"")</f>
        <v/>
      </c>
      <c r="K69" s="31"/>
      <c r="L69" s="30">
        <v>0.0</v>
      </c>
      <c r="M69" s="30" t="s">
        <v>30</v>
      </c>
      <c r="N69" s="28" t="str">
        <f>IFERROR(__xludf.DUMMYFUNCTION("IF(OR(C69="""",M69=""""),"""",IFERROR(IF(M69="""","""",query('tbl user'!$A$2:$D1508,""SELECT A WHERE D = '""&amp;M69&amp;""'"")),""USER TIDAK DIKETAHUI""))"),"USER TIDAK DIKETAHUI")</f>
        <v>USER TIDAK DIKETAHUI</v>
      </c>
    </row>
    <row r="70">
      <c r="A70" s="23">
        <f t="shared" si="1"/>
        <v>45468.60627</v>
      </c>
      <c r="B70" s="24">
        <f t="shared" si="2"/>
        <v>67</v>
      </c>
      <c r="C70" s="35">
        <v>45103.0</v>
      </c>
      <c r="D70" s="28"/>
      <c r="E70" s="27" t="s">
        <v>25</v>
      </c>
      <c r="F70" s="27">
        <v>0.0</v>
      </c>
      <c r="G70" s="27" t="s">
        <v>203</v>
      </c>
      <c r="H70" s="27" t="s">
        <v>35</v>
      </c>
      <c r="I70" s="27" t="s">
        <v>204</v>
      </c>
      <c r="J70" s="28" t="str">
        <f>IFERROR(__xludf.DUMMYFUNCTION("iferror(if(I70="""","""",unique(query('tbl driver 2'!$K$2:$L1508,""SELECT L WHERE K = '""&amp;I70&amp;""'""))),"""")"),"")</f>
        <v/>
      </c>
      <c r="K70" s="31"/>
      <c r="L70" s="30">
        <v>0.0</v>
      </c>
      <c r="M70" s="30" t="s">
        <v>30</v>
      </c>
      <c r="N70" s="28" t="str">
        <f>IFERROR(__xludf.DUMMYFUNCTION("IF(OR(C70="""",M70=""""),"""",IFERROR(IF(M70="""","""",query('tbl user'!$A$2:$D1508,""SELECT A WHERE D = '""&amp;M70&amp;""'"")),""USER TIDAK DIKETAHUI""))"),"USER TIDAK DIKETAHUI")</f>
        <v>USER TIDAK DIKETAHUI</v>
      </c>
    </row>
    <row r="71">
      <c r="A71" s="23">
        <f t="shared" si="1"/>
        <v>45468.60627</v>
      </c>
      <c r="B71" s="24">
        <f t="shared" si="2"/>
        <v>68</v>
      </c>
      <c r="C71" s="35">
        <v>45108.0</v>
      </c>
      <c r="D71" s="28"/>
      <c r="E71" s="27" t="s">
        <v>25</v>
      </c>
      <c r="F71" s="27">
        <v>0.0</v>
      </c>
      <c r="G71" s="27" t="s">
        <v>205</v>
      </c>
      <c r="H71" s="27" t="s">
        <v>35</v>
      </c>
      <c r="I71" s="27" t="s">
        <v>206</v>
      </c>
      <c r="J71" s="28" t="str">
        <f>IFERROR(__xludf.DUMMYFUNCTION("iferror(if(I71="""","""",unique(query('tbl driver 2'!$K$2:$L1508,""SELECT L WHERE K = '""&amp;I71&amp;""'""))),"""")"),"")</f>
        <v/>
      </c>
      <c r="K71" s="31"/>
      <c r="L71" s="30">
        <v>0.0</v>
      </c>
      <c r="M71" s="30" t="s">
        <v>30</v>
      </c>
      <c r="N71" s="28" t="str">
        <f>IFERROR(__xludf.DUMMYFUNCTION("IF(OR(C71="""",M71=""""),"""",IFERROR(IF(M71="""","""",query('tbl user'!$A$2:$D1508,""SELECT A WHERE D = '""&amp;M71&amp;""'"")),""USER TIDAK DIKETAHUI""))"),"USER TIDAK DIKETAHUI")</f>
        <v>USER TIDAK DIKETAHUI</v>
      </c>
    </row>
    <row r="72">
      <c r="A72" s="23">
        <f t="shared" si="1"/>
        <v>45468.60627</v>
      </c>
      <c r="B72" s="24">
        <f t="shared" si="2"/>
        <v>69</v>
      </c>
      <c r="C72" s="35">
        <v>45110.0</v>
      </c>
      <c r="D72" s="28"/>
      <c r="E72" s="27" t="s">
        <v>25</v>
      </c>
      <c r="F72" s="27">
        <v>0.0</v>
      </c>
      <c r="G72" s="27" t="s">
        <v>207</v>
      </c>
      <c r="H72" s="27" t="s">
        <v>35</v>
      </c>
      <c r="I72" s="27" t="s">
        <v>208</v>
      </c>
      <c r="J72" s="28" t="str">
        <f>IFERROR(__xludf.DUMMYFUNCTION("iferror(if(I72="""","""",unique(query('tbl driver 2'!$K$2:$L1508,""SELECT L WHERE K = '""&amp;I72&amp;""'""))),"""")"),"")</f>
        <v/>
      </c>
      <c r="K72" s="31"/>
      <c r="L72" s="30">
        <v>0.0</v>
      </c>
      <c r="M72" s="30" t="s">
        <v>30</v>
      </c>
      <c r="N72" s="28" t="str">
        <f>IFERROR(__xludf.DUMMYFUNCTION("IF(OR(C72="""",M72=""""),"""",IFERROR(IF(M72="""","""",query('tbl user'!$A$2:$D1508,""SELECT A WHERE D = '""&amp;M72&amp;""'"")),""USER TIDAK DIKETAHUI""))"),"USER TIDAK DIKETAHUI")</f>
        <v>USER TIDAK DIKETAHUI</v>
      </c>
    </row>
    <row r="73">
      <c r="A73" s="23">
        <f t="shared" si="1"/>
        <v>45468.60627</v>
      </c>
      <c r="B73" s="24">
        <f t="shared" si="2"/>
        <v>70</v>
      </c>
      <c r="C73" s="35">
        <v>45104.0</v>
      </c>
      <c r="D73" s="28"/>
      <c r="E73" s="27" t="s">
        <v>25</v>
      </c>
      <c r="F73" s="27">
        <v>0.0</v>
      </c>
      <c r="G73" s="27" t="s">
        <v>209</v>
      </c>
      <c r="H73" s="27" t="s">
        <v>35</v>
      </c>
      <c r="I73" s="27" t="s">
        <v>210</v>
      </c>
      <c r="J73" s="28" t="str">
        <f>IFERROR(__xludf.DUMMYFUNCTION("iferror(if(I73="""","""",unique(query('tbl driver 2'!$K$2:$L1508,""SELECT L WHERE K = '""&amp;I73&amp;""'""))),"""")"),"")</f>
        <v/>
      </c>
      <c r="K73" s="31"/>
      <c r="L73" s="30">
        <v>0.0</v>
      </c>
      <c r="M73" s="30" t="s">
        <v>30</v>
      </c>
      <c r="N73" s="28" t="str">
        <f>IFERROR(__xludf.DUMMYFUNCTION("IF(OR(C73="""",M73=""""),"""",IFERROR(IF(M73="""","""",query('tbl user'!$A$2:$D1508,""SELECT A WHERE D = '""&amp;M73&amp;""'"")),""USER TIDAK DIKETAHUI""))"),"USER TIDAK DIKETAHUI")</f>
        <v>USER TIDAK DIKETAHUI</v>
      </c>
    </row>
    <row r="74">
      <c r="A74" s="23">
        <f t="shared" si="1"/>
        <v>45468.60627</v>
      </c>
      <c r="B74" s="24">
        <f t="shared" si="2"/>
        <v>71</v>
      </c>
      <c r="C74" s="35">
        <v>45112.0</v>
      </c>
      <c r="D74" s="28"/>
      <c r="E74" s="27" t="s">
        <v>25</v>
      </c>
      <c r="F74" s="27">
        <v>0.0</v>
      </c>
      <c r="G74" s="27" t="s">
        <v>211</v>
      </c>
      <c r="H74" s="27" t="s">
        <v>35</v>
      </c>
      <c r="I74" s="27" t="s">
        <v>212</v>
      </c>
      <c r="J74" s="28" t="str">
        <f>IFERROR(__xludf.DUMMYFUNCTION("iferror(if(I74="""","""",unique(query('tbl driver 2'!$K$2:$L1508,""SELECT L WHERE K = '""&amp;I74&amp;""'""))),"""")"),"")</f>
        <v/>
      </c>
      <c r="K74" s="31"/>
      <c r="L74" s="30">
        <v>0.0</v>
      </c>
      <c r="M74" s="30" t="s">
        <v>30</v>
      </c>
      <c r="N74" s="28" t="str">
        <f>IFERROR(__xludf.DUMMYFUNCTION("IF(OR(C74="""",M74=""""),"""",IFERROR(IF(M74="""","""",query('tbl user'!$A$2:$D1508,""SELECT A WHERE D = '""&amp;M74&amp;""'"")),""USER TIDAK DIKETAHUI""))"),"USER TIDAK DIKETAHUI")</f>
        <v>USER TIDAK DIKETAHUI</v>
      </c>
    </row>
    <row r="75">
      <c r="A75" s="23">
        <f t="shared" si="1"/>
        <v>45468.60627</v>
      </c>
      <c r="B75" s="24">
        <f t="shared" si="2"/>
        <v>72</v>
      </c>
      <c r="C75" s="35">
        <v>45116.0</v>
      </c>
      <c r="D75" s="28"/>
      <c r="E75" s="27" t="s">
        <v>25</v>
      </c>
      <c r="F75" s="27">
        <v>0.0</v>
      </c>
      <c r="G75" s="27"/>
      <c r="H75" s="27" t="s">
        <v>35</v>
      </c>
      <c r="I75" s="27" t="s">
        <v>213</v>
      </c>
      <c r="J75" s="28" t="str">
        <f>IFERROR(__xludf.DUMMYFUNCTION("iferror(if(I75="""","""",unique(query('tbl driver 2'!$K$2:$L1508,""SELECT L WHERE K = '""&amp;I75&amp;""'""))),"""")"),"")</f>
        <v/>
      </c>
      <c r="K75" s="31"/>
      <c r="L75" s="30">
        <v>0.0</v>
      </c>
      <c r="M75" s="30" t="s">
        <v>30</v>
      </c>
      <c r="N75" s="28" t="str">
        <f>IFERROR(__xludf.DUMMYFUNCTION("IF(OR(C75="""",M75=""""),"""",IFERROR(IF(M75="""","""",query('tbl user'!$A$2:$D1508,""SELECT A WHERE D = '""&amp;M75&amp;""'"")),""USER TIDAK DIKETAHUI""))"),"USER TIDAK DIKETAHUI")</f>
        <v>USER TIDAK DIKETAHUI</v>
      </c>
    </row>
    <row r="76">
      <c r="A76" s="23">
        <f t="shared" si="1"/>
        <v>45468.60627</v>
      </c>
      <c r="B76" s="24">
        <f t="shared" si="2"/>
        <v>73</v>
      </c>
      <c r="C76" s="35">
        <v>45123.0</v>
      </c>
      <c r="D76" s="28"/>
      <c r="E76" s="27" t="s">
        <v>99</v>
      </c>
      <c r="F76" s="27">
        <v>0.0</v>
      </c>
      <c r="G76" s="27"/>
      <c r="H76" s="27" t="s">
        <v>26</v>
      </c>
      <c r="I76" s="27" t="s">
        <v>214</v>
      </c>
      <c r="J76" s="28" t="str">
        <f>IFERROR(__xludf.DUMMYFUNCTION("iferror(if(I76="""","""",unique(query('tbl driver 2'!$K$2:$L1508,""SELECT L WHERE K = '""&amp;I76&amp;""'""))),"""")"),"")</f>
        <v/>
      </c>
      <c r="K76" s="31"/>
      <c r="L76" s="30">
        <v>0.0</v>
      </c>
      <c r="M76" s="30" t="s">
        <v>30</v>
      </c>
      <c r="N76" s="28" t="str">
        <f>IFERROR(__xludf.DUMMYFUNCTION("IF(OR(C76="""",M76=""""),"""",IFERROR(IF(M76="""","""",query('tbl user'!$A$2:$D1508,""SELECT A WHERE D = '""&amp;M76&amp;""'"")),""USER TIDAK DIKETAHUI""))"),"USER TIDAK DIKETAHUI")</f>
        <v>USER TIDAK DIKETAHUI</v>
      </c>
    </row>
    <row r="77">
      <c r="A77" s="23">
        <f t="shared" si="1"/>
        <v>45468.60627</v>
      </c>
      <c r="B77" s="24">
        <f t="shared" si="2"/>
        <v>74</v>
      </c>
      <c r="C77" s="35">
        <v>45126.0</v>
      </c>
      <c r="D77" s="28"/>
      <c r="E77" s="27" t="s">
        <v>25</v>
      </c>
      <c r="F77" s="27">
        <v>0.0</v>
      </c>
      <c r="G77" s="27" t="s">
        <v>215</v>
      </c>
      <c r="H77" s="27" t="s">
        <v>35</v>
      </c>
      <c r="I77" s="27" t="s">
        <v>216</v>
      </c>
      <c r="J77" s="28" t="str">
        <f>IFERROR(__xludf.DUMMYFUNCTION("iferror(if(I77="""","""",unique(query('tbl driver 2'!$K$2:$L1508,""SELECT L WHERE K = '""&amp;I77&amp;""'""))),"""")"),"")</f>
        <v/>
      </c>
      <c r="K77" s="31"/>
      <c r="L77" s="30">
        <v>0.0</v>
      </c>
      <c r="M77" s="30" t="s">
        <v>30</v>
      </c>
      <c r="N77" s="28" t="str">
        <f>IFERROR(__xludf.DUMMYFUNCTION("IF(OR(C77="""",M77=""""),"""",IFERROR(IF(M77="""","""",query('tbl user'!$A$2:$D1508,""SELECT A WHERE D = '""&amp;M77&amp;""'"")),""USER TIDAK DIKETAHUI""))"),"USER TIDAK DIKETAHUI")</f>
        <v>USER TIDAK DIKETAHUI</v>
      </c>
    </row>
    <row r="78">
      <c r="A78" s="23">
        <f t="shared" si="1"/>
        <v>45468.60627</v>
      </c>
      <c r="B78" s="24">
        <f t="shared" si="2"/>
        <v>75</v>
      </c>
      <c r="C78" s="35">
        <v>45136.0</v>
      </c>
      <c r="D78" s="28"/>
      <c r="E78" s="27" t="s">
        <v>99</v>
      </c>
      <c r="F78" s="27">
        <v>0.0</v>
      </c>
      <c r="G78" s="27"/>
      <c r="H78" s="27" t="s">
        <v>26</v>
      </c>
      <c r="I78" s="27" t="s">
        <v>168</v>
      </c>
      <c r="J78" s="28" t="str">
        <f>IFERROR(__xludf.DUMMYFUNCTION("iferror(if(I78="""","""",unique(query('tbl driver 2'!$K$2:$L1508,""SELECT L WHERE K = '""&amp;I78&amp;""'""))),"""")"),"")</f>
        <v/>
      </c>
      <c r="K78" s="31"/>
      <c r="L78" s="30">
        <v>0.0</v>
      </c>
      <c r="M78" s="30" t="s">
        <v>30</v>
      </c>
      <c r="N78" s="28" t="str">
        <f>IFERROR(__xludf.DUMMYFUNCTION("IF(OR(C78="""",M78=""""),"""",IFERROR(IF(M78="""","""",query('tbl user'!$A$2:$D1508,""SELECT A WHERE D = '""&amp;M78&amp;""'"")),""USER TIDAK DIKETAHUI""))"),"USER TIDAK DIKETAHUI")</f>
        <v>USER TIDAK DIKETAHUI</v>
      </c>
    </row>
    <row r="79">
      <c r="A79" s="23">
        <f t="shared" si="1"/>
        <v>45468.60627</v>
      </c>
      <c r="B79" s="24">
        <f t="shared" si="2"/>
        <v>76</v>
      </c>
      <c r="C79" s="35">
        <v>45151.0</v>
      </c>
      <c r="D79" s="28"/>
      <c r="E79" s="27" t="s">
        <v>99</v>
      </c>
      <c r="F79" s="27">
        <v>0.0</v>
      </c>
      <c r="G79" s="27"/>
      <c r="H79" s="27" t="s">
        <v>217</v>
      </c>
      <c r="I79" s="27" t="s">
        <v>218</v>
      </c>
      <c r="J79" s="28" t="str">
        <f>IFERROR(__xludf.DUMMYFUNCTION("iferror(if(I79="""","""",unique(query('tbl driver 2'!$K$2:$L1508,""SELECT L WHERE K = '""&amp;I79&amp;""'""))),"""")"),"")</f>
        <v/>
      </c>
      <c r="K79" s="31"/>
      <c r="L79" s="30">
        <v>0.0</v>
      </c>
      <c r="M79" s="30" t="s">
        <v>30</v>
      </c>
      <c r="N79" s="28" t="str">
        <f>IFERROR(__xludf.DUMMYFUNCTION("IF(OR(C79="""",M79=""""),"""",IFERROR(IF(M79="""","""",query('tbl user'!$A$2:$D1508,""SELECT A WHERE D = '""&amp;M79&amp;""'"")),""USER TIDAK DIKETAHUI""))"),"USER TIDAK DIKETAHUI")</f>
        <v>USER TIDAK DIKETAHUI</v>
      </c>
    </row>
    <row r="80">
      <c r="A80" s="23">
        <f t="shared" si="1"/>
        <v>45468.60627</v>
      </c>
      <c r="B80" s="24">
        <f t="shared" si="2"/>
        <v>77</v>
      </c>
      <c r="C80" s="35">
        <v>45161.0</v>
      </c>
      <c r="D80" s="28"/>
      <c r="E80" s="27" t="s">
        <v>25</v>
      </c>
      <c r="F80" s="27">
        <v>0.0</v>
      </c>
      <c r="G80" s="27" t="s">
        <v>219</v>
      </c>
      <c r="H80" s="27" t="s">
        <v>35</v>
      </c>
      <c r="I80" s="27" t="s">
        <v>220</v>
      </c>
      <c r="J80" s="28" t="str">
        <f>IFERROR(__xludf.DUMMYFUNCTION("iferror(if(I80="""","""",unique(query('tbl driver 2'!$K$2:$L1508,""SELECT L WHERE K = '""&amp;I80&amp;""'""))),"""")"),"")</f>
        <v/>
      </c>
      <c r="K80" s="31"/>
      <c r="L80" s="30">
        <v>0.0</v>
      </c>
      <c r="M80" s="30" t="s">
        <v>30</v>
      </c>
      <c r="N80" s="28" t="str">
        <f>IFERROR(__xludf.DUMMYFUNCTION("IF(OR(C80="""",M80=""""),"""",IFERROR(IF(M80="""","""",query('tbl user'!$A$2:$D1508,""SELECT A WHERE D = '""&amp;M80&amp;""'"")),""USER TIDAK DIKETAHUI""))"),"USER TIDAK DIKETAHUI")</f>
        <v>USER TIDAK DIKETAHUI</v>
      </c>
    </row>
    <row r="81">
      <c r="A81" s="23">
        <f t="shared" si="1"/>
        <v>45468.60627</v>
      </c>
      <c r="B81" s="24">
        <f t="shared" si="2"/>
        <v>78</v>
      </c>
      <c r="C81" s="35">
        <v>45161.0</v>
      </c>
      <c r="D81" s="28"/>
      <c r="E81" s="27" t="s">
        <v>25</v>
      </c>
      <c r="F81" s="27">
        <v>0.0</v>
      </c>
      <c r="G81" s="27" t="s">
        <v>221</v>
      </c>
      <c r="H81" s="27" t="s">
        <v>35</v>
      </c>
      <c r="I81" s="27" t="s">
        <v>222</v>
      </c>
      <c r="J81" s="28" t="str">
        <f>IFERROR(__xludf.DUMMYFUNCTION("iferror(if(I81="""","""",unique(query('tbl driver 2'!$K$2:$L1508,""SELECT L WHERE K = '""&amp;I81&amp;""'""))),"""")"),"")</f>
        <v/>
      </c>
      <c r="K81" s="31"/>
      <c r="L81" s="30">
        <v>0.0</v>
      </c>
      <c r="M81" s="30" t="s">
        <v>30</v>
      </c>
      <c r="N81" s="28" t="str">
        <f>IFERROR(__xludf.DUMMYFUNCTION("IF(OR(C81="""",M81=""""),"""",IFERROR(IF(M81="""","""",query('tbl user'!$A$2:$D1508,""SELECT A WHERE D = '""&amp;M81&amp;""'"")),""USER TIDAK DIKETAHUI""))"),"USER TIDAK DIKETAHUI")</f>
        <v>USER TIDAK DIKETAHUI</v>
      </c>
    </row>
    <row r="82">
      <c r="A82" s="23"/>
      <c r="B82" s="24"/>
      <c r="C82" s="35">
        <v>45181.0</v>
      </c>
      <c r="D82" s="28"/>
      <c r="E82" s="27" t="s">
        <v>25</v>
      </c>
      <c r="F82" s="27">
        <v>0.0</v>
      </c>
      <c r="G82" s="27" t="s">
        <v>223</v>
      </c>
      <c r="H82" s="27" t="s">
        <v>35</v>
      </c>
      <c r="I82" s="27" t="s">
        <v>224</v>
      </c>
      <c r="J82" s="28"/>
      <c r="K82" s="31"/>
      <c r="L82" s="30"/>
      <c r="M82" s="39"/>
      <c r="N82" s="28"/>
    </row>
    <row r="83">
      <c r="A83" s="23">
        <f t="shared" ref="A83:A1002" si="3">IF(C83="","",IF(A83="",NOW(), A83))</f>
        <v>45468.60627</v>
      </c>
      <c r="B83" s="24">
        <f>if(C83="","",B81+1)</f>
        <v>79</v>
      </c>
      <c r="C83" s="35">
        <v>45183.0</v>
      </c>
      <c r="D83" s="28"/>
      <c r="E83" s="27" t="s">
        <v>25</v>
      </c>
      <c r="F83" s="27">
        <v>0.0</v>
      </c>
      <c r="G83" s="27" t="s">
        <v>225</v>
      </c>
      <c r="H83" s="27" t="s">
        <v>62</v>
      </c>
      <c r="I83" s="27" t="s">
        <v>226</v>
      </c>
      <c r="J83" s="28" t="str">
        <f>IFERROR(__xludf.DUMMYFUNCTION("iferror(if(I83="""","""",unique(query('tbl driver 2'!$K$2:$L1508,""SELECT L WHERE K = '""&amp;I83&amp;""'""))),"""")"),"")</f>
        <v/>
      </c>
      <c r="K83" s="31"/>
      <c r="L83" s="30">
        <v>0.0</v>
      </c>
      <c r="M83" s="30" t="s">
        <v>30</v>
      </c>
      <c r="N83" s="28" t="str">
        <f>IFERROR(__xludf.DUMMYFUNCTION("IF(OR(C83="""",M83=""""),"""",IFERROR(IF(M83="""","""",query('tbl user'!$A$2:$D1508,""SELECT A WHERE D = '""&amp;M83&amp;""'"")),""USER TIDAK DIKETAHUI""))"),"USER TIDAK DIKETAHUI")</f>
        <v>USER TIDAK DIKETAHUI</v>
      </c>
    </row>
    <row r="84">
      <c r="A84" s="23">
        <f t="shared" si="3"/>
        <v>45468.60627</v>
      </c>
      <c r="B84" s="24">
        <f t="shared" ref="B84:B1508" si="4">if(C84="","",B83+1)</f>
        <v>80</v>
      </c>
      <c r="C84" s="35">
        <v>45186.0</v>
      </c>
      <c r="D84" s="28"/>
      <c r="E84" s="27" t="s">
        <v>25</v>
      </c>
      <c r="F84" s="27">
        <v>0.0</v>
      </c>
      <c r="G84" s="27" t="s">
        <v>227</v>
      </c>
      <c r="H84" s="27" t="s">
        <v>35</v>
      </c>
      <c r="I84" s="27" t="s">
        <v>228</v>
      </c>
      <c r="J84" s="28" t="str">
        <f>IFERROR(__xludf.DUMMYFUNCTION("iferror(if(I84="""","""",unique(query('tbl driver 2'!$K$2:$L1508,""SELECT L WHERE K = '""&amp;I84&amp;""'""))),"""")"),"")</f>
        <v/>
      </c>
      <c r="K84" s="31"/>
      <c r="L84" s="30">
        <v>0.0</v>
      </c>
      <c r="M84" s="30" t="s">
        <v>30</v>
      </c>
      <c r="N84" s="28" t="str">
        <f>IFERROR(__xludf.DUMMYFUNCTION("IF(OR(C84="""",M84=""""),"""",IFERROR(IF(M84="""","""",query('tbl user'!$A$2:$D1508,""SELECT A WHERE D = '""&amp;M84&amp;""'"")),""USER TIDAK DIKETAHUI""))"),"USER TIDAK DIKETAHUI")</f>
        <v>USER TIDAK DIKETAHUI</v>
      </c>
    </row>
    <row r="85">
      <c r="A85" s="23">
        <f t="shared" si="3"/>
        <v>45468.60627</v>
      </c>
      <c r="B85" s="24">
        <f t="shared" si="4"/>
        <v>81</v>
      </c>
      <c r="C85" s="35">
        <v>45189.0</v>
      </c>
      <c r="D85" s="28"/>
      <c r="E85" s="27" t="s">
        <v>99</v>
      </c>
      <c r="F85" s="27">
        <v>0.0</v>
      </c>
      <c r="G85" s="27"/>
      <c r="H85" s="27" t="s">
        <v>26</v>
      </c>
      <c r="I85" s="27" t="s">
        <v>229</v>
      </c>
      <c r="J85" s="28" t="str">
        <f>IFERROR(__xludf.DUMMYFUNCTION("iferror(if(I85="""","""",unique(query('tbl driver 2'!$K$2:$L1508,""SELECT L WHERE K = '""&amp;I85&amp;""'""))),"""")"),"")</f>
        <v/>
      </c>
      <c r="K85" s="31"/>
      <c r="L85" s="30">
        <v>0.0</v>
      </c>
      <c r="M85" s="30" t="s">
        <v>30</v>
      </c>
      <c r="N85" s="28" t="str">
        <f>IFERROR(__xludf.DUMMYFUNCTION("IF(OR(C85="""",M85=""""),"""",IFERROR(IF(M85="""","""",query('tbl user'!$A$2:$D1508,""SELECT A WHERE D = '""&amp;M85&amp;""'"")),""USER TIDAK DIKETAHUI""))"),"USER TIDAK DIKETAHUI")</f>
        <v>USER TIDAK DIKETAHUI</v>
      </c>
    </row>
    <row r="86">
      <c r="A86" s="23">
        <f t="shared" si="3"/>
        <v>45468.60627</v>
      </c>
      <c r="B86" s="24">
        <f t="shared" si="4"/>
        <v>82</v>
      </c>
      <c r="C86" s="35">
        <v>45190.0</v>
      </c>
      <c r="D86" s="28"/>
      <c r="E86" s="27" t="s">
        <v>25</v>
      </c>
      <c r="F86" s="27">
        <v>0.0</v>
      </c>
      <c r="G86" s="27" t="s">
        <v>230</v>
      </c>
      <c r="H86" s="27" t="s">
        <v>35</v>
      </c>
      <c r="I86" s="27" t="s">
        <v>231</v>
      </c>
      <c r="J86" s="28" t="str">
        <f>IFERROR(__xludf.DUMMYFUNCTION("iferror(if(I86="""","""",unique(query('tbl driver 2'!$K$2:$L1508,""SELECT L WHERE K = '""&amp;I86&amp;""'""))),"""")"),"")</f>
        <v/>
      </c>
      <c r="K86" s="31"/>
      <c r="L86" s="30">
        <v>0.0</v>
      </c>
      <c r="M86" s="30" t="s">
        <v>30</v>
      </c>
      <c r="N86" s="28" t="str">
        <f>IFERROR(__xludf.DUMMYFUNCTION("IF(OR(C86="""",M86=""""),"""",IFERROR(IF(M86="""","""",query('tbl user'!$A$2:$D1508,""SELECT A WHERE D = '""&amp;M86&amp;""'"")),""USER TIDAK DIKETAHUI""))"),"USER TIDAK DIKETAHUI")</f>
        <v>USER TIDAK DIKETAHUI</v>
      </c>
    </row>
    <row r="87">
      <c r="A87" s="23">
        <f t="shared" si="3"/>
        <v>45468.60627</v>
      </c>
      <c r="B87" s="24">
        <f t="shared" si="4"/>
        <v>83</v>
      </c>
      <c r="C87" s="35">
        <v>45197.0</v>
      </c>
      <c r="D87" s="28"/>
      <c r="E87" s="27" t="s">
        <v>25</v>
      </c>
      <c r="F87" s="27">
        <v>0.0</v>
      </c>
      <c r="G87" s="27" t="s">
        <v>232</v>
      </c>
      <c r="H87" s="27" t="s">
        <v>35</v>
      </c>
      <c r="I87" s="27" t="s">
        <v>233</v>
      </c>
      <c r="J87" s="28" t="str">
        <f>IFERROR(__xludf.DUMMYFUNCTION("iferror(if(I87="""","""",unique(query('tbl driver 2'!$K$2:$L1508,""SELECT L WHERE K = '""&amp;I87&amp;""'""))),"""")"),"")</f>
        <v/>
      </c>
      <c r="K87" s="31"/>
      <c r="L87" s="30">
        <v>0.0</v>
      </c>
      <c r="M87" s="30" t="s">
        <v>30</v>
      </c>
      <c r="N87" s="28" t="str">
        <f>IFERROR(__xludf.DUMMYFUNCTION("IF(OR(C87="""",M87=""""),"""",IFERROR(IF(M87="""","""",query('tbl user'!$A$2:$D1508,""SELECT A WHERE D = '""&amp;M87&amp;""'"")),""USER TIDAK DIKETAHUI""))"),"USER TIDAK DIKETAHUI")</f>
        <v>USER TIDAK DIKETAHUI</v>
      </c>
    </row>
    <row r="88">
      <c r="A88" s="23">
        <f t="shared" si="3"/>
        <v>45468.60627</v>
      </c>
      <c r="B88" s="24">
        <f t="shared" si="4"/>
        <v>84</v>
      </c>
      <c r="C88" s="35">
        <v>45199.0</v>
      </c>
      <c r="D88" s="28"/>
      <c r="E88" s="27" t="s">
        <v>99</v>
      </c>
      <c r="F88" s="27">
        <v>0.0</v>
      </c>
      <c r="G88" s="27"/>
      <c r="H88" s="27" t="s">
        <v>26</v>
      </c>
      <c r="I88" s="27" t="s">
        <v>234</v>
      </c>
      <c r="J88" s="28" t="str">
        <f>IFERROR(__xludf.DUMMYFUNCTION("iferror(if(I88="""","""",unique(query('tbl driver 2'!$K$2:$L1508,""SELECT L WHERE K = '""&amp;I88&amp;""'""))),"""")"),"")</f>
        <v/>
      </c>
      <c r="K88" s="31"/>
      <c r="L88" s="30">
        <v>0.0</v>
      </c>
      <c r="M88" s="30" t="s">
        <v>30</v>
      </c>
      <c r="N88" s="28" t="str">
        <f>IFERROR(__xludf.DUMMYFUNCTION("IF(OR(C88="""",M88=""""),"""",IFERROR(IF(M88="""","""",query('tbl user'!$A$2:$D1508,""SELECT A WHERE D = '""&amp;M88&amp;""'"")),""USER TIDAK DIKETAHUI""))"),"USER TIDAK DIKETAHUI")</f>
        <v>USER TIDAK DIKETAHUI</v>
      </c>
    </row>
    <row r="89">
      <c r="A89" s="23">
        <f t="shared" si="3"/>
        <v>45468.60627</v>
      </c>
      <c r="B89" s="24">
        <f t="shared" si="4"/>
        <v>85</v>
      </c>
      <c r="C89" s="35">
        <v>45202.0</v>
      </c>
      <c r="D89" s="28"/>
      <c r="E89" s="27" t="s">
        <v>25</v>
      </c>
      <c r="F89" s="27">
        <v>0.0</v>
      </c>
      <c r="G89" s="27" t="s">
        <v>235</v>
      </c>
      <c r="H89" s="27" t="s">
        <v>62</v>
      </c>
      <c r="I89" s="27" t="s">
        <v>236</v>
      </c>
      <c r="J89" s="28" t="str">
        <f>IFERROR(__xludf.DUMMYFUNCTION("iferror(if(I89="""","""",unique(query('tbl driver 2'!$K$2:$L1508,""SELECT L WHERE K = '""&amp;I89&amp;""'""))),"""")"),"")</f>
        <v/>
      </c>
      <c r="K89" s="31"/>
      <c r="L89" s="30">
        <v>0.0</v>
      </c>
      <c r="M89" s="30" t="s">
        <v>30</v>
      </c>
      <c r="N89" s="28" t="str">
        <f>IFERROR(__xludf.DUMMYFUNCTION("IF(OR(C89="""",M89=""""),"""",IFERROR(IF(M89="""","""",query('tbl user'!$A$2:$D1508,""SELECT A WHERE D = '""&amp;M89&amp;""'"")),""USER TIDAK DIKETAHUI""))"),"USER TIDAK DIKETAHUI")</f>
        <v>USER TIDAK DIKETAHUI</v>
      </c>
    </row>
    <row r="90">
      <c r="A90" s="23">
        <f t="shared" si="3"/>
        <v>45468.60627</v>
      </c>
      <c r="B90" s="24">
        <f t="shared" si="4"/>
        <v>86</v>
      </c>
      <c r="C90" s="35">
        <v>45205.0</v>
      </c>
      <c r="D90" s="28"/>
      <c r="E90" s="27" t="s">
        <v>25</v>
      </c>
      <c r="F90" s="27">
        <v>0.0</v>
      </c>
      <c r="G90" s="27" t="s">
        <v>237</v>
      </c>
      <c r="H90" s="27" t="s">
        <v>35</v>
      </c>
      <c r="I90" s="27" t="s">
        <v>238</v>
      </c>
      <c r="J90" s="28" t="str">
        <f>IFERROR(__xludf.DUMMYFUNCTION("iferror(if(I90="""","""",unique(query('tbl driver 2'!$K$2:$L1508,""SELECT L WHERE K = '""&amp;I90&amp;""'""))),"""")"),"")</f>
        <v/>
      </c>
      <c r="K90" s="31"/>
      <c r="L90" s="30">
        <v>0.0</v>
      </c>
      <c r="M90" s="30" t="s">
        <v>30</v>
      </c>
      <c r="N90" s="28" t="str">
        <f>IFERROR(__xludf.DUMMYFUNCTION("IF(OR(C90="""",M90=""""),"""",IFERROR(IF(M90="""","""",query('tbl user'!$A$2:$D1508,""SELECT A WHERE D = '""&amp;M90&amp;""'"")),""USER TIDAK DIKETAHUI""))"),"USER TIDAK DIKETAHUI")</f>
        <v>USER TIDAK DIKETAHUI</v>
      </c>
    </row>
    <row r="91">
      <c r="A91" s="23">
        <f t="shared" si="3"/>
        <v>45468.60627</v>
      </c>
      <c r="B91" s="24">
        <f t="shared" si="4"/>
        <v>87</v>
      </c>
      <c r="C91" s="40">
        <v>45213.0</v>
      </c>
      <c r="D91" s="28"/>
      <c r="E91" s="27" t="s">
        <v>25</v>
      </c>
      <c r="F91" s="27">
        <v>0.0</v>
      </c>
      <c r="G91" s="27" t="s">
        <v>239</v>
      </c>
      <c r="H91" s="27" t="s">
        <v>62</v>
      </c>
      <c r="I91" s="27" t="s">
        <v>240</v>
      </c>
      <c r="J91" s="28" t="str">
        <f>IFERROR(__xludf.DUMMYFUNCTION("iferror(if(I91="""","""",unique(query('tbl driver 2'!$K$2:$L1508,""SELECT L WHERE K = '""&amp;I91&amp;""'""))),"""")"),"")</f>
        <v/>
      </c>
      <c r="K91" s="31"/>
      <c r="L91" s="30">
        <v>0.0</v>
      </c>
      <c r="M91" s="30" t="s">
        <v>30</v>
      </c>
      <c r="N91" s="28" t="str">
        <f>IFERROR(__xludf.DUMMYFUNCTION("IF(OR(C91="""",M91=""""),"""",IFERROR(IF(M91="""","""",query('tbl user'!$A$2:$D1508,""SELECT A WHERE D = '""&amp;M91&amp;""'"")),""USER TIDAK DIKETAHUI""))"),"USER TIDAK DIKETAHUI")</f>
        <v>USER TIDAK DIKETAHUI</v>
      </c>
    </row>
    <row r="92">
      <c r="A92" s="23">
        <f t="shared" si="3"/>
        <v>45468.60627</v>
      </c>
      <c r="B92" s="24">
        <f t="shared" si="4"/>
        <v>88</v>
      </c>
      <c r="C92" s="40">
        <v>45217.0</v>
      </c>
      <c r="D92" s="28"/>
      <c r="E92" s="27" t="s">
        <v>25</v>
      </c>
      <c r="F92" s="27">
        <v>0.0</v>
      </c>
      <c r="G92" s="27" t="s">
        <v>141</v>
      </c>
      <c r="H92" s="27" t="s">
        <v>35</v>
      </c>
      <c r="I92" s="27" t="s">
        <v>193</v>
      </c>
      <c r="J92" s="26">
        <v>1.0</v>
      </c>
      <c r="K92" s="31"/>
      <c r="L92" s="30">
        <v>0.0</v>
      </c>
      <c r="M92" s="30" t="s">
        <v>30</v>
      </c>
      <c r="N92" s="28" t="str">
        <f>IFERROR(__xludf.DUMMYFUNCTION("IF(OR(C92="""",M92=""""),"""",IFERROR(IF(M92="""","""",query('tbl user'!$A$2:$D1508,""SELECT A WHERE D = '""&amp;M92&amp;""'"")),""USER TIDAK DIKETAHUI""))"),"USER TIDAK DIKETAHUI")</f>
        <v>USER TIDAK DIKETAHUI</v>
      </c>
    </row>
    <row r="93">
      <c r="A93" s="23">
        <f t="shared" si="3"/>
        <v>45468.60627</v>
      </c>
      <c r="B93" s="24">
        <f t="shared" si="4"/>
        <v>89</v>
      </c>
      <c r="C93" s="40">
        <v>45217.0</v>
      </c>
      <c r="D93" s="28"/>
      <c r="E93" s="27" t="s">
        <v>25</v>
      </c>
      <c r="F93" s="27">
        <v>0.0</v>
      </c>
      <c r="G93" s="27" t="s">
        <v>241</v>
      </c>
      <c r="H93" s="27" t="s">
        <v>35</v>
      </c>
      <c r="I93" s="27" t="s">
        <v>242</v>
      </c>
      <c r="J93" s="28" t="str">
        <f>IFERROR(__xludf.DUMMYFUNCTION("iferror(if(I93="""","""",unique(query('tbl driver 2'!$K$2:$L1508,""SELECT L WHERE K = '""&amp;I93&amp;""'""))),"""")"),"")</f>
        <v/>
      </c>
      <c r="K93" s="31"/>
      <c r="L93" s="30">
        <v>0.0</v>
      </c>
      <c r="M93" s="30" t="s">
        <v>30</v>
      </c>
      <c r="N93" s="28" t="str">
        <f>IFERROR(__xludf.DUMMYFUNCTION("IF(OR(C93="""",M93=""""),"""",IFERROR(IF(M93="""","""",query('tbl user'!$A$2:$D1508,""SELECT A WHERE D = '""&amp;M93&amp;""'"")),""USER TIDAK DIKETAHUI""))"),"USER TIDAK DIKETAHUI")</f>
        <v>USER TIDAK DIKETAHUI</v>
      </c>
    </row>
    <row r="94">
      <c r="A94" s="23">
        <f t="shared" si="3"/>
        <v>45468.60627</v>
      </c>
      <c r="B94" s="24">
        <f t="shared" si="4"/>
        <v>90</v>
      </c>
      <c r="C94" s="40">
        <v>45219.0</v>
      </c>
      <c r="D94" s="28"/>
      <c r="E94" s="27" t="s">
        <v>25</v>
      </c>
      <c r="F94" s="27">
        <v>0.0</v>
      </c>
      <c r="G94" s="27" t="s">
        <v>243</v>
      </c>
      <c r="H94" s="27" t="s">
        <v>35</v>
      </c>
      <c r="I94" s="27" t="s">
        <v>152</v>
      </c>
      <c r="J94" s="28" t="str">
        <f>IFERROR(__xludf.DUMMYFUNCTION("iferror(if(I94="""","""",unique(query('tbl driver 2'!$K$2:$L1508,""SELECT L WHERE K = '""&amp;I94&amp;""'""))),"""")"),"")</f>
        <v/>
      </c>
      <c r="K94" s="31"/>
      <c r="L94" s="30">
        <v>0.0</v>
      </c>
      <c r="M94" s="30" t="s">
        <v>30</v>
      </c>
      <c r="N94" s="28" t="str">
        <f>IFERROR(__xludf.DUMMYFUNCTION("IF(OR(C94="""",M94=""""),"""",IFERROR(IF(M94="""","""",query('tbl user'!$A$2:$D1508,""SELECT A WHERE D = '""&amp;M94&amp;""'"")),""USER TIDAK DIKETAHUI""))"),"USER TIDAK DIKETAHUI")</f>
        <v>USER TIDAK DIKETAHUI</v>
      </c>
    </row>
    <row r="95">
      <c r="A95" s="23">
        <f t="shared" si="3"/>
        <v>45468.60627</v>
      </c>
      <c r="B95" s="24">
        <f t="shared" si="4"/>
        <v>91</v>
      </c>
      <c r="C95" s="35">
        <v>45235.0</v>
      </c>
      <c r="D95" s="28"/>
      <c r="E95" s="27" t="s">
        <v>25</v>
      </c>
      <c r="F95" s="27">
        <v>0.0</v>
      </c>
      <c r="G95" s="27" t="s">
        <v>244</v>
      </c>
      <c r="H95" s="27" t="s">
        <v>35</v>
      </c>
      <c r="I95" s="27" t="s">
        <v>116</v>
      </c>
      <c r="J95" s="28" t="str">
        <f>IFERROR(__xludf.DUMMYFUNCTION("iferror(if(I95="""","""",unique(query('tbl driver 2'!$K$2:$L1508,""SELECT L WHERE K = '""&amp;I95&amp;""'""))),"""")"),"")</f>
        <v/>
      </c>
      <c r="K95" s="31"/>
      <c r="L95" s="30">
        <v>0.0</v>
      </c>
      <c r="M95" s="30" t="s">
        <v>30</v>
      </c>
      <c r="N95" s="28" t="str">
        <f>IFERROR(__xludf.DUMMYFUNCTION("IF(OR(C95="""",M95=""""),"""",IFERROR(IF(M95="""","""",query('tbl user'!$A$2:$D1508,""SELECT A WHERE D = '""&amp;M95&amp;""'"")),""USER TIDAK DIKETAHUI""))"),"USER TIDAK DIKETAHUI")</f>
        <v>USER TIDAK DIKETAHUI</v>
      </c>
    </row>
    <row r="96">
      <c r="A96" s="23">
        <f t="shared" si="3"/>
        <v>45468.60627</v>
      </c>
      <c r="B96" s="24">
        <f t="shared" si="4"/>
        <v>92</v>
      </c>
      <c r="C96" s="40">
        <v>45247.0</v>
      </c>
      <c r="D96" s="28"/>
      <c r="E96" s="27" t="s">
        <v>25</v>
      </c>
      <c r="F96" s="27">
        <v>0.0</v>
      </c>
      <c r="G96" s="27" t="s">
        <v>232</v>
      </c>
      <c r="H96" s="27" t="s">
        <v>35</v>
      </c>
      <c r="I96" s="27" t="s">
        <v>233</v>
      </c>
      <c r="J96" s="28" t="str">
        <f>IFERROR(__xludf.DUMMYFUNCTION("iferror(if(I96="""","""",unique(query('tbl driver 2'!$K$2:$L1508,""SELECT L WHERE K = '""&amp;I96&amp;""'""))),"""")"),"")</f>
        <v/>
      </c>
      <c r="K96" s="31"/>
      <c r="L96" s="30">
        <v>0.0</v>
      </c>
      <c r="M96" s="30" t="s">
        <v>30</v>
      </c>
      <c r="N96" s="28" t="str">
        <f>IFERROR(__xludf.DUMMYFUNCTION("IF(OR(C96="""",M96=""""),"""",IFERROR(IF(M96="""","""",query('tbl user'!$A$2:$D1508,""SELECT A WHERE D = '""&amp;M96&amp;""'"")),""USER TIDAK DIKETAHUI""))"),"USER TIDAK DIKETAHUI")</f>
        <v>USER TIDAK DIKETAHUI</v>
      </c>
    </row>
    <row r="97">
      <c r="A97" s="23">
        <f t="shared" si="3"/>
        <v>45468.60627</v>
      </c>
      <c r="B97" s="24">
        <f t="shared" si="4"/>
        <v>93</v>
      </c>
      <c r="C97" s="40">
        <v>45248.0</v>
      </c>
      <c r="D97" s="28"/>
      <c r="E97" s="27" t="s">
        <v>99</v>
      </c>
      <c r="F97" s="27">
        <v>0.0</v>
      </c>
      <c r="G97" s="27"/>
      <c r="H97" s="27" t="s">
        <v>35</v>
      </c>
      <c r="I97" s="27" t="s">
        <v>245</v>
      </c>
      <c r="J97" s="28" t="str">
        <f>IFERROR(__xludf.DUMMYFUNCTION("iferror(if(I97="""","""",unique(query('tbl driver 2'!$K$2:$L1508,""SELECT L WHERE K = '""&amp;I97&amp;""'""))),"""")"),"")</f>
        <v/>
      </c>
      <c r="K97" s="31"/>
      <c r="L97" s="30">
        <v>0.0</v>
      </c>
      <c r="M97" s="30" t="s">
        <v>30</v>
      </c>
      <c r="N97" s="28" t="str">
        <f>IFERROR(__xludf.DUMMYFUNCTION("IF(OR(C97="""",M97=""""),"""",IFERROR(IF(M97="""","""",query('tbl user'!$A$2:$D1508,""SELECT A WHERE D = '""&amp;M97&amp;""'"")),""USER TIDAK DIKETAHUI""))"),"USER TIDAK DIKETAHUI")</f>
        <v>USER TIDAK DIKETAHUI</v>
      </c>
    </row>
    <row r="98">
      <c r="A98" s="23">
        <f t="shared" si="3"/>
        <v>45468.60627</v>
      </c>
      <c r="B98" s="24">
        <f t="shared" si="4"/>
        <v>94</v>
      </c>
      <c r="C98" s="35">
        <v>45262.0</v>
      </c>
      <c r="D98" s="28"/>
      <c r="E98" s="27" t="s">
        <v>25</v>
      </c>
      <c r="F98" s="27">
        <v>0.0</v>
      </c>
      <c r="G98" s="27" t="s">
        <v>246</v>
      </c>
      <c r="H98" s="27" t="s">
        <v>35</v>
      </c>
      <c r="I98" s="27" t="s">
        <v>247</v>
      </c>
      <c r="J98" s="28" t="str">
        <f>IFERROR(__xludf.DUMMYFUNCTION("iferror(if(I98="""","""",unique(query('tbl driver 2'!$K$2:$L1508,""SELECT L WHERE K = '""&amp;I98&amp;""'""))),"""")"),"")</f>
        <v/>
      </c>
      <c r="K98" s="31"/>
      <c r="L98" s="30">
        <v>0.0</v>
      </c>
      <c r="M98" s="30" t="s">
        <v>30</v>
      </c>
      <c r="N98" s="28" t="str">
        <f>IFERROR(__xludf.DUMMYFUNCTION("IF(OR(C98="""",M98=""""),"""",IFERROR(IF(M98="""","""",query('tbl user'!$A$2:$D1508,""SELECT A WHERE D = '""&amp;M98&amp;""'"")),""USER TIDAK DIKETAHUI""))"),"USER TIDAK DIKETAHUI")</f>
        <v>USER TIDAK DIKETAHUI</v>
      </c>
    </row>
    <row r="99">
      <c r="A99" s="23">
        <f t="shared" si="3"/>
        <v>45468.60627</v>
      </c>
      <c r="B99" s="24">
        <f t="shared" si="4"/>
        <v>95</v>
      </c>
      <c r="C99" s="35">
        <v>45266.0</v>
      </c>
      <c r="D99" s="28"/>
      <c r="E99" s="27" t="s">
        <v>25</v>
      </c>
      <c r="F99" s="27">
        <v>0.0</v>
      </c>
      <c r="G99" s="27" t="s">
        <v>248</v>
      </c>
      <c r="H99" s="27" t="s">
        <v>35</v>
      </c>
      <c r="I99" s="27" t="s">
        <v>176</v>
      </c>
      <c r="J99" s="28" t="str">
        <f>IFERROR(__xludf.DUMMYFUNCTION("iferror(if(I99="""","""",unique(query('tbl driver 2'!$K$2:$L1508,""SELECT L WHERE K = '""&amp;I99&amp;""'""))),"""")"),"")</f>
        <v/>
      </c>
      <c r="K99" s="31"/>
      <c r="L99" s="39"/>
      <c r="M99" s="30" t="s">
        <v>30</v>
      </c>
      <c r="N99" s="28" t="str">
        <f>IFERROR(__xludf.DUMMYFUNCTION("IF(OR(C99="""",M99=""""),"""",IFERROR(IF(M99="""","""",query('tbl user'!$A$2:$D1508,""SELECT A WHERE D = '""&amp;M99&amp;""'"")),""USER TIDAK DIKETAHUI""))"),"USER TIDAK DIKETAHUI")</f>
        <v>USER TIDAK DIKETAHUI</v>
      </c>
    </row>
    <row r="100">
      <c r="A100" s="23">
        <f t="shared" si="3"/>
        <v>45468.60627</v>
      </c>
      <c r="B100" s="24">
        <f t="shared" si="4"/>
        <v>96</v>
      </c>
      <c r="C100" s="35">
        <v>45267.0</v>
      </c>
      <c r="D100" s="28"/>
      <c r="E100" s="27" t="s">
        <v>25</v>
      </c>
      <c r="F100" s="27">
        <v>0.0</v>
      </c>
      <c r="G100" s="27" t="s">
        <v>249</v>
      </c>
      <c r="H100" s="27" t="s">
        <v>35</v>
      </c>
      <c r="I100" s="27" t="s">
        <v>142</v>
      </c>
      <c r="J100" s="28" t="str">
        <f>IFERROR(__xludf.DUMMYFUNCTION("iferror(if(I100="""","""",unique(query('tbl driver 2'!$K$2:$L1508,""SELECT L WHERE K = '""&amp;I100&amp;""'""))),"""")"),"")</f>
        <v/>
      </c>
      <c r="K100" s="31"/>
      <c r="L100" s="39"/>
      <c r="M100" s="30" t="s">
        <v>30</v>
      </c>
      <c r="N100" s="28" t="str">
        <f>IFERROR(__xludf.DUMMYFUNCTION("IF(OR(C100="""",M100=""""),"""",IFERROR(IF(M100="""","""",query('tbl user'!$A$2:$D1508,""SELECT A WHERE D = '""&amp;M100&amp;""'"")),""USER TIDAK DIKETAHUI""))"),"USER TIDAK DIKETAHUI")</f>
        <v>USER TIDAK DIKETAHUI</v>
      </c>
    </row>
    <row r="101">
      <c r="A101" s="23" t="str">
        <f t="shared" si="3"/>
        <v/>
      </c>
      <c r="B101" s="24" t="str">
        <f t="shared" si="4"/>
        <v/>
      </c>
      <c r="C101" s="28"/>
      <c r="D101" s="28"/>
      <c r="E101" s="27" t="s">
        <v>25</v>
      </c>
      <c r="F101" s="27">
        <v>0.0</v>
      </c>
      <c r="G101" s="27" t="s">
        <v>250</v>
      </c>
      <c r="H101" s="27" t="s">
        <v>35</v>
      </c>
      <c r="I101" s="27" t="s">
        <v>251</v>
      </c>
      <c r="J101" s="28" t="str">
        <f>IFERROR(__xludf.DUMMYFUNCTION("iferror(if(I101="""","""",unique(query('tbl driver 2'!$K$2:$L1508,""SELECT L WHERE K = '""&amp;I101&amp;""'""))),"""")"),"")</f>
        <v/>
      </c>
      <c r="K101" s="31"/>
      <c r="L101" s="39"/>
      <c r="M101" s="39"/>
      <c r="N101" s="28" t="str">
        <f>IFERROR(__xludf.DUMMYFUNCTION("IF(OR(C101="""",M101=""""),"""",IFERROR(IF(M101="""","""",query('tbl user'!$A$2:$D1508,""SELECT A WHERE D = '""&amp;M101&amp;""'"")),""USER TIDAK DIKETAHUI""))"),"")</f>
        <v/>
      </c>
    </row>
    <row r="102">
      <c r="A102" s="23" t="str">
        <f t="shared" si="3"/>
        <v/>
      </c>
      <c r="B102" s="24" t="str">
        <f t="shared" si="4"/>
        <v/>
      </c>
      <c r="C102" s="28"/>
      <c r="D102" s="28"/>
      <c r="E102" s="27" t="s">
        <v>25</v>
      </c>
      <c r="F102" s="27">
        <v>0.0</v>
      </c>
      <c r="G102" s="27" t="s">
        <v>252</v>
      </c>
      <c r="H102" s="27" t="s">
        <v>35</v>
      </c>
      <c r="I102" s="27" t="s">
        <v>253</v>
      </c>
      <c r="J102" s="28" t="str">
        <f>IFERROR(__xludf.DUMMYFUNCTION("iferror(if(I102="""","""",unique(query('tbl driver 2'!$K$2:$L1508,""SELECT L WHERE K = '""&amp;I102&amp;""'""))),"""")"),"")</f>
        <v/>
      </c>
      <c r="K102" s="31"/>
      <c r="L102" s="39"/>
      <c r="M102" s="39"/>
      <c r="N102" s="28" t="str">
        <f>IFERROR(__xludf.DUMMYFUNCTION("IF(OR(C102="""",M102=""""),"""",IFERROR(IF(M102="""","""",query('tbl user'!$A$2:$D1508,""SELECT A WHERE D = '""&amp;M102&amp;""'"")),""USER TIDAK DIKETAHUI""))"),"")</f>
        <v/>
      </c>
    </row>
    <row r="103">
      <c r="A103" s="23" t="str">
        <f t="shared" si="3"/>
        <v/>
      </c>
      <c r="B103" s="24" t="str">
        <f t="shared" si="4"/>
        <v/>
      </c>
      <c r="C103" s="28"/>
      <c r="D103" s="28"/>
      <c r="E103" s="34"/>
      <c r="F103" s="34"/>
      <c r="G103" s="34"/>
      <c r="H103" s="34"/>
      <c r="I103" s="34"/>
      <c r="J103" s="28" t="str">
        <f>IFERROR(__xludf.DUMMYFUNCTION("iferror(if(I103="""","""",unique(query('tbl driver 2'!$K$2:$L1508,""SELECT L WHERE K = '""&amp;I103&amp;""'""))),"""")"),"")</f>
        <v/>
      </c>
      <c r="K103" s="31"/>
      <c r="L103" s="39"/>
      <c r="M103" s="39"/>
      <c r="N103" s="28" t="str">
        <f>IFERROR(__xludf.DUMMYFUNCTION("IF(OR(C103="""",M103=""""),"""",IFERROR(IF(M103="""","""",query('tbl user'!$A$2:$D1508,""SELECT A WHERE D = '""&amp;M103&amp;""'"")),""USER TIDAK DIKETAHUI""))"),"")</f>
        <v/>
      </c>
    </row>
    <row r="104">
      <c r="A104" s="23" t="str">
        <f t="shared" si="3"/>
        <v/>
      </c>
      <c r="B104" s="24" t="str">
        <f t="shared" si="4"/>
        <v/>
      </c>
      <c r="C104" s="28"/>
      <c r="D104" s="28"/>
      <c r="E104" s="34"/>
      <c r="F104" s="34"/>
      <c r="G104" s="34"/>
      <c r="H104" s="34"/>
      <c r="I104" s="34"/>
      <c r="J104" s="28" t="str">
        <f>IFERROR(__xludf.DUMMYFUNCTION("iferror(if(I104="""","""",unique(query('tbl driver 2'!$K$2:$L1508,""SELECT L WHERE K = '""&amp;I104&amp;""'""))),"""")"),"")</f>
        <v/>
      </c>
      <c r="K104" s="31"/>
      <c r="L104" s="39"/>
      <c r="M104" s="39"/>
      <c r="N104" s="28" t="str">
        <f>IFERROR(__xludf.DUMMYFUNCTION("IF(OR(C104="""",M104=""""),"""",IFERROR(IF(M104="""","""",query('tbl user'!$A$2:$D1508,""SELECT A WHERE D = '""&amp;M104&amp;""'"")),""USER TIDAK DIKETAHUI""))"),"")</f>
        <v/>
      </c>
    </row>
    <row r="105">
      <c r="A105" s="23" t="str">
        <f t="shared" si="3"/>
        <v/>
      </c>
      <c r="B105" s="24" t="str">
        <f t="shared" si="4"/>
        <v/>
      </c>
      <c r="C105" s="28"/>
      <c r="D105" s="28"/>
      <c r="E105" s="34"/>
      <c r="F105" s="34"/>
      <c r="G105" s="34"/>
      <c r="H105" s="34"/>
      <c r="I105" s="34"/>
      <c r="J105" s="28" t="str">
        <f>IFERROR(__xludf.DUMMYFUNCTION("iferror(if(I105="""","""",unique(query('tbl driver 2'!$K$2:$L1508,""SELECT L WHERE K = '""&amp;I105&amp;""'""))),"""")"),"")</f>
        <v/>
      </c>
      <c r="K105" s="31"/>
      <c r="L105" s="39"/>
      <c r="M105" s="39"/>
      <c r="N105" s="28" t="str">
        <f>IFERROR(__xludf.DUMMYFUNCTION("IF(OR(C105="""",M105=""""),"""",IFERROR(IF(M105="""","""",query('tbl user'!$A$2:$D1508,""SELECT A WHERE D = '""&amp;M105&amp;""'"")),""USER TIDAK DIKETAHUI""))"),"")</f>
        <v/>
      </c>
    </row>
    <row r="106">
      <c r="A106" s="23" t="str">
        <f t="shared" si="3"/>
        <v/>
      </c>
      <c r="B106" s="24" t="str">
        <f t="shared" si="4"/>
        <v/>
      </c>
      <c r="C106" s="28"/>
      <c r="D106" s="28"/>
      <c r="E106" s="34"/>
      <c r="F106" s="34"/>
      <c r="G106" s="34"/>
      <c r="H106" s="34"/>
      <c r="I106" s="34"/>
      <c r="J106" s="28" t="str">
        <f>IFERROR(__xludf.DUMMYFUNCTION("iferror(if(I106="""","""",unique(query('tbl driver 2'!$K$2:$L1508,""SELECT L WHERE K = '""&amp;I106&amp;""'""))),"""")"),"")</f>
        <v/>
      </c>
      <c r="K106" s="31"/>
      <c r="L106" s="39"/>
      <c r="M106" s="39"/>
      <c r="N106" s="28" t="str">
        <f>IFERROR(__xludf.DUMMYFUNCTION("IF(OR(C106="""",M106=""""),"""",IFERROR(IF(M106="""","""",query('tbl user'!$A$2:$D1508,""SELECT A WHERE D = '""&amp;M106&amp;""'"")),""USER TIDAK DIKETAHUI""))"),"")</f>
        <v/>
      </c>
    </row>
    <row r="107">
      <c r="A107" s="23" t="str">
        <f t="shared" si="3"/>
        <v/>
      </c>
      <c r="B107" s="24" t="str">
        <f t="shared" si="4"/>
        <v/>
      </c>
      <c r="C107" s="28"/>
      <c r="D107" s="28"/>
      <c r="E107" s="34"/>
      <c r="F107" s="34"/>
      <c r="G107" s="34"/>
      <c r="H107" s="34"/>
      <c r="I107" s="34"/>
      <c r="J107" s="28" t="str">
        <f>IFERROR(__xludf.DUMMYFUNCTION("iferror(if(I107="""","""",unique(query('tbl driver 2'!$K$2:$L1508,""SELECT L WHERE K = '""&amp;I107&amp;""'""))),"""")"),"")</f>
        <v/>
      </c>
      <c r="K107" s="31"/>
      <c r="L107" s="39"/>
      <c r="M107" s="39"/>
      <c r="N107" s="28" t="str">
        <f>IFERROR(__xludf.DUMMYFUNCTION("IF(OR(C107="""",M107=""""),"""",IFERROR(IF(M107="""","""",query('tbl user'!$A$2:$D1508,""SELECT A WHERE D = '""&amp;M107&amp;""'"")),""USER TIDAK DIKETAHUI""))"),"")</f>
        <v/>
      </c>
    </row>
    <row r="108">
      <c r="A108" s="23" t="str">
        <f t="shared" si="3"/>
        <v/>
      </c>
      <c r="B108" s="24" t="str">
        <f t="shared" si="4"/>
        <v/>
      </c>
      <c r="C108" s="28"/>
      <c r="D108" s="28"/>
      <c r="E108" s="34"/>
      <c r="F108" s="34"/>
      <c r="G108" s="34"/>
      <c r="H108" s="34"/>
      <c r="I108" s="34"/>
      <c r="J108" s="28" t="str">
        <f>IFERROR(__xludf.DUMMYFUNCTION("iferror(if(I108="""","""",unique(query('tbl driver 2'!$K$2:$L1508,""SELECT L WHERE K = '""&amp;I108&amp;""'""))),"""")"),"")</f>
        <v/>
      </c>
      <c r="K108" s="31"/>
      <c r="L108" s="39"/>
      <c r="M108" s="39"/>
      <c r="N108" s="28" t="str">
        <f>IFERROR(__xludf.DUMMYFUNCTION("IF(OR(C108="""",M108=""""),"""",IFERROR(IF(M108="""","""",query('tbl user'!$A$2:$D1508,""SELECT A WHERE D = '""&amp;M108&amp;""'"")),""USER TIDAK DIKETAHUI""))"),"")</f>
        <v/>
      </c>
    </row>
    <row r="109">
      <c r="A109" s="23" t="str">
        <f t="shared" si="3"/>
        <v/>
      </c>
      <c r="B109" s="24" t="str">
        <f t="shared" si="4"/>
        <v/>
      </c>
      <c r="C109" s="28"/>
      <c r="D109" s="28"/>
      <c r="E109" s="34"/>
      <c r="F109" s="34"/>
      <c r="G109" s="34"/>
      <c r="H109" s="34"/>
      <c r="I109" s="34"/>
      <c r="J109" s="28" t="str">
        <f>IFERROR(__xludf.DUMMYFUNCTION("iferror(if(I109="""","""",unique(query('tbl driver 2'!$K$2:$L1508,""SELECT L WHERE K = '""&amp;I109&amp;""'""))),"""")"),"")</f>
        <v/>
      </c>
      <c r="K109" s="31"/>
      <c r="L109" s="39"/>
      <c r="M109" s="39"/>
      <c r="N109" s="28" t="str">
        <f>IFERROR(__xludf.DUMMYFUNCTION("IF(OR(C109="""",M109=""""),"""",IFERROR(IF(M109="""","""",query('tbl user'!$A$2:$D1508,""SELECT A WHERE D = '""&amp;M109&amp;""'"")),""USER TIDAK DIKETAHUI""))"),"")</f>
        <v/>
      </c>
    </row>
    <row r="110">
      <c r="A110" s="23" t="str">
        <f t="shared" si="3"/>
        <v/>
      </c>
      <c r="B110" s="24" t="str">
        <f t="shared" si="4"/>
        <v/>
      </c>
      <c r="C110" s="28"/>
      <c r="D110" s="28"/>
      <c r="E110" s="34"/>
      <c r="F110" s="34"/>
      <c r="G110" s="34"/>
      <c r="H110" s="34"/>
      <c r="I110" s="34"/>
      <c r="J110" s="28" t="str">
        <f>IFERROR(__xludf.DUMMYFUNCTION("iferror(if(I110="""","""",unique(query('tbl driver 2'!$K$2:$L1508,""SELECT L WHERE K = '""&amp;I110&amp;""'""))),"""")"),"")</f>
        <v/>
      </c>
      <c r="K110" s="31"/>
      <c r="L110" s="39"/>
      <c r="M110" s="39"/>
      <c r="N110" s="28" t="str">
        <f>IFERROR(__xludf.DUMMYFUNCTION("IF(OR(C110="""",M110=""""),"""",IFERROR(IF(M110="""","""",query('tbl user'!$A$2:$D1508,""SELECT A WHERE D = '""&amp;M110&amp;""'"")),""USER TIDAK DIKETAHUI""))"),"")</f>
        <v/>
      </c>
    </row>
    <row r="111">
      <c r="A111" s="23" t="str">
        <f t="shared" si="3"/>
        <v/>
      </c>
      <c r="B111" s="24" t="str">
        <f t="shared" si="4"/>
        <v/>
      </c>
      <c r="C111" s="28"/>
      <c r="D111" s="28"/>
      <c r="E111" s="34"/>
      <c r="F111" s="34"/>
      <c r="G111" s="34"/>
      <c r="H111" s="34"/>
      <c r="I111" s="34"/>
      <c r="J111" s="28" t="str">
        <f>IFERROR(__xludf.DUMMYFUNCTION("iferror(if(I111="""","""",unique(query('tbl driver 2'!$K$2:$L1508,""SELECT L WHERE K = '""&amp;I111&amp;""'""))),"""")"),"")</f>
        <v/>
      </c>
      <c r="K111" s="31"/>
      <c r="L111" s="39"/>
      <c r="M111" s="39"/>
      <c r="N111" s="28" t="str">
        <f>IFERROR(__xludf.DUMMYFUNCTION("IF(OR(C111="""",M111=""""),"""",IFERROR(IF(M111="""","""",query('tbl user'!$A$2:$D1508,""SELECT A WHERE D = '""&amp;M111&amp;""'"")),""USER TIDAK DIKETAHUI""))"),"")</f>
        <v/>
      </c>
    </row>
    <row r="112">
      <c r="A112" s="23" t="str">
        <f t="shared" si="3"/>
        <v/>
      </c>
      <c r="B112" s="24" t="str">
        <f t="shared" si="4"/>
        <v/>
      </c>
      <c r="C112" s="28"/>
      <c r="D112" s="28"/>
      <c r="E112" s="34"/>
      <c r="F112" s="34"/>
      <c r="G112" s="34"/>
      <c r="H112" s="34"/>
      <c r="I112" s="34"/>
      <c r="J112" s="28" t="str">
        <f>IFERROR(__xludf.DUMMYFUNCTION("iferror(if(I112="""","""",unique(query('tbl driver 2'!$K$2:$L1508,""SELECT L WHERE K = '""&amp;I112&amp;""'""))),"""")"),"")</f>
        <v/>
      </c>
      <c r="K112" s="31"/>
      <c r="L112" s="39"/>
      <c r="M112" s="39"/>
      <c r="N112" s="28" t="str">
        <f>IFERROR(__xludf.DUMMYFUNCTION("IF(OR(C112="""",M112=""""),"""",IFERROR(IF(M112="""","""",query('tbl user'!$A$2:$D1508,""SELECT A WHERE D = '""&amp;M112&amp;""'"")),""USER TIDAK DIKETAHUI""))"),"")</f>
        <v/>
      </c>
    </row>
    <row r="113">
      <c r="A113" s="23" t="str">
        <f t="shared" si="3"/>
        <v/>
      </c>
      <c r="B113" s="24" t="str">
        <f t="shared" si="4"/>
        <v/>
      </c>
      <c r="C113" s="28"/>
      <c r="D113" s="28"/>
      <c r="E113" s="34"/>
      <c r="F113" s="34"/>
      <c r="G113" s="34"/>
      <c r="H113" s="34"/>
      <c r="I113" s="34"/>
      <c r="J113" s="28" t="str">
        <f>IFERROR(__xludf.DUMMYFUNCTION("iferror(if(I113="""","""",unique(query('tbl driver 2'!$K$2:$L1508,""SELECT L WHERE K = '""&amp;I113&amp;""'""))),"""")"),"")</f>
        <v/>
      </c>
      <c r="K113" s="31"/>
      <c r="L113" s="39"/>
      <c r="M113" s="39"/>
      <c r="N113" s="28" t="str">
        <f>IFERROR(__xludf.DUMMYFUNCTION("IF(OR(C113="""",M113=""""),"""",IFERROR(IF(M113="""","""",query('tbl user'!$A$2:$D1508,""SELECT A WHERE D = '""&amp;M113&amp;""'"")),""USER TIDAK DIKETAHUI""))"),"")</f>
        <v/>
      </c>
    </row>
    <row r="114">
      <c r="A114" s="23" t="str">
        <f t="shared" si="3"/>
        <v/>
      </c>
      <c r="B114" s="24" t="str">
        <f t="shared" si="4"/>
        <v/>
      </c>
      <c r="C114" s="28"/>
      <c r="D114" s="28"/>
      <c r="E114" s="34"/>
      <c r="F114" s="34"/>
      <c r="G114" s="34"/>
      <c r="H114" s="34"/>
      <c r="I114" s="34"/>
      <c r="J114" s="28" t="str">
        <f>IFERROR(__xludf.DUMMYFUNCTION("iferror(if(I114="""","""",unique(query('tbl driver 2'!$K$2:$L1508,""SELECT L WHERE K = '""&amp;I114&amp;""'""))),"""")"),"")</f>
        <v/>
      </c>
      <c r="K114" s="31"/>
      <c r="L114" s="39"/>
      <c r="M114" s="39"/>
      <c r="N114" s="28" t="str">
        <f>IFERROR(__xludf.DUMMYFUNCTION("IF(OR(C114="""",M114=""""),"""",IFERROR(IF(M114="""","""",query('tbl user'!$A$2:$D1508,""SELECT A WHERE D = '""&amp;M114&amp;""'"")),""USER TIDAK DIKETAHUI""))"),"")</f>
        <v/>
      </c>
    </row>
    <row r="115">
      <c r="A115" s="23" t="str">
        <f t="shared" si="3"/>
        <v/>
      </c>
      <c r="B115" s="24" t="str">
        <f t="shared" si="4"/>
        <v/>
      </c>
      <c r="C115" s="28"/>
      <c r="D115" s="28"/>
      <c r="E115" s="34"/>
      <c r="F115" s="34"/>
      <c r="G115" s="34"/>
      <c r="H115" s="34"/>
      <c r="I115" s="34"/>
      <c r="J115" s="28" t="str">
        <f>IFERROR(__xludf.DUMMYFUNCTION("iferror(if(I115="""","""",unique(query('tbl driver 2'!$K$2:$L1508,""SELECT L WHERE K = '""&amp;I115&amp;""'""))),"""")"),"")</f>
        <v/>
      </c>
      <c r="K115" s="31"/>
      <c r="L115" s="39"/>
      <c r="M115" s="39"/>
      <c r="N115" s="28" t="str">
        <f>IFERROR(__xludf.DUMMYFUNCTION("IF(OR(C115="""",M115=""""),"""",IFERROR(IF(M115="""","""",query('tbl user'!$A$2:$D1508,""SELECT A WHERE D = '""&amp;M115&amp;""'"")),""USER TIDAK DIKETAHUI""))"),"")</f>
        <v/>
      </c>
    </row>
    <row r="116">
      <c r="A116" s="23" t="str">
        <f t="shared" si="3"/>
        <v/>
      </c>
      <c r="B116" s="24" t="str">
        <f t="shared" si="4"/>
        <v/>
      </c>
      <c r="C116" s="28"/>
      <c r="D116" s="28"/>
      <c r="E116" s="34"/>
      <c r="F116" s="34"/>
      <c r="G116" s="34"/>
      <c r="H116" s="34"/>
      <c r="I116" s="34"/>
      <c r="J116" s="28" t="str">
        <f>IFERROR(__xludf.DUMMYFUNCTION("iferror(if(I116="""","""",unique(query('tbl driver 2'!$K$2:$L1508,""SELECT L WHERE K = '""&amp;I116&amp;""'""))),"""")"),"")</f>
        <v/>
      </c>
      <c r="K116" s="31"/>
      <c r="L116" s="39"/>
      <c r="M116" s="39"/>
      <c r="N116" s="28" t="str">
        <f>IFERROR(__xludf.DUMMYFUNCTION("IF(OR(C116="""",M116=""""),"""",IFERROR(IF(M116="""","""",query('tbl user'!$A$2:$D1508,""SELECT A WHERE D = '""&amp;M116&amp;""'"")),""USER TIDAK DIKETAHUI""))"),"")</f>
        <v/>
      </c>
    </row>
    <row r="117">
      <c r="A117" s="23" t="str">
        <f t="shared" si="3"/>
        <v/>
      </c>
      <c r="B117" s="24" t="str">
        <f t="shared" si="4"/>
        <v/>
      </c>
      <c r="C117" s="28"/>
      <c r="D117" s="28"/>
      <c r="E117" s="34"/>
      <c r="F117" s="34"/>
      <c r="G117" s="34"/>
      <c r="H117" s="34"/>
      <c r="I117" s="34"/>
      <c r="J117" s="28" t="str">
        <f>IFERROR(__xludf.DUMMYFUNCTION("iferror(if(I117="""","""",unique(query('tbl driver 2'!$K$2:$L1508,""SELECT L WHERE K = '""&amp;I117&amp;""'""))),"""")"),"")</f>
        <v/>
      </c>
      <c r="K117" s="31"/>
      <c r="L117" s="39"/>
      <c r="M117" s="39"/>
      <c r="N117" s="28" t="str">
        <f>IFERROR(__xludf.DUMMYFUNCTION("IF(OR(C117="""",M117=""""),"""",IFERROR(IF(M117="""","""",query('tbl user'!$A$2:$D1508,""SELECT A WHERE D = '""&amp;M117&amp;""'"")),""USER TIDAK DIKETAHUI""))"),"")</f>
        <v/>
      </c>
    </row>
    <row r="118">
      <c r="A118" s="23" t="str">
        <f t="shared" si="3"/>
        <v/>
      </c>
      <c r="B118" s="24" t="str">
        <f t="shared" si="4"/>
        <v/>
      </c>
      <c r="C118" s="28"/>
      <c r="D118" s="28"/>
      <c r="E118" s="34"/>
      <c r="F118" s="34"/>
      <c r="G118" s="34"/>
      <c r="H118" s="34"/>
      <c r="I118" s="34"/>
      <c r="J118" s="28" t="str">
        <f>IFERROR(__xludf.DUMMYFUNCTION("iferror(if(I118="""","""",unique(query('tbl driver 2'!$K$2:$L1508,""SELECT L WHERE K = '""&amp;I118&amp;""'""))),"""")"),"")</f>
        <v/>
      </c>
      <c r="K118" s="31"/>
      <c r="L118" s="39"/>
      <c r="M118" s="39"/>
      <c r="N118" s="28" t="str">
        <f>IFERROR(__xludf.DUMMYFUNCTION("IF(OR(C118="""",M118=""""),"""",IFERROR(IF(M118="""","""",query('tbl user'!$A$2:$D1508,""SELECT A WHERE D = '""&amp;M118&amp;""'"")),""USER TIDAK DIKETAHUI""))"),"")</f>
        <v/>
      </c>
    </row>
    <row r="119">
      <c r="A119" s="23" t="str">
        <f t="shared" si="3"/>
        <v/>
      </c>
      <c r="B119" s="24" t="str">
        <f t="shared" si="4"/>
        <v/>
      </c>
      <c r="C119" s="28"/>
      <c r="D119" s="28"/>
      <c r="E119" s="34"/>
      <c r="F119" s="34"/>
      <c r="G119" s="34"/>
      <c r="H119" s="34"/>
      <c r="I119" s="34"/>
      <c r="J119" s="28" t="str">
        <f>IFERROR(__xludf.DUMMYFUNCTION("iferror(if(I119="""","""",unique(query('tbl driver 2'!$K$2:$L1508,""SELECT L WHERE K = '""&amp;I119&amp;""'""))),"""")"),"")</f>
        <v/>
      </c>
      <c r="K119" s="31"/>
      <c r="L119" s="39"/>
      <c r="M119" s="39"/>
      <c r="N119" s="28" t="str">
        <f>IFERROR(__xludf.DUMMYFUNCTION("IF(OR(C119="""",M119=""""),"""",IFERROR(IF(M119="""","""",query('tbl user'!$A$2:$D1508,""SELECT A WHERE D = '""&amp;M119&amp;""'"")),""USER TIDAK DIKETAHUI""))"),"")</f>
        <v/>
      </c>
    </row>
    <row r="120">
      <c r="A120" s="23" t="str">
        <f t="shared" si="3"/>
        <v/>
      </c>
      <c r="B120" s="24" t="str">
        <f t="shared" si="4"/>
        <v/>
      </c>
      <c r="C120" s="28"/>
      <c r="D120" s="28"/>
      <c r="E120" s="34"/>
      <c r="F120" s="34"/>
      <c r="G120" s="34"/>
      <c r="H120" s="34"/>
      <c r="I120" s="34"/>
      <c r="J120" s="28" t="str">
        <f>IFERROR(__xludf.DUMMYFUNCTION("iferror(if(I120="""","""",unique(query('tbl driver 2'!$K$2:$L1508,""SELECT L WHERE K = '""&amp;I120&amp;""'""))),"""")"),"")</f>
        <v/>
      </c>
      <c r="K120" s="31"/>
      <c r="L120" s="39"/>
      <c r="M120" s="39"/>
      <c r="N120" s="28" t="str">
        <f>IFERROR(__xludf.DUMMYFUNCTION("IF(OR(C120="""",M120=""""),"""",IFERROR(IF(M120="""","""",query('tbl user'!$A$2:$D1508,""SELECT A WHERE D = '""&amp;M120&amp;""'"")),""USER TIDAK DIKETAHUI""))"),"")</f>
        <v/>
      </c>
    </row>
    <row r="121">
      <c r="A121" s="23" t="str">
        <f t="shared" si="3"/>
        <v/>
      </c>
      <c r="B121" s="24" t="str">
        <f t="shared" si="4"/>
        <v/>
      </c>
      <c r="C121" s="28"/>
      <c r="D121" s="28"/>
      <c r="E121" s="34"/>
      <c r="F121" s="34"/>
      <c r="G121" s="34"/>
      <c r="H121" s="34"/>
      <c r="I121" s="34"/>
      <c r="J121" s="28" t="str">
        <f>IFERROR(__xludf.DUMMYFUNCTION("iferror(if(I121="""","""",unique(query('tbl driver 2'!$K$2:$L1508,""SELECT L WHERE K = '""&amp;I121&amp;""'""))),"""")"),"")</f>
        <v/>
      </c>
      <c r="K121" s="31"/>
      <c r="L121" s="39"/>
      <c r="M121" s="39"/>
      <c r="N121" s="28" t="str">
        <f>IFERROR(__xludf.DUMMYFUNCTION("IF(OR(C121="""",M121=""""),"""",IFERROR(IF(M121="""","""",query('tbl user'!$A$2:$D1508,""SELECT A WHERE D = '""&amp;M121&amp;""'"")),""USER TIDAK DIKETAHUI""))"),"")</f>
        <v/>
      </c>
    </row>
    <row r="122">
      <c r="A122" s="23" t="str">
        <f t="shared" si="3"/>
        <v/>
      </c>
      <c r="B122" s="24" t="str">
        <f t="shared" si="4"/>
        <v/>
      </c>
      <c r="C122" s="28"/>
      <c r="D122" s="28"/>
      <c r="E122" s="34"/>
      <c r="F122" s="34"/>
      <c r="G122" s="34"/>
      <c r="H122" s="34"/>
      <c r="I122" s="34"/>
      <c r="J122" s="28" t="str">
        <f>IFERROR(__xludf.DUMMYFUNCTION("iferror(if(I122="""","""",unique(query('tbl driver 2'!$K$2:$L1508,""SELECT L WHERE K = '""&amp;I122&amp;""'""))),"""")"),"")</f>
        <v/>
      </c>
      <c r="K122" s="31"/>
      <c r="L122" s="39"/>
      <c r="M122" s="39"/>
      <c r="N122" s="28" t="str">
        <f>IFERROR(__xludf.DUMMYFUNCTION("IF(OR(C122="""",M122=""""),"""",IFERROR(IF(M122="""","""",query('tbl user'!$A$2:$D1508,""SELECT A WHERE D = '""&amp;M122&amp;""'"")),""USER TIDAK DIKETAHUI""))"),"")</f>
        <v/>
      </c>
    </row>
    <row r="123">
      <c r="A123" s="23" t="str">
        <f t="shared" si="3"/>
        <v/>
      </c>
      <c r="B123" s="24" t="str">
        <f t="shared" si="4"/>
        <v/>
      </c>
      <c r="C123" s="28"/>
      <c r="D123" s="28"/>
      <c r="E123" s="34"/>
      <c r="F123" s="34"/>
      <c r="G123" s="34"/>
      <c r="H123" s="34"/>
      <c r="I123" s="34"/>
      <c r="J123" s="28" t="str">
        <f>IFERROR(__xludf.DUMMYFUNCTION("iferror(if(I123="""","""",unique(query('tbl driver 2'!$K$2:$L1508,""SELECT L WHERE K = '""&amp;I123&amp;""'""))),"""")"),"")</f>
        <v/>
      </c>
      <c r="K123" s="31"/>
      <c r="L123" s="39"/>
      <c r="M123" s="39"/>
      <c r="N123" s="28" t="str">
        <f>IFERROR(__xludf.DUMMYFUNCTION("IF(OR(C123="""",M123=""""),"""",IFERROR(IF(M123="""","""",query('tbl user'!$A$2:$D1508,""SELECT A WHERE D = '""&amp;M123&amp;""'"")),""USER TIDAK DIKETAHUI""))"),"")</f>
        <v/>
      </c>
    </row>
    <row r="124">
      <c r="A124" s="23" t="str">
        <f t="shared" si="3"/>
        <v/>
      </c>
      <c r="B124" s="24" t="str">
        <f t="shared" si="4"/>
        <v/>
      </c>
      <c r="C124" s="28"/>
      <c r="D124" s="28"/>
      <c r="E124" s="34"/>
      <c r="F124" s="34"/>
      <c r="G124" s="34"/>
      <c r="H124" s="34"/>
      <c r="I124" s="34"/>
      <c r="J124" s="28" t="str">
        <f>IFERROR(__xludf.DUMMYFUNCTION("iferror(if(I124="""","""",unique(query('tbl driver 2'!$K$2:$L1508,""SELECT L WHERE K = '""&amp;I124&amp;""'""))),"""")"),"")</f>
        <v/>
      </c>
      <c r="K124" s="31"/>
      <c r="L124" s="39"/>
      <c r="M124" s="39"/>
      <c r="N124" s="28" t="str">
        <f>IFERROR(__xludf.DUMMYFUNCTION("IF(OR(C124="""",M124=""""),"""",IFERROR(IF(M124="""","""",query('tbl user'!$A$2:$D1508,""SELECT A WHERE D = '""&amp;M124&amp;""'"")),""USER TIDAK DIKETAHUI""))"),"")</f>
        <v/>
      </c>
    </row>
    <row r="125">
      <c r="A125" s="23" t="str">
        <f t="shared" si="3"/>
        <v/>
      </c>
      <c r="B125" s="24" t="str">
        <f t="shared" si="4"/>
        <v/>
      </c>
      <c r="C125" s="28"/>
      <c r="D125" s="28"/>
      <c r="E125" s="34"/>
      <c r="F125" s="34"/>
      <c r="G125" s="34"/>
      <c r="H125" s="34"/>
      <c r="I125" s="34"/>
      <c r="J125" s="28" t="str">
        <f>IFERROR(__xludf.DUMMYFUNCTION("iferror(if(I125="""","""",unique(query('tbl driver 2'!$K$2:$L1508,""SELECT L WHERE K = '""&amp;I125&amp;""'""))),"""")"),"")</f>
        <v/>
      </c>
      <c r="K125" s="31"/>
      <c r="L125" s="39"/>
      <c r="M125" s="39"/>
      <c r="N125" s="28" t="str">
        <f>IFERROR(__xludf.DUMMYFUNCTION("IF(OR(C125="""",M125=""""),"""",IFERROR(IF(M125="""","""",query('tbl user'!$A$2:$D1508,""SELECT A WHERE D = '""&amp;M125&amp;""'"")),""USER TIDAK DIKETAHUI""))"),"")</f>
        <v/>
      </c>
    </row>
    <row r="126">
      <c r="A126" s="23" t="str">
        <f t="shared" si="3"/>
        <v/>
      </c>
      <c r="B126" s="24" t="str">
        <f t="shared" si="4"/>
        <v/>
      </c>
      <c r="C126" s="28"/>
      <c r="D126" s="28"/>
      <c r="E126" s="34"/>
      <c r="F126" s="34"/>
      <c r="G126" s="34"/>
      <c r="H126" s="34"/>
      <c r="I126" s="34"/>
      <c r="J126" s="28" t="str">
        <f>IFERROR(__xludf.DUMMYFUNCTION("iferror(if(I126="""","""",unique(query('tbl driver 2'!$K$2:$L1508,""SELECT L WHERE K = '""&amp;I126&amp;""'""))),"""")"),"")</f>
        <v/>
      </c>
      <c r="K126" s="31"/>
      <c r="L126" s="39"/>
      <c r="M126" s="39"/>
      <c r="N126" s="28" t="str">
        <f>IFERROR(__xludf.DUMMYFUNCTION("IF(OR(C126="""",M126=""""),"""",IFERROR(IF(M126="""","""",query('tbl user'!$A$2:$D1508,""SELECT A WHERE D = '""&amp;M126&amp;""'"")),""USER TIDAK DIKETAHUI""))"),"")</f>
        <v/>
      </c>
    </row>
    <row r="127">
      <c r="A127" s="23" t="str">
        <f t="shared" si="3"/>
        <v/>
      </c>
      <c r="B127" s="24" t="str">
        <f t="shared" si="4"/>
        <v/>
      </c>
      <c r="C127" s="28"/>
      <c r="D127" s="28"/>
      <c r="E127" s="34"/>
      <c r="F127" s="34"/>
      <c r="G127" s="34"/>
      <c r="H127" s="34"/>
      <c r="I127" s="34"/>
      <c r="J127" s="28" t="str">
        <f>IFERROR(__xludf.DUMMYFUNCTION("iferror(if(I127="""","""",unique(query('tbl driver 2'!$K$2:$L1508,""SELECT L WHERE K = '""&amp;I127&amp;""'""))),"""")"),"")</f>
        <v/>
      </c>
      <c r="K127" s="31"/>
      <c r="L127" s="39"/>
      <c r="M127" s="39"/>
      <c r="N127" s="28" t="str">
        <f>IFERROR(__xludf.DUMMYFUNCTION("IF(OR(C127="""",M127=""""),"""",IFERROR(IF(M127="""","""",query('tbl user'!$A$2:$D1508,""SELECT A WHERE D = '""&amp;M127&amp;""'"")),""USER TIDAK DIKETAHUI""))"),"")</f>
        <v/>
      </c>
    </row>
    <row r="128">
      <c r="A128" s="23" t="str">
        <f t="shared" si="3"/>
        <v/>
      </c>
      <c r="B128" s="24" t="str">
        <f t="shared" si="4"/>
        <v/>
      </c>
      <c r="C128" s="28"/>
      <c r="D128" s="28"/>
      <c r="E128" s="34"/>
      <c r="F128" s="34"/>
      <c r="G128" s="34"/>
      <c r="H128" s="34"/>
      <c r="I128" s="34"/>
      <c r="J128" s="28" t="str">
        <f>IFERROR(__xludf.DUMMYFUNCTION("iferror(if(I128="""","""",unique(query('tbl driver 2'!$K$2:$L1508,""SELECT L WHERE K = '""&amp;I128&amp;""'""))),"""")"),"")</f>
        <v/>
      </c>
      <c r="K128" s="31"/>
      <c r="L128" s="39"/>
      <c r="M128" s="39"/>
      <c r="N128" s="28" t="str">
        <f>IFERROR(__xludf.DUMMYFUNCTION("IF(OR(C128="""",M128=""""),"""",IFERROR(IF(M128="""","""",query('tbl user'!$A$2:$D1508,""SELECT A WHERE D = '""&amp;M128&amp;""'"")),""USER TIDAK DIKETAHUI""))"),"")</f>
        <v/>
      </c>
    </row>
    <row r="129">
      <c r="A129" s="23" t="str">
        <f t="shared" si="3"/>
        <v/>
      </c>
      <c r="B129" s="24" t="str">
        <f t="shared" si="4"/>
        <v/>
      </c>
      <c r="C129" s="28"/>
      <c r="D129" s="28"/>
      <c r="E129" s="34"/>
      <c r="F129" s="34"/>
      <c r="G129" s="34"/>
      <c r="H129" s="34"/>
      <c r="I129" s="34"/>
      <c r="J129" s="28" t="str">
        <f>IFERROR(__xludf.DUMMYFUNCTION("iferror(if(I129="""","""",unique(query('tbl driver 2'!$K$2:$L1508,""SELECT L WHERE K = '""&amp;I129&amp;""'""))),"""")"),"")</f>
        <v/>
      </c>
      <c r="K129" s="31"/>
      <c r="L129" s="39"/>
      <c r="M129" s="39"/>
      <c r="N129" s="28" t="str">
        <f>IFERROR(__xludf.DUMMYFUNCTION("IF(OR(C129="""",M129=""""),"""",IFERROR(IF(M129="""","""",query('tbl user'!$A$2:$D1508,""SELECT A WHERE D = '""&amp;M129&amp;""'"")),""USER TIDAK DIKETAHUI""))"),"")</f>
        <v/>
      </c>
    </row>
    <row r="130">
      <c r="A130" s="23" t="str">
        <f t="shared" si="3"/>
        <v/>
      </c>
      <c r="B130" s="24" t="str">
        <f t="shared" si="4"/>
        <v/>
      </c>
      <c r="C130" s="28"/>
      <c r="D130" s="28"/>
      <c r="E130" s="34"/>
      <c r="F130" s="34"/>
      <c r="G130" s="34"/>
      <c r="H130" s="34"/>
      <c r="I130" s="34"/>
      <c r="J130" s="28" t="str">
        <f>IFERROR(__xludf.DUMMYFUNCTION("iferror(if(I130="""","""",unique(query('tbl driver 2'!$K$2:$L1508,""SELECT L WHERE K = '""&amp;I130&amp;""'""))),"""")"),"")</f>
        <v/>
      </c>
      <c r="K130" s="31"/>
      <c r="L130" s="39"/>
      <c r="M130" s="39"/>
      <c r="N130" s="28" t="str">
        <f>IFERROR(__xludf.DUMMYFUNCTION("IF(OR(C130="""",M130=""""),"""",IFERROR(IF(M130="""","""",query('tbl user'!$A$2:$D1508,""SELECT A WHERE D = '""&amp;M130&amp;""'"")),""USER TIDAK DIKETAHUI""))"),"")</f>
        <v/>
      </c>
    </row>
    <row r="131">
      <c r="A131" s="23" t="str">
        <f t="shared" si="3"/>
        <v/>
      </c>
      <c r="B131" s="24" t="str">
        <f t="shared" si="4"/>
        <v/>
      </c>
      <c r="C131" s="28"/>
      <c r="D131" s="28"/>
      <c r="E131" s="34"/>
      <c r="F131" s="34"/>
      <c r="G131" s="34"/>
      <c r="H131" s="34"/>
      <c r="I131" s="34"/>
      <c r="J131" s="28" t="str">
        <f>IFERROR(__xludf.DUMMYFUNCTION("iferror(if(I131="""","""",unique(query('tbl driver 2'!$K$2:$L1508,""SELECT L WHERE K = '""&amp;I131&amp;""'""))),"""")"),"")</f>
        <v/>
      </c>
      <c r="K131" s="31"/>
      <c r="L131" s="39"/>
      <c r="M131" s="39"/>
      <c r="N131" s="28" t="str">
        <f>IFERROR(__xludf.DUMMYFUNCTION("IF(OR(C131="""",M131=""""),"""",IFERROR(IF(M131="""","""",query('tbl user'!$A$2:$D1508,""SELECT A WHERE D = '""&amp;M131&amp;""'"")),""USER TIDAK DIKETAHUI""))"),"")</f>
        <v/>
      </c>
    </row>
    <row r="132">
      <c r="A132" s="23" t="str">
        <f t="shared" si="3"/>
        <v/>
      </c>
      <c r="B132" s="24" t="str">
        <f t="shared" si="4"/>
        <v/>
      </c>
      <c r="C132" s="28"/>
      <c r="D132" s="28"/>
      <c r="E132" s="34"/>
      <c r="F132" s="34"/>
      <c r="G132" s="34"/>
      <c r="H132" s="34"/>
      <c r="I132" s="34"/>
      <c r="J132" s="28" t="str">
        <f>IFERROR(__xludf.DUMMYFUNCTION("iferror(if(I132="""","""",unique(query('tbl driver 2'!$K$2:$L1508,""SELECT L WHERE K = '""&amp;I132&amp;""'""))),"""")"),"")</f>
        <v/>
      </c>
      <c r="K132" s="31"/>
      <c r="L132" s="39"/>
      <c r="M132" s="39"/>
      <c r="N132" s="28" t="str">
        <f>IFERROR(__xludf.DUMMYFUNCTION("IF(OR(C132="""",M132=""""),"""",IFERROR(IF(M132="""","""",query('tbl user'!$A$2:$D1508,""SELECT A WHERE D = '""&amp;M132&amp;""'"")),""USER TIDAK DIKETAHUI""))"),"")</f>
        <v/>
      </c>
    </row>
    <row r="133">
      <c r="A133" s="23" t="str">
        <f t="shared" si="3"/>
        <v/>
      </c>
      <c r="B133" s="24" t="str">
        <f t="shared" si="4"/>
        <v/>
      </c>
      <c r="C133" s="28"/>
      <c r="D133" s="28"/>
      <c r="E133" s="34"/>
      <c r="F133" s="34"/>
      <c r="G133" s="34"/>
      <c r="H133" s="34"/>
      <c r="I133" s="34"/>
      <c r="J133" s="28" t="str">
        <f>IFERROR(__xludf.DUMMYFUNCTION("iferror(if(I133="""","""",unique(query('tbl driver 2'!$K$2:$L1508,""SELECT L WHERE K = '""&amp;I133&amp;""'""))),"""")"),"")</f>
        <v/>
      </c>
      <c r="K133" s="31"/>
      <c r="L133" s="39"/>
      <c r="M133" s="39"/>
      <c r="N133" s="28" t="str">
        <f>IFERROR(__xludf.DUMMYFUNCTION("IF(OR(C133="""",M133=""""),"""",IFERROR(IF(M133="""","""",query('tbl user'!$A$2:$D1508,""SELECT A WHERE D = '""&amp;M133&amp;""'"")),""USER TIDAK DIKETAHUI""))"),"")</f>
        <v/>
      </c>
    </row>
    <row r="134">
      <c r="A134" s="23" t="str">
        <f t="shared" si="3"/>
        <v/>
      </c>
      <c r="B134" s="24" t="str">
        <f t="shared" si="4"/>
        <v/>
      </c>
      <c r="C134" s="28"/>
      <c r="D134" s="28"/>
      <c r="E134" s="34"/>
      <c r="F134" s="34"/>
      <c r="G134" s="34"/>
      <c r="H134" s="34"/>
      <c r="I134" s="34"/>
      <c r="J134" s="28" t="str">
        <f>IFERROR(__xludf.DUMMYFUNCTION("iferror(if(I134="""","""",unique(query('tbl driver 2'!$K$2:$L1508,""SELECT L WHERE K = '""&amp;I134&amp;""'""))),"""")"),"")</f>
        <v/>
      </c>
      <c r="K134" s="31"/>
      <c r="L134" s="39"/>
      <c r="M134" s="39"/>
      <c r="N134" s="28" t="str">
        <f>IFERROR(__xludf.DUMMYFUNCTION("IF(OR(C134="""",M134=""""),"""",IFERROR(IF(M134="""","""",query('tbl user'!$A$2:$D1508,""SELECT A WHERE D = '""&amp;M134&amp;""'"")),""USER TIDAK DIKETAHUI""))"),"")</f>
        <v/>
      </c>
    </row>
    <row r="135">
      <c r="A135" s="23" t="str">
        <f t="shared" si="3"/>
        <v/>
      </c>
      <c r="B135" s="24" t="str">
        <f t="shared" si="4"/>
        <v/>
      </c>
      <c r="C135" s="28"/>
      <c r="D135" s="28"/>
      <c r="E135" s="34"/>
      <c r="F135" s="34"/>
      <c r="G135" s="34"/>
      <c r="H135" s="34"/>
      <c r="I135" s="34"/>
      <c r="J135" s="28" t="str">
        <f>IFERROR(__xludf.DUMMYFUNCTION("iferror(if(I135="""","""",unique(query('tbl driver 2'!$K$2:$L1508,""SELECT L WHERE K = '""&amp;I135&amp;""'""))),"""")"),"")</f>
        <v/>
      </c>
      <c r="K135" s="31"/>
      <c r="L135" s="39"/>
      <c r="M135" s="39"/>
      <c r="N135" s="28" t="str">
        <f>IFERROR(__xludf.DUMMYFUNCTION("IF(OR(C135="""",M135=""""),"""",IFERROR(IF(M135="""","""",query('tbl user'!$A$2:$D1508,""SELECT A WHERE D = '""&amp;M135&amp;""'"")),""USER TIDAK DIKETAHUI""))"),"")</f>
        <v/>
      </c>
    </row>
    <row r="136">
      <c r="A136" s="23" t="str">
        <f t="shared" si="3"/>
        <v/>
      </c>
      <c r="B136" s="24" t="str">
        <f t="shared" si="4"/>
        <v/>
      </c>
      <c r="C136" s="28"/>
      <c r="D136" s="28"/>
      <c r="E136" s="34"/>
      <c r="F136" s="34"/>
      <c r="G136" s="34"/>
      <c r="H136" s="34"/>
      <c r="I136" s="34"/>
      <c r="J136" s="28" t="str">
        <f>IFERROR(__xludf.DUMMYFUNCTION("iferror(if(I136="""","""",unique(query('tbl driver 2'!$K$2:$L1508,""SELECT L WHERE K = '""&amp;I136&amp;""'""))),"""")"),"")</f>
        <v/>
      </c>
      <c r="K136" s="31"/>
      <c r="L136" s="39"/>
      <c r="M136" s="39"/>
      <c r="N136" s="28" t="str">
        <f>IFERROR(__xludf.DUMMYFUNCTION("IF(OR(C136="""",M136=""""),"""",IFERROR(IF(M136="""","""",query('tbl user'!$A$2:$D1508,""SELECT A WHERE D = '""&amp;M136&amp;""'"")),""USER TIDAK DIKETAHUI""))"),"")</f>
        <v/>
      </c>
    </row>
    <row r="137">
      <c r="A137" s="23" t="str">
        <f t="shared" si="3"/>
        <v/>
      </c>
      <c r="B137" s="24" t="str">
        <f t="shared" si="4"/>
        <v/>
      </c>
      <c r="C137" s="28"/>
      <c r="D137" s="28"/>
      <c r="E137" s="34"/>
      <c r="F137" s="34"/>
      <c r="G137" s="34"/>
      <c r="H137" s="34"/>
      <c r="I137" s="34"/>
      <c r="J137" s="28" t="str">
        <f>IFERROR(__xludf.DUMMYFUNCTION("iferror(if(I137="""","""",unique(query('tbl driver 2'!$K$2:$L1508,""SELECT L WHERE K = '""&amp;I137&amp;""'""))),"""")"),"")</f>
        <v/>
      </c>
      <c r="K137" s="31"/>
      <c r="L137" s="39"/>
      <c r="M137" s="39"/>
      <c r="N137" s="28" t="str">
        <f>IFERROR(__xludf.DUMMYFUNCTION("IF(OR(C137="""",M137=""""),"""",IFERROR(IF(M137="""","""",query('tbl user'!$A$2:$D1508,""SELECT A WHERE D = '""&amp;M137&amp;""'"")),""USER TIDAK DIKETAHUI""))"),"")</f>
        <v/>
      </c>
    </row>
    <row r="138">
      <c r="A138" s="23" t="str">
        <f t="shared" si="3"/>
        <v/>
      </c>
      <c r="B138" s="24" t="str">
        <f t="shared" si="4"/>
        <v/>
      </c>
      <c r="C138" s="28"/>
      <c r="D138" s="28"/>
      <c r="E138" s="34"/>
      <c r="F138" s="34"/>
      <c r="G138" s="34"/>
      <c r="H138" s="34"/>
      <c r="I138" s="34"/>
      <c r="J138" s="28" t="str">
        <f>IFERROR(__xludf.DUMMYFUNCTION("iferror(if(I138="""","""",unique(query('tbl driver 2'!$K$2:$L1508,""SELECT L WHERE K = '""&amp;I138&amp;""'""))),"""")"),"")</f>
        <v/>
      </c>
      <c r="K138" s="31"/>
      <c r="L138" s="39"/>
      <c r="M138" s="39"/>
      <c r="N138" s="28" t="str">
        <f>IFERROR(__xludf.DUMMYFUNCTION("IF(OR(C138="""",M138=""""),"""",IFERROR(IF(M138="""","""",query('tbl user'!$A$2:$D1508,""SELECT A WHERE D = '""&amp;M138&amp;""'"")),""USER TIDAK DIKETAHUI""))"),"")</f>
        <v/>
      </c>
    </row>
    <row r="139">
      <c r="A139" s="23" t="str">
        <f t="shared" si="3"/>
        <v/>
      </c>
      <c r="B139" s="24" t="str">
        <f t="shared" si="4"/>
        <v/>
      </c>
      <c r="C139" s="28"/>
      <c r="D139" s="28"/>
      <c r="E139" s="34"/>
      <c r="F139" s="34"/>
      <c r="G139" s="34"/>
      <c r="H139" s="34"/>
      <c r="I139" s="34"/>
      <c r="J139" s="28" t="str">
        <f>IFERROR(__xludf.DUMMYFUNCTION("iferror(if(I139="""","""",unique(query('tbl driver 2'!$K$2:$L1508,""SELECT L WHERE K = '""&amp;I139&amp;""'""))),"""")"),"")</f>
        <v/>
      </c>
      <c r="K139" s="31"/>
      <c r="L139" s="39"/>
      <c r="M139" s="39"/>
      <c r="N139" s="28" t="str">
        <f>IFERROR(__xludf.DUMMYFUNCTION("IF(OR(C139="""",M139=""""),"""",IFERROR(IF(M139="""","""",query('tbl user'!$A$2:$D1508,""SELECT A WHERE D = '""&amp;M139&amp;""'"")),""USER TIDAK DIKETAHUI""))"),"")</f>
        <v/>
      </c>
    </row>
    <row r="140">
      <c r="A140" s="23" t="str">
        <f t="shared" si="3"/>
        <v/>
      </c>
      <c r="B140" s="24" t="str">
        <f t="shared" si="4"/>
        <v/>
      </c>
      <c r="C140" s="28"/>
      <c r="D140" s="28"/>
      <c r="E140" s="34"/>
      <c r="F140" s="34"/>
      <c r="G140" s="34"/>
      <c r="H140" s="34"/>
      <c r="I140" s="34"/>
      <c r="J140" s="28" t="str">
        <f>IFERROR(__xludf.DUMMYFUNCTION("iferror(if(I140="""","""",unique(query('tbl driver 2'!$K$2:$L1508,""SELECT L WHERE K = '""&amp;I140&amp;""'""))),"""")"),"")</f>
        <v/>
      </c>
      <c r="K140" s="31"/>
      <c r="L140" s="39"/>
      <c r="M140" s="39"/>
      <c r="N140" s="28" t="str">
        <f>IFERROR(__xludf.DUMMYFUNCTION("IF(OR(C140="""",M140=""""),"""",IFERROR(IF(M140="""","""",query('tbl user'!$A$2:$D1508,""SELECT A WHERE D = '""&amp;M140&amp;""'"")),""USER TIDAK DIKETAHUI""))"),"")</f>
        <v/>
      </c>
    </row>
    <row r="141">
      <c r="A141" s="23" t="str">
        <f t="shared" si="3"/>
        <v/>
      </c>
      <c r="B141" s="24" t="str">
        <f t="shared" si="4"/>
        <v/>
      </c>
      <c r="C141" s="28"/>
      <c r="D141" s="28"/>
      <c r="E141" s="34"/>
      <c r="F141" s="34"/>
      <c r="G141" s="34"/>
      <c r="H141" s="34"/>
      <c r="I141" s="34"/>
      <c r="J141" s="28" t="str">
        <f>IFERROR(__xludf.DUMMYFUNCTION("iferror(if(I141="""","""",unique(query('tbl driver 2'!$K$2:$L1508,""SELECT L WHERE K = '""&amp;I141&amp;""'""))),"""")"),"")</f>
        <v/>
      </c>
      <c r="K141" s="31"/>
      <c r="L141" s="39"/>
      <c r="M141" s="39"/>
      <c r="N141" s="28" t="str">
        <f>IFERROR(__xludf.DUMMYFUNCTION("IF(OR(C141="""",M141=""""),"""",IFERROR(IF(M141="""","""",query('tbl user'!$A$2:$D1508,""SELECT A WHERE D = '""&amp;M141&amp;""'"")),""USER TIDAK DIKETAHUI""))"),"")</f>
        <v/>
      </c>
    </row>
    <row r="142">
      <c r="A142" s="23" t="str">
        <f t="shared" si="3"/>
        <v/>
      </c>
      <c r="B142" s="24" t="str">
        <f t="shared" si="4"/>
        <v/>
      </c>
      <c r="C142" s="28"/>
      <c r="D142" s="28"/>
      <c r="E142" s="34"/>
      <c r="F142" s="34"/>
      <c r="G142" s="34"/>
      <c r="H142" s="34"/>
      <c r="I142" s="34"/>
      <c r="J142" s="28" t="str">
        <f>IFERROR(__xludf.DUMMYFUNCTION("iferror(if(I142="""","""",unique(query('tbl driver 2'!$K$2:$L1508,""SELECT L WHERE K = '""&amp;I142&amp;""'""))),"""")"),"")</f>
        <v/>
      </c>
      <c r="K142" s="31"/>
      <c r="L142" s="39"/>
      <c r="M142" s="39"/>
      <c r="N142" s="28" t="str">
        <f>IFERROR(__xludf.DUMMYFUNCTION("IF(OR(C142="""",M142=""""),"""",IFERROR(IF(M142="""","""",query('tbl user'!$A$2:$D1508,""SELECT A WHERE D = '""&amp;M142&amp;""'"")),""USER TIDAK DIKETAHUI""))"),"")</f>
        <v/>
      </c>
    </row>
    <row r="143">
      <c r="A143" s="23" t="str">
        <f t="shared" si="3"/>
        <v/>
      </c>
      <c r="B143" s="24" t="str">
        <f t="shared" si="4"/>
        <v/>
      </c>
      <c r="C143" s="28"/>
      <c r="D143" s="28"/>
      <c r="E143" s="34"/>
      <c r="F143" s="34"/>
      <c r="G143" s="34"/>
      <c r="H143" s="34"/>
      <c r="I143" s="34"/>
      <c r="J143" s="28" t="str">
        <f>IFERROR(__xludf.DUMMYFUNCTION("iferror(if(I143="""","""",unique(query('tbl driver 2'!$K$2:$L1508,""SELECT L WHERE K = '""&amp;I143&amp;""'""))),"""")"),"")</f>
        <v/>
      </c>
      <c r="K143" s="31"/>
      <c r="L143" s="39"/>
      <c r="M143" s="39"/>
      <c r="N143" s="28" t="str">
        <f>IFERROR(__xludf.DUMMYFUNCTION("IF(OR(C143="""",M143=""""),"""",IFERROR(IF(M143="""","""",query('tbl user'!$A$2:$D1508,""SELECT A WHERE D = '""&amp;M143&amp;""'"")),""USER TIDAK DIKETAHUI""))"),"")</f>
        <v/>
      </c>
    </row>
    <row r="144">
      <c r="A144" s="23" t="str">
        <f t="shared" si="3"/>
        <v/>
      </c>
      <c r="B144" s="24" t="str">
        <f t="shared" si="4"/>
        <v/>
      </c>
      <c r="C144" s="28"/>
      <c r="D144" s="28"/>
      <c r="E144" s="34"/>
      <c r="F144" s="34"/>
      <c r="G144" s="34"/>
      <c r="H144" s="34"/>
      <c r="I144" s="34"/>
      <c r="J144" s="28" t="str">
        <f>IFERROR(__xludf.DUMMYFUNCTION("iferror(if(I144="""","""",unique(query('tbl driver 2'!$K$2:$L1508,""SELECT L WHERE K = '""&amp;I144&amp;""'""))),"""")"),"")</f>
        <v/>
      </c>
      <c r="K144" s="31"/>
      <c r="L144" s="39"/>
      <c r="M144" s="39"/>
      <c r="N144" s="28" t="str">
        <f>IFERROR(__xludf.DUMMYFUNCTION("IF(OR(C144="""",M144=""""),"""",IFERROR(IF(M144="""","""",query('tbl user'!$A$2:$D1508,""SELECT A WHERE D = '""&amp;M144&amp;""'"")),""USER TIDAK DIKETAHUI""))"),"")</f>
        <v/>
      </c>
    </row>
    <row r="145">
      <c r="A145" s="23" t="str">
        <f t="shared" si="3"/>
        <v/>
      </c>
      <c r="B145" s="24" t="str">
        <f t="shared" si="4"/>
        <v/>
      </c>
      <c r="C145" s="28"/>
      <c r="D145" s="28"/>
      <c r="E145" s="34"/>
      <c r="F145" s="34"/>
      <c r="G145" s="34"/>
      <c r="H145" s="34"/>
      <c r="I145" s="34"/>
      <c r="J145" s="28" t="str">
        <f>IFERROR(__xludf.DUMMYFUNCTION("iferror(if(I145="""","""",unique(query('tbl driver 2'!$K$2:$L1508,""SELECT L WHERE K = '""&amp;I145&amp;""'""))),"""")"),"")</f>
        <v/>
      </c>
      <c r="K145" s="31"/>
      <c r="L145" s="39"/>
      <c r="M145" s="39"/>
      <c r="N145" s="28" t="str">
        <f>IFERROR(__xludf.DUMMYFUNCTION("IF(OR(C145="""",M145=""""),"""",IFERROR(IF(M145="""","""",query('tbl user'!$A$2:$D1508,""SELECT A WHERE D = '""&amp;M145&amp;""'"")),""USER TIDAK DIKETAHUI""))"),"")</f>
        <v/>
      </c>
    </row>
    <row r="146">
      <c r="A146" s="23" t="str">
        <f t="shared" si="3"/>
        <v/>
      </c>
      <c r="B146" s="24" t="str">
        <f t="shared" si="4"/>
        <v/>
      </c>
      <c r="C146" s="28"/>
      <c r="D146" s="28"/>
      <c r="E146" s="34"/>
      <c r="F146" s="34"/>
      <c r="G146" s="34"/>
      <c r="H146" s="34"/>
      <c r="I146" s="34"/>
      <c r="J146" s="28" t="str">
        <f>IFERROR(__xludf.DUMMYFUNCTION("iferror(if(I146="""","""",unique(query('tbl driver 2'!$K$2:$L1508,""SELECT L WHERE K = '""&amp;I146&amp;""'""))),"""")"),"")</f>
        <v/>
      </c>
      <c r="K146" s="31"/>
      <c r="L146" s="39"/>
      <c r="M146" s="39"/>
      <c r="N146" s="28" t="str">
        <f>IFERROR(__xludf.DUMMYFUNCTION("IF(OR(C146="""",M146=""""),"""",IFERROR(IF(M146="""","""",query('tbl user'!$A$2:$D1508,""SELECT A WHERE D = '""&amp;M146&amp;""'"")),""USER TIDAK DIKETAHUI""))"),"")</f>
        <v/>
      </c>
    </row>
    <row r="147">
      <c r="A147" s="23" t="str">
        <f t="shared" si="3"/>
        <v/>
      </c>
      <c r="B147" s="24" t="str">
        <f t="shared" si="4"/>
        <v/>
      </c>
      <c r="C147" s="28"/>
      <c r="D147" s="28"/>
      <c r="E147" s="34"/>
      <c r="F147" s="34"/>
      <c r="G147" s="34"/>
      <c r="H147" s="34"/>
      <c r="I147" s="34"/>
      <c r="J147" s="28" t="str">
        <f>IFERROR(__xludf.DUMMYFUNCTION("iferror(if(I147="""","""",unique(query('tbl driver 2'!$K$2:$L1508,""SELECT L WHERE K = '""&amp;I147&amp;""'""))),"""")"),"")</f>
        <v/>
      </c>
      <c r="K147" s="31"/>
      <c r="L147" s="39"/>
      <c r="M147" s="39"/>
      <c r="N147" s="28" t="str">
        <f>IFERROR(__xludf.DUMMYFUNCTION("IF(OR(C147="""",M147=""""),"""",IFERROR(IF(M147="""","""",query('tbl user'!$A$2:$D1508,""SELECT A WHERE D = '""&amp;M147&amp;""'"")),""USER TIDAK DIKETAHUI""))"),"")</f>
        <v/>
      </c>
    </row>
    <row r="148">
      <c r="A148" s="23" t="str">
        <f t="shared" si="3"/>
        <v/>
      </c>
      <c r="B148" s="24" t="str">
        <f t="shared" si="4"/>
        <v/>
      </c>
      <c r="C148" s="28"/>
      <c r="D148" s="28"/>
      <c r="E148" s="34"/>
      <c r="F148" s="34"/>
      <c r="G148" s="34"/>
      <c r="H148" s="34"/>
      <c r="I148" s="34"/>
      <c r="J148" s="28" t="str">
        <f>IFERROR(__xludf.DUMMYFUNCTION("iferror(if(I148="""","""",unique(query('tbl driver 2'!$K$2:$L1508,""SELECT L WHERE K = '""&amp;I148&amp;""'""))),"""")"),"")</f>
        <v/>
      </c>
      <c r="K148" s="31"/>
      <c r="L148" s="39"/>
      <c r="M148" s="39"/>
      <c r="N148" s="28" t="str">
        <f>IFERROR(__xludf.DUMMYFUNCTION("IF(OR(C148="""",M148=""""),"""",IFERROR(IF(M148="""","""",query('tbl user'!$A$2:$D1508,""SELECT A WHERE D = '""&amp;M148&amp;""'"")),""USER TIDAK DIKETAHUI""))"),"")</f>
        <v/>
      </c>
    </row>
    <row r="149">
      <c r="A149" s="23" t="str">
        <f t="shared" si="3"/>
        <v/>
      </c>
      <c r="B149" s="24" t="str">
        <f t="shared" si="4"/>
        <v/>
      </c>
      <c r="C149" s="28"/>
      <c r="D149" s="28"/>
      <c r="E149" s="34"/>
      <c r="F149" s="34"/>
      <c r="G149" s="34"/>
      <c r="H149" s="34"/>
      <c r="I149" s="34"/>
      <c r="J149" s="28" t="str">
        <f>IFERROR(__xludf.DUMMYFUNCTION("iferror(if(I149="""","""",unique(query('tbl driver 2'!$K$2:$L1508,""SELECT L WHERE K = '""&amp;I149&amp;""'""))),"""")"),"")</f>
        <v/>
      </c>
      <c r="K149" s="31"/>
      <c r="L149" s="39"/>
      <c r="M149" s="39"/>
      <c r="N149" s="28" t="str">
        <f>IFERROR(__xludf.DUMMYFUNCTION("IF(OR(C149="""",M149=""""),"""",IFERROR(IF(M149="""","""",query('tbl user'!$A$2:$D1508,""SELECT A WHERE D = '""&amp;M149&amp;""'"")),""USER TIDAK DIKETAHUI""))"),"")</f>
        <v/>
      </c>
    </row>
    <row r="150">
      <c r="A150" s="23" t="str">
        <f t="shared" si="3"/>
        <v/>
      </c>
      <c r="B150" s="24" t="str">
        <f t="shared" si="4"/>
        <v/>
      </c>
      <c r="C150" s="28"/>
      <c r="D150" s="28"/>
      <c r="E150" s="34"/>
      <c r="F150" s="34"/>
      <c r="G150" s="34"/>
      <c r="H150" s="34"/>
      <c r="I150" s="34"/>
      <c r="J150" s="28" t="str">
        <f>IFERROR(__xludf.DUMMYFUNCTION("iferror(if(I150="""","""",unique(query('tbl driver 2'!$K$2:$L1508,""SELECT L WHERE K = '""&amp;I150&amp;""'""))),"""")"),"")</f>
        <v/>
      </c>
      <c r="K150" s="31"/>
      <c r="L150" s="39"/>
      <c r="M150" s="39"/>
      <c r="N150" s="28" t="str">
        <f>IFERROR(__xludf.DUMMYFUNCTION("IF(OR(C150="""",M150=""""),"""",IFERROR(IF(M150="""","""",query('tbl user'!$A$2:$D1508,""SELECT A WHERE D = '""&amp;M150&amp;""'"")),""USER TIDAK DIKETAHUI""))"),"")</f>
        <v/>
      </c>
    </row>
    <row r="151">
      <c r="A151" s="23" t="str">
        <f t="shared" si="3"/>
        <v/>
      </c>
      <c r="B151" s="24" t="str">
        <f t="shared" si="4"/>
        <v/>
      </c>
      <c r="C151" s="28"/>
      <c r="D151" s="28"/>
      <c r="E151" s="34"/>
      <c r="F151" s="34"/>
      <c r="G151" s="34"/>
      <c r="H151" s="34"/>
      <c r="I151" s="34"/>
      <c r="J151" s="28" t="str">
        <f>IFERROR(__xludf.DUMMYFUNCTION("iferror(if(I151="""","""",unique(query('tbl driver 2'!$K$2:$L1508,""SELECT L WHERE K = '""&amp;I151&amp;""'""))),"""")"),"")</f>
        <v/>
      </c>
      <c r="K151" s="31"/>
      <c r="L151" s="39"/>
      <c r="M151" s="39"/>
      <c r="N151" s="28" t="str">
        <f>IFERROR(__xludf.DUMMYFUNCTION("IF(OR(C151="""",M151=""""),"""",IFERROR(IF(M151="""","""",query('tbl user'!$A$2:$D1508,""SELECT A WHERE D = '""&amp;M151&amp;""'"")),""USER TIDAK DIKETAHUI""))"),"")</f>
        <v/>
      </c>
    </row>
    <row r="152">
      <c r="A152" s="23" t="str">
        <f t="shared" si="3"/>
        <v/>
      </c>
      <c r="B152" s="24" t="str">
        <f t="shared" si="4"/>
        <v/>
      </c>
      <c r="C152" s="28"/>
      <c r="D152" s="28"/>
      <c r="E152" s="34"/>
      <c r="F152" s="34"/>
      <c r="G152" s="34"/>
      <c r="H152" s="34"/>
      <c r="I152" s="34"/>
      <c r="J152" s="28" t="str">
        <f>IFERROR(__xludf.DUMMYFUNCTION("iferror(if(I152="""","""",unique(query('tbl driver 2'!$K$2:$L1508,""SELECT L WHERE K = '""&amp;I152&amp;""'""))),"""")"),"")</f>
        <v/>
      </c>
      <c r="K152" s="31"/>
      <c r="L152" s="39"/>
      <c r="M152" s="39"/>
      <c r="N152" s="28" t="str">
        <f>IFERROR(__xludf.DUMMYFUNCTION("IF(OR(C152="""",M152=""""),"""",IFERROR(IF(M152="""","""",query('tbl user'!$A$2:$D1508,""SELECT A WHERE D = '""&amp;M152&amp;""'"")),""USER TIDAK DIKETAHUI""))"),"")</f>
        <v/>
      </c>
    </row>
    <row r="153">
      <c r="A153" s="23" t="str">
        <f t="shared" si="3"/>
        <v/>
      </c>
      <c r="B153" s="24" t="str">
        <f t="shared" si="4"/>
        <v/>
      </c>
      <c r="C153" s="28"/>
      <c r="D153" s="28"/>
      <c r="E153" s="34"/>
      <c r="F153" s="34"/>
      <c r="G153" s="34"/>
      <c r="H153" s="34"/>
      <c r="I153" s="34"/>
      <c r="J153" s="28" t="str">
        <f>IFERROR(__xludf.DUMMYFUNCTION("iferror(if(I153="""","""",unique(query('tbl driver 2'!$K$2:$L1508,""SELECT L WHERE K = '""&amp;I153&amp;""'""))),"""")"),"")</f>
        <v/>
      </c>
      <c r="K153" s="31"/>
      <c r="L153" s="39"/>
      <c r="M153" s="39"/>
      <c r="N153" s="28" t="str">
        <f>IFERROR(__xludf.DUMMYFUNCTION("IF(OR(C153="""",M153=""""),"""",IFERROR(IF(M153="""","""",query('tbl user'!$A$2:$D1508,""SELECT A WHERE D = '""&amp;M153&amp;""'"")),""USER TIDAK DIKETAHUI""))"),"")</f>
        <v/>
      </c>
    </row>
    <row r="154">
      <c r="A154" s="23" t="str">
        <f t="shared" si="3"/>
        <v/>
      </c>
      <c r="B154" s="24" t="str">
        <f t="shared" si="4"/>
        <v/>
      </c>
      <c r="C154" s="28"/>
      <c r="D154" s="28"/>
      <c r="E154" s="34"/>
      <c r="F154" s="34"/>
      <c r="G154" s="34"/>
      <c r="H154" s="34"/>
      <c r="I154" s="34"/>
      <c r="J154" s="28" t="str">
        <f>IFERROR(__xludf.DUMMYFUNCTION("iferror(if(I154="""","""",unique(query('tbl driver 2'!$K$2:$L1508,""SELECT L WHERE K = '""&amp;I154&amp;""'""))),"""")"),"")</f>
        <v/>
      </c>
      <c r="K154" s="31"/>
      <c r="L154" s="39"/>
      <c r="M154" s="39"/>
      <c r="N154" s="28" t="str">
        <f>IFERROR(__xludf.DUMMYFUNCTION("IF(OR(C154="""",M154=""""),"""",IFERROR(IF(M154="""","""",query('tbl user'!$A$2:$D1508,""SELECT A WHERE D = '""&amp;M154&amp;""'"")),""USER TIDAK DIKETAHUI""))"),"")</f>
        <v/>
      </c>
    </row>
    <row r="155">
      <c r="A155" s="23" t="str">
        <f t="shared" si="3"/>
        <v/>
      </c>
      <c r="B155" s="24" t="str">
        <f t="shared" si="4"/>
        <v/>
      </c>
      <c r="C155" s="28"/>
      <c r="D155" s="28"/>
      <c r="E155" s="34"/>
      <c r="F155" s="34"/>
      <c r="G155" s="34"/>
      <c r="H155" s="34"/>
      <c r="I155" s="34"/>
      <c r="J155" s="28" t="str">
        <f>IFERROR(__xludf.DUMMYFUNCTION("iferror(if(I155="""","""",unique(query('tbl driver 2'!$K$2:$L1508,""SELECT L WHERE K = '""&amp;I155&amp;""'""))),"""")"),"")</f>
        <v/>
      </c>
      <c r="K155" s="31"/>
      <c r="L155" s="39"/>
      <c r="M155" s="39"/>
      <c r="N155" s="28" t="str">
        <f>IFERROR(__xludf.DUMMYFUNCTION("IF(OR(C155="""",M155=""""),"""",IFERROR(IF(M155="""","""",query('tbl user'!$A$2:$D1508,""SELECT A WHERE D = '""&amp;M155&amp;""'"")),""USER TIDAK DIKETAHUI""))"),"")</f>
        <v/>
      </c>
    </row>
    <row r="156">
      <c r="A156" s="23" t="str">
        <f t="shared" si="3"/>
        <v/>
      </c>
      <c r="B156" s="24" t="str">
        <f t="shared" si="4"/>
        <v/>
      </c>
      <c r="C156" s="28"/>
      <c r="D156" s="28"/>
      <c r="E156" s="34"/>
      <c r="F156" s="34"/>
      <c r="G156" s="34"/>
      <c r="H156" s="34"/>
      <c r="I156" s="34"/>
      <c r="J156" s="28" t="str">
        <f>IFERROR(__xludf.DUMMYFUNCTION("iferror(if(I156="""","""",unique(query('tbl driver 2'!$K$2:$L1508,""SELECT L WHERE K = '""&amp;I156&amp;""'""))),"""")"),"")</f>
        <v/>
      </c>
      <c r="K156" s="31"/>
      <c r="L156" s="39"/>
      <c r="M156" s="39"/>
      <c r="N156" s="28" t="str">
        <f>IFERROR(__xludf.DUMMYFUNCTION("IF(OR(C156="""",M156=""""),"""",IFERROR(IF(M156="""","""",query('tbl user'!$A$2:$D1508,""SELECT A WHERE D = '""&amp;M156&amp;""'"")),""USER TIDAK DIKETAHUI""))"),"")</f>
        <v/>
      </c>
    </row>
    <row r="157">
      <c r="A157" s="23" t="str">
        <f t="shared" si="3"/>
        <v/>
      </c>
      <c r="B157" s="24" t="str">
        <f t="shared" si="4"/>
        <v/>
      </c>
      <c r="C157" s="28"/>
      <c r="D157" s="28"/>
      <c r="E157" s="34"/>
      <c r="F157" s="34"/>
      <c r="G157" s="34"/>
      <c r="H157" s="34"/>
      <c r="I157" s="34"/>
      <c r="J157" s="28" t="str">
        <f>IFERROR(__xludf.DUMMYFUNCTION("iferror(if(I157="""","""",unique(query('tbl driver 2'!$K$2:$L1508,""SELECT L WHERE K = '""&amp;I157&amp;""'""))),"""")"),"")</f>
        <v/>
      </c>
      <c r="K157" s="31"/>
      <c r="L157" s="39"/>
      <c r="M157" s="39"/>
      <c r="N157" s="28" t="str">
        <f>IFERROR(__xludf.DUMMYFUNCTION("IF(OR(C157="""",M157=""""),"""",IFERROR(IF(M157="""","""",query('tbl user'!$A$2:$D1508,""SELECT A WHERE D = '""&amp;M157&amp;""'"")),""USER TIDAK DIKETAHUI""))"),"")</f>
        <v/>
      </c>
    </row>
    <row r="158">
      <c r="A158" s="23" t="str">
        <f t="shared" si="3"/>
        <v/>
      </c>
      <c r="B158" s="24" t="str">
        <f t="shared" si="4"/>
        <v/>
      </c>
      <c r="C158" s="28"/>
      <c r="D158" s="28"/>
      <c r="E158" s="34"/>
      <c r="F158" s="34"/>
      <c r="G158" s="34"/>
      <c r="H158" s="34"/>
      <c r="I158" s="34"/>
      <c r="J158" s="28" t="str">
        <f>IFERROR(__xludf.DUMMYFUNCTION("iferror(if(I158="""","""",unique(query('tbl driver 2'!$K$2:$L1508,""SELECT L WHERE K = '""&amp;I158&amp;""'""))),"""")"),"")</f>
        <v/>
      </c>
      <c r="K158" s="31"/>
      <c r="L158" s="39"/>
      <c r="M158" s="39"/>
      <c r="N158" s="28" t="str">
        <f>IFERROR(__xludf.DUMMYFUNCTION("IF(OR(C158="""",M158=""""),"""",IFERROR(IF(M158="""","""",query('tbl user'!$A$2:$D1508,""SELECT A WHERE D = '""&amp;M158&amp;""'"")),""USER TIDAK DIKETAHUI""))"),"")</f>
        <v/>
      </c>
    </row>
    <row r="159">
      <c r="A159" s="23" t="str">
        <f t="shared" si="3"/>
        <v/>
      </c>
      <c r="B159" s="24" t="str">
        <f t="shared" si="4"/>
        <v/>
      </c>
      <c r="C159" s="28"/>
      <c r="D159" s="28"/>
      <c r="E159" s="34"/>
      <c r="F159" s="34"/>
      <c r="G159" s="34"/>
      <c r="H159" s="34"/>
      <c r="I159" s="34"/>
      <c r="J159" s="28" t="str">
        <f>IFERROR(__xludf.DUMMYFUNCTION("iferror(if(I159="""","""",unique(query('tbl driver 2'!$K$2:$L1508,""SELECT L WHERE K = '""&amp;I159&amp;""'""))),"""")"),"")</f>
        <v/>
      </c>
      <c r="K159" s="31"/>
      <c r="L159" s="39"/>
      <c r="M159" s="39"/>
      <c r="N159" s="28" t="str">
        <f>IFERROR(__xludf.DUMMYFUNCTION("IF(OR(C159="""",M159=""""),"""",IFERROR(IF(M159="""","""",query('tbl user'!$A$2:$D1508,""SELECT A WHERE D = '""&amp;M159&amp;""'"")),""USER TIDAK DIKETAHUI""))"),"")</f>
        <v/>
      </c>
    </row>
    <row r="160">
      <c r="A160" s="23" t="str">
        <f t="shared" si="3"/>
        <v/>
      </c>
      <c r="B160" s="24" t="str">
        <f t="shared" si="4"/>
        <v/>
      </c>
      <c r="C160" s="28"/>
      <c r="D160" s="28"/>
      <c r="E160" s="34"/>
      <c r="F160" s="34"/>
      <c r="G160" s="34"/>
      <c r="H160" s="34"/>
      <c r="I160" s="34"/>
      <c r="J160" s="28" t="str">
        <f>IFERROR(__xludf.DUMMYFUNCTION("iferror(if(I160="""","""",unique(query('tbl driver 2'!$K$2:$L1508,""SELECT L WHERE K = '""&amp;I160&amp;""'""))),"""")"),"")</f>
        <v/>
      </c>
      <c r="K160" s="31"/>
      <c r="L160" s="39"/>
      <c r="M160" s="39"/>
      <c r="N160" s="28" t="str">
        <f>IFERROR(__xludf.DUMMYFUNCTION("IF(OR(C160="""",M160=""""),"""",IFERROR(IF(M160="""","""",query('tbl user'!$A$2:$D1508,""SELECT A WHERE D = '""&amp;M160&amp;""'"")),""USER TIDAK DIKETAHUI""))"),"")</f>
        <v/>
      </c>
    </row>
    <row r="161">
      <c r="A161" s="23" t="str">
        <f t="shared" si="3"/>
        <v/>
      </c>
      <c r="B161" s="24" t="str">
        <f t="shared" si="4"/>
        <v/>
      </c>
      <c r="C161" s="28"/>
      <c r="D161" s="28"/>
      <c r="E161" s="34"/>
      <c r="F161" s="34"/>
      <c r="G161" s="34"/>
      <c r="H161" s="34"/>
      <c r="I161" s="34"/>
      <c r="J161" s="28" t="str">
        <f>IFERROR(__xludf.DUMMYFUNCTION("iferror(if(I161="""","""",unique(query('tbl driver 2'!$K$2:$L1508,""SELECT L WHERE K = '""&amp;I161&amp;""'""))),"""")"),"")</f>
        <v/>
      </c>
      <c r="K161" s="31"/>
      <c r="L161" s="39"/>
      <c r="M161" s="39"/>
      <c r="N161" s="28" t="str">
        <f>IFERROR(__xludf.DUMMYFUNCTION("IF(OR(C161="""",M161=""""),"""",IFERROR(IF(M161="""","""",query('tbl user'!$A$2:$D1508,""SELECT A WHERE D = '""&amp;M161&amp;""'"")),""USER TIDAK DIKETAHUI""))"),"")</f>
        <v/>
      </c>
    </row>
    <row r="162">
      <c r="A162" s="23" t="str">
        <f t="shared" si="3"/>
        <v/>
      </c>
      <c r="B162" s="24" t="str">
        <f t="shared" si="4"/>
        <v/>
      </c>
      <c r="C162" s="28"/>
      <c r="D162" s="28"/>
      <c r="E162" s="34"/>
      <c r="F162" s="34"/>
      <c r="G162" s="34"/>
      <c r="H162" s="34"/>
      <c r="I162" s="34"/>
      <c r="J162" s="28" t="str">
        <f>IFERROR(__xludf.DUMMYFUNCTION("iferror(if(I162="""","""",unique(query('tbl driver 2'!$K$2:$L1508,""SELECT L WHERE K = '""&amp;I162&amp;""'""))),"""")"),"")</f>
        <v/>
      </c>
      <c r="K162" s="31"/>
      <c r="L162" s="39"/>
      <c r="M162" s="39"/>
      <c r="N162" s="28" t="str">
        <f>IFERROR(__xludf.DUMMYFUNCTION("IF(OR(C162="""",M162=""""),"""",IFERROR(IF(M162="""","""",query('tbl user'!$A$2:$D1508,""SELECT A WHERE D = '""&amp;M162&amp;""'"")),""USER TIDAK DIKETAHUI""))"),"")</f>
        <v/>
      </c>
    </row>
    <row r="163">
      <c r="A163" s="23" t="str">
        <f t="shared" si="3"/>
        <v/>
      </c>
      <c r="B163" s="24" t="str">
        <f t="shared" si="4"/>
        <v/>
      </c>
      <c r="C163" s="28"/>
      <c r="D163" s="28"/>
      <c r="E163" s="34"/>
      <c r="F163" s="34"/>
      <c r="G163" s="34"/>
      <c r="H163" s="34"/>
      <c r="I163" s="34"/>
      <c r="J163" s="28" t="str">
        <f>IFERROR(__xludf.DUMMYFUNCTION("iferror(if(I163="""","""",unique(query('tbl driver 2'!$K$2:$L1508,""SELECT L WHERE K = '""&amp;I163&amp;""'""))),"""")"),"")</f>
        <v/>
      </c>
      <c r="K163" s="31"/>
      <c r="L163" s="39"/>
      <c r="M163" s="39"/>
      <c r="N163" s="28" t="str">
        <f>IFERROR(__xludf.DUMMYFUNCTION("IF(OR(C163="""",M163=""""),"""",IFERROR(IF(M163="""","""",query('tbl user'!$A$2:$D1508,""SELECT A WHERE D = '""&amp;M163&amp;""'"")),""USER TIDAK DIKETAHUI""))"),"")</f>
        <v/>
      </c>
    </row>
    <row r="164">
      <c r="A164" s="23" t="str">
        <f t="shared" si="3"/>
        <v/>
      </c>
      <c r="B164" s="24" t="str">
        <f t="shared" si="4"/>
        <v/>
      </c>
      <c r="C164" s="28"/>
      <c r="D164" s="28"/>
      <c r="E164" s="34"/>
      <c r="F164" s="34"/>
      <c r="G164" s="34"/>
      <c r="H164" s="34"/>
      <c r="I164" s="34"/>
      <c r="J164" s="28" t="str">
        <f>IFERROR(__xludf.DUMMYFUNCTION("iferror(if(I164="""","""",unique(query('tbl driver 2'!$K$2:$L1508,""SELECT L WHERE K = '""&amp;I164&amp;""'""))),"""")"),"")</f>
        <v/>
      </c>
      <c r="K164" s="31"/>
      <c r="L164" s="39"/>
      <c r="M164" s="39"/>
      <c r="N164" s="28" t="str">
        <f>IFERROR(__xludf.DUMMYFUNCTION("IF(OR(C164="""",M164=""""),"""",IFERROR(IF(M164="""","""",query('tbl user'!$A$2:$D1508,""SELECT A WHERE D = '""&amp;M164&amp;""'"")),""USER TIDAK DIKETAHUI""))"),"")</f>
        <v/>
      </c>
    </row>
    <row r="165">
      <c r="A165" s="23" t="str">
        <f t="shared" si="3"/>
        <v/>
      </c>
      <c r="B165" s="24" t="str">
        <f t="shared" si="4"/>
        <v/>
      </c>
      <c r="C165" s="28"/>
      <c r="D165" s="28"/>
      <c r="E165" s="34"/>
      <c r="F165" s="34"/>
      <c r="G165" s="34"/>
      <c r="H165" s="34"/>
      <c r="I165" s="34"/>
      <c r="J165" s="28" t="str">
        <f>IFERROR(__xludf.DUMMYFUNCTION("iferror(if(I165="""","""",unique(query('tbl driver 2'!$K$2:$L1508,""SELECT L WHERE K = '""&amp;I165&amp;""'""))),"""")"),"")</f>
        <v/>
      </c>
      <c r="K165" s="31"/>
      <c r="L165" s="39"/>
      <c r="M165" s="39"/>
      <c r="N165" s="28" t="str">
        <f>IFERROR(__xludf.DUMMYFUNCTION("IF(OR(C165="""",M165=""""),"""",IFERROR(IF(M165="""","""",query('tbl user'!$A$2:$D1508,""SELECT A WHERE D = '""&amp;M165&amp;""'"")),""USER TIDAK DIKETAHUI""))"),"")</f>
        <v/>
      </c>
    </row>
    <row r="166">
      <c r="A166" s="23" t="str">
        <f t="shared" si="3"/>
        <v/>
      </c>
      <c r="B166" s="24" t="str">
        <f t="shared" si="4"/>
        <v/>
      </c>
      <c r="C166" s="28"/>
      <c r="D166" s="28"/>
      <c r="E166" s="34"/>
      <c r="F166" s="34"/>
      <c r="G166" s="34"/>
      <c r="H166" s="34"/>
      <c r="I166" s="34"/>
      <c r="J166" s="28" t="str">
        <f>IFERROR(__xludf.DUMMYFUNCTION("iferror(if(I166="""","""",unique(query('tbl driver 2'!$K$2:$L1508,""SELECT L WHERE K = '""&amp;I166&amp;""'""))),"""")"),"")</f>
        <v/>
      </c>
      <c r="K166" s="31"/>
      <c r="L166" s="39"/>
      <c r="M166" s="39"/>
      <c r="N166" s="28" t="str">
        <f>IFERROR(__xludf.DUMMYFUNCTION("IF(OR(C166="""",M166=""""),"""",IFERROR(IF(M166="""","""",query('tbl user'!$A$2:$D1508,""SELECT A WHERE D = '""&amp;M166&amp;""'"")),""USER TIDAK DIKETAHUI""))"),"")</f>
        <v/>
      </c>
    </row>
    <row r="167">
      <c r="A167" s="23" t="str">
        <f t="shared" si="3"/>
        <v/>
      </c>
      <c r="B167" s="24" t="str">
        <f t="shared" si="4"/>
        <v/>
      </c>
      <c r="C167" s="28"/>
      <c r="D167" s="28"/>
      <c r="E167" s="34"/>
      <c r="F167" s="34"/>
      <c r="G167" s="34"/>
      <c r="H167" s="34"/>
      <c r="I167" s="34"/>
      <c r="J167" s="28" t="str">
        <f>IFERROR(__xludf.DUMMYFUNCTION("iferror(if(I167="""","""",unique(query('tbl driver 2'!$K$2:$L1508,""SELECT L WHERE K = '""&amp;I167&amp;""'""))),"""")"),"")</f>
        <v/>
      </c>
      <c r="K167" s="31"/>
      <c r="L167" s="39"/>
      <c r="M167" s="39"/>
      <c r="N167" s="28" t="str">
        <f>IFERROR(__xludf.DUMMYFUNCTION("IF(OR(C167="""",M167=""""),"""",IFERROR(IF(M167="""","""",query('tbl user'!$A$2:$D1508,""SELECT A WHERE D = '""&amp;M167&amp;""'"")),""USER TIDAK DIKETAHUI""))"),"")</f>
        <v/>
      </c>
    </row>
    <row r="168">
      <c r="A168" s="23" t="str">
        <f t="shared" si="3"/>
        <v/>
      </c>
      <c r="B168" s="24" t="str">
        <f t="shared" si="4"/>
        <v/>
      </c>
      <c r="C168" s="28"/>
      <c r="D168" s="28"/>
      <c r="E168" s="34"/>
      <c r="F168" s="34"/>
      <c r="G168" s="34"/>
      <c r="H168" s="34"/>
      <c r="I168" s="34"/>
      <c r="J168" s="28" t="str">
        <f>IFERROR(__xludf.DUMMYFUNCTION("iferror(if(I168="""","""",unique(query('tbl driver 2'!$K$2:$L1508,""SELECT L WHERE K = '""&amp;I168&amp;""'""))),"""")"),"")</f>
        <v/>
      </c>
      <c r="K168" s="31"/>
      <c r="L168" s="39"/>
      <c r="M168" s="39"/>
      <c r="N168" s="28" t="str">
        <f>IFERROR(__xludf.DUMMYFUNCTION("IF(OR(C168="""",M168=""""),"""",IFERROR(IF(M168="""","""",query('tbl user'!$A$2:$D1508,""SELECT A WHERE D = '""&amp;M168&amp;""'"")),""USER TIDAK DIKETAHUI""))"),"")</f>
        <v/>
      </c>
    </row>
    <row r="169">
      <c r="A169" s="23" t="str">
        <f t="shared" si="3"/>
        <v/>
      </c>
      <c r="B169" s="24" t="str">
        <f t="shared" si="4"/>
        <v/>
      </c>
      <c r="C169" s="28"/>
      <c r="D169" s="28"/>
      <c r="E169" s="34"/>
      <c r="F169" s="34"/>
      <c r="G169" s="34"/>
      <c r="H169" s="34"/>
      <c r="I169" s="34"/>
      <c r="J169" s="28" t="str">
        <f>IFERROR(__xludf.DUMMYFUNCTION("iferror(if(I169="""","""",unique(query('tbl driver 2'!$K$2:$L1508,""SELECT L WHERE K = '""&amp;I169&amp;""'""))),"""")"),"")</f>
        <v/>
      </c>
      <c r="K169" s="31"/>
      <c r="L169" s="39"/>
      <c r="M169" s="39"/>
      <c r="N169" s="28" t="str">
        <f>IFERROR(__xludf.DUMMYFUNCTION("IF(OR(C169="""",M169=""""),"""",IFERROR(IF(M169="""","""",query('tbl user'!$A$2:$D1508,""SELECT A WHERE D = '""&amp;M169&amp;""'"")),""USER TIDAK DIKETAHUI""))"),"")</f>
        <v/>
      </c>
    </row>
    <row r="170">
      <c r="A170" s="23" t="str">
        <f t="shared" si="3"/>
        <v/>
      </c>
      <c r="B170" s="24" t="str">
        <f t="shared" si="4"/>
        <v/>
      </c>
      <c r="C170" s="28"/>
      <c r="D170" s="28"/>
      <c r="E170" s="34"/>
      <c r="F170" s="34"/>
      <c r="G170" s="34"/>
      <c r="H170" s="34"/>
      <c r="I170" s="34"/>
      <c r="J170" s="28" t="str">
        <f>IFERROR(__xludf.DUMMYFUNCTION("iferror(if(I170="""","""",unique(query('tbl driver 2'!$K$2:$L1508,""SELECT L WHERE K = '""&amp;I170&amp;""'""))),"""")"),"")</f>
        <v/>
      </c>
      <c r="K170" s="31"/>
      <c r="L170" s="39"/>
      <c r="M170" s="39"/>
      <c r="N170" s="28" t="str">
        <f>IFERROR(__xludf.DUMMYFUNCTION("IF(OR(C170="""",M170=""""),"""",IFERROR(IF(M170="""","""",query('tbl user'!$A$2:$D1508,""SELECT A WHERE D = '""&amp;M170&amp;""'"")),""USER TIDAK DIKETAHUI""))"),"")</f>
        <v/>
      </c>
    </row>
    <row r="171">
      <c r="A171" s="23" t="str">
        <f t="shared" si="3"/>
        <v/>
      </c>
      <c r="B171" s="24" t="str">
        <f t="shared" si="4"/>
        <v/>
      </c>
      <c r="C171" s="28"/>
      <c r="D171" s="28"/>
      <c r="E171" s="34"/>
      <c r="F171" s="34"/>
      <c r="G171" s="34"/>
      <c r="H171" s="34"/>
      <c r="I171" s="34"/>
      <c r="J171" s="28" t="str">
        <f>IFERROR(__xludf.DUMMYFUNCTION("iferror(if(I171="""","""",unique(query('tbl driver 2'!$K$2:$L1508,""SELECT L WHERE K = '""&amp;I171&amp;""'""))),"""")"),"")</f>
        <v/>
      </c>
      <c r="K171" s="31"/>
      <c r="L171" s="39"/>
      <c r="M171" s="39"/>
      <c r="N171" s="28" t="str">
        <f>IFERROR(__xludf.DUMMYFUNCTION("IF(OR(C171="""",M171=""""),"""",IFERROR(IF(M171="""","""",query('tbl user'!$A$2:$D1508,""SELECT A WHERE D = '""&amp;M171&amp;""'"")),""USER TIDAK DIKETAHUI""))"),"")</f>
        <v/>
      </c>
    </row>
    <row r="172">
      <c r="A172" s="23" t="str">
        <f t="shared" si="3"/>
        <v/>
      </c>
      <c r="B172" s="24" t="str">
        <f t="shared" si="4"/>
        <v/>
      </c>
      <c r="C172" s="28"/>
      <c r="D172" s="28"/>
      <c r="E172" s="34"/>
      <c r="F172" s="34"/>
      <c r="G172" s="34"/>
      <c r="H172" s="34"/>
      <c r="I172" s="34"/>
      <c r="J172" s="28" t="str">
        <f>IFERROR(__xludf.DUMMYFUNCTION("iferror(if(I172="""","""",unique(query('tbl driver 2'!$K$2:$L1508,""SELECT L WHERE K = '""&amp;I172&amp;""'""))),"""")"),"")</f>
        <v/>
      </c>
      <c r="K172" s="31"/>
      <c r="L172" s="39"/>
      <c r="M172" s="39"/>
      <c r="N172" s="28" t="str">
        <f>IFERROR(__xludf.DUMMYFUNCTION("IF(OR(C172="""",M172=""""),"""",IFERROR(IF(M172="""","""",query('tbl user'!$A$2:$D1508,""SELECT A WHERE D = '""&amp;M172&amp;""'"")),""USER TIDAK DIKETAHUI""))"),"")</f>
        <v/>
      </c>
    </row>
    <row r="173">
      <c r="A173" s="23" t="str">
        <f t="shared" si="3"/>
        <v/>
      </c>
      <c r="B173" s="24" t="str">
        <f t="shared" si="4"/>
        <v/>
      </c>
      <c r="C173" s="28"/>
      <c r="D173" s="28"/>
      <c r="E173" s="34"/>
      <c r="F173" s="34"/>
      <c r="G173" s="34"/>
      <c r="H173" s="34"/>
      <c r="I173" s="34"/>
      <c r="J173" s="28" t="str">
        <f>IFERROR(__xludf.DUMMYFUNCTION("iferror(if(I173="""","""",unique(query('tbl driver 2'!$K$2:$L1508,""SELECT L WHERE K = '""&amp;I173&amp;""'""))),"""")"),"")</f>
        <v/>
      </c>
      <c r="K173" s="31"/>
      <c r="L173" s="39"/>
      <c r="M173" s="39"/>
      <c r="N173" s="28" t="str">
        <f>IFERROR(__xludf.DUMMYFUNCTION("IF(OR(C173="""",M173=""""),"""",IFERROR(IF(M173="""","""",query('tbl user'!$A$2:$D1508,""SELECT A WHERE D = '""&amp;M173&amp;""'"")),""USER TIDAK DIKETAHUI""))"),"")</f>
        <v/>
      </c>
    </row>
    <row r="174">
      <c r="A174" s="23" t="str">
        <f t="shared" si="3"/>
        <v/>
      </c>
      <c r="B174" s="24" t="str">
        <f t="shared" si="4"/>
        <v/>
      </c>
      <c r="C174" s="28"/>
      <c r="D174" s="28"/>
      <c r="E174" s="34"/>
      <c r="F174" s="34"/>
      <c r="G174" s="34"/>
      <c r="H174" s="34"/>
      <c r="I174" s="34"/>
      <c r="J174" s="28" t="str">
        <f>IFERROR(__xludf.DUMMYFUNCTION("iferror(if(I174="""","""",unique(query('tbl driver 2'!$K$2:$L1508,""SELECT L WHERE K = '""&amp;I174&amp;""'""))),"""")"),"")</f>
        <v/>
      </c>
      <c r="K174" s="31"/>
      <c r="L174" s="39"/>
      <c r="M174" s="39"/>
      <c r="N174" s="28" t="str">
        <f>IFERROR(__xludf.DUMMYFUNCTION("IF(OR(C174="""",M174=""""),"""",IFERROR(IF(M174="""","""",query('tbl user'!$A$2:$D1508,""SELECT A WHERE D = '""&amp;M174&amp;""'"")),""USER TIDAK DIKETAHUI""))"),"")</f>
        <v/>
      </c>
    </row>
    <row r="175">
      <c r="A175" s="23" t="str">
        <f t="shared" si="3"/>
        <v/>
      </c>
      <c r="B175" s="24" t="str">
        <f t="shared" si="4"/>
        <v/>
      </c>
      <c r="C175" s="28"/>
      <c r="D175" s="28"/>
      <c r="E175" s="34"/>
      <c r="F175" s="34"/>
      <c r="G175" s="34"/>
      <c r="H175" s="34"/>
      <c r="I175" s="34"/>
      <c r="J175" s="28" t="str">
        <f>IFERROR(__xludf.DUMMYFUNCTION("iferror(if(I175="""","""",unique(query('tbl driver 2'!$K$2:$L1508,""SELECT L WHERE K = '""&amp;I175&amp;""'""))),"""")"),"")</f>
        <v/>
      </c>
      <c r="K175" s="31"/>
      <c r="L175" s="39"/>
      <c r="M175" s="39"/>
      <c r="N175" s="28" t="str">
        <f>IFERROR(__xludf.DUMMYFUNCTION("IF(OR(C175="""",M175=""""),"""",IFERROR(IF(M175="""","""",query('tbl user'!$A$2:$D1508,""SELECT A WHERE D = '""&amp;M175&amp;""'"")),""USER TIDAK DIKETAHUI""))"),"")</f>
        <v/>
      </c>
    </row>
    <row r="176">
      <c r="A176" s="23" t="str">
        <f t="shared" si="3"/>
        <v/>
      </c>
      <c r="B176" s="24" t="str">
        <f t="shared" si="4"/>
        <v/>
      </c>
      <c r="C176" s="28"/>
      <c r="D176" s="28"/>
      <c r="E176" s="34"/>
      <c r="F176" s="34"/>
      <c r="G176" s="34"/>
      <c r="H176" s="34"/>
      <c r="I176" s="34"/>
      <c r="J176" s="28" t="str">
        <f>IFERROR(__xludf.DUMMYFUNCTION("iferror(if(I176="""","""",unique(query('tbl driver 2'!$K$2:$L1508,""SELECT L WHERE K = '""&amp;I176&amp;""'""))),"""")"),"")</f>
        <v/>
      </c>
      <c r="K176" s="31"/>
      <c r="L176" s="39"/>
      <c r="M176" s="39"/>
      <c r="N176" s="28" t="str">
        <f>IFERROR(__xludf.DUMMYFUNCTION("IF(OR(C176="""",M176=""""),"""",IFERROR(IF(M176="""","""",query('tbl user'!$A$2:$D1508,""SELECT A WHERE D = '""&amp;M176&amp;""'"")),""USER TIDAK DIKETAHUI""))"),"")</f>
        <v/>
      </c>
    </row>
    <row r="177">
      <c r="A177" s="23" t="str">
        <f t="shared" si="3"/>
        <v/>
      </c>
      <c r="B177" s="24" t="str">
        <f t="shared" si="4"/>
        <v/>
      </c>
      <c r="C177" s="28"/>
      <c r="D177" s="28"/>
      <c r="E177" s="34"/>
      <c r="F177" s="34"/>
      <c r="G177" s="34"/>
      <c r="H177" s="34"/>
      <c r="I177" s="34"/>
      <c r="J177" s="28" t="str">
        <f>IFERROR(__xludf.DUMMYFUNCTION("iferror(if(I177="""","""",unique(query('tbl driver 2'!$K$2:$L1508,""SELECT L WHERE K = '""&amp;I177&amp;""'""))),"""")"),"")</f>
        <v/>
      </c>
      <c r="K177" s="31"/>
      <c r="L177" s="39"/>
      <c r="M177" s="39"/>
      <c r="N177" s="28" t="str">
        <f>IFERROR(__xludf.DUMMYFUNCTION("IF(OR(C177="""",M177=""""),"""",IFERROR(IF(M177="""","""",query('tbl user'!$A$2:$D1508,""SELECT A WHERE D = '""&amp;M177&amp;""'"")),""USER TIDAK DIKETAHUI""))"),"")</f>
        <v/>
      </c>
    </row>
    <row r="178">
      <c r="A178" s="23" t="str">
        <f t="shared" si="3"/>
        <v/>
      </c>
      <c r="B178" s="24" t="str">
        <f t="shared" si="4"/>
        <v/>
      </c>
      <c r="C178" s="28"/>
      <c r="D178" s="28"/>
      <c r="E178" s="34"/>
      <c r="F178" s="34"/>
      <c r="G178" s="34"/>
      <c r="H178" s="34"/>
      <c r="I178" s="34"/>
      <c r="J178" s="28" t="str">
        <f>IFERROR(__xludf.DUMMYFUNCTION("iferror(if(I178="""","""",unique(query('tbl driver 2'!$K$2:$L1508,""SELECT L WHERE K = '""&amp;I178&amp;""'""))),"""")"),"")</f>
        <v/>
      </c>
      <c r="K178" s="31"/>
      <c r="L178" s="39"/>
      <c r="M178" s="39"/>
      <c r="N178" s="28" t="str">
        <f>IFERROR(__xludf.DUMMYFUNCTION("IF(OR(C178="""",M178=""""),"""",IFERROR(IF(M178="""","""",query('tbl user'!$A$2:$D1508,""SELECT A WHERE D = '""&amp;M178&amp;""'"")),""USER TIDAK DIKETAHUI""))"),"")</f>
        <v/>
      </c>
    </row>
    <row r="179">
      <c r="A179" s="23" t="str">
        <f t="shared" si="3"/>
        <v/>
      </c>
      <c r="B179" s="24" t="str">
        <f t="shared" si="4"/>
        <v/>
      </c>
      <c r="C179" s="28"/>
      <c r="D179" s="28"/>
      <c r="E179" s="34"/>
      <c r="F179" s="34"/>
      <c r="G179" s="34"/>
      <c r="H179" s="34"/>
      <c r="I179" s="34"/>
      <c r="J179" s="28" t="str">
        <f>IFERROR(__xludf.DUMMYFUNCTION("iferror(if(I179="""","""",unique(query('tbl driver 2'!$K$2:$L1508,""SELECT L WHERE K = '""&amp;I179&amp;""'""))),"""")"),"")</f>
        <v/>
      </c>
      <c r="K179" s="31"/>
      <c r="L179" s="39"/>
      <c r="M179" s="39"/>
      <c r="N179" s="28" t="str">
        <f>IFERROR(__xludf.DUMMYFUNCTION("IF(OR(C179="""",M179=""""),"""",IFERROR(IF(M179="""","""",query('tbl user'!$A$2:$D1508,""SELECT A WHERE D = '""&amp;M179&amp;""'"")),""USER TIDAK DIKETAHUI""))"),"")</f>
        <v/>
      </c>
    </row>
    <row r="180">
      <c r="A180" s="23" t="str">
        <f t="shared" si="3"/>
        <v/>
      </c>
      <c r="B180" s="24" t="str">
        <f t="shared" si="4"/>
        <v/>
      </c>
      <c r="C180" s="28"/>
      <c r="D180" s="28"/>
      <c r="E180" s="34"/>
      <c r="F180" s="34"/>
      <c r="G180" s="34"/>
      <c r="H180" s="34"/>
      <c r="I180" s="34"/>
      <c r="J180" s="28" t="str">
        <f>IFERROR(__xludf.DUMMYFUNCTION("iferror(if(I180="""","""",unique(query('tbl driver 2'!$K$2:$L1508,""SELECT L WHERE K = '""&amp;I180&amp;""'""))),"""")"),"")</f>
        <v/>
      </c>
      <c r="K180" s="31"/>
      <c r="L180" s="39"/>
      <c r="M180" s="39"/>
      <c r="N180" s="28" t="str">
        <f>IFERROR(__xludf.DUMMYFUNCTION("IF(OR(C180="""",M180=""""),"""",IFERROR(IF(M180="""","""",query('tbl user'!$A$2:$D1508,""SELECT A WHERE D = '""&amp;M180&amp;""'"")),""USER TIDAK DIKETAHUI""))"),"")</f>
        <v/>
      </c>
    </row>
    <row r="181">
      <c r="A181" s="23" t="str">
        <f t="shared" si="3"/>
        <v/>
      </c>
      <c r="B181" s="24" t="str">
        <f t="shared" si="4"/>
        <v/>
      </c>
      <c r="C181" s="28"/>
      <c r="D181" s="28"/>
      <c r="E181" s="34"/>
      <c r="F181" s="34"/>
      <c r="G181" s="34"/>
      <c r="H181" s="34"/>
      <c r="I181" s="34"/>
      <c r="J181" s="28" t="str">
        <f>IFERROR(__xludf.DUMMYFUNCTION("iferror(if(I181="""","""",unique(query('tbl driver 2'!$K$2:$L1508,""SELECT L WHERE K = '""&amp;I181&amp;""'""))),"""")"),"")</f>
        <v/>
      </c>
      <c r="K181" s="31"/>
      <c r="L181" s="39"/>
      <c r="M181" s="39"/>
      <c r="N181" s="28" t="str">
        <f>IFERROR(__xludf.DUMMYFUNCTION("IF(OR(C181="""",M181=""""),"""",IFERROR(IF(M181="""","""",query('tbl user'!$A$2:$D1508,""SELECT A WHERE D = '""&amp;M181&amp;""'"")),""USER TIDAK DIKETAHUI""))"),"")</f>
        <v/>
      </c>
    </row>
    <row r="182">
      <c r="A182" s="23" t="str">
        <f t="shared" si="3"/>
        <v/>
      </c>
      <c r="B182" s="24" t="str">
        <f t="shared" si="4"/>
        <v/>
      </c>
      <c r="C182" s="28"/>
      <c r="D182" s="28"/>
      <c r="E182" s="34"/>
      <c r="F182" s="34"/>
      <c r="G182" s="34"/>
      <c r="H182" s="34"/>
      <c r="I182" s="34"/>
      <c r="J182" s="28" t="str">
        <f>IFERROR(__xludf.DUMMYFUNCTION("iferror(if(I182="""","""",unique(query('tbl driver 2'!$K$2:$L1508,""SELECT L WHERE K = '""&amp;I182&amp;""'""))),"""")"),"")</f>
        <v/>
      </c>
      <c r="K182" s="31"/>
      <c r="L182" s="39"/>
      <c r="M182" s="39"/>
      <c r="N182" s="28" t="str">
        <f>IFERROR(__xludf.DUMMYFUNCTION("IF(OR(C182="""",M182=""""),"""",IFERROR(IF(M182="""","""",query('tbl user'!$A$2:$D1508,""SELECT A WHERE D = '""&amp;M182&amp;""'"")),""USER TIDAK DIKETAHUI""))"),"")</f>
        <v/>
      </c>
    </row>
    <row r="183">
      <c r="A183" s="23" t="str">
        <f t="shared" si="3"/>
        <v/>
      </c>
      <c r="B183" s="24" t="str">
        <f t="shared" si="4"/>
        <v/>
      </c>
      <c r="C183" s="28"/>
      <c r="D183" s="28"/>
      <c r="E183" s="34"/>
      <c r="F183" s="34"/>
      <c r="G183" s="34"/>
      <c r="H183" s="34"/>
      <c r="I183" s="34"/>
      <c r="J183" s="28" t="str">
        <f>IFERROR(__xludf.DUMMYFUNCTION("iferror(if(I183="""","""",unique(query('tbl driver 2'!$K$2:$L1508,""SELECT L WHERE K = '""&amp;I183&amp;""'""))),"""")"),"")</f>
        <v/>
      </c>
      <c r="K183" s="31"/>
      <c r="L183" s="39"/>
      <c r="M183" s="39"/>
      <c r="N183" s="28" t="str">
        <f>IFERROR(__xludf.DUMMYFUNCTION("IF(OR(C183="""",M183=""""),"""",IFERROR(IF(M183="""","""",query('tbl user'!$A$2:$D1508,""SELECT A WHERE D = '""&amp;M183&amp;""'"")),""USER TIDAK DIKETAHUI""))"),"")</f>
        <v/>
      </c>
    </row>
    <row r="184">
      <c r="A184" s="23" t="str">
        <f t="shared" si="3"/>
        <v/>
      </c>
      <c r="B184" s="24" t="str">
        <f t="shared" si="4"/>
        <v/>
      </c>
      <c r="C184" s="28"/>
      <c r="D184" s="28"/>
      <c r="E184" s="34"/>
      <c r="F184" s="34"/>
      <c r="G184" s="34"/>
      <c r="H184" s="34"/>
      <c r="I184" s="34"/>
      <c r="J184" s="28" t="str">
        <f>IFERROR(__xludf.DUMMYFUNCTION("iferror(if(I184="""","""",unique(query('tbl driver 2'!$K$2:$L1508,""SELECT L WHERE K = '""&amp;I184&amp;""'""))),"""")"),"")</f>
        <v/>
      </c>
      <c r="K184" s="31"/>
      <c r="L184" s="39"/>
      <c r="M184" s="39"/>
      <c r="N184" s="28" t="str">
        <f>IFERROR(__xludf.DUMMYFUNCTION("IF(OR(C184="""",M184=""""),"""",IFERROR(IF(M184="""","""",query('tbl user'!$A$2:$D1508,""SELECT A WHERE D = '""&amp;M184&amp;""'"")),""USER TIDAK DIKETAHUI""))"),"")</f>
        <v/>
      </c>
    </row>
    <row r="185">
      <c r="A185" s="23" t="str">
        <f t="shared" si="3"/>
        <v/>
      </c>
      <c r="B185" s="24" t="str">
        <f t="shared" si="4"/>
        <v/>
      </c>
      <c r="C185" s="28"/>
      <c r="D185" s="28"/>
      <c r="E185" s="34"/>
      <c r="F185" s="34"/>
      <c r="G185" s="34"/>
      <c r="H185" s="34"/>
      <c r="I185" s="34"/>
      <c r="J185" s="28" t="str">
        <f>IFERROR(__xludf.DUMMYFUNCTION("iferror(if(I185="""","""",unique(query('tbl driver 2'!$K$2:$L1508,""SELECT L WHERE K = '""&amp;I185&amp;""'""))),"""")"),"")</f>
        <v/>
      </c>
      <c r="K185" s="31"/>
      <c r="L185" s="39"/>
      <c r="M185" s="39"/>
      <c r="N185" s="28" t="str">
        <f>IFERROR(__xludf.DUMMYFUNCTION("IF(OR(C185="""",M185=""""),"""",IFERROR(IF(M185="""","""",query('tbl user'!$A$2:$D1508,""SELECT A WHERE D = '""&amp;M185&amp;""'"")),""USER TIDAK DIKETAHUI""))"),"")</f>
        <v/>
      </c>
    </row>
    <row r="186">
      <c r="A186" s="23" t="str">
        <f t="shared" si="3"/>
        <v/>
      </c>
      <c r="B186" s="24" t="str">
        <f t="shared" si="4"/>
        <v/>
      </c>
      <c r="C186" s="28"/>
      <c r="D186" s="28"/>
      <c r="E186" s="34"/>
      <c r="F186" s="34"/>
      <c r="G186" s="34"/>
      <c r="H186" s="34"/>
      <c r="I186" s="34"/>
      <c r="J186" s="28" t="str">
        <f>IFERROR(__xludf.DUMMYFUNCTION("iferror(if(I186="""","""",unique(query('tbl driver 2'!$K$2:$L1508,""SELECT L WHERE K = '""&amp;I186&amp;""'""))),"""")"),"")</f>
        <v/>
      </c>
      <c r="K186" s="31"/>
      <c r="L186" s="39"/>
      <c r="M186" s="39"/>
      <c r="N186" s="28" t="str">
        <f>IFERROR(__xludf.DUMMYFUNCTION("IF(OR(C186="""",M186=""""),"""",IFERROR(IF(M186="""","""",query('tbl user'!$A$2:$D1508,""SELECT A WHERE D = '""&amp;M186&amp;""'"")),""USER TIDAK DIKETAHUI""))"),"")</f>
        <v/>
      </c>
    </row>
    <row r="187">
      <c r="A187" s="23" t="str">
        <f t="shared" si="3"/>
        <v/>
      </c>
      <c r="B187" s="24" t="str">
        <f t="shared" si="4"/>
        <v/>
      </c>
      <c r="C187" s="28"/>
      <c r="D187" s="28"/>
      <c r="E187" s="34"/>
      <c r="F187" s="34"/>
      <c r="G187" s="34"/>
      <c r="H187" s="34"/>
      <c r="I187" s="34"/>
      <c r="J187" s="28" t="str">
        <f>IFERROR(__xludf.DUMMYFUNCTION("iferror(if(I187="""","""",unique(query('tbl driver 2'!$K$2:$L1508,""SELECT L WHERE K = '""&amp;I187&amp;""'""))),"""")"),"")</f>
        <v/>
      </c>
      <c r="K187" s="31"/>
      <c r="L187" s="39"/>
      <c r="M187" s="39"/>
      <c r="N187" s="28" t="str">
        <f>IFERROR(__xludf.DUMMYFUNCTION("IF(OR(C187="""",M187=""""),"""",IFERROR(IF(M187="""","""",query('tbl user'!$A$2:$D1508,""SELECT A WHERE D = '""&amp;M187&amp;""'"")),""USER TIDAK DIKETAHUI""))"),"")</f>
        <v/>
      </c>
    </row>
    <row r="188">
      <c r="A188" s="23" t="str">
        <f t="shared" si="3"/>
        <v/>
      </c>
      <c r="B188" s="24" t="str">
        <f t="shared" si="4"/>
        <v/>
      </c>
      <c r="C188" s="28"/>
      <c r="D188" s="28"/>
      <c r="E188" s="34"/>
      <c r="F188" s="34"/>
      <c r="G188" s="34"/>
      <c r="H188" s="34"/>
      <c r="I188" s="34"/>
      <c r="J188" s="28" t="str">
        <f>IFERROR(__xludf.DUMMYFUNCTION("iferror(if(I188="""","""",unique(query('tbl driver 2'!$K$2:$L1508,""SELECT L WHERE K = '""&amp;I188&amp;""'""))),"""")"),"")</f>
        <v/>
      </c>
      <c r="K188" s="31"/>
      <c r="L188" s="39"/>
      <c r="M188" s="39"/>
      <c r="N188" s="28" t="str">
        <f>IFERROR(__xludf.DUMMYFUNCTION("IF(OR(C188="""",M188=""""),"""",IFERROR(IF(M188="""","""",query('tbl user'!$A$2:$D1508,""SELECT A WHERE D = '""&amp;M188&amp;""'"")),""USER TIDAK DIKETAHUI""))"),"")</f>
        <v/>
      </c>
    </row>
    <row r="189">
      <c r="A189" s="23" t="str">
        <f t="shared" si="3"/>
        <v/>
      </c>
      <c r="B189" s="24" t="str">
        <f t="shared" si="4"/>
        <v/>
      </c>
      <c r="C189" s="28"/>
      <c r="D189" s="28"/>
      <c r="E189" s="34"/>
      <c r="F189" s="34"/>
      <c r="G189" s="34"/>
      <c r="H189" s="34"/>
      <c r="I189" s="34"/>
      <c r="J189" s="28" t="str">
        <f>IFERROR(__xludf.DUMMYFUNCTION("iferror(if(I189="""","""",unique(query('tbl driver 2'!$K$2:$L1508,""SELECT L WHERE K = '""&amp;I189&amp;""'""))),"""")"),"")</f>
        <v/>
      </c>
      <c r="K189" s="31"/>
      <c r="L189" s="39"/>
      <c r="M189" s="39"/>
      <c r="N189" s="28" t="str">
        <f>IFERROR(__xludf.DUMMYFUNCTION("IF(OR(C189="""",M189=""""),"""",IFERROR(IF(M189="""","""",query('tbl user'!$A$2:$D1508,""SELECT A WHERE D = '""&amp;M189&amp;""'"")),""USER TIDAK DIKETAHUI""))"),"")</f>
        <v/>
      </c>
    </row>
    <row r="190">
      <c r="A190" s="23" t="str">
        <f t="shared" si="3"/>
        <v/>
      </c>
      <c r="B190" s="24" t="str">
        <f t="shared" si="4"/>
        <v/>
      </c>
      <c r="C190" s="28"/>
      <c r="D190" s="28"/>
      <c r="E190" s="34"/>
      <c r="F190" s="34"/>
      <c r="G190" s="34"/>
      <c r="H190" s="34"/>
      <c r="I190" s="34"/>
      <c r="J190" s="28" t="str">
        <f>IFERROR(__xludf.DUMMYFUNCTION("iferror(if(I190="""","""",unique(query('tbl driver 2'!$K$2:$L1508,""SELECT L WHERE K = '""&amp;I190&amp;""'""))),"""")"),"")</f>
        <v/>
      </c>
      <c r="K190" s="31"/>
      <c r="L190" s="39"/>
      <c r="M190" s="39"/>
      <c r="N190" s="28" t="str">
        <f>IFERROR(__xludf.DUMMYFUNCTION("IF(OR(C190="""",M190=""""),"""",IFERROR(IF(M190="""","""",query('tbl user'!$A$2:$D1508,""SELECT A WHERE D = '""&amp;M190&amp;""'"")),""USER TIDAK DIKETAHUI""))"),"")</f>
        <v/>
      </c>
    </row>
    <row r="191">
      <c r="A191" s="23" t="str">
        <f t="shared" si="3"/>
        <v/>
      </c>
      <c r="B191" s="24" t="str">
        <f t="shared" si="4"/>
        <v/>
      </c>
      <c r="C191" s="28"/>
      <c r="D191" s="28"/>
      <c r="E191" s="34"/>
      <c r="F191" s="34"/>
      <c r="G191" s="34"/>
      <c r="H191" s="34"/>
      <c r="I191" s="34"/>
      <c r="J191" s="28" t="str">
        <f>IFERROR(__xludf.DUMMYFUNCTION("iferror(if(I191="""","""",unique(query('tbl driver 2'!$K$2:$L1508,""SELECT L WHERE K = '""&amp;I191&amp;""'""))),"""")"),"")</f>
        <v/>
      </c>
      <c r="K191" s="31"/>
      <c r="L191" s="39"/>
      <c r="M191" s="39"/>
      <c r="N191" s="28" t="str">
        <f>IFERROR(__xludf.DUMMYFUNCTION("IF(OR(C191="""",M191=""""),"""",IFERROR(IF(M191="""","""",query('tbl user'!$A$2:$D1508,""SELECT A WHERE D = '""&amp;M191&amp;""'"")),""USER TIDAK DIKETAHUI""))"),"")</f>
        <v/>
      </c>
    </row>
    <row r="192">
      <c r="A192" s="23" t="str">
        <f t="shared" si="3"/>
        <v/>
      </c>
      <c r="B192" s="24" t="str">
        <f t="shared" si="4"/>
        <v/>
      </c>
      <c r="C192" s="28"/>
      <c r="D192" s="28"/>
      <c r="E192" s="34"/>
      <c r="F192" s="34"/>
      <c r="G192" s="34"/>
      <c r="H192" s="34"/>
      <c r="I192" s="34"/>
      <c r="J192" s="28" t="str">
        <f>IFERROR(__xludf.DUMMYFUNCTION("iferror(if(I192="""","""",unique(query('tbl driver 2'!$K$2:$L1508,""SELECT L WHERE K = '""&amp;I192&amp;""'""))),"""")"),"")</f>
        <v/>
      </c>
      <c r="K192" s="31"/>
      <c r="L192" s="39"/>
      <c r="M192" s="39"/>
      <c r="N192" s="28" t="str">
        <f>IFERROR(__xludf.DUMMYFUNCTION("IF(OR(C192="""",M192=""""),"""",IFERROR(IF(M192="""","""",query('tbl user'!$A$2:$D1508,""SELECT A WHERE D = '""&amp;M192&amp;""'"")),""USER TIDAK DIKETAHUI""))"),"")</f>
        <v/>
      </c>
    </row>
    <row r="193">
      <c r="A193" s="23" t="str">
        <f t="shared" si="3"/>
        <v/>
      </c>
      <c r="B193" s="24" t="str">
        <f t="shared" si="4"/>
        <v/>
      </c>
      <c r="C193" s="28"/>
      <c r="D193" s="28"/>
      <c r="E193" s="34"/>
      <c r="F193" s="34"/>
      <c r="G193" s="34"/>
      <c r="H193" s="34"/>
      <c r="I193" s="34"/>
      <c r="J193" s="28" t="str">
        <f>IFERROR(__xludf.DUMMYFUNCTION("iferror(if(I193="""","""",unique(query('tbl driver 2'!$K$2:$L1508,""SELECT L WHERE K = '""&amp;I193&amp;""'""))),"""")"),"")</f>
        <v/>
      </c>
      <c r="K193" s="31"/>
      <c r="L193" s="39"/>
      <c r="M193" s="39"/>
      <c r="N193" s="28" t="str">
        <f>IFERROR(__xludf.DUMMYFUNCTION("IF(OR(C193="""",M193=""""),"""",IFERROR(IF(M193="""","""",query('tbl user'!$A$2:$D1508,""SELECT A WHERE D = '""&amp;M193&amp;""'"")),""USER TIDAK DIKETAHUI""))"),"")</f>
        <v/>
      </c>
    </row>
    <row r="194">
      <c r="A194" s="23" t="str">
        <f t="shared" si="3"/>
        <v/>
      </c>
      <c r="B194" s="24" t="str">
        <f t="shared" si="4"/>
        <v/>
      </c>
      <c r="C194" s="28"/>
      <c r="D194" s="28"/>
      <c r="E194" s="34"/>
      <c r="F194" s="34"/>
      <c r="G194" s="34"/>
      <c r="H194" s="34"/>
      <c r="I194" s="34"/>
      <c r="J194" s="28" t="str">
        <f>IFERROR(__xludf.DUMMYFUNCTION("iferror(if(I194="""","""",unique(query('tbl driver 2'!$K$2:$L1508,""SELECT L WHERE K = '""&amp;I194&amp;""'""))),"""")"),"")</f>
        <v/>
      </c>
      <c r="K194" s="31"/>
      <c r="L194" s="39"/>
      <c r="M194" s="39"/>
      <c r="N194" s="28" t="str">
        <f>IFERROR(__xludf.DUMMYFUNCTION("IF(OR(C194="""",M194=""""),"""",IFERROR(IF(M194="""","""",query('tbl user'!$A$2:$D1508,""SELECT A WHERE D = '""&amp;M194&amp;""'"")),""USER TIDAK DIKETAHUI""))"),"")</f>
        <v/>
      </c>
    </row>
    <row r="195">
      <c r="A195" s="23" t="str">
        <f t="shared" si="3"/>
        <v/>
      </c>
      <c r="B195" s="24" t="str">
        <f t="shared" si="4"/>
        <v/>
      </c>
      <c r="C195" s="28"/>
      <c r="D195" s="28"/>
      <c r="E195" s="34"/>
      <c r="F195" s="34"/>
      <c r="G195" s="34"/>
      <c r="H195" s="34"/>
      <c r="I195" s="34"/>
      <c r="J195" s="28" t="str">
        <f>IFERROR(__xludf.DUMMYFUNCTION("iferror(if(I195="""","""",unique(query('tbl driver 2'!$K$2:$L1508,""SELECT L WHERE K = '""&amp;I195&amp;""'""))),"""")"),"")</f>
        <v/>
      </c>
      <c r="K195" s="31"/>
      <c r="L195" s="39"/>
      <c r="M195" s="39"/>
      <c r="N195" s="28" t="str">
        <f>IFERROR(__xludf.DUMMYFUNCTION("IF(OR(C195="""",M195=""""),"""",IFERROR(IF(M195="""","""",query('tbl user'!$A$2:$D1508,""SELECT A WHERE D = '""&amp;M195&amp;""'"")),""USER TIDAK DIKETAHUI""))"),"")</f>
        <v/>
      </c>
    </row>
    <row r="196">
      <c r="A196" s="23" t="str">
        <f t="shared" si="3"/>
        <v/>
      </c>
      <c r="B196" s="24" t="str">
        <f t="shared" si="4"/>
        <v/>
      </c>
      <c r="C196" s="28"/>
      <c r="D196" s="28"/>
      <c r="E196" s="34"/>
      <c r="F196" s="34"/>
      <c r="G196" s="34"/>
      <c r="H196" s="34"/>
      <c r="I196" s="34"/>
      <c r="J196" s="28" t="str">
        <f>IFERROR(__xludf.DUMMYFUNCTION("iferror(if(I196="""","""",unique(query('tbl driver 2'!$K$2:$L1508,""SELECT L WHERE K = '""&amp;I196&amp;""'""))),"""")"),"")</f>
        <v/>
      </c>
      <c r="K196" s="31"/>
      <c r="L196" s="39"/>
      <c r="M196" s="39"/>
      <c r="N196" s="28" t="str">
        <f>IFERROR(__xludf.DUMMYFUNCTION("IF(OR(C196="""",M196=""""),"""",IFERROR(IF(M196="""","""",query('tbl user'!$A$2:$D1508,""SELECT A WHERE D = '""&amp;M196&amp;""'"")),""USER TIDAK DIKETAHUI""))"),"")</f>
        <v/>
      </c>
    </row>
    <row r="197">
      <c r="A197" s="23" t="str">
        <f t="shared" si="3"/>
        <v/>
      </c>
      <c r="B197" s="24" t="str">
        <f t="shared" si="4"/>
        <v/>
      </c>
      <c r="C197" s="28"/>
      <c r="D197" s="28"/>
      <c r="E197" s="34"/>
      <c r="F197" s="34"/>
      <c r="G197" s="34"/>
      <c r="H197" s="34"/>
      <c r="I197" s="34"/>
      <c r="J197" s="28" t="str">
        <f>IFERROR(__xludf.DUMMYFUNCTION("iferror(if(I197="""","""",unique(query('tbl driver 2'!$K$2:$L1508,""SELECT L WHERE K = '""&amp;I197&amp;""'""))),"""")"),"")</f>
        <v/>
      </c>
      <c r="K197" s="31"/>
      <c r="L197" s="39"/>
      <c r="M197" s="39"/>
      <c r="N197" s="28" t="str">
        <f>IFERROR(__xludf.DUMMYFUNCTION("IF(OR(C197="""",M197=""""),"""",IFERROR(IF(M197="""","""",query('tbl user'!$A$2:$D1508,""SELECT A WHERE D = '""&amp;M197&amp;""'"")),""USER TIDAK DIKETAHUI""))"),"")</f>
        <v/>
      </c>
    </row>
    <row r="198">
      <c r="A198" s="23" t="str">
        <f t="shared" si="3"/>
        <v/>
      </c>
      <c r="B198" s="24" t="str">
        <f t="shared" si="4"/>
        <v/>
      </c>
      <c r="C198" s="28"/>
      <c r="D198" s="28"/>
      <c r="E198" s="34"/>
      <c r="F198" s="34"/>
      <c r="G198" s="34"/>
      <c r="H198" s="34"/>
      <c r="I198" s="34"/>
      <c r="J198" s="28" t="str">
        <f>IFERROR(__xludf.DUMMYFUNCTION("iferror(if(I198="""","""",unique(query('tbl driver 2'!$K$2:$L1508,""SELECT L WHERE K = '""&amp;I198&amp;""'""))),"""")"),"")</f>
        <v/>
      </c>
      <c r="K198" s="31"/>
      <c r="L198" s="39"/>
      <c r="M198" s="39"/>
      <c r="N198" s="28" t="str">
        <f>IFERROR(__xludf.DUMMYFUNCTION("IF(OR(C198="""",M198=""""),"""",IFERROR(IF(M198="""","""",query('tbl user'!$A$2:$D1508,""SELECT A WHERE D = '""&amp;M198&amp;""'"")),""USER TIDAK DIKETAHUI""))"),"")</f>
        <v/>
      </c>
    </row>
    <row r="199">
      <c r="A199" s="23" t="str">
        <f t="shared" si="3"/>
        <v/>
      </c>
      <c r="B199" s="24" t="str">
        <f t="shared" si="4"/>
        <v/>
      </c>
      <c r="C199" s="28"/>
      <c r="D199" s="28"/>
      <c r="E199" s="34"/>
      <c r="F199" s="34"/>
      <c r="G199" s="34"/>
      <c r="H199" s="34"/>
      <c r="I199" s="34"/>
      <c r="J199" s="28" t="str">
        <f>IFERROR(__xludf.DUMMYFUNCTION("iferror(if(I199="""","""",unique(query('tbl driver 2'!$K$2:$L1508,""SELECT L WHERE K = '""&amp;I199&amp;""'""))),"""")"),"")</f>
        <v/>
      </c>
      <c r="K199" s="31"/>
      <c r="L199" s="39"/>
      <c r="M199" s="39"/>
      <c r="N199" s="28" t="str">
        <f>IFERROR(__xludf.DUMMYFUNCTION("IF(OR(C199="""",M199=""""),"""",IFERROR(IF(M199="""","""",query('tbl user'!$A$2:$D1508,""SELECT A WHERE D = '""&amp;M199&amp;""'"")),""USER TIDAK DIKETAHUI""))"),"")</f>
        <v/>
      </c>
    </row>
    <row r="200">
      <c r="A200" s="23" t="str">
        <f t="shared" si="3"/>
        <v/>
      </c>
      <c r="B200" s="24" t="str">
        <f t="shared" si="4"/>
        <v/>
      </c>
      <c r="C200" s="28"/>
      <c r="D200" s="28"/>
      <c r="E200" s="34"/>
      <c r="F200" s="34"/>
      <c r="G200" s="34"/>
      <c r="H200" s="34"/>
      <c r="I200" s="34"/>
      <c r="J200" s="28" t="str">
        <f>IFERROR(__xludf.DUMMYFUNCTION("iferror(if(I200="""","""",unique(query('tbl driver 2'!$K$2:$L1508,""SELECT L WHERE K = '""&amp;I200&amp;""'""))),"""")"),"")</f>
        <v/>
      </c>
      <c r="K200" s="31"/>
      <c r="L200" s="39"/>
      <c r="M200" s="39"/>
      <c r="N200" s="28" t="str">
        <f>IFERROR(__xludf.DUMMYFUNCTION("IF(OR(C200="""",M200=""""),"""",IFERROR(IF(M200="""","""",query('tbl user'!$A$2:$D1508,""SELECT A WHERE D = '""&amp;M200&amp;""'"")),""USER TIDAK DIKETAHUI""))"),"")</f>
        <v/>
      </c>
    </row>
    <row r="201">
      <c r="A201" s="23" t="str">
        <f t="shared" si="3"/>
        <v/>
      </c>
      <c r="B201" s="24" t="str">
        <f t="shared" si="4"/>
        <v/>
      </c>
      <c r="C201" s="28"/>
      <c r="D201" s="28"/>
      <c r="E201" s="34"/>
      <c r="F201" s="34"/>
      <c r="G201" s="34"/>
      <c r="H201" s="34"/>
      <c r="I201" s="34"/>
      <c r="J201" s="28" t="str">
        <f>IFERROR(__xludf.DUMMYFUNCTION("iferror(if(I201="""","""",unique(query('tbl driver 2'!$K$2:$L1508,""SELECT L WHERE K = '""&amp;I201&amp;""'""))),"""")"),"")</f>
        <v/>
      </c>
      <c r="K201" s="31"/>
      <c r="L201" s="39"/>
      <c r="M201" s="39"/>
      <c r="N201" s="28" t="str">
        <f>IFERROR(__xludf.DUMMYFUNCTION("IF(OR(C201="""",M201=""""),"""",IFERROR(IF(M201="""","""",query('tbl user'!$A$2:$D1508,""SELECT A WHERE D = '""&amp;M201&amp;""'"")),""USER TIDAK DIKETAHUI""))"),"")</f>
        <v/>
      </c>
    </row>
    <row r="202">
      <c r="A202" s="23" t="str">
        <f t="shared" si="3"/>
        <v/>
      </c>
      <c r="B202" s="24" t="str">
        <f t="shared" si="4"/>
        <v/>
      </c>
      <c r="C202" s="28"/>
      <c r="D202" s="28"/>
      <c r="E202" s="34"/>
      <c r="F202" s="34"/>
      <c r="G202" s="34"/>
      <c r="H202" s="34"/>
      <c r="I202" s="34"/>
      <c r="J202" s="28" t="str">
        <f>IFERROR(__xludf.DUMMYFUNCTION("iferror(if(I202="""","""",unique(query('tbl driver 2'!$K$2:$L1508,""SELECT L WHERE K = '""&amp;I202&amp;""'""))),"""")"),"")</f>
        <v/>
      </c>
      <c r="K202" s="31"/>
      <c r="L202" s="39"/>
      <c r="M202" s="39"/>
      <c r="N202" s="28" t="str">
        <f>IFERROR(__xludf.DUMMYFUNCTION("IF(OR(C202="""",M202=""""),"""",IFERROR(IF(M202="""","""",query('tbl user'!$A$2:$D1508,""SELECT A WHERE D = '""&amp;M202&amp;""'"")),""USER TIDAK DIKETAHUI""))"),"")</f>
        <v/>
      </c>
    </row>
    <row r="203">
      <c r="A203" s="23" t="str">
        <f t="shared" si="3"/>
        <v/>
      </c>
      <c r="B203" s="24" t="str">
        <f t="shared" si="4"/>
        <v/>
      </c>
      <c r="C203" s="28"/>
      <c r="D203" s="28"/>
      <c r="E203" s="34"/>
      <c r="F203" s="34"/>
      <c r="G203" s="34"/>
      <c r="H203" s="34"/>
      <c r="I203" s="34"/>
      <c r="J203" s="28" t="str">
        <f>IFERROR(__xludf.DUMMYFUNCTION("iferror(if(I203="""","""",unique(query('tbl driver 2'!$K$2:$L1508,""SELECT L WHERE K = '""&amp;I203&amp;""'""))),"""")"),"")</f>
        <v/>
      </c>
      <c r="K203" s="31"/>
      <c r="L203" s="39"/>
      <c r="M203" s="39"/>
      <c r="N203" s="28" t="str">
        <f>IFERROR(__xludf.DUMMYFUNCTION("IF(OR(C203="""",M203=""""),"""",IFERROR(IF(M203="""","""",query('tbl user'!$A$2:$D1508,""SELECT A WHERE D = '""&amp;M203&amp;""'"")),""USER TIDAK DIKETAHUI""))"),"")</f>
        <v/>
      </c>
    </row>
    <row r="204">
      <c r="A204" s="23" t="str">
        <f t="shared" si="3"/>
        <v/>
      </c>
      <c r="B204" s="24" t="str">
        <f t="shared" si="4"/>
        <v/>
      </c>
      <c r="C204" s="28"/>
      <c r="D204" s="28"/>
      <c r="E204" s="34"/>
      <c r="F204" s="34"/>
      <c r="G204" s="34"/>
      <c r="H204" s="34"/>
      <c r="I204" s="34"/>
      <c r="J204" s="28" t="str">
        <f>IFERROR(__xludf.DUMMYFUNCTION("iferror(if(I204="""","""",unique(query('tbl driver 2'!$K$2:$L1508,""SELECT L WHERE K = '""&amp;I204&amp;""'""))),"""")"),"")</f>
        <v/>
      </c>
      <c r="K204" s="31"/>
      <c r="L204" s="39"/>
      <c r="M204" s="39"/>
      <c r="N204" s="28" t="str">
        <f>IFERROR(__xludf.DUMMYFUNCTION("IF(OR(C204="""",M204=""""),"""",IFERROR(IF(M204="""","""",query('tbl user'!$A$2:$D1508,""SELECT A WHERE D = '""&amp;M204&amp;""'"")),""USER TIDAK DIKETAHUI""))"),"")</f>
        <v/>
      </c>
    </row>
    <row r="205">
      <c r="A205" s="23" t="str">
        <f t="shared" si="3"/>
        <v/>
      </c>
      <c r="B205" s="24" t="str">
        <f t="shared" si="4"/>
        <v/>
      </c>
      <c r="C205" s="28"/>
      <c r="D205" s="28"/>
      <c r="E205" s="34"/>
      <c r="F205" s="34"/>
      <c r="G205" s="34"/>
      <c r="H205" s="34"/>
      <c r="I205" s="34"/>
      <c r="J205" s="28" t="str">
        <f>IFERROR(__xludf.DUMMYFUNCTION("iferror(if(I205="""","""",unique(query('tbl driver 2'!$K$2:$L1508,""SELECT L WHERE K = '""&amp;I205&amp;""'""))),"""")"),"")</f>
        <v/>
      </c>
      <c r="K205" s="31"/>
      <c r="L205" s="39"/>
      <c r="M205" s="39"/>
      <c r="N205" s="28" t="str">
        <f>IFERROR(__xludf.DUMMYFUNCTION("IF(OR(C205="""",M205=""""),"""",IFERROR(IF(M205="""","""",query('tbl user'!$A$2:$D1508,""SELECT A WHERE D = '""&amp;M205&amp;""'"")),""USER TIDAK DIKETAHUI""))"),"")</f>
        <v/>
      </c>
    </row>
    <row r="206">
      <c r="A206" s="23" t="str">
        <f t="shared" si="3"/>
        <v/>
      </c>
      <c r="B206" s="24" t="str">
        <f t="shared" si="4"/>
        <v/>
      </c>
      <c r="C206" s="28"/>
      <c r="D206" s="28"/>
      <c r="E206" s="34"/>
      <c r="F206" s="34"/>
      <c r="G206" s="34"/>
      <c r="H206" s="34"/>
      <c r="I206" s="34"/>
      <c r="J206" s="28" t="str">
        <f>IFERROR(__xludf.DUMMYFUNCTION("iferror(if(I206="""","""",unique(query('tbl driver 2'!$K$2:$L1508,""SELECT L WHERE K = '""&amp;I206&amp;""'""))),"""")"),"")</f>
        <v/>
      </c>
      <c r="K206" s="31"/>
      <c r="L206" s="39"/>
      <c r="M206" s="39"/>
      <c r="N206" s="28" t="str">
        <f>IFERROR(__xludf.DUMMYFUNCTION("IF(OR(C206="""",M206=""""),"""",IFERROR(IF(M206="""","""",query('tbl user'!$A$2:$D1508,""SELECT A WHERE D = '""&amp;M206&amp;""'"")),""USER TIDAK DIKETAHUI""))"),"")</f>
        <v/>
      </c>
    </row>
    <row r="207">
      <c r="A207" s="23" t="str">
        <f t="shared" si="3"/>
        <v/>
      </c>
      <c r="B207" s="24" t="str">
        <f t="shared" si="4"/>
        <v/>
      </c>
      <c r="C207" s="28"/>
      <c r="D207" s="28"/>
      <c r="E207" s="34"/>
      <c r="F207" s="34"/>
      <c r="G207" s="34"/>
      <c r="H207" s="34"/>
      <c r="I207" s="34"/>
      <c r="J207" s="28" t="str">
        <f>IFERROR(__xludf.DUMMYFUNCTION("iferror(if(I207="""","""",unique(query('tbl driver 2'!$K$2:$L1508,""SELECT L WHERE K = '""&amp;I207&amp;""'""))),"""")"),"")</f>
        <v/>
      </c>
      <c r="K207" s="31"/>
      <c r="L207" s="39"/>
      <c r="M207" s="39"/>
      <c r="N207" s="28" t="str">
        <f>IFERROR(__xludf.DUMMYFUNCTION("IF(OR(C207="""",M207=""""),"""",IFERROR(IF(M207="""","""",query('tbl user'!$A$2:$D1508,""SELECT A WHERE D = '""&amp;M207&amp;""'"")),""USER TIDAK DIKETAHUI""))"),"")</f>
        <v/>
      </c>
    </row>
    <row r="208">
      <c r="A208" s="23" t="str">
        <f t="shared" si="3"/>
        <v/>
      </c>
      <c r="B208" s="24" t="str">
        <f t="shared" si="4"/>
        <v/>
      </c>
      <c r="C208" s="28"/>
      <c r="D208" s="28"/>
      <c r="E208" s="34"/>
      <c r="F208" s="34"/>
      <c r="G208" s="34"/>
      <c r="H208" s="34"/>
      <c r="I208" s="34"/>
      <c r="J208" s="28" t="str">
        <f>IFERROR(__xludf.DUMMYFUNCTION("iferror(if(I208="""","""",unique(query('tbl driver 2'!$K$2:$L1508,""SELECT L WHERE K = '""&amp;I208&amp;""'""))),"""")"),"")</f>
        <v/>
      </c>
      <c r="K208" s="31"/>
      <c r="L208" s="39"/>
      <c r="M208" s="39"/>
      <c r="N208" s="28" t="str">
        <f>IFERROR(__xludf.DUMMYFUNCTION("IF(OR(C208="""",M208=""""),"""",IFERROR(IF(M208="""","""",query('tbl user'!$A$2:$D1508,""SELECT A WHERE D = '""&amp;M208&amp;""'"")),""USER TIDAK DIKETAHUI""))"),"")</f>
        <v/>
      </c>
    </row>
    <row r="209">
      <c r="A209" s="23" t="str">
        <f t="shared" si="3"/>
        <v/>
      </c>
      <c r="B209" s="24" t="str">
        <f t="shared" si="4"/>
        <v/>
      </c>
      <c r="C209" s="28"/>
      <c r="D209" s="28"/>
      <c r="E209" s="34"/>
      <c r="F209" s="34"/>
      <c r="G209" s="34"/>
      <c r="H209" s="34"/>
      <c r="I209" s="34"/>
      <c r="J209" s="28" t="str">
        <f>IFERROR(__xludf.DUMMYFUNCTION("iferror(if(I209="""","""",unique(query('tbl driver 2'!$K$2:$L1508,""SELECT L WHERE K = '""&amp;I209&amp;""'""))),"""")"),"")</f>
        <v/>
      </c>
      <c r="K209" s="31"/>
      <c r="L209" s="39"/>
      <c r="M209" s="39"/>
      <c r="N209" s="28" t="str">
        <f>IFERROR(__xludf.DUMMYFUNCTION("IF(OR(C209="""",M209=""""),"""",IFERROR(IF(M209="""","""",query('tbl user'!$A$2:$D1508,""SELECT A WHERE D = '""&amp;M209&amp;""'"")),""USER TIDAK DIKETAHUI""))"),"")</f>
        <v/>
      </c>
    </row>
    <row r="210">
      <c r="A210" s="23" t="str">
        <f t="shared" si="3"/>
        <v/>
      </c>
      <c r="B210" s="24" t="str">
        <f t="shared" si="4"/>
        <v/>
      </c>
      <c r="C210" s="28"/>
      <c r="D210" s="28"/>
      <c r="E210" s="34"/>
      <c r="F210" s="34"/>
      <c r="G210" s="34"/>
      <c r="H210" s="34"/>
      <c r="I210" s="34"/>
      <c r="J210" s="28" t="str">
        <f>IFERROR(__xludf.DUMMYFUNCTION("iferror(if(I210="""","""",unique(query('tbl driver 2'!$K$2:$L1508,""SELECT L WHERE K = '""&amp;I210&amp;""'""))),"""")"),"")</f>
        <v/>
      </c>
      <c r="K210" s="31"/>
      <c r="L210" s="39"/>
      <c r="M210" s="39"/>
      <c r="N210" s="28" t="str">
        <f>IFERROR(__xludf.DUMMYFUNCTION("IF(OR(C210="""",M210=""""),"""",IFERROR(IF(M210="""","""",query('tbl user'!$A$2:$D1508,""SELECT A WHERE D = '""&amp;M210&amp;""'"")),""USER TIDAK DIKETAHUI""))"),"")</f>
        <v/>
      </c>
    </row>
    <row r="211">
      <c r="A211" s="23" t="str">
        <f t="shared" si="3"/>
        <v/>
      </c>
      <c r="B211" s="24" t="str">
        <f t="shared" si="4"/>
        <v/>
      </c>
      <c r="C211" s="28"/>
      <c r="D211" s="28"/>
      <c r="E211" s="34"/>
      <c r="F211" s="34"/>
      <c r="G211" s="34"/>
      <c r="H211" s="34"/>
      <c r="I211" s="34"/>
      <c r="J211" s="28" t="str">
        <f>IFERROR(__xludf.DUMMYFUNCTION("iferror(if(I211="""","""",unique(query('tbl driver 2'!$K$2:$L1508,""SELECT L WHERE K = '""&amp;I211&amp;""'""))),"""")"),"")</f>
        <v/>
      </c>
      <c r="K211" s="31"/>
      <c r="L211" s="39"/>
      <c r="M211" s="39"/>
      <c r="N211" s="28" t="str">
        <f>IFERROR(__xludf.DUMMYFUNCTION("IF(OR(C211="""",M211=""""),"""",IFERROR(IF(M211="""","""",query('tbl user'!$A$2:$D1508,""SELECT A WHERE D = '""&amp;M211&amp;""'"")),""USER TIDAK DIKETAHUI""))"),"")</f>
        <v/>
      </c>
    </row>
    <row r="212">
      <c r="A212" s="23" t="str">
        <f t="shared" si="3"/>
        <v/>
      </c>
      <c r="B212" s="24" t="str">
        <f t="shared" si="4"/>
        <v/>
      </c>
      <c r="C212" s="28"/>
      <c r="D212" s="28"/>
      <c r="E212" s="34"/>
      <c r="F212" s="34"/>
      <c r="G212" s="34"/>
      <c r="H212" s="34"/>
      <c r="I212" s="34"/>
      <c r="J212" s="28" t="str">
        <f>IFERROR(__xludf.DUMMYFUNCTION("iferror(if(I212="""","""",unique(query('tbl driver 2'!$K$2:$L1508,""SELECT L WHERE K = '""&amp;I212&amp;""'""))),"""")"),"")</f>
        <v/>
      </c>
      <c r="K212" s="31"/>
      <c r="L212" s="39"/>
      <c r="M212" s="39"/>
      <c r="N212" s="28" t="str">
        <f>IFERROR(__xludf.DUMMYFUNCTION("IF(OR(C212="""",M212=""""),"""",IFERROR(IF(M212="""","""",query('tbl user'!$A$2:$D1508,""SELECT A WHERE D = '""&amp;M212&amp;""'"")),""USER TIDAK DIKETAHUI""))"),"")</f>
        <v/>
      </c>
    </row>
    <row r="213">
      <c r="A213" s="23" t="str">
        <f t="shared" si="3"/>
        <v/>
      </c>
      <c r="B213" s="24" t="str">
        <f t="shared" si="4"/>
        <v/>
      </c>
      <c r="C213" s="28"/>
      <c r="D213" s="28"/>
      <c r="E213" s="34"/>
      <c r="F213" s="34"/>
      <c r="G213" s="34"/>
      <c r="H213" s="34"/>
      <c r="I213" s="34"/>
      <c r="J213" s="28" t="str">
        <f>IFERROR(__xludf.DUMMYFUNCTION("iferror(if(I213="""","""",unique(query('tbl driver 2'!$K$2:$L1508,""SELECT L WHERE K = '""&amp;I213&amp;""'""))),"""")"),"")</f>
        <v/>
      </c>
      <c r="K213" s="31"/>
      <c r="L213" s="39"/>
      <c r="M213" s="39"/>
      <c r="N213" s="28" t="str">
        <f>IFERROR(__xludf.DUMMYFUNCTION("IF(OR(C213="""",M213=""""),"""",IFERROR(IF(M213="""","""",query('tbl user'!$A$2:$D1508,""SELECT A WHERE D = '""&amp;M213&amp;""'"")),""USER TIDAK DIKETAHUI""))"),"")</f>
        <v/>
      </c>
    </row>
    <row r="214">
      <c r="A214" s="23" t="str">
        <f t="shared" si="3"/>
        <v/>
      </c>
      <c r="B214" s="24" t="str">
        <f t="shared" si="4"/>
        <v/>
      </c>
      <c r="C214" s="28"/>
      <c r="D214" s="28"/>
      <c r="E214" s="34"/>
      <c r="F214" s="34"/>
      <c r="G214" s="34"/>
      <c r="H214" s="34"/>
      <c r="I214" s="34"/>
      <c r="J214" s="28" t="str">
        <f>IFERROR(__xludf.DUMMYFUNCTION("iferror(if(I214="""","""",unique(query('tbl driver 2'!$K$2:$L1508,""SELECT L WHERE K = '""&amp;I214&amp;""'""))),"""")"),"")</f>
        <v/>
      </c>
      <c r="K214" s="31"/>
      <c r="L214" s="39"/>
      <c r="M214" s="39"/>
      <c r="N214" s="28" t="str">
        <f>IFERROR(__xludf.DUMMYFUNCTION("IF(OR(C214="""",M214=""""),"""",IFERROR(IF(M214="""","""",query('tbl user'!$A$2:$D1508,""SELECT A WHERE D = '""&amp;M214&amp;""'"")),""USER TIDAK DIKETAHUI""))"),"")</f>
        <v/>
      </c>
    </row>
    <row r="215">
      <c r="A215" s="23" t="str">
        <f t="shared" si="3"/>
        <v/>
      </c>
      <c r="B215" s="24" t="str">
        <f t="shared" si="4"/>
        <v/>
      </c>
      <c r="C215" s="28"/>
      <c r="D215" s="28"/>
      <c r="E215" s="34"/>
      <c r="F215" s="34"/>
      <c r="G215" s="34"/>
      <c r="H215" s="34"/>
      <c r="I215" s="34"/>
      <c r="J215" s="28" t="str">
        <f>IFERROR(__xludf.DUMMYFUNCTION("iferror(if(I215="""","""",unique(query('tbl driver 2'!$K$2:$L1508,""SELECT L WHERE K = '""&amp;I215&amp;""'""))),"""")"),"")</f>
        <v/>
      </c>
      <c r="K215" s="31"/>
      <c r="L215" s="39"/>
      <c r="M215" s="39"/>
      <c r="N215" s="28" t="str">
        <f>IFERROR(__xludf.DUMMYFUNCTION("IF(OR(C215="""",M215=""""),"""",IFERROR(IF(M215="""","""",query('tbl user'!$A$2:$D1508,""SELECT A WHERE D = '""&amp;M215&amp;""'"")),""USER TIDAK DIKETAHUI""))"),"")</f>
        <v/>
      </c>
    </row>
    <row r="216">
      <c r="A216" s="23" t="str">
        <f t="shared" si="3"/>
        <v/>
      </c>
      <c r="B216" s="24" t="str">
        <f t="shared" si="4"/>
        <v/>
      </c>
      <c r="C216" s="28"/>
      <c r="D216" s="28"/>
      <c r="E216" s="34"/>
      <c r="F216" s="34"/>
      <c r="G216" s="34"/>
      <c r="H216" s="34"/>
      <c r="I216" s="34"/>
      <c r="J216" s="28" t="str">
        <f>IFERROR(__xludf.DUMMYFUNCTION("iferror(if(I216="""","""",unique(query('tbl driver 2'!$K$2:$L1508,""SELECT L WHERE K = '""&amp;I216&amp;""'""))),"""")"),"")</f>
        <v/>
      </c>
      <c r="K216" s="31"/>
      <c r="L216" s="39"/>
      <c r="M216" s="39"/>
      <c r="N216" s="28" t="str">
        <f>IFERROR(__xludf.DUMMYFUNCTION("IF(OR(C216="""",M216=""""),"""",IFERROR(IF(M216="""","""",query('tbl user'!$A$2:$D1508,""SELECT A WHERE D = '""&amp;M216&amp;""'"")),""USER TIDAK DIKETAHUI""))"),"")</f>
        <v/>
      </c>
    </row>
    <row r="217">
      <c r="A217" s="23" t="str">
        <f t="shared" si="3"/>
        <v/>
      </c>
      <c r="B217" s="24" t="str">
        <f t="shared" si="4"/>
        <v/>
      </c>
      <c r="C217" s="28"/>
      <c r="D217" s="28"/>
      <c r="E217" s="34"/>
      <c r="F217" s="34"/>
      <c r="G217" s="34"/>
      <c r="H217" s="34"/>
      <c r="I217" s="34"/>
      <c r="J217" s="28" t="str">
        <f>IFERROR(__xludf.DUMMYFUNCTION("iferror(if(I217="""","""",unique(query('tbl driver 2'!$K$2:$L1508,""SELECT L WHERE K = '""&amp;I217&amp;""'""))),"""")"),"")</f>
        <v/>
      </c>
      <c r="K217" s="31"/>
      <c r="L217" s="39"/>
      <c r="M217" s="39"/>
      <c r="N217" s="28" t="str">
        <f>IFERROR(__xludf.DUMMYFUNCTION("IF(OR(C217="""",M217=""""),"""",IFERROR(IF(M217="""","""",query('tbl user'!$A$2:$D1508,""SELECT A WHERE D = '""&amp;M217&amp;""'"")),""USER TIDAK DIKETAHUI""))"),"")</f>
        <v/>
      </c>
    </row>
    <row r="218">
      <c r="A218" s="23" t="str">
        <f t="shared" si="3"/>
        <v/>
      </c>
      <c r="B218" s="24" t="str">
        <f t="shared" si="4"/>
        <v/>
      </c>
      <c r="C218" s="28"/>
      <c r="D218" s="28"/>
      <c r="E218" s="34"/>
      <c r="F218" s="34"/>
      <c r="G218" s="34"/>
      <c r="H218" s="34"/>
      <c r="I218" s="34"/>
      <c r="J218" s="28" t="str">
        <f>IFERROR(__xludf.DUMMYFUNCTION("iferror(if(I218="""","""",unique(query('tbl driver 2'!$K$2:$L1508,""SELECT L WHERE K = '""&amp;I218&amp;""'""))),"""")"),"")</f>
        <v/>
      </c>
      <c r="K218" s="31"/>
      <c r="L218" s="39"/>
      <c r="M218" s="39"/>
      <c r="N218" s="28" t="str">
        <f>IFERROR(__xludf.DUMMYFUNCTION("IF(OR(C218="""",M218=""""),"""",IFERROR(IF(M218="""","""",query('tbl user'!$A$2:$D1508,""SELECT A WHERE D = '""&amp;M218&amp;""'"")),""USER TIDAK DIKETAHUI""))"),"")</f>
        <v/>
      </c>
    </row>
    <row r="219">
      <c r="A219" s="23" t="str">
        <f t="shared" si="3"/>
        <v/>
      </c>
      <c r="B219" s="24" t="str">
        <f t="shared" si="4"/>
        <v/>
      </c>
      <c r="C219" s="28"/>
      <c r="D219" s="28"/>
      <c r="E219" s="34"/>
      <c r="F219" s="34"/>
      <c r="G219" s="34"/>
      <c r="H219" s="34"/>
      <c r="I219" s="34"/>
      <c r="J219" s="28" t="str">
        <f>IFERROR(__xludf.DUMMYFUNCTION("iferror(if(I219="""","""",unique(query('tbl driver 2'!$K$2:$L1508,""SELECT L WHERE K = '""&amp;I219&amp;""'""))),"""")"),"")</f>
        <v/>
      </c>
      <c r="K219" s="31"/>
      <c r="L219" s="39"/>
      <c r="M219" s="39"/>
      <c r="N219" s="28" t="str">
        <f>IFERROR(__xludf.DUMMYFUNCTION("IF(OR(C219="""",M219=""""),"""",IFERROR(IF(M219="""","""",query('tbl user'!$A$2:$D1508,""SELECT A WHERE D = '""&amp;M219&amp;""'"")),""USER TIDAK DIKETAHUI""))"),"")</f>
        <v/>
      </c>
    </row>
    <row r="220">
      <c r="A220" s="23" t="str">
        <f t="shared" si="3"/>
        <v/>
      </c>
      <c r="B220" s="24" t="str">
        <f t="shared" si="4"/>
        <v/>
      </c>
      <c r="C220" s="28"/>
      <c r="D220" s="28"/>
      <c r="E220" s="34"/>
      <c r="F220" s="34"/>
      <c r="G220" s="34"/>
      <c r="H220" s="34"/>
      <c r="I220" s="34"/>
      <c r="J220" s="28" t="str">
        <f>IFERROR(__xludf.DUMMYFUNCTION("iferror(if(I220="""","""",unique(query('tbl driver 2'!$K$2:$L1508,""SELECT L WHERE K = '""&amp;I220&amp;""'""))),"""")"),"")</f>
        <v/>
      </c>
      <c r="K220" s="31"/>
      <c r="L220" s="39"/>
      <c r="M220" s="39"/>
      <c r="N220" s="28" t="str">
        <f>IFERROR(__xludf.DUMMYFUNCTION("IF(OR(C220="""",M220=""""),"""",IFERROR(IF(M220="""","""",query('tbl user'!$A$2:$D1508,""SELECT A WHERE D = '""&amp;M220&amp;""'"")),""USER TIDAK DIKETAHUI""))"),"")</f>
        <v/>
      </c>
    </row>
    <row r="221">
      <c r="A221" s="23" t="str">
        <f t="shared" si="3"/>
        <v/>
      </c>
      <c r="B221" s="24" t="str">
        <f t="shared" si="4"/>
        <v/>
      </c>
      <c r="C221" s="28"/>
      <c r="D221" s="28"/>
      <c r="E221" s="34"/>
      <c r="F221" s="34"/>
      <c r="G221" s="34"/>
      <c r="H221" s="34"/>
      <c r="I221" s="34"/>
      <c r="J221" s="28" t="str">
        <f>IFERROR(__xludf.DUMMYFUNCTION("iferror(if(I221="""","""",unique(query('tbl driver 2'!$K$2:$L1508,""SELECT L WHERE K = '""&amp;I221&amp;""'""))),"""")"),"")</f>
        <v/>
      </c>
      <c r="K221" s="31"/>
      <c r="L221" s="39"/>
      <c r="M221" s="39"/>
      <c r="N221" s="28" t="str">
        <f>IFERROR(__xludf.DUMMYFUNCTION("IF(OR(C221="""",M221=""""),"""",IFERROR(IF(M221="""","""",query('tbl user'!$A$2:$D1508,""SELECT A WHERE D = '""&amp;M221&amp;""'"")),""USER TIDAK DIKETAHUI""))"),"")</f>
        <v/>
      </c>
    </row>
    <row r="222">
      <c r="A222" s="23" t="str">
        <f t="shared" si="3"/>
        <v/>
      </c>
      <c r="B222" s="24" t="str">
        <f t="shared" si="4"/>
        <v/>
      </c>
      <c r="C222" s="28"/>
      <c r="D222" s="28"/>
      <c r="E222" s="34"/>
      <c r="F222" s="34"/>
      <c r="G222" s="34"/>
      <c r="H222" s="34"/>
      <c r="I222" s="34"/>
      <c r="J222" s="28" t="str">
        <f>IFERROR(__xludf.DUMMYFUNCTION("iferror(if(I222="""","""",unique(query('tbl driver 2'!$K$2:$L1508,""SELECT L WHERE K = '""&amp;I222&amp;""'""))),"""")"),"")</f>
        <v/>
      </c>
      <c r="K222" s="31"/>
      <c r="L222" s="39"/>
      <c r="M222" s="39"/>
      <c r="N222" s="28" t="str">
        <f>IFERROR(__xludf.DUMMYFUNCTION("IF(OR(C222="""",M222=""""),"""",IFERROR(IF(M222="""","""",query('tbl user'!$A$2:$D1508,""SELECT A WHERE D = '""&amp;M222&amp;""'"")),""USER TIDAK DIKETAHUI""))"),"")</f>
        <v/>
      </c>
    </row>
    <row r="223">
      <c r="A223" s="23" t="str">
        <f t="shared" si="3"/>
        <v/>
      </c>
      <c r="B223" s="24" t="str">
        <f t="shared" si="4"/>
        <v/>
      </c>
      <c r="C223" s="28"/>
      <c r="D223" s="28"/>
      <c r="E223" s="34"/>
      <c r="F223" s="34"/>
      <c r="G223" s="34"/>
      <c r="H223" s="34"/>
      <c r="I223" s="34"/>
      <c r="J223" s="28" t="str">
        <f>IFERROR(__xludf.DUMMYFUNCTION("iferror(if(I223="""","""",unique(query('tbl driver 2'!$K$2:$L1508,""SELECT L WHERE K = '""&amp;I223&amp;""'""))),"""")"),"")</f>
        <v/>
      </c>
      <c r="K223" s="31"/>
      <c r="L223" s="39"/>
      <c r="M223" s="39"/>
      <c r="N223" s="28" t="str">
        <f>IFERROR(__xludf.DUMMYFUNCTION("IF(OR(C223="""",M223=""""),"""",IFERROR(IF(M223="""","""",query('tbl user'!$A$2:$D1508,""SELECT A WHERE D = '""&amp;M223&amp;""'"")),""USER TIDAK DIKETAHUI""))"),"")</f>
        <v/>
      </c>
    </row>
    <row r="224">
      <c r="A224" s="23" t="str">
        <f t="shared" si="3"/>
        <v/>
      </c>
      <c r="B224" s="24" t="str">
        <f t="shared" si="4"/>
        <v/>
      </c>
      <c r="C224" s="28"/>
      <c r="D224" s="28"/>
      <c r="E224" s="34"/>
      <c r="F224" s="34"/>
      <c r="G224" s="34"/>
      <c r="H224" s="34"/>
      <c r="I224" s="34"/>
      <c r="J224" s="28" t="str">
        <f>IFERROR(__xludf.DUMMYFUNCTION("iferror(if(I224="""","""",unique(query('tbl driver 2'!$K$2:$L1508,""SELECT L WHERE K = '""&amp;I224&amp;""'""))),"""")"),"")</f>
        <v/>
      </c>
      <c r="K224" s="31"/>
      <c r="L224" s="39"/>
      <c r="M224" s="39"/>
      <c r="N224" s="28" t="str">
        <f>IFERROR(__xludf.DUMMYFUNCTION("IF(OR(C224="""",M224=""""),"""",IFERROR(IF(M224="""","""",query('tbl user'!$A$2:$D1508,""SELECT A WHERE D = '""&amp;M224&amp;""'"")),""USER TIDAK DIKETAHUI""))"),"")</f>
        <v/>
      </c>
    </row>
    <row r="225">
      <c r="A225" s="23" t="str">
        <f t="shared" si="3"/>
        <v/>
      </c>
      <c r="B225" s="24" t="str">
        <f t="shared" si="4"/>
        <v/>
      </c>
      <c r="C225" s="28"/>
      <c r="D225" s="28"/>
      <c r="E225" s="34"/>
      <c r="F225" s="34"/>
      <c r="G225" s="34"/>
      <c r="H225" s="34"/>
      <c r="I225" s="34"/>
      <c r="J225" s="28" t="str">
        <f>IFERROR(__xludf.DUMMYFUNCTION("iferror(if(I225="""","""",unique(query('tbl driver 2'!$K$2:$L1508,""SELECT L WHERE K = '""&amp;I225&amp;""'""))),"""")"),"")</f>
        <v/>
      </c>
      <c r="K225" s="31"/>
      <c r="L225" s="39"/>
      <c r="M225" s="39"/>
      <c r="N225" s="28" t="str">
        <f>IFERROR(__xludf.DUMMYFUNCTION("IF(OR(C225="""",M225=""""),"""",IFERROR(IF(M225="""","""",query('tbl user'!$A$2:$D1508,""SELECT A WHERE D = '""&amp;M225&amp;""'"")),""USER TIDAK DIKETAHUI""))"),"")</f>
        <v/>
      </c>
    </row>
    <row r="226">
      <c r="A226" s="23" t="str">
        <f t="shared" si="3"/>
        <v/>
      </c>
      <c r="B226" s="24" t="str">
        <f t="shared" si="4"/>
        <v/>
      </c>
      <c r="C226" s="28"/>
      <c r="D226" s="28"/>
      <c r="E226" s="34"/>
      <c r="F226" s="34"/>
      <c r="G226" s="34"/>
      <c r="H226" s="34"/>
      <c r="I226" s="34"/>
      <c r="J226" s="28" t="str">
        <f>IFERROR(__xludf.DUMMYFUNCTION("iferror(if(I226="""","""",unique(query('tbl driver 2'!$K$2:$L1508,""SELECT L WHERE K = '""&amp;I226&amp;""'""))),"""")"),"")</f>
        <v/>
      </c>
      <c r="K226" s="31"/>
      <c r="L226" s="39"/>
      <c r="M226" s="39"/>
      <c r="N226" s="28" t="str">
        <f>IFERROR(__xludf.DUMMYFUNCTION("IF(OR(C226="""",M226=""""),"""",IFERROR(IF(M226="""","""",query('tbl user'!$A$2:$D1508,""SELECT A WHERE D = '""&amp;M226&amp;""'"")),""USER TIDAK DIKETAHUI""))"),"")</f>
        <v/>
      </c>
    </row>
    <row r="227">
      <c r="A227" s="23" t="str">
        <f t="shared" si="3"/>
        <v/>
      </c>
      <c r="B227" s="24" t="str">
        <f t="shared" si="4"/>
        <v/>
      </c>
      <c r="C227" s="28"/>
      <c r="D227" s="28"/>
      <c r="E227" s="34"/>
      <c r="F227" s="34"/>
      <c r="G227" s="34"/>
      <c r="H227" s="34"/>
      <c r="I227" s="34"/>
      <c r="J227" s="28" t="str">
        <f>IFERROR(__xludf.DUMMYFUNCTION("iferror(if(I227="""","""",unique(query('tbl driver 2'!$K$2:$L1508,""SELECT L WHERE K = '""&amp;I227&amp;""'""))),"""")"),"")</f>
        <v/>
      </c>
      <c r="K227" s="31"/>
      <c r="L227" s="39"/>
      <c r="M227" s="39"/>
      <c r="N227" s="28" t="str">
        <f>IFERROR(__xludf.DUMMYFUNCTION("IF(OR(C227="""",M227=""""),"""",IFERROR(IF(M227="""","""",query('tbl user'!$A$2:$D1508,""SELECT A WHERE D = '""&amp;M227&amp;""'"")),""USER TIDAK DIKETAHUI""))"),"")</f>
        <v/>
      </c>
    </row>
    <row r="228">
      <c r="A228" s="23" t="str">
        <f t="shared" si="3"/>
        <v/>
      </c>
      <c r="B228" s="24" t="str">
        <f t="shared" si="4"/>
        <v/>
      </c>
      <c r="C228" s="28"/>
      <c r="D228" s="28"/>
      <c r="E228" s="34"/>
      <c r="F228" s="34"/>
      <c r="G228" s="34"/>
      <c r="H228" s="34"/>
      <c r="I228" s="34"/>
      <c r="J228" s="28" t="str">
        <f>IFERROR(__xludf.DUMMYFUNCTION("iferror(if(I228="""","""",unique(query('tbl driver 2'!$K$2:$L1508,""SELECT L WHERE K = '""&amp;I228&amp;""'""))),"""")"),"")</f>
        <v/>
      </c>
      <c r="K228" s="31"/>
      <c r="L228" s="39"/>
      <c r="M228" s="39"/>
      <c r="N228" s="28" t="str">
        <f>IFERROR(__xludf.DUMMYFUNCTION("IF(OR(C228="""",M228=""""),"""",IFERROR(IF(M228="""","""",query('tbl user'!$A$2:$D1508,""SELECT A WHERE D = '""&amp;M228&amp;""'"")),""USER TIDAK DIKETAHUI""))"),"")</f>
        <v/>
      </c>
    </row>
    <row r="229">
      <c r="A229" s="23" t="str">
        <f t="shared" si="3"/>
        <v/>
      </c>
      <c r="B229" s="24" t="str">
        <f t="shared" si="4"/>
        <v/>
      </c>
      <c r="C229" s="28"/>
      <c r="D229" s="28"/>
      <c r="E229" s="34"/>
      <c r="F229" s="34"/>
      <c r="G229" s="34"/>
      <c r="H229" s="34"/>
      <c r="I229" s="34"/>
      <c r="J229" s="28" t="str">
        <f>IFERROR(__xludf.DUMMYFUNCTION("iferror(if(I229="""","""",unique(query('tbl driver 2'!$K$2:$L1508,""SELECT L WHERE K = '""&amp;I229&amp;""'""))),"""")"),"")</f>
        <v/>
      </c>
      <c r="K229" s="31"/>
      <c r="L229" s="39"/>
      <c r="M229" s="39"/>
      <c r="N229" s="28" t="str">
        <f>IFERROR(__xludf.DUMMYFUNCTION("IF(OR(C229="""",M229=""""),"""",IFERROR(IF(M229="""","""",query('tbl user'!$A$2:$D1508,""SELECT A WHERE D = '""&amp;M229&amp;""'"")),""USER TIDAK DIKETAHUI""))"),"")</f>
        <v/>
      </c>
    </row>
    <row r="230">
      <c r="A230" s="23" t="str">
        <f t="shared" si="3"/>
        <v/>
      </c>
      <c r="B230" s="24" t="str">
        <f t="shared" si="4"/>
        <v/>
      </c>
      <c r="C230" s="28"/>
      <c r="D230" s="28"/>
      <c r="E230" s="34"/>
      <c r="F230" s="34"/>
      <c r="G230" s="34"/>
      <c r="H230" s="34"/>
      <c r="I230" s="34"/>
      <c r="J230" s="28" t="str">
        <f>IFERROR(__xludf.DUMMYFUNCTION("iferror(if(I230="""","""",unique(query('tbl driver 2'!$K$2:$L1508,""SELECT L WHERE K = '""&amp;I230&amp;""'""))),"""")"),"")</f>
        <v/>
      </c>
      <c r="K230" s="31"/>
      <c r="L230" s="39"/>
      <c r="M230" s="39"/>
      <c r="N230" s="28" t="str">
        <f>IFERROR(__xludf.DUMMYFUNCTION("IF(OR(C230="""",M230=""""),"""",IFERROR(IF(M230="""","""",query('tbl user'!$A$2:$D1508,""SELECT A WHERE D = '""&amp;M230&amp;""'"")),""USER TIDAK DIKETAHUI""))"),"")</f>
        <v/>
      </c>
    </row>
    <row r="231">
      <c r="A231" s="23" t="str">
        <f t="shared" si="3"/>
        <v/>
      </c>
      <c r="B231" s="24" t="str">
        <f t="shared" si="4"/>
        <v/>
      </c>
      <c r="C231" s="28"/>
      <c r="D231" s="28"/>
      <c r="E231" s="34"/>
      <c r="F231" s="34"/>
      <c r="G231" s="34"/>
      <c r="H231" s="34"/>
      <c r="I231" s="34"/>
      <c r="J231" s="28" t="str">
        <f>IFERROR(__xludf.DUMMYFUNCTION("iferror(if(I231="""","""",unique(query('tbl driver 2'!$K$2:$L1508,""SELECT L WHERE K = '""&amp;I231&amp;""'""))),"""")"),"")</f>
        <v/>
      </c>
      <c r="K231" s="31"/>
      <c r="L231" s="39"/>
      <c r="M231" s="39"/>
      <c r="N231" s="28" t="str">
        <f>IFERROR(__xludf.DUMMYFUNCTION("IF(OR(C231="""",M231=""""),"""",IFERROR(IF(M231="""","""",query('tbl user'!$A$2:$D1508,""SELECT A WHERE D = '""&amp;M231&amp;""'"")),""USER TIDAK DIKETAHUI""))"),"")</f>
        <v/>
      </c>
    </row>
    <row r="232">
      <c r="A232" s="23" t="str">
        <f t="shared" si="3"/>
        <v/>
      </c>
      <c r="B232" s="24" t="str">
        <f t="shared" si="4"/>
        <v/>
      </c>
      <c r="C232" s="28"/>
      <c r="D232" s="28"/>
      <c r="E232" s="34"/>
      <c r="F232" s="34"/>
      <c r="G232" s="34"/>
      <c r="H232" s="34"/>
      <c r="I232" s="34"/>
      <c r="J232" s="28" t="str">
        <f>IFERROR(__xludf.DUMMYFUNCTION("iferror(if(I232="""","""",unique(query('tbl driver 2'!$K$2:$L1508,""SELECT L WHERE K = '""&amp;I232&amp;""'""))),"""")"),"")</f>
        <v/>
      </c>
      <c r="K232" s="31"/>
      <c r="L232" s="39"/>
      <c r="M232" s="39"/>
      <c r="N232" s="28" t="str">
        <f>IFERROR(__xludf.DUMMYFUNCTION("IF(OR(C232="""",M232=""""),"""",IFERROR(IF(M232="""","""",query('tbl user'!$A$2:$D1508,""SELECT A WHERE D = '""&amp;M232&amp;""'"")),""USER TIDAK DIKETAHUI""))"),"")</f>
        <v/>
      </c>
    </row>
    <row r="233">
      <c r="A233" s="23" t="str">
        <f t="shared" si="3"/>
        <v/>
      </c>
      <c r="B233" s="24" t="str">
        <f t="shared" si="4"/>
        <v/>
      </c>
      <c r="C233" s="28"/>
      <c r="D233" s="28"/>
      <c r="E233" s="34"/>
      <c r="F233" s="34"/>
      <c r="G233" s="34"/>
      <c r="H233" s="34"/>
      <c r="I233" s="34"/>
      <c r="J233" s="28" t="str">
        <f>IFERROR(__xludf.DUMMYFUNCTION("iferror(if(I233="""","""",unique(query('tbl driver 2'!$K$2:$L1508,""SELECT L WHERE K = '""&amp;I233&amp;""'""))),"""")"),"")</f>
        <v/>
      </c>
      <c r="K233" s="31"/>
      <c r="L233" s="39"/>
      <c r="M233" s="39"/>
      <c r="N233" s="28" t="str">
        <f>IFERROR(__xludf.DUMMYFUNCTION("IF(OR(C233="""",M233=""""),"""",IFERROR(IF(M233="""","""",query('tbl user'!$A$2:$D1508,""SELECT A WHERE D = '""&amp;M233&amp;""'"")),""USER TIDAK DIKETAHUI""))"),"")</f>
        <v/>
      </c>
    </row>
    <row r="234">
      <c r="A234" s="23" t="str">
        <f t="shared" si="3"/>
        <v/>
      </c>
      <c r="B234" s="24" t="str">
        <f t="shared" si="4"/>
        <v/>
      </c>
      <c r="C234" s="28"/>
      <c r="D234" s="28"/>
      <c r="E234" s="34"/>
      <c r="F234" s="34"/>
      <c r="G234" s="34"/>
      <c r="H234" s="34"/>
      <c r="I234" s="34"/>
      <c r="J234" s="28" t="str">
        <f>IFERROR(__xludf.DUMMYFUNCTION("iferror(if(I234="""","""",unique(query('tbl driver 2'!$K$2:$L1508,""SELECT L WHERE K = '""&amp;I234&amp;""'""))),"""")"),"")</f>
        <v/>
      </c>
      <c r="K234" s="31"/>
      <c r="L234" s="39"/>
      <c r="M234" s="39"/>
      <c r="N234" s="28" t="str">
        <f>IFERROR(__xludf.DUMMYFUNCTION("IF(OR(C234="""",M234=""""),"""",IFERROR(IF(M234="""","""",query('tbl user'!$A$2:$D1508,""SELECT A WHERE D = '""&amp;M234&amp;""'"")),""USER TIDAK DIKETAHUI""))"),"")</f>
        <v/>
      </c>
    </row>
    <row r="235">
      <c r="A235" s="23" t="str">
        <f t="shared" si="3"/>
        <v/>
      </c>
      <c r="B235" s="24" t="str">
        <f t="shared" si="4"/>
        <v/>
      </c>
      <c r="C235" s="28"/>
      <c r="D235" s="28"/>
      <c r="E235" s="34"/>
      <c r="F235" s="34"/>
      <c r="G235" s="34"/>
      <c r="H235" s="34"/>
      <c r="I235" s="34"/>
      <c r="J235" s="28" t="str">
        <f>IFERROR(__xludf.DUMMYFUNCTION("iferror(if(I235="""","""",unique(query('tbl driver 2'!$K$2:$L1508,""SELECT L WHERE K = '""&amp;I235&amp;""'""))),"""")"),"")</f>
        <v/>
      </c>
      <c r="K235" s="31"/>
      <c r="L235" s="39"/>
      <c r="M235" s="39"/>
      <c r="N235" s="28" t="str">
        <f>IFERROR(__xludf.DUMMYFUNCTION("IF(OR(C235="""",M235=""""),"""",IFERROR(IF(M235="""","""",query('tbl user'!$A$2:$D1508,""SELECT A WHERE D = '""&amp;M235&amp;""'"")),""USER TIDAK DIKETAHUI""))"),"")</f>
        <v/>
      </c>
    </row>
    <row r="236">
      <c r="A236" s="23" t="str">
        <f t="shared" si="3"/>
        <v/>
      </c>
      <c r="B236" s="24" t="str">
        <f t="shared" si="4"/>
        <v/>
      </c>
      <c r="C236" s="28"/>
      <c r="D236" s="28"/>
      <c r="E236" s="34"/>
      <c r="F236" s="34"/>
      <c r="G236" s="34"/>
      <c r="H236" s="34"/>
      <c r="I236" s="34"/>
      <c r="J236" s="28" t="str">
        <f>IFERROR(__xludf.DUMMYFUNCTION("iferror(if(I236="""","""",unique(query('tbl driver 2'!$K$2:$L1508,""SELECT L WHERE K = '""&amp;I236&amp;""'""))),"""")"),"")</f>
        <v/>
      </c>
      <c r="K236" s="31"/>
      <c r="L236" s="39"/>
      <c r="M236" s="39"/>
      <c r="N236" s="28" t="str">
        <f>IFERROR(__xludf.DUMMYFUNCTION("IF(OR(C236="""",M236=""""),"""",IFERROR(IF(M236="""","""",query('tbl user'!$A$2:$D1508,""SELECT A WHERE D = '""&amp;M236&amp;""'"")),""USER TIDAK DIKETAHUI""))"),"")</f>
        <v/>
      </c>
    </row>
    <row r="237">
      <c r="A237" s="23" t="str">
        <f t="shared" si="3"/>
        <v/>
      </c>
      <c r="B237" s="24" t="str">
        <f t="shared" si="4"/>
        <v/>
      </c>
      <c r="C237" s="28"/>
      <c r="D237" s="28"/>
      <c r="E237" s="34"/>
      <c r="F237" s="34"/>
      <c r="G237" s="34"/>
      <c r="H237" s="34"/>
      <c r="I237" s="34"/>
      <c r="J237" s="28" t="str">
        <f>IFERROR(__xludf.DUMMYFUNCTION("iferror(if(I237="""","""",unique(query('tbl driver 2'!$K$2:$L1508,""SELECT L WHERE K = '""&amp;I237&amp;""'""))),"""")"),"")</f>
        <v/>
      </c>
      <c r="K237" s="31"/>
      <c r="L237" s="39"/>
      <c r="M237" s="39"/>
      <c r="N237" s="28" t="str">
        <f>IFERROR(__xludf.DUMMYFUNCTION("IF(OR(C237="""",M237=""""),"""",IFERROR(IF(M237="""","""",query('tbl user'!$A$2:$D1508,""SELECT A WHERE D = '""&amp;M237&amp;""'"")),""USER TIDAK DIKETAHUI""))"),"")</f>
        <v/>
      </c>
    </row>
    <row r="238">
      <c r="A238" s="23" t="str">
        <f t="shared" si="3"/>
        <v/>
      </c>
      <c r="B238" s="24" t="str">
        <f t="shared" si="4"/>
        <v/>
      </c>
      <c r="C238" s="28"/>
      <c r="D238" s="28"/>
      <c r="E238" s="34"/>
      <c r="F238" s="34"/>
      <c r="G238" s="34"/>
      <c r="H238" s="34"/>
      <c r="I238" s="34"/>
      <c r="J238" s="28" t="str">
        <f>IFERROR(__xludf.DUMMYFUNCTION("iferror(if(I238="""","""",unique(query('tbl driver 2'!$K$2:$L1508,""SELECT L WHERE K = '""&amp;I238&amp;""'""))),"""")"),"")</f>
        <v/>
      </c>
      <c r="K238" s="31"/>
      <c r="L238" s="39"/>
      <c r="M238" s="39"/>
      <c r="N238" s="28" t="str">
        <f>IFERROR(__xludf.DUMMYFUNCTION("IF(OR(C238="""",M238=""""),"""",IFERROR(IF(M238="""","""",query('tbl user'!$A$2:$D1508,""SELECT A WHERE D = '""&amp;M238&amp;""'"")),""USER TIDAK DIKETAHUI""))"),"")</f>
        <v/>
      </c>
    </row>
    <row r="239">
      <c r="A239" s="23" t="str">
        <f t="shared" si="3"/>
        <v/>
      </c>
      <c r="B239" s="24" t="str">
        <f t="shared" si="4"/>
        <v/>
      </c>
      <c r="C239" s="28"/>
      <c r="D239" s="28"/>
      <c r="E239" s="34"/>
      <c r="F239" s="34"/>
      <c r="G239" s="34"/>
      <c r="H239" s="34"/>
      <c r="I239" s="34"/>
      <c r="J239" s="28" t="str">
        <f>IFERROR(__xludf.DUMMYFUNCTION("iferror(if(I239="""","""",unique(query('tbl driver 2'!$K$2:$L1508,""SELECT L WHERE K = '""&amp;I239&amp;""'""))),"""")"),"")</f>
        <v/>
      </c>
      <c r="K239" s="31"/>
      <c r="L239" s="39"/>
      <c r="M239" s="39"/>
      <c r="N239" s="28" t="str">
        <f>IFERROR(__xludf.DUMMYFUNCTION("IF(OR(C239="""",M239=""""),"""",IFERROR(IF(M239="""","""",query('tbl user'!$A$2:$D1508,""SELECT A WHERE D = '""&amp;M239&amp;""'"")),""USER TIDAK DIKETAHUI""))"),"")</f>
        <v/>
      </c>
    </row>
    <row r="240">
      <c r="A240" s="23" t="str">
        <f t="shared" si="3"/>
        <v/>
      </c>
      <c r="B240" s="24" t="str">
        <f t="shared" si="4"/>
        <v/>
      </c>
      <c r="C240" s="28"/>
      <c r="D240" s="28"/>
      <c r="E240" s="34"/>
      <c r="F240" s="34"/>
      <c r="G240" s="34"/>
      <c r="H240" s="34"/>
      <c r="I240" s="34"/>
      <c r="J240" s="28" t="str">
        <f>IFERROR(__xludf.DUMMYFUNCTION("iferror(if(I240="""","""",unique(query('tbl driver 2'!$K$2:$L1508,""SELECT L WHERE K = '""&amp;I240&amp;""'""))),"""")"),"")</f>
        <v/>
      </c>
      <c r="K240" s="31"/>
      <c r="L240" s="39"/>
      <c r="M240" s="39"/>
      <c r="N240" s="28" t="str">
        <f>IFERROR(__xludf.DUMMYFUNCTION("IF(OR(C240="""",M240=""""),"""",IFERROR(IF(M240="""","""",query('tbl user'!$A$2:$D1508,""SELECT A WHERE D = '""&amp;M240&amp;""'"")),""USER TIDAK DIKETAHUI""))"),"")</f>
        <v/>
      </c>
    </row>
    <row r="241">
      <c r="A241" s="23" t="str">
        <f t="shared" si="3"/>
        <v/>
      </c>
      <c r="B241" s="24" t="str">
        <f t="shared" si="4"/>
        <v/>
      </c>
      <c r="C241" s="28"/>
      <c r="D241" s="28"/>
      <c r="E241" s="34"/>
      <c r="F241" s="34"/>
      <c r="G241" s="34"/>
      <c r="H241" s="34"/>
      <c r="I241" s="34"/>
      <c r="J241" s="28" t="str">
        <f>IFERROR(__xludf.DUMMYFUNCTION("iferror(if(I241="""","""",unique(query('tbl driver 2'!$K$2:$L1508,""SELECT L WHERE K = '""&amp;I241&amp;""'""))),"""")"),"")</f>
        <v/>
      </c>
      <c r="K241" s="31"/>
      <c r="L241" s="39"/>
      <c r="M241" s="39"/>
      <c r="N241" s="28" t="str">
        <f>IFERROR(__xludf.DUMMYFUNCTION("IF(OR(C241="""",M241=""""),"""",IFERROR(IF(M241="""","""",query('tbl user'!$A$2:$D1508,""SELECT A WHERE D = '""&amp;M241&amp;""'"")),""USER TIDAK DIKETAHUI""))"),"")</f>
        <v/>
      </c>
    </row>
    <row r="242">
      <c r="A242" s="23" t="str">
        <f t="shared" si="3"/>
        <v/>
      </c>
      <c r="B242" s="24" t="str">
        <f t="shared" si="4"/>
        <v/>
      </c>
      <c r="C242" s="28"/>
      <c r="D242" s="28"/>
      <c r="E242" s="34"/>
      <c r="F242" s="34"/>
      <c r="G242" s="34"/>
      <c r="H242" s="34"/>
      <c r="I242" s="34"/>
      <c r="J242" s="28" t="str">
        <f>IFERROR(__xludf.DUMMYFUNCTION("iferror(if(I242="""","""",unique(query('tbl driver 2'!$K$2:$L1508,""SELECT L WHERE K = '""&amp;I242&amp;""'""))),"""")"),"")</f>
        <v/>
      </c>
      <c r="K242" s="31"/>
      <c r="L242" s="39"/>
      <c r="M242" s="39"/>
      <c r="N242" s="28" t="str">
        <f>IFERROR(__xludf.DUMMYFUNCTION("IF(OR(C242="""",M242=""""),"""",IFERROR(IF(M242="""","""",query('tbl user'!$A$2:$D1508,""SELECT A WHERE D = '""&amp;M242&amp;""'"")),""USER TIDAK DIKETAHUI""))"),"")</f>
        <v/>
      </c>
    </row>
    <row r="243">
      <c r="A243" s="23" t="str">
        <f t="shared" si="3"/>
        <v/>
      </c>
      <c r="B243" s="24" t="str">
        <f t="shared" si="4"/>
        <v/>
      </c>
      <c r="C243" s="28"/>
      <c r="D243" s="28"/>
      <c r="E243" s="34"/>
      <c r="F243" s="34"/>
      <c r="G243" s="34"/>
      <c r="H243" s="34"/>
      <c r="I243" s="34"/>
      <c r="J243" s="28" t="str">
        <f>IFERROR(__xludf.DUMMYFUNCTION("iferror(if(I243="""","""",unique(query('tbl driver 2'!$K$2:$L1508,""SELECT L WHERE K = '""&amp;I243&amp;""'""))),"""")"),"")</f>
        <v/>
      </c>
      <c r="K243" s="31"/>
      <c r="L243" s="39"/>
      <c r="M243" s="39"/>
      <c r="N243" s="28" t="str">
        <f>IFERROR(__xludf.DUMMYFUNCTION("IF(OR(C243="""",M243=""""),"""",IFERROR(IF(M243="""","""",query('tbl user'!$A$2:$D1508,""SELECT A WHERE D = '""&amp;M243&amp;""'"")),""USER TIDAK DIKETAHUI""))"),"")</f>
        <v/>
      </c>
    </row>
    <row r="244">
      <c r="A244" s="23" t="str">
        <f t="shared" si="3"/>
        <v/>
      </c>
      <c r="B244" s="24" t="str">
        <f t="shared" si="4"/>
        <v/>
      </c>
      <c r="C244" s="28"/>
      <c r="D244" s="28"/>
      <c r="E244" s="34"/>
      <c r="F244" s="34"/>
      <c r="G244" s="34"/>
      <c r="H244" s="34"/>
      <c r="I244" s="34"/>
      <c r="J244" s="28" t="str">
        <f>IFERROR(__xludf.DUMMYFUNCTION("iferror(if(I244="""","""",unique(query('tbl driver 2'!$K$2:$L1508,""SELECT L WHERE K = '""&amp;I244&amp;""'""))),"""")"),"")</f>
        <v/>
      </c>
      <c r="K244" s="31"/>
      <c r="L244" s="39"/>
      <c r="M244" s="39"/>
      <c r="N244" s="28" t="str">
        <f>IFERROR(__xludf.DUMMYFUNCTION("IF(OR(C244="""",M244=""""),"""",IFERROR(IF(M244="""","""",query('tbl user'!$A$2:$D1508,""SELECT A WHERE D = '""&amp;M244&amp;""'"")),""USER TIDAK DIKETAHUI""))"),"")</f>
        <v/>
      </c>
    </row>
    <row r="245">
      <c r="A245" s="23" t="str">
        <f t="shared" si="3"/>
        <v/>
      </c>
      <c r="B245" s="24" t="str">
        <f t="shared" si="4"/>
        <v/>
      </c>
      <c r="C245" s="28"/>
      <c r="D245" s="28"/>
      <c r="E245" s="34"/>
      <c r="F245" s="34"/>
      <c r="G245" s="34"/>
      <c r="H245" s="34"/>
      <c r="I245" s="34"/>
      <c r="J245" s="28" t="str">
        <f>IFERROR(__xludf.DUMMYFUNCTION("iferror(if(I245="""","""",unique(query('tbl driver 2'!$K$2:$L1508,""SELECT L WHERE K = '""&amp;I245&amp;""'""))),"""")"),"")</f>
        <v/>
      </c>
      <c r="K245" s="31"/>
      <c r="L245" s="39"/>
      <c r="M245" s="39"/>
      <c r="N245" s="28" t="str">
        <f>IFERROR(__xludf.DUMMYFUNCTION("IF(OR(C245="""",M245=""""),"""",IFERROR(IF(M245="""","""",query('tbl user'!$A$2:$D1508,""SELECT A WHERE D = '""&amp;M245&amp;""'"")),""USER TIDAK DIKETAHUI""))"),"")</f>
        <v/>
      </c>
    </row>
    <row r="246">
      <c r="A246" s="23" t="str">
        <f t="shared" si="3"/>
        <v/>
      </c>
      <c r="B246" s="24" t="str">
        <f t="shared" si="4"/>
        <v/>
      </c>
      <c r="C246" s="28"/>
      <c r="D246" s="28"/>
      <c r="E246" s="34"/>
      <c r="F246" s="34"/>
      <c r="G246" s="34"/>
      <c r="H246" s="34"/>
      <c r="I246" s="34"/>
      <c r="J246" s="28" t="str">
        <f>IFERROR(__xludf.DUMMYFUNCTION("iferror(if(I246="""","""",unique(query('tbl driver 2'!$K$2:$L1508,""SELECT L WHERE K = '""&amp;I246&amp;""'""))),"""")"),"")</f>
        <v/>
      </c>
      <c r="K246" s="31"/>
      <c r="L246" s="39"/>
      <c r="M246" s="39"/>
      <c r="N246" s="28" t="str">
        <f>IFERROR(__xludf.DUMMYFUNCTION("IF(OR(C246="""",M246=""""),"""",IFERROR(IF(M246="""","""",query('tbl user'!$A$2:$D1508,""SELECT A WHERE D = '""&amp;M246&amp;""'"")),""USER TIDAK DIKETAHUI""))"),"")</f>
        <v/>
      </c>
    </row>
    <row r="247">
      <c r="A247" s="23" t="str">
        <f t="shared" si="3"/>
        <v/>
      </c>
      <c r="B247" s="24" t="str">
        <f t="shared" si="4"/>
        <v/>
      </c>
      <c r="C247" s="28"/>
      <c r="D247" s="28"/>
      <c r="E247" s="34"/>
      <c r="F247" s="34"/>
      <c r="G247" s="34"/>
      <c r="H247" s="34"/>
      <c r="I247" s="34"/>
      <c r="J247" s="28" t="str">
        <f>IFERROR(__xludf.DUMMYFUNCTION("iferror(if(I247="""","""",unique(query('tbl driver 2'!$K$2:$L1508,""SELECT L WHERE K = '""&amp;I247&amp;""'""))),"""")"),"")</f>
        <v/>
      </c>
      <c r="K247" s="31"/>
      <c r="L247" s="39"/>
      <c r="M247" s="39"/>
      <c r="N247" s="28" t="str">
        <f>IFERROR(__xludf.DUMMYFUNCTION("IF(OR(C247="""",M247=""""),"""",IFERROR(IF(M247="""","""",query('tbl user'!$A$2:$D1508,""SELECT A WHERE D = '""&amp;M247&amp;""'"")),""USER TIDAK DIKETAHUI""))"),"")</f>
        <v/>
      </c>
    </row>
    <row r="248">
      <c r="A248" s="23" t="str">
        <f t="shared" si="3"/>
        <v/>
      </c>
      <c r="B248" s="24" t="str">
        <f t="shared" si="4"/>
        <v/>
      </c>
      <c r="C248" s="28"/>
      <c r="D248" s="28"/>
      <c r="E248" s="34"/>
      <c r="F248" s="34"/>
      <c r="G248" s="34"/>
      <c r="H248" s="34"/>
      <c r="I248" s="34"/>
      <c r="J248" s="28" t="str">
        <f>IFERROR(__xludf.DUMMYFUNCTION("iferror(if(I248="""","""",unique(query('tbl driver 2'!$K$2:$L1508,""SELECT L WHERE K = '""&amp;I248&amp;""'""))),"""")"),"")</f>
        <v/>
      </c>
      <c r="K248" s="31"/>
      <c r="L248" s="39"/>
      <c r="M248" s="39"/>
      <c r="N248" s="28" t="str">
        <f>IFERROR(__xludf.DUMMYFUNCTION("IF(OR(C248="""",M248=""""),"""",IFERROR(IF(M248="""","""",query('tbl user'!$A$2:$D1508,""SELECT A WHERE D = '""&amp;M248&amp;""'"")),""USER TIDAK DIKETAHUI""))"),"")</f>
        <v/>
      </c>
    </row>
    <row r="249">
      <c r="A249" s="23" t="str">
        <f t="shared" si="3"/>
        <v/>
      </c>
      <c r="B249" s="24" t="str">
        <f t="shared" si="4"/>
        <v/>
      </c>
      <c r="C249" s="28"/>
      <c r="D249" s="28"/>
      <c r="E249" s="34"/>
      <c r="F249" s="34"/>
      <c r="G249" s="34"/>
      <c r="H249" s="34"/>
      <c r="I249" s="34"/>
      <c r="J249" s="28" t="str">
        <f>IFERROR(__xludf.DUMMYFUNCTION("iferror(if(I249="""","""",unique(query('tbl driver 2'!$K$2:$L1508,""SELECT L WHERE K = '""&amp;I249&amp;""'""))),"""")"),"")</f>
        <v/>
      </c>
      <c r="K249" s="31"/>
      <c r="L249" s="39"/>
      <c r="M249" s="39"/>
      <c r="N249" s="28" t="str">
        <f>IFERROR(__xludf.DUMMYFUNCTION("IF(OR(C249="""",M249=""""),"""",IFERROR(IF(M249="""","""",query('tbl user'!$A$2:$D1508,""SELECT A WHERE D = '""&amp;M249&amp;""'"")),""USER TIDAK DIKETAHUI""))"),"")</f>
        <v/>
      </c>
    </row>
    <row r="250">
      <c r="A250" s="23" t="str">
        <f t="shared" si="3"/>
        <v/>
      </c>
      <c r="B250" s="24" t="str">
        <f t="shared" si="4"/>
        <v/>
      </c>
      <c r="C250" s="28"/>
      <c r="D250" s="28"/>
      <c r="E250" s="34"/>
      <c r="F250" s="34"/>
      <c r="G250" s="34"/>
      <c r="H250" s="34"/>
      <c r="I250" s="34"/>
      <c r="J250" s="28" t="str">
        <f>IFERROR(__xludf.DUMMYFUNCTION("iferror(if(I250="""","""",unique(query('tbl driver 2'!$K$2:$L1508,""SELECT L WHERE K = '""&amp;I250&amp;""'""))),"""")"),"")</f>
        <v/>
      </c>
      <c r="K250" s="31"/>
      <c r="L250" s="39"/>
      <c r="M250" s="39"/>
      <c r="N250" s="28" t="str">
        <f>IFERROR(__xludf.DUMMYFUNCTION("IF(OR(C250="""",M250=""""),"""",IFERROR(IF(M250="""","""",query('tbl user'!$A$2:$D1508,""SELECT A WHERE D = '""&amp;M250&amp;""'"")),""USER TIDAK DIKETAHUI""))"),"")</f>
        <v/>
      </c>
    </row>
    <row r="251">
      <c r="A251" s="23" t="str">
        <f t="shared" si="3"/>
        <v/>
      </c>
      <c r="B251" s="24" t="str">
        <f t="shared" si="4"/>
        <v/>
      </c>
      <c r="C251" s="28"/>
      <c r="D251" s="28"/>
      <c r="E251" s="34"/>
      <c r="F251" s="34"/>
      <c r="G251" s="34"/>
      <c r="H251" s="34"/>
      <c r="I251" s="34"/>
      <c r="J251" s="28" t="str">
        <f>IFERROR(__xludf.DUMMYFUNCTION("iferror(if(I251="""","""",unique(query('tbl driver 2'!$K$2:$L1508,""SELECT L WHERE K = '""&amp;I251&amp;""'""))),"""")"),"")</f>
        <v/>
      </c>
      <c r="K251" s="31"/>
      <c r="L251" s="39"/>
      <c r="M251" s="39"/>
      <c r="N251" s="28" t="str">
        <f>IFERROR(__xludf.DUMMYFUNCTION("IF(OR(C251="""",M251=""""),"""",IFERROR(IF(M251="""","""",query('tbl user'!$A$2:$D1508,""SELECT A WHERE D = '""&amp;M251&amp;""'"")),""USER TIDAK DIKETAHUI""))"),"")</f>
        <v/>
      </c>
    </row>
    <row r="252">
      <c r="A252" s="23" t="str">
        <f t="shared" si="3"/>
        <v/>
      </c>
      <c r="B252" s="24" t="str">
        <f t="shared" si="4"/>
        <v/>
      </c>
      <c r="C252" s="28"/>
      <c r="D252" s="28"/>
      <c r="E252" s="34"/>
      <c r="F252" s="34"/>
      <c r="G252" s="34"/>
      <c r="H252" s="34"/>
      <c r="I252" s="34"/>
      <c r="J252" s="28" t="str">
        <f>IFERROR(__xludf.DUMMYFUNCTION("iferror(if(I252="""","""",unique(query('tbl driver 2'!$K$2:$L1508,""SELECT L WHERE K = '""&amp;I252&amp;""'""))),"""")"),"")</f>
        <v/>
      </c>
      <c r="K252" s="31"/>
      <c r="L252" s="39"/>
      <c r="M252" s="39"/>
      <c r="N252" s="28" t="str">
        <f>IFERROR(__xludf.DUMMYFUNCTION("IF(OR(C252="""",M252=""""),"""",IFERROR(IF(M252="""","""",query('tbl user'!$A$2:$D1508,""SELECT A WHERE D = '""&amp;M252&amp;""'"")),""USER TIDAK DIKETAHUI""))"),"")</f>
        <v/>
      </c>
    </row>
    <row r="253">
      <c r="A253" s="23" t="str">
        <f t="shared" si="3"/>
        <v/>
      </c>
      <c r="B253" s="24" t="str">
        <f t="shared" si="4"/>
        <v/>
      </c>
      <c r="C253" s="28"/>
      <c r="D253" s="28"/>
      <c r="E253" s="34"/>
      <c r="F253" s="34"/>
      <c r="G253" s="34"/>
      <c r="H253" s="34"/>
      <c r="I253" s="34"/>
      <c r="J253" s="28" t="str">
        <f>IFERROR(__xludf.DUMMYFUNCTION("iferror(if(I253="""","""",unique(query('tbl driver 2'!$K$2:$L1508,""SELECT L WHERE K = '""&amp;I253&amp;""'""))),"""")"),"")</f>
        <v/>
      </c>
      <c r="K253" s="31"/>
      <c r="L253" s="39"/>
      <c r="M253" s="39"/>
      <c r="N253" s="28" t="str">
        <f>IFERROR(__xludf.DUMMYFUNCTION("IF(OR(C253="""",M253=""""),"""",IFERROR(IF(M253="""","""",query('tbl user'!$A$2:$D1508,""SELECT A WHERE D = '""&amp;M253&amp;""'"")),""USER TIDAK DIKETAHUI""))"),"")</f>
        <v/>
      </c>
    </row>
    <row r="254">
      <c r="A254" s="23" t="str">
        <f t="shared" si="3"/>
        <v/>
      </c>
      <c r="B254" s="24" t="str">
        <f t="shared" si="4"/>
        <v/>
      </c>
      <c r="C254" s="28"/>
      <c r="D254" s="28"/>
      <c r="E254" s="34"/>
      <c r="F254" s="34"/>
      <c r="G254" s="34"/>
      <c r="H254" s="34"/>
      <c r="I254" s="34"/>
      <c r="J254" s="28" t="str">
        <f>IFERROR(__xludf.DUMMYFUNCTION("iferror(if(I254="""","""",unique(query('tbl driver 2'!$K$2:$L1508,""SELECT L WHERE K = '""&amp;I254&amp;""'""))),"""")"),"")</f>
        <v/>
      </c>
      <c r="K254" s="31"/>
      <c r="L254" s="39"/>
      <c r="M254" s="39"/>
      <c r="N254" s="28" t="str">
        <f>IFERROR(__xludf.DUMMYFUNCTION("IF(OR(C254="""",M254=""""),"""",IFERROR(IF(M254="""","""",query('tbl user'!$A$2:$D1508,""SELECT A WHERE D = '""&amp;M254&amp;""'"")),""USER TIDAK DIKETAHUI""))"),"")</f>
        <v/>
      </c>
    </row>
    <row r="255">
      <c r="A255" s="23" t="str">
        <f t="shared" si="3"/>
        <v/>
      </c>
      <c r="B255" s="24" t="str">
        <f t="shared" si="4"/>
        <v/>
      </c>
      <c r="C255" s="28"/>
      <c r="D255" s="28"/>
      <c r="E255" s="34"/>
      <c r="F255" s="34"/>
      <c r="G255" s="34"/>
      <c r="H255" s="34"/>
      <c r="I255" s="34"/>
      <c r="J255" s="28" t="str">
        <f>IFERROR(__xludf.DUMMYFUNCTION("iferror(if(I255="""","""",unique(query('tbl driver 2'!$K$2:$L1508,""SELECT L WHERE K = '""&amp;I255&amp;""'""))),"""")"),"")</f>
        <v/>
      </c>
      <c r="K255" s="31"/>
      <c r="L255" s="39"/>
      <c r="M255" s="39"/>
      <c r="N255" s="28" t="str">
        <f>IFERROR(__xludf.DUMMYFUNCTION("IF(OR(C255="""",M255=""""),"""",IFERROR(IF(M255="""","""",query('tbl user'!$A$2:$D1508,""SELECT A WHERE D = '""&amp;M255&amp;""'"")),""USER TIDAK DIKETAHUI""))"),"")</f>
        <v/>
      </c>
    </row>
    <row r="256">
      <c r="A256" s="23" t="str">
        <f t="shared" si="3"/>
        <v/>
      </c>
      <c r="B256" s="24" t="str">
        <f t="shared" si="4"/>
        <v/>
      </c>
      <c r="C256" s="28"/>
      <c r="D256" s="28"/>
      <c r="E256" s="34"/>
      <c r="F256" s="34"/>
      <c r="G256" s="34"/>
      <c r="H256" s="34"/>
      <c r="I256" s="34"/>
      <c r="J256" s="28" t="str">
        <f>IFERROR(__xludf.DUMMYFUNCTION("iferror(if(I256="""","""",unique(query('tbl driver 2'!$K$2:$L1508,""SELECT L WHERE K = '""&amp;I256&amp;""'""))),"""")"),"")</f>
        <v/>
      </c>
      <c r="K256" s="31"/>
      <c r="L256" s="39"/>
      <c r="M256" s="39"/>
      <c r="N256" s="28" t="str">
        <f>IFERROR(__xludf.DUMMYFUNCTION("IF(OR(C256="""",M256=""""),"""",IFERROR(IF(M256="""","""",query('tbl user'!$A$2:$D1508,""SELECT A WHERE D = '""&amp;M256&amp;""'"")),""USER TIDAK DIKETAHUI""))"),"")</f>
        <v/>
      </c>
    </row>
    <row r="257">
      <c r="A257" s="23" t="str">
        <f t="shared" si="3"/>
        <v/>
      </c>
      <c r="B257" s="24" t="str">
        <f t="shared" si="4"/>
        <v/>
      </c>
      <c r="C257" s="28"/>
      <c r="D257" s="28"/>
      <c r="E257" s="34"/>
      <c r="F257" s="34"/>
      <c r="G257" s="34"/>
      <c r="H257" s="34"/>
      <c r="I257" s="34"/>
      <c r="J257" s="28" t="str">
        <f>IFERROR(__xludf.DUMMYFUNCTION("iferror(if(I257="""","""",unique(query('tbl driver 2'!$K$2:$L1508,""SELECT L WHERE K = '""&amp;I257&amp;""'""))),"""")"),"")</f>
        <v/>
      </c>
      <c r="K257" s="31"/>
      <c r="L257" s="39"/>
      <c r="M257" s="39"/>
      <c r="N257" s="28" t="str">
        <f>IFERROR(__xludf.DUMMYFUNCTION("IF(OR(C257="""",M257=""""),"""",IFERROR(IF(M257="""","""",query('tbl user'!$A$2:$D1508,""SELECT A WHERE D = '""&amp;M257&amp;""'"")),""USER TIDAK DIKETAHUI""))"),"")</f>
        <v/>
      </c>
    </row>
    <row r="258">
      <c r="A258" s="23" t="str">
        <f t="shared" si="3"/>
        <v/>
      </c>
      <c r="B258" s="24" t="str">
        <f t="shared" si="4"/>
        <v/>
      </c>
      <c r="C258" s="28"/>
      <c r="D258" s="28"/>
      <c r="E258" s="34"/>
      <c r="F258" s="34"/>
      <c r="G258" s="34"/>
      <c r="H258" s="34"/>
      <c r="I258" s="34"/>
      <c r="J258" s="28" t="str">
        <f>IFERROR(__xludf.DUMMYFUNCTION("iferror(if(I258="""","""",unique(query('tbl driver 2'!$K$2:$L1508,""SELECT L WHERE K = '""&amp;I258&amp;""'""))),"""")"),"")</f>
        <v/>
      </c>
      <c r="K258" s="31"/>
      <c r="L258" s="39"/>
      <c r="M258" s="39"/>
      <c r="N258" s="28" t="str">
        <f>IFERROR(__xludf.DUMMYFUNCTION("IF(OR(C258="""",M258=""""),"""",IFERROR(IF(M258="""","""",query('tbl user'!$A$2:$D1508,""SELECT A WHERE D = '""&amp;M258&amp;""'"")),""USER TIDAK DIKETAHUI""))"),"")</f>
        <v/>
      </c>
    </row>
    <row r="259">
      <c r="A259" s="23" t="str">
        <f t="shared" si="3"/>
        <v/>
      </c>
      <c r="B259" s="24" t="str">
        <f t="shared" si="4"/>
        <v/>
      </c>
      <c r="C259" s="28"/>
      <c r="D259" s="28"/>
      <c r="E259" s="34"/>
      <c r="F259" s="34"/>
      <c r="G259" s="34"/>
      <c r="H259" s="34"/>
      <c r="I259" s="34"/>
      <c r="J259" s="28" t="str">
        <f>IFERROR(__xludf.DUMMYFUNCTION("iferror(if(I259="""","""",unique(query('tbl driver 2'!$K$2:$L1508,""SELECT L WHERE K = '""&amp;I259&amp;""'""))),"""")"),"")</f>
        <v/>
      </c>
      <c r="K259" s="31"/>
      <c r="L259" s="39"/>
      <c r="M259" s="39"/>
      <c r="N259" s="28" t="str">
        <f>IFERROR(__xludf.DUMMYFUNCTION("IF(OR(C259="""",M259=""""),"""",IFERROR(IF(M259="""","""",query('tbl user'!$A$2:$D1508,""SELECT A WHERE D = '""&amp;M259&amp;""'"")),""USER TIDAK DIKETAHUI""))"),"")</f>
        <v/>
      </c>
    </row>
    <row r="260">
      <c r="A260" s="23" t="str">
        <f t="shared" si="3"/>
        <v/>
      </c>
      <c r="B260" s="24" t="str">
        <f t="shared" si="4"/>
        <v/>
      </c>
      <c r="C260" s="28"/>
      <c r="D260" s="28"/>
      <c r="E260" s="34"/>
      <c r="F260" s="34"/>
      <c r="G260" s="34"/>
      <c r="H260" s="34"/>
      <c r="I260" s="34"/>
      <c r="J260" s="28" t="str">
        <f>IFERROR(__xludf.DUMMYFUNCTION("iferror(if(I260="""","""",unique(query('tbl driver 2'!$K$2:$L1508,""SELECT L WHERE K = '""&amp;I260&amp;""'""))),"""")"),"")</f>
        <v/>
      </c>
      <c r="K260" s="31"/>
      <c r="L260" s="39"/>
      <c r="M260" s="39"/>
      <c r="N260" s="28" t="str">
        <f>IFERROR(__xludf.DUMMYFUNCTION("IF(OR(C260="""",M260=""""),"""",IFERROR(IF(M260="""","""",query('tbl user'!$A$2:$D1508,""SELECT A WHERE D = '""&amp;M260&amp;""'"")),""USER TIDAK DIKETAHUI""))"),"")</f>
        <v/>
      </c>
    </row>
    <row r="261">
      <c r="A261" s="23" t="str">
        <f t="shared" si="3"/>
        <v/>
      </c>
      <c r="B261" s="24" t="str">
        <f t="shared" si="4"/>
        <v/>
      </c>
      <c r="C261" s="28"/>
      <c r="D261" s="28"/>
      <c r="E261" s="34"/>
      <c r="F261" s="34"/>
      <c r="G261" s="34"/>
      <c r="H261" s="34"/>
      <c r="I261" s="34"/>
      <c r="J261" s="28" t="str">
        <f>IFERROR(__xludf.DUMMYFUNCTION("iferror(if(I261="""","""",unique(query('tbl driver 2'!$K$2:$L1508,""SELECT L WHERE K = '""&amp;I261&amp;""'""))),"""")"),"")</f>
        <v/>
      </c>
      <c r="K261" s="31"/>
      <c r="L261" s="39"/>
      <c r="M261" s="39"/>
      <c r="N261" s="28" t="str">
        <f>IFERROR(__xludf.DUMMYFUNCTION("IF(OR(C261="""",M261=""""),"""",IFERROR(IF(M261="""","""",query('tbl user'!$A$2:$D1508,""SELECT A WHERE D = '""&amp;M261&amp;""'"")),""USER TIDAK DIKETAHUI""))"),"")</f>
        <v/>
      </c>
    </row>
    <row r="262">
      <c r="A262" s="23" t="str">
        <f t="shared" si="3"/>
        <v/>
      </c>
      <c r="B262" s="24" t="str">
        <f t="shared" si="4"/>
        <v/>
      </c>
      <c r="C262" s="28"/>
      <c r="D262" s="28"/>
      <c r="E262" s="34"/>
      <c r="F262" s="34"/>
      <c r="G262" s="34"/>
      <c r="H262" s="34"/>
      <c r="I262" s="34"/>
      <c r="J262" s="28" t="str">
        <f>IFERROR(__xludf.DUMMYFUNCTION("iferror(if(I262="""","""",unique(query('tbl driver 2'!$K$2:$L1508,""SELECT L WHERE K = '""&amp;I262&amp;""'""))),"""")"),"")</f>
        <v/>
      </c>
      <c r="K262" s="31"/>
      <c r="L262" s="39"/>
      <c r="M262" s="39"/>
      <c r="N262" s="28" t="str">
        <f>IFERROR(__xludf.DUMMYFUNCTION("IF(OR(C262="""",M262=""""),"""",IFERROR(IF(M262="""","""",query('tbl user'!$A$2:$D1508,""SELECT A WHERE D = '""&amp;M262&amp;""'"")),""USER TIDAK DIKETAHUI""))"),"")</f>
        <v/>
      </c>
    </row>
    <row r="263">
      <c r="A263" s="23" t="str">
        <f t="shared" si="3"/>
        <v/>
      </c>
      <c r="B263" s="24" t="str">
        <f t="shared" si="4"/>
        <v/>
      </c>
      <c r="C263" s="28"/>
      <c r="D263" s="28"/>
      <c r="E263" s="34"/>
      <c r="F263" s="34"/>
      <c r="G263" s="34"/>
      <c r="H263" s="34"/>
      <c r="I263" s="34"/>
      <c r="J263" s="28" t="str">
        <f>IFERROR(__xludf.DUMMYFUNCTION("iferror(if(I263="""","""",unique(query('tbl driver 2'!$K$2:$L1508,""SELECT L WHERE K = '""&amp;I263&amp;""'""))),"""")"),"")</f>
        <v/>
      </c>
      <c r="K263" s="31"/>
      <c r="L263" s="39"/>
      <c r="M263" s="39"/>
      <c r="N263" s="28" t="str">
        <f>IFERROR(__xludf.DUMMYFUNCTION("IF(OR(C263="""",M263=""""),"""",IFERROR(IF(M263="""","""",query('tbl user'!$A$2:$D1508,""SELECT A WHERE D = '""&amp;M263&amp;""'"")),""USER TIDAK DIKETAHUI""))"),"")</f>
        <v/>
      </c>
    </row>
    <row r="264">
      <c r="A264" s="23" t="str">
        <f t="shared" si="3"/>
        <v/>
      </c>
      <c r="B264" s="24" t="str">
        <f t="shared" si="4"/>
        <v/>
      </c>
      <c r="C264" s="28"/>
      <c r="D264" s="28"/>
      <c r="E264" s="34"/>
      <c r="F264" s="34"/>
      <c r="G264" s="34"/>
      <c r="H264" s="34"/>
      <c r="I264" s="34"/>
      <c r="J264" s="28" t="str">
        <f>IFERROR(__xludf.DUMMYFUNCTION("iferror(if(I264="""","""",unique(query('tbl driver 2'!$K$2:$L1508,""SELECT L WHERE K = '""&amp;I264&amp;""'""))),"""")"),"")</f>
        <v/>
      </c>
      <c r="K264" s="31"/>
      <c r="L264" s="39"/>
      <c r="M264" s="39"/>
      <c r="N264" s="28" t="str">
        <f>IFERROR(__xludf.DUMMYFUNCTION("IF(OR(C264="""",M264=""""),"""",IFERROR(IF(M264="""","""",query('tbl user'!$A$2:$D1508,""SELECT A WHERE D = '""&amp;M264&amp;""'"")),""USER TIDAK DIKETAHUI""))"),"")</f>
        <v/>
      </c>
    </row>
    <row r="265">
      <c r="A265" s="23" t="str">
        <f t="shared" si="3"/>
        <v/>
      </c>
      <c r="B265" s="24" t="str">
        <f t="shared" si="4"/>
        <v/>
      </c>
      <c r="C265" s="28"/>
      <c r="D265" s="28"/>
      <c r="E265" s="34"/>
      <c r="F265" s="34"/>
      <c r="G265" s="34"/>
      <c r="H265" s="34"/>
      <c r="I265" s="34"/>
      <c r="J265" s="28" t="str">
        <f>IFERROR(__xludf.DUMMYFUNCTION("iferror(if(I265="""","""",unique(query('tbl driver 2'!$K$2:$L1508,""SELECT L WHERE K = '""&amp;I265&amp;""'""))),"""")"),"")</f>
        <v/>
      </c>
      <c r="K265" s="31"/>
      <c r="L265" s="39"/>
      <c r="M265" s="39"/>
      <c r="N265" s="28" t="str">
        <f>IFERROR(__xludf.DUMMYFUNCTION("IF(OR(C265="""",M265=""""),"""",IFERROR(IF(M265="""","""",query('tbl user'!$A$2:$D1508,""SELECT A WHERE D = '""&amp;M265&amp;""'"")),""USER TIDAK DIKETAHUI""))"),"")</f>
        <v/>
      </c>
    </row>
    <row r="266">
      <c r="A266" s="23" t="str">
        <f t="shared" si="3"/>
        <v/>
      </c>
      <c r="B266" s="24" t="str">
        <f t="shared" si="4"/>
        <v/>
      </c>
      <c r="C266" s="28"/>
      <c r="D266" s="28"/>
      <c r="E266" s="34"/>
      <c r="F266" s="34"/>
      <c r="G266" s="34"/>
      <c r="H266" s="34"/>
      <c r="I266" s="34"/>
      <c r="J266" s="28" t="str">
        <f>IFERROR(__xludf.DUMMYFUNCTION("iferror(if(I266="""","""",unique(query('tbl driver 2'!$K$2:$L1508,""SELECT L WHERE K = '""&amp;I266&amp;""'""))),"""")"),"")</f>
        <v/>
      </c>
      <c r="K266" s="31"/>
      <c r="L266" s="39"/>
      <c r="M266" s="39"/>
      <c r="N266" s="28" t="str">
        <f>IFERROR(__xludf.DUMMYFUNCTION("IF(OR(C266="""",M266=""""),"""",IFERROR(IF(M266="""","""",query('tbl user'!$A$2:$D1508,""SELECT A WHERE D = '""&amp;M266&amp;""'"")),""USER TIDAK DIKETAHUI""))"),"")</f>
        <v/>
      </c>
    </row>
    <row r="267">
      <c r="A267" s="23" t="str">
        <f t="shared" si="3"/>
        <v/>
      </c>
      <c r="B267" s="24" t="str">
        <f t="shared" si="4"/>
        <v/>
      </c>
      <c r="C267" s="28"/>
      <c r="D267" s="28"/>
      <c r="E267" s="34"/>
      <c r="F267" s="34"/>
      <c r="G267" s="34"/>
      <c r="H267" s="34"/>
      <c r="I267" s="34"/>
      <c r="J267" s="28" t="str">
        <f>IFERROR(__xludf.DUMMYFUNCTION("iferror(if(I267="""","""",unique(query('tbl driver 2'!$K$2:$L1508,""SELECT L WHERE K = '""&amp;I267&amp;""'""))),"""")"),"")</f>
        <v/>
      </c>
      <c r="K267" s="31"/>
      <c r="L267" s="39"/>
      <c r="M267" s="39"/>
      <c r="N267" s="28" t="str">
        <f>IFERROR(__xludf.DUMMYFUNCTION("IF(OR(C267="""",M267=""""),"""",IFERROR(IF(M267="""","""",query('tbl user'!$A$2:$D1508,""SELECT A WHERE D = '""&amp;M267&amp;""'"")),""USER TIDAK DIKETAHUI""))"),"")</f>
        <v/>
      </c>
    </row>
    <row r="268">
      <c r="A268" s="23" t="str">
        <f t="shared" si="3"/>
        <v/>
      </c>
      <c r="B268" s="24" t="str">
        <f t="shared" si="4"/>
        <v/>
      </c>
      <c r="C268" s="28"/>
      <c r="D268" s="28"/>
      <c r="E268" s="34"/>
      <c r="F268" s="34"/>
      <c r="G268" s="34"/>
      <c r="H268" s="34"/>
      <c r="I268" s="34"/>
      <c r="J268" s="28" t="str">
        <f>IFERROR(__xludf.DUMMYFUNCTION("iferror(if(I268="""","""",unique(query('tbl driver 2'!$K$2:$L1508,""SELECT L WHERE K = '""&amp;I268&amp;""'""))),"""")"),"")</f>
        <v/>
      </c>
      <c r="K268" s="31"/>
      <c r="L268" s="39"/>
      <c r="M268" s="39"/>
      <c r="N268" s="28" t="str">
        <f>IFERROR(__xludf.DUMMYFUNCTION("IF(OR(C268="""",M268=""""),"""",IFERROR(IF(M268="""","""",query('tbl user'!$A$2:$D1508,""SELECT A WHERE D = '""&amp;M268&amp;""'"")),""USER TIDAK DIKETAHUI""))"),"")</f>
        <v/>
      </c>
    </row>
    <row r="269">
      <c r="A269" s="23" t="str">
        <f t="shared" si="3"/>
        <v/>
      </c>
      <c r="B269" s="24" t="str">
        <f t="shared" si="4"/>
        <v/>
      </c>
      <c r="C269" s="28"/>
      <c r="D269" s="28"/>
      <c r="E269" s="34"/>
      <c r="F269" s="34"/>
      <c r="G269" s="34"/>
      <c r="H269" s="34"/>
      <c r="I269" s="34"/>
      <c r="J269" s="28" t="str">
        <f>IFERROR(__xludf.DUMMYFUNCTION("iferror(if(I269="""","""",unique(query('tbl driver 2'!$K$2:$L1508,""SELECT L WHERE K = '""&amp;I269&amp;""'""))),"""")"),"")</f>
        <v/>
      </c>
      <c r="K269" s="31"/>
      <c r="L269" s="39"/>
      <c r="M269" s="39"/>
      <c r="N269" s="28" t="str">
        <f>IFERROR(__xludf.DUMMYFUNCTION("IF(OR(C269="""",M269=""""),"""",IFERROR(IF(M269="""","""",query('tbl user'!$A$2:$D1508,""SELECT A WHERE D = '""&amp;M269&amp;""'"")),""USER TIDAK DIKETAHUI""))"),"")</f>
        <v/>
      </c>
    </row>
    <row r="270">
      <c r="A270" s="23" t="str">
        <f t="shared" si="3"/>
        <v/>
      </c>
      <c r="B270" s="24" t="str">
        <f t="shared" si="4"/>
        <v/>
      </c>
      <c r="C270" s="28"/>
      <c r="D270" s="28"/>
      <c r="E270" s="34"/>
      <c r="F270" s="34"/>
      <c r="G270" s="34"/>
      <c r="H270" s="34"/>
      <c r="I270" s="34"/>
      <c r="J270" s="28" t="str">
        <f>IFERROR(__xludf.DUMMYFUNCTION("iferror(if(I270="""","""",unique(query('tbl driver 2'!$K$2:$L1508,""SELECT L WHERE K = '""&amp;I270&amp;""'""))),"""")"),"")</f>
        <v/>
      </c>
      <c r="K270" s="31"/>
      <c r="L270" s="39"/>
      <c r="M270" s="39"/>
      <c r="N270" s="28" t="str">
        <f>IFERROR(__xludf.DUMMYFUNCTION("IF(OR(C270="""",M270=""""),"""",IFERROR(IF(M270="""","""",query('tbl user'!$A$2:$D1508,""SELECT A WHERE D = '""&amp;M270&amp;""'"")),""USER TIDAK DIKETAHUI""))"),"")</f>
        <v/>
      </c>
    </row>
    <row r="271">
      <c r="A271" s="23" t="str">
        <f t="shared" si="3"/>
        <v/>
      </c>
      <c r="B271" s="24" t="str">
        <f t="shared" si="4"/>
        <v/>
      </c>
      <c r="C271" s="28"/>
      <c r="D271" s="28"/>
      <c r="E271" s="34"/>
      <c r="F271" s="34"/>
      <c r="G271" s="34"/>
      <c r="H271" s="34"/>
      <c r="I271" s="34"/>
      <c r="J271" s="28" t="str">
        <f>IFERROR(__xludf.DUMMYFUNCTION("iferror(if(I271="""","""",unique(query('tbl driver 2'!$K$2:$L1508,""SELECT L WHERE K = '""&amp;I271&amp;""'""))),"""")"),"")</f>
        <v/>
      </c>
      <c r="K271" s="31"/>
      <c r="L271" s="39"/>
      <c r="M271" s="39"/>
      <c r="N271" s="28" t="str">
        <f>IFERROR(__xludf.DUMMYFUNCTION("IF(OR(C271="""",M271=""""),"""",IFERROR(IF(M271="""","""",query('tbl user'!$A$2:$D1508,""SELECT A WHERE D = '""&amp;M271&amp;""'"")),""USER TIDAK DIKETAHUI""))"),"")</f>
        <v/>
      </c>
    </row>
    <row r="272">
      <c r="A272" s="23" t="str">
        <f t="shared" si="3"/>
        <v/>
      </c>
      <c r="B272" s="24" t="str">
        <f t="shared" si="4"/>
        <v/>
      </c>
      <c r="C272" s="28"/>
      <c r="D272" s="28"/>
      <c r="E272" s="34"/>
      <c r="F272" s="34"/>
      <c r="G272" s="34"/>
      <c r="H272" s="34"/>
      <c r="I272" s="34"/>
      <c r="J272" s="28" t="str">
        <f>IFERROR(__xludf.DUMMYFUNCTION("iferror(if(I272="""","""",unique(query('tbl driver 2'!$K$2:$L1508,""SELECT L WHERE K = '""&amp;I272&amp;""'""))),"""")"),"")</f>
        <v/>
      </c>
      <c r="K272" s="31"/>
      <c r="L272" s="39"/>
      <c r="M272" s="39"/>
      <c r="N272" s="28" t="str">
        <f>IFERROR(__xludf.DUMMYFUNCTION("IF(OR(C272="""",M272=""""),"""",IFERROR(IF(M272="""","""",query('tbl user'!$A$2:$D1508,""SELECT A WHERE D = '""&amp;M272&amp;""'"")),""USER TIDAK DIKETAHUI""))"),"")</f>
        <v/>
      </c>
    </row>
    <row r="273">
      <c r="A273" s="23" t="str">
        <f t="shared" si="3"/>
        <v/>
      </c>
      <c r="B273" s="24" t="str">
        <f t="shared" si="4"/>
        <v/>
      </c>
      <c r="C273" s="28"/>
      <c r="D273" s="28"/>
      <c r="E273" s="34"/>
      <c r="F273" s="34"/>
      <c r="G273" s="34"/>
      <c r="H273" s="34"/>
      <c r="I273" s="34"/>
      <c r="J273" s="28" t="str">
        <f>IFERROR(__xludf.DUMMYFUNCTION("iferror(if(I273="""","""",unique(query('tbl driver 2'!$K$2:$L1508,""SELECT L WHERE K = '""&amp;I273&amp;""'""))),"""")"),"")</f>
        <v/>
      </c>
      <c r="K273" s="31"/>
      <c r="L273" s="39"/>
      <c r="M273" s="39"/>
      <c r="N273" s="28" t="str">
        <f>IFERROR(__xludf.DUMMYFUNCTION("IF(OR(C273="""",M273=""""),"""",IFERROR(IF(M273="""","""",query('tbl user'!$A$2:$D1508,""SELECT A WHERE D = '""&amp;M273&amp;""'"")),""USER TIDAK DIKETAHUI""))"),"")</f>
        <v/>
      </c>
    </row>
    <row r="274">
      <c r="A274" s="23" t="str">
        <f t="shared" si="3"/>
        <v/>
      </c>
      <c r="B274" s="24" t="str">
        <f t="shared" si="4"/>
        <v/>
      </c>
      <c r="C274" s="28"/>
      <c r="D274" s="28"/>
      <c r="E274" s="34"/>
      <c r="F274" s="34"/>
      <c r="G274" s="34"/>
      <c r="H274" s="34"/>
      <c r="I274" s="34"/>
      <c r="J274" s="28" t="str">
        <f>IFERROR(__xludf.DUMMYFUNCTION("iferror(if(I274="""","""",unique(query('tbl driver 2'!$K$2:$L1508,""SELECT L WHERE K = '""&amp;I274&amp;""'""))),"""")"),"")</f>
        <v/>
      </c>
      <c r="K274" s="31"/>
      <c r="L274" s="39"/>
      <c r="M274" s="39"/>
      <c r="N274" s="28" t="str">
        <f>IFERROR(__xludf.DUMMYFUNCTION("IF(OR(C274="""",M274=""""),"""",IFERROR(IF(M274="""","""",query('tbl user'!$A$2:$D1508,""SELECT A WHERE D = '""&amp;M274&amp;""'"")),""USER TIDAK DIKETAHUI""))"),"")</f>
        <v/>
      </c>
    </row>
    <row r="275">
      <c r="A275" s="23" t="str">
        <f t="shared" si="3"/>
        <v/>
      </c>
      <c r="B275" s="24" t="str">
        <f t="shared" si="4"/>
        <v/>
      </c>
      <c r="C275" s="28"/>
      <c r="D275" s="28"/>
      <c r="E275" s="34"/>
      <c r="F275" s="34"/>
      <c r="G275" s="34"/>
      <c r="H275" s="34"/>
      <c r="I275" s="34"/>
      <c r="J275" s="28" t="str">
        <f>IFERROR(__xludf.DUMMYFUNCTION("iferror(if(I275="""","""",unique(query('tbl driver 2'!$K$2:$L1508,""SELECT L WHERE K = '""&amp;I275&amp;""'""))),"""")"),"")</f>
        <v/>
      </c>
      <c r="K275" s="31"/>
      <c r="L275" s="39"/>
      <c r="M275" s="39"/>
      <c r="N275" s="28" t="str">
        <f>IFERROR(__xludf.DUMMYFUNCTION("IF(OR(C275="""",M275=""""),"""",IFERROR(IF(M275="""","""",query('tbl user'!$A$2:$D1508,""SELECT A WHERE D = '""&amp;M275&amp;""'"")),""USER TIDAK DIKETAHUI""))"),"")</f>
        <v/>
      </c>
    </row>
    <row r="276">
      <c r="A276" s="23" t="str">
        <f t="shared" si="3"/>
        <v/>
      </c>
      <c r="B276" s="24" t="str">
        <f t="shared" si="4"/>
        <v/>
      </c>
      <c r="C276" s="28"/>
      <c r="D276" s="28"/>
      <c r="E276" s="34"/>
      <c r="F276" s="34"/>
      <c r="G276" s="34"/>
      <c r="H276" s="34"/>
      <c r="I276" s="34"/>
      <c r="J276" s="28" t="str">
        <f>IFERROR(__xludf.DUMMYFUNCTION("iferror(if(I276="""","""",unique(query('tbl driver 2'!$K$2:$L1508,""SELECT L WHERE K = '""&amp;I276&amp;""'""))),"""")"),"")</f>
        <v/>
      </c>
      <c r="K276" s="31"/>
      <c r="L276" s="39"/>
      <c r="M276" s="39"/>
      <c r="N276" s="28" t="str">
        <f>IFERROR(__xludf.DUMMYFUNCTION("IF(OR(C276="""",M276=""""),"""",IFERROR(IF(M276="""","""",query('tbl user'!$A$2:$D1508,""SELECT A WHERE D = '""&amp;M276&amp;""'"")),""USER TIDAK DIKETAHUI""))"),"")</f>
        <v/>
      </c>
    </row>
    <row r="277">
      <c r="A277" s="23" t="str">
        <f t="shared" si="3"/>
        <v/>
      </c>
      <c r="B277" s="24" t="str">
        <f t="shared" si="4"/>
        <v/>
      </c>
      <c r="C277" s="28"/>
      <c r="D277" s="28"/>
      <c r="E277" s="34"/>
      <c r="F277" s="34"/>
      <c r="G277" s="34"/>
      <c r="H277" s="34"/>
      <c r="I277" s="34"/>
      <c r="J277" s="28" t="str">
        <f>IFERROR(__xludf.DUMMYFUNCTION("iferror(if(I277="""","""",unique(query('tbl driver 2'!$K$2:$L1508,""SELECT L WHERE K = '""&amp;I277&amp;""'""))),"""")"),"")</f>
        <v/>
      </c>
      <c r="K277" s="31"/>
      <c r="L277" s="39"/>
      <c r="M277" s="39"/>
      <c r="N277" s="28" t="str">
        <f>IFERROR(__xludf.DUMMYFUNCTION("IF(OR(C277="""",M277=""""),"""",IFERROR(IF(M277="""","""",query('tbl user'!$A$2:$D1508,""SELECT A WHERE D = '""&amp;M277&amp;""'"")),""USER TIDAK DIKETAHUI""))"),"")</f>
        <v/>
      </c>
    </row>
    <row r="278">
      <c r="A278" s="23" t="str">
        <f t="shared" si="3"/>
        <v/>
      </c>
      <c r="B278" s="24" t="str">
        <f t="shared" si="4"/>
        <v/>
      </c>
      <c r="C278" s="28"/>
      <c r="D278" s="28"/>
      <c r="E278" s="34"/>
      <c r="F278" s="34"/>
      <c r="G278" s="34"/>
      <c r="H278" s="34"/>
      <c r="I278" s="34"/>
      <c r="J278" s="28" t="str">
        <f>IFERROR(__xludf.DUMMYFUNCTION("iferror(if(I278="""","""",unique(query('tbl driver 2'!$K$2:$L1508,""SELECT L WHERE K = '""&amp;I278&amp;""'""))),"""")"),"")</f>
        <v/>
      </c>
      <c r="K278" s="31"/>
      <c r="L278" s="39"/>
      <c r="M278" s="39"/>
      <c r="N278" s="28" t="str">
        <f>IFERROR(__xludf.DUMMYFUNCTION("IF(OR(C278="""",M278=""""),"""",IFERROR(IF(M278="""","""",query('tbl user'!$A$2:$D1508,""SELECT A WHERE D = '""&amp;M278&amp;""'"")),""USER TIDAK DIKETAHUI""))"),"")</f>
        <v/>
      </c>
    </row>
    <row r="279">
      <c r="A279" s="23" t="str">
        <f t="shared" si="3"/>
        <v/>
      </c>
      <c r="B279" s="24" t="str">
        <f t="shared" si="4"/>
        <v/>
      </c>
      <c r="C279" s="28"/>
      <c r="D279" s="28"/>
      <c r="E279" s="34"/>
      <c r="F279" s="34"/>
      <c r="G279" s="34"/>
      <c r="H279" s="34"/>
      <c r="I279" s="34"/>
      <c r="J279" s="28" t="str">
        <f>IFERROR(__xludf.DUMMYFUNCTION("iferror(if(I279="""","""",unique(query('tbl driver 2'!$K$2:$L1508,""SELECT L WHERE K = '""&amp;I279&amp;""'""))),"""")"),"")</f>
        <v/>
      </c>
      <c r="K279" s="31"/>
      <c r="L279" s="39"/>
      <c r="M279" s="39"/>
      <c r="N279" s="28" t="str">
        <f>IFERROR(__xludf.DUMMYFUNCTION("IF(OR(C279="""",M279=""""),"""",IFERROR(IF(M279="""","""",query('tbl user'!$A$2:$D1508,""SELECT A WHERE D = '""&amp;M279&amp;""'"")),""USER TIDAK DIKETAHUI""))"),"")</f>
        <v/>
      </c>
    </row>
    <row r="280">
      <c r="A280" s="23" t="str">
        <f t="shared" si="3"/>
        <v/>
      </c>
      <c r="B280" s="24" t="str">
        <f t="shared" si="4"/>
        <v/>
      </c>
      <c r="C280" s="28"/>
      <c r="D280" s="28"/>
      <c r="E280" s="34"/>
      <c r="F280" s="34"/>
      <c r="G280" s="34"/>
      <c r="H280" s="34"/>
      <c r="I280" s="34"/>
      <c r="J280" s="28" t="str">
        <f>IFERROR(__xludf.DUMMYFUNCTION("iferror(if(I280="""","""",unique(query('tbl driver 2'!$K$2:$L1508,""SELECT L WHERE K = '""&amp;I280&amp;""'""))),"""")"),"")</f>
        <v/>
      </c>
      <c r="K280" s="31"/>
      <c r="L280" s="39"/>
      <c r="M280" s="39"/>
      <c r="N280" s="28" t="str">
        <f>IFERROR(__xludf.DUMMYFUNCTION("IF(OR(C280="""",M280=""""),"""",IFERROR(IF(M280="""","""",query('tbl user'!$A$2:$D1508,""SELECT A WHERE D = '""&amp;M280&amp;""'"")),""USER TIDAK DIKETAHUI""))"),"")</f>
        <v/>
      </c>
    </row>
    <row r="281">
      <c r="A281" s="23" t="str">
        <f t="shared" si="3"/>
        <v/>
      </c>
      <c r="B281" s="24" t="str">
        <f t="shared" si="4"/>
        <v/>
      </c>
      <c r="C281" s="28"/>
      <c r="D281" s="28"/>
      <c r="E281" s="34"/>
      <c r="F281" s="34"/>
      <c r="G281" s="34"/>
      <c r="H281" s="34"/>
      <c r="I281" s="34"/>
      <c r="J281" s="28" t="str">
        <f>IFERROR(__xludf.DUMMYFUNCTION("iferror(if(I281="""","""",unique(query('tbl driver 2'!$K$2:$L1508,""SELECT L WHERE K = '""&amp;I281&amp;""'""))),"""")"),"")</f>
        <v/>
      </c>
      <c r="K281" s="31"/>
      <c r="L281" s="39"/>
      <c r="M281" s="39"/>
      <c r="N281" s="28" t="str">
        <f>IFERROR(__xludf.DUMMYFUNCTION("IF(OR(C281="""",M281=""""),"""",IFERROR(IF(M281="""","""",query('tbl user'!$A$2:$D1508,""SELECT A WHERE D = '""&amp;M281&amp;""'"")),""USER TIDAK DIKETAHUI""))"),"")</f>
        <v/>
      </c>
    </row>
    <row r="282">
      <c r="A282" s="23" t="str">
        <f t="shared" si="3"/>
        <v/>
      </c>
      <c r="B282" s="24" t="str">
        <f t="shared" si="4"/>
        <v/>
      </c>
      <c r="C282" s="28"/>
      <c r="D282" s="28"/>
      <c r="E282" s="34"/>
      <c r="F282" s="34"/>
      <c r="G282" s="34"/>
      <c r="H282" s="34"/>
      <c r="I282" s="34"/>
      <c r="J282" s="28" t="str">
        <f>IFERROR(__xludf.DUMMYFUNCTION("iferror(if(I282="""","""",unique(query('tbl driver 2'!$K$2:$L1508,""SELECT L WHERE K = '""&amp;I282&amp;""'""))),"""")"),"")</f>
        <v/>
      </c>
      <c r="K282" s="31"/>
      <c r="L282" s="39"/>
      <c r="M282" s="39"/>
      <c r="N282" s="28" t="str">
        <f>IFERROR(__xludf.DUMMYFUNCTION("IF(OR(C282="""",M282=""""),"""",IFERROR(IF(M282="""","""",query('tbl user'!$A$2:$D1508,""SELECT A WHERE D = '""&amp;M282&amp;""'"")),""USER TIDAK DIKETAHUI""))"),"")</f>
        <v/>
      </c>
    </row>
    <row r="283">
      <c r="A283" s="23" t="str">
        <f t="shared" si="3"/>
        <v/>
      </c>
      <c r="B283" s="24" t="str">
        <f t="shared" si="4"/>
        <v/>
      </c>
      <c r="C283" s="28"/>
      <c r="D283" s="28"/>
      <c r="E283" s="34"/>
      <c r="F283" s="34"/>
      <c r="G283" s="34"/>
      <c r="H283" s="34"/>
      <c r="I283" s="34"/>
      <c r="J283" s="28" t="str">
        <f>IFERROR(__xludf.DUMMYFUNCTION("iferror(if(I283="""","""",unique(query('tbl driver 2'!$K$2:$L1508,""SELECT L WHERE K = '""&amp;I283&amp;""'""))),"""")"),"")</f>
        <v/>
      </c>
      <c r="K283" s="31"/>
      <c r="L283" s="39"/>
      <c r="M283" s="39"/>
      <c r="N283" s="28" t="str">
        <f>IFERROR(__xludf.DUMMYFUNCTION("IF(OR(C283="""",M283=""""),"""",IFERROR(IF(M283="""","""",query('tbl user'!$A$2:$D1508,""SELECT A WHERE D = '""&amp;M283&amp;""'"")),""USER TIDAK DIKETAHUI""))"),"")</f>
        <v/>
      </c>
    </row>
    <row r="284">
      <c r="A284" s="23" t="str">
        <f t="shared" si="3"/>
        <v/>
      </c>
      <c r="B284" s="24" t="str">
        <f t="shared" si="4"/>
        <v/>
      </c>
      <c r="C284" s="28"/>
      <c r="D284" s="28"/>
      <c r="E284" s="34"/>
      <c r="F284" s="34"/>
      <c r="G284" s="34"/>
      <c r="H284" s="34"/>
      <c r="I284" s="34"/>
      <c r="J284" s="28" t="str">
        <f>IFERROR(__xludf.DUMMYFUNCTION("iferror(if(I284="""","""",unique(query('tbl driver 2'!$K$2:$L1508,""SELECT L WHERE K = '""&amp;I284&amp;""'""))),"""")"),"")</f>
        <v/>
      </c>
      <c r="K284" s="31"/>
      <c r="L284" s="39"/>
      <c r="M284" s="39"/>
      <c r="N284" s="28" t="str">
        <f>IFERROR(__xludf.DUMMYFUNCTION("IF(OR(C284="""",M284=""""),"""",IFERROR(IF(M284="""","""",query('tbl user'!$A$2:$D1508,""SELECT A WHERE D = '""&amp;M284&amp;""'"")),""USER TIDAK DIKETAHUI""))"),"")</f>
        <v/>
      </c>
    </row>
    <row r="285">
      <c r="A285" s="23" t="str">
        <f t="shared" si="3"/>
        <v/>
      </c>
      <c r="B285" s="24" t="str">
        <f t="shared" si="4"/>
        <v/>
      </c>
      <c r="C285" s="28"/>
      <c r="D285" s="28"/>
      <c r="E285" s="34"/>
      <c r="F285" s="34"/>
      <c r="G285" s="34"/>
      <c r="H285" s="34"/>
      <c r="I285" s="34"/>
      <c r="J285" s="28" t="str">
        <f>IFERROR(__xludf.DUMMYFUNCTION("iferror(if(I285="""","""",unique(query('tbl driver 2'!$K$2:$L1508,""SELECT L WHERE K = '""&amp;I285&amp;""'""))),"""")"),"")</f>
        <v/>
      </c>
      <c r="K285" s="31"/>
      <c r="L285" s="39"/>
      <c r="M285" s="39"/>
      <c r="N285" s="28" t="str">
        <f>IFERROR(__xludf.DUMMYFUNCTION("IF(OR(C285="""",M285=""""),"""",IFERROR(IF(M285="""","""",query('tbl user'!$A$2:$D1508,""SELECT A WHERE D = '""&amp;M285&amp;""'"")),""USER TIDAK DIKETAHUI""))"),"")</f>
        <v/>
      </c>
    </row>
    <row r="286">
      <c r="A286" s="23" t="str">
        <f t="shared" si="3"/>
        <v/>
      </c>
      <c r="B286" s="24" t="str">
        <f t="shared" si="4"/>
        <v/>
      </c>
      <c r="C286" s="28"/>
      <c r="D286" s="28"/>
      <c r="E286" s="34"/>
      <c r="F286" s="34"/>
      <c r="G286" s="34"/>
      <c r="H286" s="34"/>
      <c r="I286" s="34"/>
      <c r="J286" s="28" t="str">
        <f>IFERROR(__xludf.DUMMYFUNCTION("iferror(if(I286="""","""",unique(query('tbl driver 2'!$K$2:$L1508,""SELECT L WHERE K = '""&amp;I286&amp;""'""))),"""")"),"")</f>
        <v/>
      </c>
      <c r="K286" s="31"/>
      <c r="L286" s="39"/>
      <c r="M286" s="39"/>
      <c r="N286" s="28" t="str">
        <f>IFERROR(__xludf.DUMMYFUNCTION("IF(OR(C286="""",M286=""""),"""",IFERROR(IF(M286="""","""",query('tbl user'!$A$2:$D1508,""SELECT A WHERE D = '""&amp;M286&amp;""'"")),""USER TIDAK DIKETAHUI""))"),"")</f>
        <v/>
      </c>
    </row>
    <row r="287">
      <c r="A287" s="23" t="str">
        <f t="shared" si="3"/>
        <v/>
      </c>
      <c r="B287" s="24" t="str">
        <f t="shared" si="4"/>
        <v/>
      </c>
      <c r="C287" s="28"/>
      <c r="D287" s="28"/>
      <c r="E287" s="34"/>
      <c r="F287" s="34"/>
      <c r="G287" s="34"/>
      <c r="H287" s="34"/>
      <c r="I287" s="34"/>
      <c r="J287" s="28" t="str">
        <f>IFERROR(__xludf.DUMMYFUNCTION("iferror(if(I287="""","""",unique(query('tbl driver 2'!$K$2:$L1508,""SELECT L WHERE K = '""&amp;I287&amp;""'""))),"""")"),"")</f>
        <v/>
      </c>
      <c r="K287" s="31"/>
      <c r="L287" s="39"/>
      <c r="M287" s="39"/>
      <c r="N287" s="28" t="str">
        <f>IFERROR(__xludf.DUMMYFUNCTION("IF(OR(C287="""",M287=""""),"""",IFERROR(IF(M287="""","""",query('tbl user'!$A$2:$D1508,""SELECT A WHERE D = '""&amp;M287&amp;""'"")),""USER TIDAK DIKETAHUI""))"),"")</f>
        <v/>
      </c>
    </row>
    <row r="288">
      <c r="A288" s="23" t="str">
        <f t="shared" si="3"/>
        <v/>
      </c>
      <c r="B288" s="24" t="str">
        <f t="shared" si="4"/>
        <v/>
      </c>
      <c r="C288" s="28"/>
      <c r="D288" s="28"/>
      <c r="E288" s="34"/>
      <c r="F288" s="34"/>
      <c r="G288" s="34"/>
      <c r="H288" s="34"/>
      <c r="I288" s="34"/>
      <c r="J288" s="28" t="str">
        <f>IFERROR(__xludf.DUMMYFUNCTION("iferror(if(I288="""","""",unique(query('tbl driver 2'!$K$2:$L1508,""SELECT L WHERE K = '""&amp;I288&amp;""'""))),"""")"),"")</f>
        <v/>
      </c>
      <c r="K288" s="31"/>
      <c r="L288" s="39"/>
      <c r="M288" s="39"/>
      <c r="N288" s="28" t="str">
        <f>IFERROR(__xludf.DUMMYFUNCTION("IF(OR(C288="""",M288=""""),"""",IFERROR(IF(M288="""","""",query('tbl user'!$A$2:$D1508,""SELECT A WHERE D = '""&amp;M288&amp;""'"")),""USER TIDAK DIKETAHUI""))"),"")</f>
        <v/>
      </c>
    </row>
    <row r="289">
      <c r="A289" s="23" t="str">
        <f t="shared" si="3"/>
        <v/>
      </c>
      <c r="B289" s="24" t="str">
        <f t="shared" si="4"/>
        <v/>
      </c>
      <c r="C289" s="28"/>
      <c r="D289" s="28"/>
      <c r="E289" s="34"/>
      <c r="F289" s="34"/>
      <c r="G289" s="34"/>
      <c r="H289" s="34"/>
      <c r="I289" s="34"/>
      <c r="J289" s="28" t="str">
        <f>IFERROR(__xludf.DUMMYFUNCTION("iferror(if(I289="""","""",unique(query('tbl driver 2'!$K$2:$L1508,""SELECT L WHERE K = '""&amp;I289&amp;""'""))),"""")"),"")</f>
        <v/>
      </c>
      <c r="K289" s="31"/>
      <c r="L289" s="39"/>
      <c r="M289" s="39"/>
      <c r="N289" s="28" t="str">
        <f>IFERROR(__xludf.DUMMYFUNCTION("IF(OR(C289="""",M289=""""),"""",IFERROR(IF(M289="""","""",query('tbl user'!$A$2:$D1508,""SELECT A WHERE D = '""&amp;M289&amp;""'"")),""USER TIDAK DIKETAHUI""))"),"")</f>
        <v/>
      </c>
    </row>
    <row r="290">
      <c r="A290" s="23" t="str">
        <f t="shared" si="3"/>
        <v/>
      </c>
      <c r="B290" s="24" t="str">
        <f t="shared" si="4"/>
        <v/>
      </c>
      <c r="C290" s="28"/>
      <c r="D290" s="28"/>
      <c r="E290" s="34"/>
      <c r="F290" s="34"/>
      <c r="G290" s="34"/>
      <c r="H290" s="34"/>
      <c r="I290" s="34"/>
      <c r="J290" s="28" t="str">
        <f>IFERROR(__xludf.DUMMYFUNCTION("iferror(if(I290="""","""",unique(query('tbl driver 2'!$K$2:$L1508,""SELECT L WHERE K = '""&amp;I290&amp;""'""))),"""")"),"")</f>
        <v/>
      </c>
      <c r="K290" s="31"/>
      <c r="L290" s="39"/>
      <c r="M290" s="39"/>
      <c r="N290" s="28" t="str">
        <f>IFERROR(__xludf.DUMMYFUNCTION("IF(OR(C290="""",M290=""""),"""",IFERROR(IF(M290="""","""",query('tbl user'!$A$2:$D1508,""SELECT A WHERE D = '""&amp;M290&amp;""'"")),""USER TIDAK DIKETAHUI""))"),"")</f>
        <v/>
      </c>
    </row>
    <row r="291">
      <c r="A291" s="23" t="str">
        <f t="shared" si="3"/>
        <v/>
      </c>
      <c r="B291" s="24" t="str">
        <f t="shared" si="4"/>
        <v/>
      </c>
      <c r="C291" s="28"/>
      <c r="D291" s="28"/>
      <c r="E291" s="34"/>
      <c r="F291" s="34"/>
      <c r="G291" s="34"/>
      <c r="H291" s="34"/>
      <c r="I291" s="34"/>
      <c r="J291" s="28" t="str">
        <f>IFERROR(__xludf.DUMMYFUNCTION("iferror(if(I291="""","""",unique(query('tbl driver 2'!$K$2:$L1508,""SELECT L WHERE K = '""&amp;I291&amp;""'""))),"""")"),"")</f>
        <v/>
      </c>
      <c r="K291" s="31"/>
      <c r="L291" s="39"/>
      <c r="M291" s="39"/>
      <c r="N291" s="28" t="str">
        <f>IFERROR(__xludf.DUMMYFUNCTION("IF(OR(C291="""",M291=""""),"""",IFERROR(IF(M291="""","""",query('tbl user'!$A$2:$D1508,""SELECT A WHERE D = '""&amp;M291&amp;""'"")),""USER TIDAK DIKETAHUI""))"),"")</f>
        <v/>
      </c>
    </row>
    <row r="292">
      <c r="A292" s="23" t="str">
        <f t="shared" si="3"/>
        <v/>
      </c>
      <c r="B292" s="24" t="str">
        <f t="shared" si="4"/>
        <v/>
      </c>
      <c r="C292" s="28"/>
      <c r="D292" s="28"/>
      <c r="E292" s="34"/>
      <c r="F292" s="34"/>
      <c r="G292" s="34"/>
      <c r="H292" s="34"/>
      <c r="I292" s="34"/>
      <c r="J292" s="28" t="str">
        <f>IFERROR(__xludf.DUMMYFUNCTION("iferror(if(I292="""","""",unique(query('tbl driver 2'!$K$2:$L1508,""SELECT L WHERE K = '""&amp;I292&amp;""'""))),"""")"),"")</f>
        <v/>
      </c>
      <c r="K292" s="31"/>
      <c r="L292" s="39"/>
      <c r="M292" s="39"/>
      <c r="N292" s="28" t="str">
        <f>IFERROR(__xludf.DUMMYFUNCTION("IF(OR(C292="""",M292=""""),"""",IFERROR(IF(M292="""","""",query('tbl user'!$A$2:$D1508,""SELECT A WHERE D = '""&amp;M292&amp;""'"")),""USER TIDAK DIKETAHUI""))"),"")</f>
        <v/>
      </c>
    </row>
    <row r="293">
      <c r="A293" s="23" t="str">
        <f t="shared" si="3"/>
        <v/>
      </c>
      <c r="B293" s="24" t="str">
        <f t="shared" si="4"/>
        <v/>
      </c>
      <c r="C293" s="28"/>
      <c r="D293" s="28"/>
      <c r="E293" s="34"/>
      <c r="F293" s="34"/>
      <c r="G293" s="34"/>
      <c r="H293" s="34"/>
      <c r="I293" s="34"/>
      <c r="J293" s="28" t="str">
        <f>IFERROR(__xludf.DUMMYFUNCTION("iferror(if(I293="""","""",unique(query('tbl driver 2'!$K$2:$L1508,""SELECT L WHERE K = '""&amp;I293&amp;""'""))),"""")"),"")</f>
        <v/>
      </c>
      <c r="K293" s="31"/>
      <c r="L293" s="39"/>
      <c r="M293" s="39"/>
      <c r="N293" s="28" t="str">
        <f>IFERROR(__xludf.DUMMYFUNCTION("IF(OR(C293="""",M293=""""),"""",IFERROR(IF(M293="""","""",query('tbl user'!$A$2:$D1508,""SELECT A WHERE D = '""&amp;M293&amp;""'"")),""USER TIDAK DIKETAHUI""))"),"")</f>
        <v/>
      </c>
    </row>
    <row r="294">
      <c r="A294" s="23" t="str">
        <f t="shared" si="3"/>
        <v/>
      </c>
      <c r="B294" s="24" t="str">
        <f t="shared" si="4"/>
        <v/>
      </c>
      <c r="C294" s="28"/>
      <c r="D294" s="28"/>
      <c r="E294" s="34"/>
      <c r="F294" s="34"/>
      <c r="G294" s="34"/>
      <c r="H294" s="34"/>
      <c r="I294" s="34"/>
      <c r="J294" s="28" t="str">
        <f>IFERROR(__xludf.DUMMYFUNCTION("iferror(if(I294="""","""",unique(query('tbl driver 2'!$K$2:$L1508,""SELECT L WHERE K = '""&amp;I294&amp;""'""))),"""")"),"")</f>
        <v/>
      </c>
      <c r="K294" s="31"/>
      <c r="L294" s="39"/>
      <c r="M294" s="39"/>
      <c r="N294" s="28" t="str">
        <f>IFERROR(__xludf.DUMMYFUNCTION("IF(OR(C294="""",M294=""""),"""",IFERROR(IF(M294="""","""",query('tbl user'!$A$2:$D1508,""SELECT A WHERE D = '""&amp;M294&amp;""'"")),""USER TIDAK DIKETAHUI""))"),"")</f>
        <v/>
      </c>
    </row>
    <row r="295">
      <c r="A295" s="23" t="str">
        <f t="shared" si="3"/>
        <v/>
      </c>
      <c r="B295" s="24" t="str">
        <f t="shared" si="4"/>
        <v/>
      </c>
      <c r="C295" s="28"/>
      <c r="D295" s="28"/>
      <c r="E295" s="34"/>
      <c r="F295" s="34"/>
      <c r="G295" s="34"/>
      <c r="H295" s="34"/>
      <c r="I295" s="34"/>
      <c r="J295" s="28" t="str">
        <f>IFERROR(__xludf.DUMMYFUNCTION("iferror(if(I295="""","""",unique(query('tbl driver 2'!$K$2:$L1508,""SELECT L WHERE K = '""&amp;I295&amp;""'""))),"""")"),"")</f>
        <v/>
      </c>
      <c r="K295" s="31"/>
      <c r="L295" s="39"/>
      <c r="M295" s="39"/>
      <c r="N295" s="28" t="str">
        <f>IFERROR(__xludf.DUMMYFUNCTION("IF(OR(C295="""",M295=""""),"""",IFERROR(IF(M295="""","""",query('tbl user'!$A$2:$D1508,""SELECT A WHERE D = '""&amp;M295&amp;""'"")),""USER TIDAK DIKETAHUI""))"),"")</f>
        <v/>
      </c>
    </row>
    <row r="296">
      <c r="A296" s="23" t="str">
        <f t="shared" si="3"/>
        <v/>
      </c>
      <c r="B296" s="24" t="str">
        <f t="shared" si="4"/>
        <v/>
      </c>
      <c r="C296" s="28"/>
      <c r="D296" s="28"/>
      <c r="E296" s="34"/>
      <c r="F296" s="34"/>
      <c r="G296" s="34"/>
      <c r="H296" s="34"/>
      <c r="I296" s="34"/>
      <c r="J296" s="28" t="str">
        <f>IFERROR(__xludf.DUMMYFUNCTION("iferror(if(I296="""","""",unique(query('tbl driver 2'!$K$2:$L1508,""SELECT L WHERE K = '""&amp;I296&amp;""'""))),"""")"),"")</f>
        <v/>
      </c>
      <c r="K296" s="31"/>
      <c r="L296" s="39"/>
      <c r="M296" s="39"/>
      <c r="N296" s="28" t="str">
        <f>IFERROR(__xludf.DUMMYFUNCTION("IF(OR(C296="""",M296=""""),"""",IFERROR(IF(M296="""","""",query('tbl user'!$A$2:$D1508,""SELECT A WHERE D = '""&amp;M296&amp;""'"")),""USER TIDAK DIKETAHUI""))"),"")</f>
        <v/>
      </c>
    </row>
    <row r="297">
      <c r="A297" s="23" t="str">
        <f t="shared" si="3"/>
        <v/>
      </c>
      <c r="B297" s="24" t="str">
        <f t="shared" si="4"/>
        <v/>
      </c>
      <c r="C297" s="28"/>
      <c r="D297" s="28"/>
      <c r="E297" s="34"/>
      <c r="F297" s="34"/>
      <c r="G297" s="34"/>
      <c r="H297" s="34"/>
      <c r="I297" s="34"/>
      <c r="J297" s="28" t="str">
        <f>IFERROR(__xludf.DUMMYFUNCTION("iferror(if(I297="""","""",unique(query('tbl driver 2'!$K$2:$L1508,""SELECT L WHERE K = '""&amp;I297&amp;""'""))),"""")"),"")</f>
        <v/>
      </c>
      <c r="K297" s="31"/>
      <c r="L297" s="39"/>
      <c r="M297" s="39"/>
      <c r="N297" s="28" t="str">
        <f>IFERROR(__xludf.DUMMYFUNCTION("IF(OR(C297="""",M297=""""),"""",IFERROR(IF(M297="""","""",query('tbl user'!$A$2:$D1508,""SELECT A WHERE D = '""&amp;M297&amp;""'"")),""USER TIDAK DIKETAHUI""))"),"")</f>
        <v/>
      </c>
    </row>
    <row r="298">
      <c r="A298" s="23" t="str">
        <f t="shared" si="3"/>
        <v/>
      </c>
      <c r="B298" s="24" t="str">
        <f t="shared" si="4"/>
        <v/>
      </c>
      <c r="C298" s="28"/>
      <c r="D298" s="28"/>
      <c r="E298" s="34"/>
      <c r="F298" s="34"/>
      <c r="G298" s="34"/>
      <c r="H298" s="34"/>
      <c r="I298" s="34"/>
      <c r="J298" s="28" t="str">
        <f>IFERROR(__xludf.DUMMYFUNCTION("iferror(if(I298="""","""",unique(query('tbl driver 2'!$K$2:$L1508,""SELECT L WHERE K = '""&amp;I298&amp;""'""))),"""")"),"")</f>
        <v/>
      </c>
      <c r="K298" s="31"/>
      <c r="L298" s="39"/>
      <c r="M298" s="39"/>
      <c r="N298" s="28" t="str">
        <f>IFERROR(__xludf.DUMMYFUNCTION("IF(OR(C298="""",M298=""""),"""",IFERROR(IF(M298="""","""",query('tbl user'!$A$2:$D1508,""SELECT A WHERE D = '""&amp;M298&amp;""'"")),""USER TIDAK DIKETAHUI""))"),"")</f>
        <v/>
      </c>
    </row>
    <row r="299">
      <c r="A299" s="23" t="str">
        <f t="shared" si="3"/>
        <v/>
      </c>
      <c r="B299" s="24" t="str">
        <f t="shared" si="4"/>
        <v/>
      </c>
      <c r="C299" s="28"/>
      <c r="D299" s="28"/>
      <c r="E299" s="34"/>
      <c r="F299" s="34"/>
      <c r="G299" s="34"/>
      <c r="H299" s="34"/>
      <c r="I299" s="34"/>
      <c r="J299" s="28" t="str">
        <f>IFERROR(__xludf.DUMMYFUNCTION("iferror(if(I299="""","""",unique(query('tbl driver 2'!$K$2:$L1508,""SELECT L WHERE K = '""&amp;I299&amp;""'""))),"""")"),"")</f>
        <v/>
      </c>
      <c r="K299" s="31"/>
      <c r="L299" s="39"/>
      <c r="M299" s="39"/>
      <c r="N299" s="28" t="str">
        <f>IFERROR(__xludf.DUMMYFUNCTION("IF(OR(C299="""",M299=""""),"""",IFERROR(IF(M299="""","""",query('tbl user'!$A$2:$D1508,""SELECT A WHERE D = '""&amp;M299&amp;""'"")),""USER TIDAK DIKETAHUI""))"),"")</f>
        <v/>
      </c>
    </row>
    <row r="300">
      <c r="A300" s="23" t="str">
        <f t="shared" si="3"/>
        <v/>
      </c>
      <c r="B300" s="24" t="str">
        <f t="shared" si="4"/>
        <v/>
      </c>
      <c r="C300" s="28"/>
      <c r="D300" s="28"/>
      <c r="E300" s="34"/>
      <c r="F300" s="34"/>
      <c r="G300" s="34"/>
      <c r="H300" s="34"/>
      <c r="I300" s="34"/>
      <c r="J300" s="28" t="str">
        <f>IFERROR(__xludf.DUMMYFUNCTION("iferror(if(I300="""","""",unique(query('tbl driver 2'!$K$2:$L1508,""SELECT L WHERE K = '""&amp;I300&amp;""'""))),"""")"),"")</f>
        <v/>
      </c>
      <c r="K300" s="31"/>
      <c r="L300" s="39"/>
      <c r="M300" s="39"/>
      <c r="N300" s="28" t="str">
        <f>IFERROR(__xludf.DUMMYFUNCTION("IF(OR(C300="""",M300=""""),"""",IFERROR(IF(M300="""","""",query('tbl user'!$A$2:$D1508,""SELECT A WHERE D = '""&amp;M300&amp;""'"")),""USER TIDAK DIKETAHUI""))"),"")</f>
        <v/>
      </c>
    </row>
    <row r="301">
      <c r="A301" s="23" t="str">
        <f t="shared" si="3"/>
        <v/>
      </c>
      <c r="B301" s="24" t="str">
        <f t="shared" si="4"/>
        <v/>
      </c>
      <c r="C301" s="28"/>
      <c r="D301" s="28"/>
      <c r="E301" s="34"/>
      <c r="F301" s="34"/>
      <c r="G301" s="34"/>
      <c r="H301" s="34"/>
      <c r="I301" s="34"/>
      <c r="J301" s="28" t="str">
        <f>IFERROR(__xludf.DUMMYFUNCTION("iferror(if(I301="""","""",unique(query('tbl driver 2'!$K$2:$L1508,""SELECT L WHERE K = '""&amp;I301&amp;""'""))),"""")"),"")</f>
        <v/>
      </c>
      <c r="K301" s="31"/>
      <c r="L301" s="39"/>
      <c r="M301" s="39"/>
      <c r="N301" s="28" t="str">
        <f>IFERROR(__xludf.DUMMYFUNCTION("IF(OR(C301="""",M301=""""),"""",IFERROR(IF(M301="""","""",query('tbl user'!$A$2:$D1508,""SELECT A WHERE D = '""&amp;M301&amp;""'"")),""USER TIDAK DIKETAHUI""))"),"")</f>
        <v/>
      </c>
    </row>
    <row r="302">
      <c r="A302" s="23" t="str">
        <f t="shared" si="3"/>
        <v/>
      </c>
      <c r="B302" s="24" t="str">
        <f t="shared" si="4"/>
        <v/>
      </c>
      <c r="C302" s="28"/>
      <c r="D302" s="28"/>
      <c r="E302" s="34"/>
      <c r="F302" s="34"/>
      <c r="G302" s="34"/>
      <c r="H302" s="34"/>
      <c r="I302" s="34"/>
      <c r="J302" s="28" t="str">
        <f>IFERROR(__xludf.DUMMYFUNCTION("iferror(if(I302="""","""",unique(query('tbl driver 2'!$K$2:$L1508,""SELECT L WHERE K = '""&amp;I302&amp;""'""))),"""")"),"")</f>
        <v/>
      </c>
      <c r="K302" s="31"/>
      <c r="L302" s="39"/>
      <c r="M302" s="39"/>
      <c r="N302" s="28" t="str">
        <f>IFERROR(__xludf.DUMMYFUNCTION("IF(OR(C302="""",M302=""""),"""",IFERROR(IF(M302="""","""",query('tbl user'!$A$2:$D1508,""SELECT A WHERE D = '""&amp;M302&amp;""'"")),""USER TIDAK DIKETAHUI""))"),"")</f>
        <v/>
      </c>
    </row>
    <row r="303">
      <c r="A303" s="23" t="str">
        <f t="shared" si="3"/>
        <v/>
      </c>
      <c r="B303" s="24" t="str">
        <f t="shared" si="4"/>
        <v/>
      </c>
      <c r="C303" s="28"/>
      <c r="D303" s="28"/>
      <c r="E303" s="34"/>
      <c r="F303" s="34"/>
      <c r="G303" s="34"/>
      <c r="H303" s="34"/>
      <c r="I303" s="34"/>
      <c r="J303" s="28" t="str">
        <f>IFERROR(__xludf.DUMMYFUNCTION("iferror(if(I303="""","""",unique(query('tbl driver 2'!$K$2:$L1508,""SELECT L WHERE K = '""&amp;I303&amp;""'""))),"""")"),"")</f>
        <v/>
      </c>
      <c r="K303" s="31"/>
      <c r="L303" s="39"/>
      <c r="M303" s="39"/>
      <c r="N303" s="28" t="str">
        <f>IFERROR(__xludf.DUMMYFUNCTION("IF(OR(C303="""",M303=""""),"""",IFERROR(IF(M303="""","""",query('tbl user'!$A$2:$D1508,""SELECT A WHERE D = '""&amp;M303&amp;""'"")),""USER TIDAK DIKETAHUI""))"),"")</f>
        <v/>
      </c>
    </row>
    <row r="304">
      <c r="A304" s="23" t="str">
        <f t="shared" si="3"/>
        <v/>
      </c>
      <c r="B304" s="24" t="str">
        <f t="shared" si="4"/>
        <v/>
      </c>
      <c r="C304" s="28"/>
      <c r="D304" s="28"/>
      <c r="E304" s="34"/>
      <c r="F304" s="34"/>
      <c r="G304" s="34"/>
      <c r="H304" s="34"/>
      <c r="I304" s="34"/>
      <c r="J304" s="28" t="str">
        <f>IFERROR(__xludf.DUMMYFUNCTION("iferror(if(I304="""","""",unique(query('tbl driver 2'!$K$2:$L1508,""SELECT L WHERE K = '""&amp;I304&amp;""'""))),"""")"),"")</f>
        <v/>
      </c>
      <c r="K304" s="31"/>
      <c r="L304" s="39"/>
      <c r="M304" s="39"/>
      <c r="N304" s="28" t="str">
        <f>IFERROR(__xludf.DUMMYFUNCTION("IF(OR(C304="""",M304=""""),"""",IFERROR(IF(M304="""","""",query('tbl user'!$A$2:$D1508,""SELECT A WHERE D = '""&amp;M304&amp;""'"")),""USER TIDAK DIKETAHUI""))"),"")</f>
        <v/>
      </c>
    </row>
    <row r="305">
      <c r="A305" s="23" t="str">
        <f t="shared" si="3"/>
        <v/>
      </c>
      <c r="B305" s="24" t="str">
        <f t="shared" si="4"/>
        <v/>
      </c>
      <c r="C305" s="28"/>
      <c r="D305" s="28"/>
      <c r="E305" s="34"/>
      <c r="F305" s="34"/>
      <c r="G305" s="34"/>
      <c r="H305" s="34"/>
      <c r="I305" s="34"/>
      <c r="J305" s="28" t="str">
        <f>IFERROR(__xludf.DUMMYFUNCTION("iferror(if(I305="""","""",unique(query('tbl driver 2'!$K$2:$L1508,""SELECT L WHERE K = '""&amp;I305&amp;""'""))),"""")"),"")</f>
        <v/>
      </c>
      <c r="K305" s="31"/>
      <c r="L305" s="39"/>
      <c r="M305" s="39"/>
      <c r="N305" s="28" t="str">
        <f>IFERROR(__xludf.DUMMYFUNCTION("IF(OR(C305="""",M305=""""),"""",IFERROR(IF(M305="""","""",query('tbl user'!$A$2:$D1508,""SELECT A WHERE D = '""&amp;M305&amp;""'"")),""USER TIDAK DIKETAHUI""))"),"")</f>
        <v/>
      </c>
    </row>
    <row r="306">
      <c r="A306" s="23" t="str">
        <f t="shared" si="3"/>
        <v/>
      </c>
      <c r="B306" s="24" t="str">
        <f t="shared" si="4"/>
        <v/>
      </c>
      <c r="C306" s="28"/>
      <c r="D306" s="28"/>
      <c r="E306" s="34"/>
      <c r="F306" s="34"/>
      <c r="G306" s="34"/>
      <c r="H306" s="34"/>
      <c r="I306" s="34"/>
      <c r="J306" s="28" t="str">
        <f>IFERROR(__xludf.DUMMYFUNCTION("iferror(if(I306="""","""",unique(query('tbl driver 2'!$K$2:$L1508,""SELECT L WHERE K = '""&amp;I306&amp;""'""))),"""")"),"")</f>
        <v/>
      </c>
      <c r="K306" s="31"/>
      <c r="L306" s="39"/>
      <c r="M306" s="39"/>
      <c r="N306" s="28" t="str">
        <f>IFERROR(__xludf.DUMMYFUNCTION("IF(OR(C306="""",M306=""""),"""",IFERROR(IF(M306="""","""",query('tbl user'!$A$2:$D1508,""SELECT A WHERE D = '""&amp;M306&amp;""'"")),""USER TIDAK DIKETAHUI""))"),"")</f>
        <v/>
      </c>
    </row>
    <row r="307">
      <c r="A307" s="23" t="str">
        <f t="shared" si="3"/>
        <v/>
      </c>
      <c r="B307" s="24" t="str">
        <f t="shared" si="4"/>
        <v/>
      </c>
      <c r="C307" s="28"/>
      <c r="D307" s="28"/>
      <c r="E307" s="34"/>
      <c r="F307" s="34"/>
      <c r="G307" s="34"/>
      <c r="H307" s="34"/>
      <c r="I307" s="34"/>
      <c r="J307" s="28" t="str">
        <f>IFERROR(__xludf.DUMMYFUNCTION("iferror(if(I307="""","""",unique(query('tbl driver 2'!$K$2:$L1508,""SELECT L WHERE K = '""&amp;I307&amp;""'""))),"""")"),"")</f>
        <v/>
      </c>
      <c r="K307" s="31"/>
      <c r="L307" s="39"/>
      <c r="M307" s="39"/>
      <c r="N307" s="28" t="str">
        <f>IFERROR(__xludf.DUMMYFUNCTION("IF(OR(C307="""",M307=""""),"""",IFERROR(IF(M307="""","""",query('tbl user'!$A$2:$D1508,""SELECT A WHERE D = '""&amp;M307&amp;""'"")),""USER TIDAK DIKETAHUI""))"),"")</f>
        <v/>
      </c>
    </row>
    <row r="308">
      <c r="A308" s="23" t="str">
        <f t="shared" si="3"/>
        <v/>
      </c>
      <c r="B308" s="24" t="str">
        <f t="shared" si="4"/>
        <v/>
      </c>
      <c r="C308" s="28"/>
      <c r="D308" s="28"/>
      <c r="E308" s="34"/>
      <c r="F308" s="34"/>
      <c r="G308" s="34"/>
      <c r="H308" s="34"/>
      <c r="I308" s="34"/>
      <c r="J308" s="28" t="str">
        <f>IFERROR(__xludf.DUMMYFUNCTION("iferror(if(I308="""","""",unique(query('tbl driver 2'!$K$2:$L1508,""SELECT L WHERE K = '""&amp;I308&amp;""'""))),"""")"),"")</f>
        <v/>
      </c>
      <c r="K308" s="31"/>
      <c r="L308" s="39"/>
      <c r="M308" s="39"/>
      <c r="N308" s="28" t="str">
        <f>IFERROR(__xludf.DUMMYFUNCTION("IF(OR(C308="""",M308=""""),"""",IFERROR(IF(M308="""","""",query('tbl user'!$A$2:$D1508,""SELECT A WHERE D = '""&amp;M308&amp;""'"")),""USER TIDAK DIKETAHUI""))"),"")</f>
        <v/>
      </c>
    </row>
    <row r="309">
      <c r="A309" s="23" t="str">
        <f t="shared" si="3"/>
        <v/>
      </c>
      <c r="B309" s="24" t="str">
        <f t="shared" si="4"/>
        <v/>
      </c>
      <c r="C309" s="28"/>
      <c r="D309" s="28"/>
      <c r="E309" s="34"/>
      <c r="F309" s="34"/>
      <c r="G309" s="34"/>
      <c r="H309" s="34"/>
      <c r="I309" s="34"/>
      <c r="J309" s="28" t="str">
        <f>IFERROR(__xludf.DUMMYFUNCTION("iferror(if(I309="""","""",unique(query('tbl driver 2'!$K$2:$L1508,""SELECT L WHERE K = '""&amp;I309&amp;""'""))),"""")"),"")</f>
        <v/>
      </c>
      <c r="K309" s="31"/>
      <c r="L309" s="39"/>
      <c r="M309" s="39"/>
      <c r="N309" s="28" t="str">
        <f>IFERROR(__xludf.DUMMYFUNCTION("IF(OR(C309="""",M309=""""),"""",IFERROR(IF(M309="""","""",query('tbl user'!$A$2:$D1508,""SELECT A WHERE D = '""&amp;M309&amp;""'"")),""USER TIDAK DIKETAHUI""))"),"")</f>
        <v/>
      </c>
    </row>
    <row r="310">
      <c r="A310" s="23" t="str">
        <f t="shared" si="3"/>
        <v/>
      </c>
      <c r="B310" s="24" t="str">
        <f t="shared" si="4"/>
        <v/>
      </c>
      <c r="C310" s="28"/>
      <c r="D310" s="28"/>
      <c r="E310" s="34"/>
      <c r="F310" s="34"/>
      <c r="G310" s="34"/>
      <c r="H310" s="34"/>
      <c r="I310" s="34"/>
      <c r="J310" s="28" t="str">
        <f>IFERROR(__xludf.DUMMYFUNCTION("iferror(if(I310="""","""",unique(query('tbl driver 2'!$K$2:$L1508,""SELECT L WHERE K = '""&amp;I310&amp;""'""))),"""")"),"")</f>
        <v/>
      </c>
      <c r="K310" s="31"/>
      <c r="L310" s="39"/>
      <c r="M310" s="39"/>
      <c r="N310" s="28" t="str">
        <f>IFERROR(__xludf.DUMMYFUNCTION("IF(OR(C310="""",M310=""""),"""",IFERROR(IF(M310="""","""",query('tbl user'!$A$2:$D1508,""SELECT A WHERE D = '""&amp;M310&amp;""'"")),""USER TIDAK DIKETAHUI""))"),"")</f>
        <v/>
      </c>
    </row>
    <row r="311">
      <c r="A311" s="23" t="str">
        <f t="shared" si="3"/>
        <v/>
      </c>
      <c r="B311" s="24" t="str">
        <f t="shared" si="4"/>
        <v/>
      </c>
      <c r="C311" s="28"/>
      <c r="D311" s="28"/>
      <c r="E311" s="34"/>
      <c r="F311" s="34"/>
      <c r="G311" s="34"/>
      <c r="H311" s="34"/>
      <c r="I311" s="34"/>
      <c r="J311" s="28" t="str">
        <f>IFERROR(__xludf.DUMMYFUNCTION("iferror(if(I311="""","""",unique(query('tbl driver 2'!$K$2:$L1508,""SELECT L WHERE K = '""&amp;I311&amp;""'""))),"""")"),"")</f>
        <v/>
      </c>
      <c r="K311" s="31"/>
      <c r="L311" s="39"/>
      <c r="M311" s="39"/>
      <c r="N311" s="28" t="str">
        <f>IFERROR(__xludf.DUMMYFUNCTION("IF(OR(C311="""",M311=""""),"""",IFERROR(IF(M311="""","""",query('tbl user'!$A$2:$D1508,""SELECT A WHERE D = '""&amp;M311&amp;""'"")),""USER TIDAK DIKETAHUI""))"),"")</f>
        <v/>
      </c>
    </row>
    <row r="312">
      <c r="A312" s="23" t="str">
        <f t="shared" si="3"/>
        <v/>
      </c>
      <c r="B312" s="24" t="str">
        <f t="shared" si="4"/>
        <v/>
      </c>
      <c r="C312" s="28"/>
      <c r="D312" s="28"/>
      <c r="E312" s="34"/>
      <c r="F312" s="34"/>
      <c r="G312" s="34"/>
      <c r="H312" s="34"/>
      <c r="I312" s="34"/>
      <c r="J312" s="28" t="str">
        <f>IFERROR(__xludf.DUMMYFUNCTION("iferror(if(I312="""","""",unique(query('tbl driver 2'!$K$2:$L1508,""SELECT L WHERE K = '""&amp;I312&amp;""'""))),"""")"),"")</f>
        <v/>
      </c>
      <c r="K312" s="31"/>
      <c r="L312" s="39"/>
      <c r="M312" s="39"/>
      <c r="N312" s="28" t="str">
        <f>IFERROR(__xludf.DUMMYFUNCTION("IF(OR(C312="""",M312=""""),"""",IFERROR(IF(M312="""","""",query('tbl user'!$A$2:$D1508,""SELECT A WHERE D = '""&amp;M312&amp;""'"")),""USER TIDAK DIKETAHUI""))"),"")</f>
        <v/>
      </c>
    </row>
    <row r="313">
      <c r="A313" s="23" t="str">
        <f t="shared" si="3"/>
        <v/>
      </c>
      <c r="B313" s="24" t="str">
        <f t="shared" si="4"/>
        <v/>
      </c>
      <c r="C313" s="28"/>
      <c r="D313" s="28"/>
      <c r="E313" s="34"/>
      <c r="F313" s="34"/>
      <c r="G313" s="34"/>
      <c r="H313" s="34"/>
      <c r="I313" s="34"/>
      <c r="J313" s="28" t="str">
        <f>IFERROR(__xludf.DUMMYFUNCTION("iferror(if(I313="""","""",unique(query('tbl driver 2'!$K$2:$L1508,""SELECT L WHERE K = '""&amp;I313&amp;""'""))),"""")"),"")</f>
        <v/>
      </c>
      <c r="K313" s="31"/>
      <c r="L313" s="39"/>
      <c r="M313" s="39"/>
      <c r="N313" s="28" t="str">
        <f>IFERROR(__xludf.DUMMYFUNCTION("IF(OR(C313="""",M313=""""),"""",IFERROR(IF(M313="""","""",query('tbl user'!$A$2:$D1508,""SELECT A WHERE D = '""&amp;M313&amp;""'"")),""USER TIDAK DIKETAHUI""))"),"")</f>
        <v/>
      </c>
    </row>
    <row r="314">
      <c r="A314" s="23" t="str">
        <f t="shared" si="3"/>
        <v/>
      </c>
      <c r="B314" s="24" t="str">
        <f t="shared" si="4"/>
        <v/>
      </c>
      <c r="C314" s="28"/>
      <c r="D314" s="28"/>
      <c r="E314" s="34"/>
      <c r="F314" s="34"/>
      <c r="G314" s="34"/>
      <c r="H314" s="34"/>
      <c r="I314" s="34"/>
      <c r="J314" s="28" t="str">
        <f>IFERROR(__xludf.DUMMYFUNCTION("iferror(if(I314="""","""",unique(query('tbl driver 2'!$K$2:$L1508,""SELECT L WHERE K = '""&amp;I314&amp;""'""))),"""")"),"")</f>
        <v/>
      </c>
      <c r="K314" s="31"/>
      <c r="L314" s="39"/>
      <c r="M314" s="39"/>
      <c r="N314" s="28" t="str">
        <f>IFERROR(__xludf.DUMMYFUNCTION("IF(OR(C314="""",M314=""""),"""",IFERROR(IF(M314="""","""",query('tbl user'!$A$2:$D1508,""SELECT A WHERE D = '""&amp;M314&amp;""'"")),""USER TIDAK DIKETAHUI""))"),"")</f>
        <v/>
      </c>
    </row>
    <row r="315">
      <c r="A315" s="23" t="str">
        <f t="shared" si="3"/>
        <v/>
      </c>
      <c r="B315" s="24" t="str">
        <f t="shared" si="4"/>
        <v/>
      </c>
      <c r="C315" s="28"/>
      <c r="D315" s="28"/>
      <c r="E315" s="34"/>
      <c r="F315" s="34"/>
      <c r="G315" s="34"/>
      <c r="H315" s="34"/>
      <c r="I315" s="34"/>
      <c r="J315" s="28" t="str">
        <f>IFERROR(__xludf.DUMMYFUNCTION("iferror(if(I315="""","""",unique(query('tbl driver 2'!$K$2:$L1508,""SELECT L WHERE K = '""&amp;I315&amp;""'""))),"""")"),"")</f>
        <v/>
      </c>
      <c r="K315" s="31"/>
      <c r="L315" s="39"/>
      <c r="M315" s="39"/>
      <c r="N315" s="28" t="str">
        <f>IFERROR(__xludf.DUMMYFUNCTION("IF(OR(C315="""",M315=""""),"""",IFERROR(IF(M315="""","""",query('tbl user'!$A$2:$D1508,""SELECT A WHERE D = '""&amp;M315&amp;""'"")),""USER TIDAK DIKETAHUI""))"),"")</f>
        <v/>
      </c>
    </row>
    <row r="316">
      <c r="A316" s="23" t="str">
        <f t="shared" si="3"/>
        <v/>
      </c>
      <c r="B316" s="24" t="str">
        <f t="shared" si="4"/>
        <v/>
      </c>
      <c r="C316" s="28"/>
      <c r="D316" s="28"/>
      <c r="E316" s="34"/>
      <c r="F316" s="34"/>
      <c r="G316" s="34"/>
      <c r="H316" s="34"/>
      <c r="I316" s="34"/>
      <c r="J316" s="28" t="str">
        <f>IFERROR(__xludf.DUMMYFUNCTION("iferror(if(I316="""","""",unique(query('tbl driver 2'!$K$2:$L1508,""SELECT L WHERE K = '""&amp;I316&amp;""'""))),"""")"),"")</f>
        <v/>
      </c>
      <c r="K316" s="31"/>
      <c r="L316" s="39"/>
      <c r="M316" s="39"/>
      <c r="N316" s="28" t="str">
        <f>IFERROR(__xludf.DUMMYFUNCTION("IF(OR(C316="""",M316=""""),"""",IFERROR(IF(M316="""","""",query('tbl user'!$A$2:$D1508,""SELECT A WHERE D = '""&amp;M316&amp;""'"")),""USER TIDAK DIKETAHUI""))"),"")</f>
        <v/>
      </c>
    </row>
    <row r="317">
      <c r="A317" s="23" t="str">
        <f t="shared" si="3"/>
        <v/>
      </c>
      <c r="B317" s="24" t="str">
        <f t="shared" si="4"/>
        <v/>
      </c>
      <c r="C317" s="28"/>
      <c r="D317" s="28"/>
      <c r="E317" s="34"/>
      <c r="F317" s="34"/>
      <c r="G317" s="34"/>
      <c r="H317" s="34"/>
      <c r="I317" s="34"/>
      <c r="J317" s="28" t="str">
        <f>IFERROR(__xludf.DUMMYFUNCTION("iferror(if(I317="""","""",unique(query('tbl driver 2'!$K$2:$L1508,""SELECT L WHERE K = '""&amp;I317&amp;""'""))),"""")"),"")</f>
        <v/>
      </c>
      <c r="K317" s="31"/>
      <c r="L317" s="39"/>
      <c r="M317" s="39"/>
      <c r="N317" s="28" t="str">
        <f>IFERROR(__xludf.DUMMYFUNCTION("IF(OR(C317="""",M317=""""),"""",IFERROR(IF(M317="""","""",query('tbl user'!$A$2:$D1508,""SELECT A WHERE D = '""&amp;M317&amp;""'"")),""USER TIDAK DIKETAHUI""))"),"")</f>
        <v/>
      </c>
    </row>
    <row r="318">
      <c r="A318" s="23" t="str">
        <f t="shared" si="3"/>
        <v/>
      </c>
      <c r="B318" s="24" t="str">
        <f t="shared" si="4"/>
        <v/>
      </c>
      <c r="C318" s="28"/>
      <c r="D318" s="28"/>
      <c r="E318" s="34"/>
      <c r="F318" s="34"/>
      <c r="G318" s="34"/>
      <c r="H318" s="34"/>
      <c r="I318" s="34"/>
      <c r="J318" s="28" t="str">
        <f>IFERROR(__xludf.DUMMYFUNCTION("iferror(if(I318="""","""",unique(query('tbl driver 2'!$K$2:$L1508,""SELECT L WHERE K = '""&amp;I318&amp;""'""))),"""")"),"")</f>
        <v/>
      </c>
      <c r="K318" s="31"/>
      <c r="L318" s="39"/>
      <c r="M318" s="39"/>
      <c r="N318" s="28" t="str">
        <f>IFERROR(__xludf.DUMMYFUNCTION("IF(OR(C318="""",M318=""""),"""",IFERROR(IF(M318="""","""",query('tbl user'!$A$2:$D1508,""SELECT A WHERE D = '""&amp;M318&amp;""'"")),""USER TIDAK DIKETAHUI""))"),"")</f>
        <v/>
      </c>
    </row>
    <row r="319">
      <c r="A319" s="23" t="str">
        <f t="shared" si="3"/>
        <v/>
      </c>
      <c r="B319" s="24" t="str">
        <f t="shared" si="4"/>
        <v/>
      </c>
      <c r="C319" s="28"/>
      <c r="D319" s="28"/>
      <c r="E319" s="34"/>
      <c r="F319" s="34"/>
      <c r="G319" s="34"/>
      <c r="H319" s="34"/>
      <c r="I319" s="34"/>
      <c r="J319" s="28" t="str">
        <f>IFERROR(__xludf.DUMMYFUNCTION("iferror(if(I319="""","""",unique(query('tbl driver 2'!$K$2:$L1508,""SELECT L WHERE K = '""&amp;I319&amp;""'""))),"""")"),"")</f>
        <v/>
      </c>
      <c r="K319" s="31"/>
      <c r="L319" s="39"/>
      <c r="M319" s="39"/>
      <c r="N319" s="28" t="str">
        <f>IFERROR(__xludf.DUMMYFUNCTION("IF(OR(C319="""",M319=""""),"""",IFERROR(IF(M319="""","""",query('tbl user'!$A$2:$D1508,""SELECT A WHERE D = '""&amp;M319&amp;""'"")),""USER TIDAK DIKETAHUI""))"),"")</f>
        <v/>
      </c>
    </row>
    <row r="320">
      <c r="A320" s="23" t="str">
        <f t="shared" si="3"/>
        <v/>
      </c>
      <c r="B320" s="24" t="str">
        <f t="shared" si="4"/>
        <v/>
      </c>
      <c r="C320" s="28"/>
      <c r="D320" s="28"/>
      <c r="E320" s="34"/>
      <c r="F320" s="34"/>
      <c r="G320" s="34"/>
      <c r="H320" s="34"/>
      <c r="I320" s="34"/>
      <c r="J320" s="28" t="str">
        <f>IFERROR(__xludf.DUMMYFUNCTION("iferror(if(I320="""","""",unique(query('tbl driver 2'!$K$2:$L1508,""SELECT L WHERE K = '""&amp;I320&amp;""'""))),"""")"),"")</f>
        <v/>
      </c>
      <c r="K320" s="31"/>
      <c r="L320" s="39"/>
      <c r="M320" s="39"/>
      <c r="N320" s="28" t="str">
        <f>IFERROR(__xludf.DUMMYFUNCTION("IF(OR(C320="""",M320=""""),"""",IFERROR(IF(M320="""","""",query('tbl user'!$A$2:$D1508,""SELECT A WHERE D = '""&amp;M320&amp;""'"")),""USER TIDAK DIKETAHUI""))"),"")</f>
        <v/>
      </c>
    </row>
    <row r="321">
      <c r="A321" s="23" t="str">
        <f t="shared" si="3"/>
        <v/>
      </c>
      <c r="B321" s="24" t="str">
        <f t="shared" si="4"/>
        <v/>
      </c>
      <c r="C321" s="28"/>
      <c r="D321" s="28"/>
      <c r="E321" s="34"/>
      <c r="F321" s="34"/>
      <c r="G321" s="34"/>
      <c r="H321" s="34"/>
      <c r="I321" s="34"/>
      <c r="J321" s="28" t="str">
        <f>IFERROR(__xludf.DUMMYFUNCTION("iferror(if(I321="""","""",unique(query('tbl driver 2'!$K$2:$L1508,""SELECT L WHERE K = '""&amp;I321&amp;""'""))),"""")"),"")</f>
        <v/>
      </c>
      <c r="K321" s="31"/>
      <c r="L321" s="39"/>
      <c r="M321" s="39"/>
      <c r="N321" s="28" t="str">
        <f>IFERROR(__xludf.DUMMYFUNCTION("IF(OR(C321="""",M321=""""),"""",IFERROR(IF(M321="""","""",query('tbl user'!$A$2:$D1508,""SELECT A WHERE D = '""&amp;M321&amp;""'"")),""USER TIDAK DIKETAHUI""))"),"")</f>
        <v/>
      </c>
    </row>
    <row r="322">
      <c r="A322" s="23" t="str">
        <f t="shared" si="3"/>
        <v/>
      </c>
      <c r="B322" s="24" t="str">
        <f t="shared" si="4"/>
        <v/>
      </c>
      <c r="C322" s="28"/>
      <c r="D322" s="28"/>
      <c r="E322" s="34"/>
      <c r="F322" s="34"/>
      <c r="G322" s="34"/>
      <c r="H322" s="34"/>
      <c r="I322" s="34"/>
      <c r="J322" s="28" t="str">
        <f>IFERROR(__xludf.DUMMYFUNCTION("iferror(if(I322="""","""",unique(query('tbl driver 2'!$K$2:$L1508,""SELECT L WHERE K = '""&amp;I322&amp;""'""))),"""")"),"")</f>
        <v/>
      </c>
      <c r="K322" s="31"/>
      <c r="L322" s="39"/>
      <c r="M322" s="39"/>
      <c r="N322" s="28" t="str">
        <f>IFERROR(__xludf.DUMMYFUNCTION("IF(OR(C322="""",M322=""""),"""",IFERROR(IF(M322="""","""",query('tbl user'!$A$2:$D1508,""SELECT A WHERE D = '""&amp;M322&amp;""'"")),""USER TIDAK DIKETAHUI""))"),"")</f>
        <v/>
      </c>
    </row>
    <row r="323">
      <c r="A323" s="23" t="str">
        <f t="shared" si="3"/>
        <v/>
      </c>
      <c r="B323" s="24" t="str">
        <f t="shared" si="4"/>
        <v/>
      </c>
      <c r="C323" s="28"/>
      <c r="D323" s="28"/>
      <c r="E323" s="34"/>
      <c r="F323" s="34"/>
      <c r="G323" s="34"/>
      <c r="H323" s="34"/>
      <c r="I323" s="34"/>
      <c r="J323" s="28" t="str">
        <f>IFERROR(__xludf.DUMMYFUNCTION("iferror(if(I323="""","""",unique(query('tbl driver 2'!$K$2:$L1508,""SELECT L WHERE K = '""&amp;I323&amp;""'""))),"""")"),"")</f>
        <v/>
      </c>
      <c r="K323" s="31"/>
      <c r="L323" s="39"/>
      <c r="M323" s="39"/>
      <c r="N323" s="28" t="str">
        <f>IFERROR(__xludf.DUMMYFUNCTION("IF(OR(C323="""",M323=""""),"""",IFERROR(IF(M323="""","""",query('tbl user'!$A$2:$D1508,""SELECT A WHERE D = '""&amp;M323&amp;""'"")),""USER TIDAK DIKETAHUI""))"),"")</f>
        <v/>
      </c>
    </row>
    <row r="324">
      <c r="A324" s="23" t="str">
        <f t="shared" si="3"/>
        <v/>
      </c>
      <c r="B324" s="24" t="str">
        <f t="shared" si="4"/>
        <v/>
      </c>
      <c r="C324" s="28"/>
      <c r="D324" s="28"/>
      <c r="E324" s="34"/>
      <c r="F324" s="34"/>
      <c r="G324" s="34"/>
      <c r="H324" s="34"/>
      <c r="I324" s="34"/>
      <c r="J324" s="28" t="str">
        <f>IFERROR(__xludf.DUMMYFUNCTION("iferror(if(I324="""","""",unique(query('tbl driver 2'!$K$2:$L1508,""SELECT L WHERE K = '""&amp;I324&amp;""'""))),"""")"),"")</f>
        <v/>
      </c>
      <c r="K324" s="31"/>
      <c r="L324" s="39"/>
      <c r="M324" s="39"/>
      <c r="N324" s="28" t="str">
        <f>IFERROR(__xludf.DUMMYFUNCTION("IF(OR(C324="""",M324=""""),"""",IFERROR(IF(M324="""","""",query('tbl user'!$A$2:$D1508,""SELECT A WHERE D = '""&amp;M324&amp;""'"")),""USER TIDAK DIKETAHUI""))"),"")</f>
        <v/>
      </c>
    </row>
    <row r="325">
      <c r="A325" s="23" t="str">
        <f t="shared" si="3"/>
        <v/>
      </c>
      <c r="B325" s="24" t="str">
        <f t="shared" si="4"/>
        <v/>
      </c>
      <c r="C325" s="28"/>
      <c r="D325" s="28"/>
      <c r="E325" s="34"/>
      <c r="F325" s="34"/>
      <c r="G325" s="34"/>
      <c r="H325" s="34"/>
      <c r="I325" s="34"/>
      <c r="J325" s="28" t="str">
        <f>IFERROR(__xludf.DUMMYFUNCTION("iferror(if(I325="""","""",unique(query('tbl driver 2'!$K$2:$L1508,""SELECT L WHERE K = '""&amp;I325&amp;""'""))),"""")"),"")</f>
        <v/>
      </c>
      <c r="K325" s="31"/>
      <c r="L325" s="39"/>
      <c r="M325" s="39"/>
      <c r="N325" s="28" t="str">
        <f>IFERROR(__xludf.DUMMYFUNCTION("IF(OR(C325="""",M325=""""),"""",IFERROR(IF(M325="""","""",query('tbl user'!$A$2:$D1508,""SELECT A WHERE D = '""&amp;M325&amp;""'"")),""USER TIDAK DIKETAHUI""))"),"")</f>
        <v/>
      </c>
    </row>
    <row r="326">
      <c r="A326" s="23" t="str">
        <f t="shared" si="3"/>
        <v/>
      </c>
      <c r="B326" s="24" t="str">
        <f t="shared" si="4"/>
        <v/>
      </c>
      <c r="C326" s="28"/>
      <c r="D326" s="28"/>
      <c r="E326" s="34"/>
      <c r="F326" s="34"/>
      <c r="G326" s="34"/>
      <c r="H326" s="34"/>
      <c r="I326" s="34"/>
      <c r="J326" s="28" t="str">
        <f>IFERROR(__xludf.DUMMYFUNCTION("iferror(if(I326="""","""",unique(query('tbl driver 2'!$K$2:$L1508,""SELECT L WHERE K = '""&amp;I326&amp;""'""))),"""")"),"")</f>
        <v/>
      </c>
      <c r="K326" s="31"/>
      <c r="L326" s="39"/>
      <c r="M326" s="39"/>
      <c r="N326" s="28" t="str">
        <f>IFERROR(__xludf.DUMMYFUNCTION("IF(OR(C326="""",M326=""""),"""",IFERROR(IF(M326="""","""",query('tbl user'!$A$2:$D1508,""SELECT A WHERE D = '""&amp;M326&amp;""'"")),""USER TIDAK DIKETAHUI""))"),"")</f>
        <v/>
      </c>
    </row>
    <row r="327">
      <c r="A327" s="23" t="str">
        <f t="shared" si="3"/>
        <v/>
      </c>
      <c r="B327" s="24" t="str">
        <f t="shared" si="4"/>
        <v/>
      </c>
      <c r="C327" s="28"/>
      <c r="D327" s="28"/>
      <c r="E327" s="34"/>
      <c r="F327" s="34"/>
      <c r="G327" s="34"/>
      <c r="H327" s="34"/>
      <c r="I327" s="34"/>
      <c r="J327" s="28" t="str">
        <f>IFERROR(__xludf.DUMMYFUNCTION("iferror(if(I327="""","""",unique(query('tbl driver 2'!$K$2:$L1508,""SELECT L WHERE K = '""&amp;I327&amp;""'""))),"""")"),"")</f>
        <v/>
      </c>
      <c r="K327" s="31"/>
      <c r="L327" s="39"/>
      <c r="M327" s="39"/>
      <c r="N327" s="28" t="str">
        <f>IFERROR(__xludf.DUMMYFUNCTION("IF(OR(C327="""",M327=""""),"""",IFERROR(IF(M327="""","""",query('tbl user'!$A$2:$D1508,""SELECT A WHERE D = '""&amp;M327&amp;""'"")),""USER TIDAK DIKETAHUI""))"),"")</f>
        <v/>
      </c>
    </row>
    <row r="328">
      <c r="A328" s="23" t="str">
        <f t="shared" si="3"/>
        <v/>
      </c>
      <c r="B328" s="24" t="str">
        <f t="shared" si="4"/>
        <v/>
      </c>
      <c r="C328" s="28"/>
      <c r="D328" s="28"/>
      <c r="E328" s="34"/>
      <c r="F328" s="34"/>
      <c r="G328" s="34"/>
      <c r="H328" s="34"/>
      <c r="I328" s="34"/>
      <c r="J328" s="28" t="str">
        <f>IFERROR(__xludf.DUMMYFUNCTION("iferror(if(I328="""","""",unique(query('tbl driver 2'!$K$2:$L1508,""SELECT L WHERE K = '""&amp;I328&amp;""'""))),"""")"),"")</f>
        <v/>
      </c>
      <c r="K328" s="31"/>
      <c r="L328" s="39"/>
      <c r="M328" s="39"/>
      <c r="N328" s="28" t="str">
        <f>IFERROR(__xludf.DUMMYFUNCTION("IF(OR(C328="""",M328=""""),"""",IFERROR(IF(M328="""","""",query('tbl user'!$A$2:$D1508,""SELECT A WHERE D = '""&amp;M328&amp;""'"")),""USER TIDAK DIKETAHUI""))"),"")</f>
        <v/>
      </c>
    </row>
    <row r="329">
      <c r="A329" s="23" t="str">
        <f t="shared" si="3"/>
        <v/>
      </c>
      <c r="B329" s="24" t="str">
        <f t="shared" si="4"/>
        <v/>
      </c>
      <c r="C329" s="28"/>
      <c r="D329" s="28"/>
      <c r="E329" s="34"/>
      <c r="F329" s="34"/>
      <c r="G329" s="34"/>
      <c r="H329" s="34"/>
      <c r="I329" s="34"/>
      <c r="J329" s="28" t="str">
        <f>IFERROR(__xludf.DUMMYFUNCTION("iferror(if(I329="""","""",unique(query('tbl driver 2'!$K$2:$L1508,""SELECT L WHERE K = '""&amp;I329&amp;""'""))),"""")"),"")</f>
        <v/>
      </c>
      <c r="K329" s="31"/>
      <c r="L329" s="39"/>
      <c r="M329" s="39"/>
      <c r="N329" s="28" t="str">
        <f>IFERROR(__xludf.DUMMYFUNCTION("IF(OR(C329="""",M329=""""),"""",IFERROR(IF(M329="""","""",query('tbl user'!$A$2:$D1508,""SELECT A WHERE D = '""&amp;M329&amp;""'"")),""USER TIDAK DIKETAHUI""))"),"")</f>
        <v/>
      </c>
    </row>
    <row r="330">
      <c r="A330" s="23" t="str">
        <f t="shared" si="3"/>
        <v/>
      </c>
      <c r="B330" s="24" t="str">
        <f t="shared" si="4"/>
        <v/>
      </c>
      <c r="C330" s="28"/>
      <c r="D330" s="28"/>
      <c r="E330" s="34"/>
      <c r="F330" s="34"/>
      <c r="G330" s="34"/>
      <c r="H330" s="34"/>
      <c r="I330" s="34"/>
      <c r="J330" s="28" t="str">
        <f>IFERROR(__xludf.DUMMYFUNCTION("iferror(if(I330="""","""",unique(query('tbl driver 2'!$K$2:$L1508,""SELECT L WHERE K = '""&amp;I330&amp;""'""))),"""")"),"")</f>
        <v/>
      </c>
      <c r="K330" s="31"/>
      <c r="L330" s="39"/>
      <c r="M330" s="39"/>
      <c r="N330" s="28" t="str">
        <f>IFERROR(__xludf.DUMMYFUNCTION("IF(OR(C330="""",M330=""""),"""",IFERROR(IF(M330="""","""",query('tbl user'!$A$2:$D1508,""SELECT A WHERE D = '""&amp;M330&amp;""'"")),""USER TIDAK DIKETAHUI""))"),"")</f>
        <v/>
      </c>
    </row>
    <row r="331">
      <c r="A331" s="23" t="str">
        <f t="shared" si="3"/>
        <v/>
      </c>
      <c r="B331" s="24" t="str">
        <f t="shared" si="4"/>
        <v/>
      </c>
      <c r="C331" s="28"/>
      <c r="D331" s="28"/>
      <c r="E331" s="34"/>
      <c r="F331" s="34"/>
      <c r="G331" s="34"/>
      <c r="H331" s="34"/>
      <c r="I331" s="34"/>
      <c r="J331" s="28" t="str">
        <f>IFERROR(__xludf.DUMMYFUNCTION("iferror(if(I331="""","""",unique(query('tbl driver 2'!$K$2:$L1508,""SELECT L WHERE K = '""&amp;I331&amp;""'""))),"""")"),"")</f>
        <v/>
      </c>
      <c r="K331" s="31"/>
      <c r="L331" s="39"/>
      <c r="M331" s="39"/>
      <c r="N331" s="28" t="str">
        <f>IFERROR(__xludf.DUMMYFUNCTION("IF(OR(C331="""",M331=""""),"""",IFERROR(IF(M331="""","""",query('tbl user'!$A$2:$D1508,""SELECT A WHERE D = '""&amp;M331&amp;""'"")),""USER TIDAK DIKETAHUI""))"),"")</f>
        <v/>
      </c>
    </row>
    <row r="332">
      <c r="A332" s="23" t="str">
        <f t="shared" si="3"/>
        <v/>
      </c>
      <c r="B332" s="24" t="str">
        <f t="shared" si="4"/>
        <v/>
      </c>
      <c r="C332" s="28"/>
      <c r="D332" s="28"/>
      <c r="E332" s="34"/>
      <c r="F332" s="34"/>
      <c r="G332" s="34"/>
      <c r="H332" s="34"/>
      <c r="I332" s="34"/>
      <c r="J332" s="28" t="str">
        <f>IFERROR(__xludf.DUMMYFUNCTION("iferror(if(I332="""","""",unique(query('tbl driver 2'!$K$2:$L1508,""SELECT L WHERE K = '""&amp;I332&amp;""'""))),"""")"),"")</f>
        <v/>
      </c>
      <c r="K332" s="31"/>
      <c r="L332" s="39"/>
      <c r="M332" s="39"/>
      <c r="N332" s="28" t="str">
        <f>IFERROR(__xludf.DUMMYFUNCTION("IF(OR(C332="""",M332=""""),"""",IFERROR(IF(M332="""","""",query('tbl user'!$A$2:$D1508,""SELECT A WHERE D = '""&amp;M332&amp;""'"")),""USER TIDAK DIKETAHUI""))"),"")</f>
        <v/>
      </c>
    </row>
    <row r="333">
      <c r="A333" s="23" t="str">
        <f t="shared" si="3"/>
        <v/>
      </c>
      <c r="B333" s="24" t="str">
        <f t="shared" si="4"/>
        <v/>
      </c>
      <c r="C333" s="28"/>
      <c r="D333" s="28"/>
      <c r="E333" s="34"/>
      <c r="F333" s="34"/>
      <c r="G333" s="34"/>
      <c r="H333" s="34"/>
      <c r="I333" s="34"/>
      <c r="J333" s="28" t="str">
        <f>IFERROR(__xludf.DUMMYFUNCTION("iferror(if(I333="""","""",unique(query('tbl driver 2'!$K$2:$L1508,""SELECT L WHERE K = '""&amp;I333&amp;""'""))),"""")"),"")</f>
        <v/>
      </c>
      <c r="K333" s="31"/>
      <c r="L333" s="39"/>
      <c r="M333" s="39"/>
      <c r="N333" s="28" t="str">
        <f>IFERROR(__xludf.DUMMYFUNCTION("IF(OR(C333="""",M333=""""),"""",IFERROR(IF(M333="""","""",query('tbl user'!$A$2:$D1508,""SELECT A WHERE D = '""&amp;M333&amp;""'"")),""USER TIDAK DIKETAHUI""))"),"")</f>
        <v/>
      </c>
    </row>
    <row r="334">
      <c r="A334" s="23" t="str">
        <f t="shared" si="3"/>
        <v/>
      </c>
      <c r="B334" s="24" t="str">
        <f t="shared" si="4"/>
        <v/>
      </c>
      <c r="C334" s="28"/>
      <c r="D334" s="28"/>
      <c r="E334" s="34"/>
      <c r="F334" s="34"/>
      <c r="G334" s="34"/>
      <c r="H334" s="34"/>
      <c r="I334" s="34"/>
      <c r="J334" s="28" t="str">
        <f>IFERROR(__xludf.DUMMYFUNCTION("iferror(if(I334="""","""",unique(query('tbl driver 2'!$K$2:$L1508,""SELECT L WHERE K = '""&amp;I334&amp;""'""))),"""")"),"")</f>
        <v/>
      </c>
      <c r="K334" s="31"/>
      <c r="L334" s="39"/>
      <c r="M334" s="39"/>
      <c r="N334" s="28" t="str">
        <f>IFERROR(__xludf.DUMMYFUNCTION("IF(OR(C334="""",M334=""""),"""",IFERROR(IF(M334="""","""",query('tbl user'!$A$2:$D1508,""SELECT A WHERE D = '""&amp;M334&amp;""'"")),""USER TIDAK DIKETAHUI""))"),"")</f>
        <v/>
      </c>
    </row>
    <row r="335">
      <c r="A335" s="23" t="str">
        <f t="shared" si="3"/>
        <v/>
      </c>
      <c r="B335" s="24" t="str">
        <f t="shared" si="4"/>
        <v/>
      </c>
      <c r="C335" s="28"/>
      <c r="D335" s="28"/>
      <c r="E335" s="34"/>
      <c r="F335" s="34"/>
      <c r="G335" s="34"/>
      <c r="H335" s="34"/>
      <c r="I335" s="34"/>
      <c r="J335" s="28" t="str">
        <f>IFERROR(__xludf.DUMMYFUNCTION("iferror(if(I335="""","""",unique(query('tbl driver 2'!$K$2:$L1508,""SELECT L WHERE K = '""&amp;I335&amp;""'""))),"""")"),"")</f>
        <v/>
      </c>
      <c r="K335" s="31"/>
      <c r="L335" s="39"/>
      <c r="M335" s="39"/>
      <c r="N335" s="28" t="str">
        <f>IFERROR(__xludf.DUMMYFUNCTION("IF(OR(C335="""",M335=""""),"""",IFERROR(IF(M335="""","""",query('tbl user'!$A$2:$D1508,""SELECT A WHERE D = '""&amp;M335&amp;""'"")),""USER TIDAK DIKETAHUI""))"),"")</f>
        <v/>
      </c>
    </row>
    <row r="336">
      <c r="A336" s="23" t="str">
        <f t="shared" si="3"/>
        <v/>
      </c>
      <c r="B336" s="24" t="str">
        <f t="shared" si="4"/>
        <v/>
      </c>
      <c r="C336" s="28"/>
      <c r="D336" s="28"/>
      <c r="E336" s="34"/>
      <c r="F336" s="34"/>
      <c r="G336" s="34"/>
      <c r="H336" s="34"/>
      <c r="I336" s="34"/>
      <c r="J336" s="28" t="str">
        <f>IFERROR(__xludf.DUMMYFUNCTION("iferror(if(I336="""","""",unique(query('tbl driver 2'!$K$2:$L1508,""SELECT L WHERE K = '""&amp;I336&amp;""'""))),"""")"),"")</f>
        <v/>
      </c>
      <c r="K336" s="31"/>
      <c r="L336" s="39"/>
      <c r="M336" s="39"/>
      <c r="N336" s="28" t="str">
        <f>IFERROR(__xludf.DUMMYFUNCTION("IF(OR(C336="""",M336=""""),"""",IFERROR(IF(M336="""","""",query('tbl user'!$A$2:$D1508,""SELECT A WHERE D = '""&amp;M336&amp;""'"")),""USER TIDAK DIKETAHUI""))"),"")</f>
        <v/>
      </c>
    </row>
    <row r="337">
      <c r="A337" s="23" t="str">
        <f t="shared" si="3"/>
        <v/>
      </c>
      <c r="B337" s="24" t="str">
        <f t="shared" si="4"/>
        <v/>
      </c>
      <c r="C337" s="28"/>
      <c r="D337" s="28"/>
      <c r="E337" s="34"/>
      <c r="F337" s="34"/>
      <c r="G337" s="34"/>
      <c r="H337" s="34"/>
      <c r="I337" s="34"/>
      <c r="J337" s="28" t="str">
        <f>IFERROR(__xludf.DUMMYFUNCTION("iferror(if(I337="""","""",unique(query('tbl driver 2'!$K$2:$L1508,""SELECT L WHERE K = '""&amp;I337&amp;""'""))),"""")"),"")</f>
        <v/>
      </c>
      <c r="K337" s="31"/>
      <c r="L337" s="39"/>
      <c r="M337" s="39"/>
      <c r="N337" s="28" t="str">
        <f>IFERROR(__xludf.DUMMYFUNCTION("IF(OR(C337="""",M337=""""),"""",IFERROR(IF(M337="""","""",query('tbl user'!$A$2:$D1508,""SELECT A WHERE D = '""&amp;M337&amp;""'"")),""USER TIDAK DIKETAHUI""))"),"")</f>
        <v/>
      </c>
    </row>
    <row r="338">
      <c r="A338" s="23" t="str">
        <f t="shared" si="3"/>
        <v/>
      </c>
      <c r="B338" s="24" t="str">
        <f t="shared" si="4"/>
        <v/>
      </c>
      <c r="C338" s="28"/>
      <c r="D338" s="28"/>
      <c r="E338" s="34"/>
      <c r="F338" s="34"/>
      <c r="G338" s="34"/>
      <c r="H338" s="34"/>
      <c r="I338" s="34"/>
      <c r="J338" s="28" t="str">
        <f>IFERROR(__xludf.DUMMYFUNCTION("iferror(if(I338="""","""",unique(query('tbl driver 2'!$K$2:$L1508,""SELECT L WHERE K = '""&amp;I338&amp;""'""))),"""")"),"")</f>
        <v/>
      </c>
      <c r="K338" s="31"/>
      <c r="L338" s="39"/>
      <c r="M338" s="39"/>
      <c r="N338" s="28" t="str">
        <f>IFERROR(__xludf.DUMMYFUNCTION("IF(OR(C338="""",M338=""""),"""",IFERROR(IF(M338="""","""",query('tbl user'!$A$2:$D1508,""SELECT A WHERE D = '""&amp;M338&amp;""'"")),""USER TIDAK DIKETAHUI""))"),"")</f>
        <v/>
      </c>
    </row>
    <row r="339">
      <c r="A339" s="23" t="str">
        <f t="shared" si="3"/>
        <v/>
      </c>
      <c r="B339" s="24" t="str">
        <f t="shared" si="4"/>
        <v/>
      </c>
      <c r="C339" s="28"/>
      <c r="D339" s="28"/>
      <c r="E339" s="34"/>
      <c r="F339" s="34"/>
      <c r="G339" s="34"/>
      <c r="H339" s="34"/>
      <c r="I339" s="34"/>
      <c r="J339" s="28" t="str">
        <f>IFERROR(__xludf.DUMMYFUNCTION("iferror(if(I339="""","""",unique(query('tbl driver 2'!$K$2:$L1508,""SELECT L WHERE K = '""&amp;I339&amp;""'""))),"""")"),"")</f>
        <v/>
      </c>
      <c r="K339" s="31"/>
      <c r="L339" s="39"/>
      <c r="M339" s="39"/>
      <c r="N339" s="28" t="str">
        <f>IFERROR(__xludf.DUMMYFUNCTION("IF(OR(C339="""",M339=""""),"""",IFERROR(IF(M339="""","""",query('tbl user'!$A$2:$D1508,""SELECT A WHERE D = '""&amp;M339&amp;""'"")),""USER TIDAK DIKETAHUI""))"),"")</f>
        <v/>
      </c>
    </row>
    <row r="340">
      <c r="A340" s="23" t="str">
        <f t="shared" si="3"/>
        <v/>
      </c>
      <c r="B340" s="24" t="str">
        <f t="shared" si="4"/>
        <v/>
      </c>
      <c r="C340" s="28"/>
      <c r="D340" s="28"/>
      <c r="E340" s="34"/>
      <c r="F340" s="34"/>
      <c r="G340" s="34"/>
      <c r="H340" s="34"/>
      <c r="I340" s="34"/>
      <c r="J340" s="28" t="str">
        <f>IFERROR(__xludf.DUMMYFUNCTION("iferror(if(I340="""","""",unique(query('tbl driver 2'!$K$2:$L1508,""SELECT L WHERE K = '""&amp;I340&amp;""'""))),"""")"),"")</f>
        <v/>
      </c>
      <c r="K340" s="31"/>
      <c r="L340" s="39"/>
      <c r="M340" s="39"/>
      <c r="N340" s="28" t="str">
        <f>IFERROR(__xludf.DUMMYFUNCTION("IF(OR(C340="""",M340=""""),"""",IFERROR(IF(M340="""","""",query('tbl user'!$A$2:$D1508,""SELECT A WHERE D = '""&amp;M340&amp;""'"")),""USER TIDAK DIKETAHUI""))"),"")</f>
        <v/>
      </c>
    </row>
    <row r="341">
      <c r="A341" s="23" t="str">
        <f t="shared" si="3"/>
        <v/>
      </c>
      <c r="B341" s="24" t="str">
        <f t="shared" si="4"/>
        <v/>
      </c>
      <c r="C341" s="28"/>
      <c r="D341" s="28"/>
      <c r="E341" s="34"/>
      <c r="F341" s="34"/>
      <c r="G341" s="34"/>
      <c r="H341" s="34"/>
      <c r="I341" s="34"/>
      <c r="J341" s="28" t="str">
        <f>IFERROR(__xludf.DUMMYFUNCTION("iferror(if(I341="""","""",unique(query('tbl driver 2'!$K$2:$L1508,""SELECT L WHERE K = '""&amp;I341&amp;""'""))),"""")"),"")</f>
        <v/>
      </c>
      <c r="K341" s="31"/>
      <c r="L341" s="39"/>
      <c r="M341" s="39"/>
      <c r="N341" s="28" t="str">
        <f>IFERROR(__xludf.DUMMYFUNCTION("IF(OR(C341="""",M341=""""),"""",IFERROR(IF(M341="""","""",query('tbl user'!$A$2:$D1508,""SELECT A WHERE D = '""&amp;M341&amp;""'"")),""USER TIDAK DIKETAHUI""))"),"")</f>
        <v/>
      </c>
    </row>
    <row r="342">
      <c r="A342" s="23" t="str">
        <f t="shared" si="3"/>
        <v/>
      </c>
      <c r="B342" s="24" t="str">
        <f t="shared" si="4"/>
        <v/>
      </c>
      <c r="C342" s="28"/>
      <c r="D342" s="28"/>
      <c r="E342" s="34"/>
      <c r="F342" s="34"/>
      <c r="G342" s="34"/>
      <c r="H342" s="34"/>
      <c r="I342" s="34"/>
      <c r="J342" s="28" t="str">
        <f>IFERROR(__xludf.DUMMYFUNCTION("iferror(if(I342="""","""",unique(query('tbl driver 2'!$K$2:$L1508,""SELECT L WHERE K = '""&amp;I342&amp;""'""))),"""")"),"")</f>
        <v/>
      </c>
      <c r="K342" s="31"/>
      <c r="L342" s="39"/>
      <c r="M342" s="39"/>
      <c r="N342" s="28" t="str">
        <f>IFERROR(__xludf.DUMMYFUNCTION("IF(OR(C342="""",M342=""""),"""",IFERROR(IF(M342="""","""",query('tbl user'!$A$2:$D1508,""SELECT A WHERE D = '""&amp;M342&amp;""'"")),""USER TIDAK DIKETAHUI""))"),"")</f>
        <v/>
      </c>
    </row>
    <row r="343">
      <c r="A343" s="23" t="str">
        <f t="shared" si="3"/>
        <v/>
      </c>
      <c r="B343" s="24" t="str">
        <f t="shared" si="4"/>
        <v/>
      </c>
      <c r="C343" s="28"/>
      <c r="D343" s="28"/>
      <c r="E343" s="34"/>
      <c r="F343" s="34"/>
      <c r="G343" s="34"/>
      <c r="H343" s="34"/>
      <c r="I343" s="34"/>
      <c r="J343" s="28" t="str">
        <f>IFERROR(__xludf.DUMMYFUNCTION("iferror(if(I343="""","""",unique(query('tbl driver 2'!$K$2:$L1508,""SELECT L WHERE K = '""&amp;I343&amp;""'""))),"""")"),"")</f>
        <v/>
      </c>
      <c r="K343" s="31"/>
      <c r="L343" s="39"/>
      <c r="M343" s="39"/>
      <c r="N343" s="28" t="str">
        <f>IFERROR(__xludf.DUMMYFUNCTION("IF(OR(C343="""",M343=""""),"""",IFERROR(IF(M343="""","""",query('tbl user'!$A$2:$D1508,""SELECT A WHERE D = '""&amp;M343&amp;""'"")),""USER TIDAK DIKETAHUI""))"),"")</f>
        <v/>
      </c>
    </row>
    <row r="344">
      <c r="A344" s="23" t="str">
        <f t="shared" si="3"/>
        <v/>
      </c>
      <c r="B344" s="24" t="str">
        <f t="shared" si="4"/>
        <v/>
      </c>
      <c r="C344" s="28"/>
      <c r="D344" s="28"/>
      <c r="E344" s="34"/>
      <c r="F344" s="34"/>
      <c r="G344" s="34"/>
      <c r="H344" s="34"/>
      <c r="I344" s="34"/>
      <c r="J344" s="28" t="str">
        <f>IFERROR(__xludf.DUMMYFUNCTION("iferror(if(I344="""","""",unique(query('tbl driver 2'!$K$2:$L1508,""SELECT L WHERE K = '""&amp;I344&amp;""'""))),"""")"),"")</f>
        <v/>
      </c>
      <c r="K344" s="31"/>
      <c r="L344" s="39"/>
      <c r="M344" s="39"/>
      <c r="N344" s="28" t="str">
        <f>IFERROR(__xludf.DUMMYFUNCTION("IF(OR(C344="""",M344=""""),"""",IFERROR(IF(M344="""","""",query('tbl user'!$A$2:$D1508,""SELECT A WHERE D = '""&amp;M344&amp;""'"")),""USER TIDAK DIKETAHUI""))"),"")</f>
        <v/>
      </c>
    </row>
    <row r="345">
      <c r="A345" s="23" t="str">
        <f t="shared" si="3"/>
        <v/>
      </c>
      <c r="B345" s="24" t="str">
        <f t="shared" si="4"/>
        <v/>
      </c>
      <c r="C345" s="28"/>
      <c r="D345" s="28"/>
      <c r="E345" s="34"/>
      <c r="F345" s="34"/>
      <c r="G345" s="34"/>
      <c r="H345" s="34"/>
      <c r="I345" s="34"/>
      <c r="J345" s="28" t="str">
        <f>IFERROR(__xludf.DUMMYFUNCTION("iferror(if(I345="""","""",unique(query('tbl driver 2'!$K$2:$L1508,""SELECT L WHERE K = '""&amp;I345&amp;""'""))),"""")"),"")</f>
        <v/>
      </c>
      <c r="K345" s="31"/>
      <c r="L345" s="39"/>
      <c r="M345" s="39"/>
      <c r="N345" s="28" t="str">
        <f>IFERROR(__xludf.DUMMYFUNCTION("IF(OR(C345="""",M345=""""),"""",IFERROR(IF(M345="""","""",query('tbl user'!$A$2:$D1508,""SELECT A WHERE D = '""&amp;M345&amp;""'"")),""USER TIDAK DIKETAHUI""))"),"")</f>
        <v/>
      </c>
    </row>
    <row r="346">
      <c r="A346" s="23" t="str">
        <f t="shared" si="3"/>
        <v/>
      </c>
      <c r="B346" s="24" t="str">
        <f t="shared" si="4"/>
        <v/>
      </c>
      <c r="C346" s="28"/>
      <c r="D346" s="28"/>
      <c r="E346" s="34"/>
      <c r="F346" s="34"/>
      <c r="G346" s="34"/>
      <c r="H346" s="34"/>
      <c r="I346" s="34"/>
      <c r="J346" s="28" t="str">
        <f>IFERROR(__xludf.DUMMYFUNCTION("iferror(if(I346="""","""",unique(query('tbl driver 2'!$K$2:$L1508,""SELECT L WHERE K = '""&amp;I346&amp;""'""))),"""")"),"")</f>
        <v/>
      </c>
      <c r="K346" s="31"/>
      <c r="L346" s="39"/>
      <c r="M346" s="39"/>
      <c r="N346" s="28" t="str">
        <f>IFERROR(__xludf.DUMMYFUNCTION("IF(OR(C346="""",M346=""""),"""",IFERROR(IF(M346="""","""",query('tbl user'!$A$2:$D1508,""SELECT A WHERE D = '""&amp;M346&amp;""'"")),""USER TIDAK DIKETAHUI""))"),"")</f>
        <v/>
      </c>
    </row>
    <row r="347">
      <c r="A347" s="23" t="str">
        <f t="shared" si="3"/>
        <v/>
      </c>
      <c r="B347" s="24" t="str">
        <f t="shared" si="4"/>
        <v/>
      </c>
      <c r="C347" s="28"/>
      <c r="D347" s="28"/>
      <c r="E347" s="34"/>
      <c r="F347" s="34"/>
      <c r="G347" s="34"/>
      <c r="H347" s="34"/>
      <c r="I347" s="34"/>
      <c r="J347" s="28" t="str">
        <f>IFERROR(__xludf.DUMMYFUNCTION("iferror(if(I347="""","""",unique(query('tbl driver 2'!$K$2:$L1508,""SELECT L WHERE K = '""&amp;I347&amp;""'""))),"""")"),"")</f>
        <v/>
      </c>
      <c r="K347" s="31"/>
      <c r="L347" s="39"/>
      <c r="M347" s="39"/>
      <c r="N347" s="28" t="str">
        <f>IFERROR(__xludf.DUMMYFUNCTION("IF(OR(C347="""",M347=""""),"""",IFERROR(IF(M347="""","""",query('tbl user'!$A$2:$D1508,""SELECT A WHERE D = '""&amp;M347&amp;""'"")),""USER TIDAK DIKETAHUI""))"),"")</f>
        <v/>
      </c>
    </row>
    <row r="348">
      <c r="A348" s="23" t="str">
        <f t="shared" si="3"/>
        <v/>
      </c>
      <c r="B348" s="24" t="str">
        <f t="shared" si="4"/>
        <v/>
      </c>
      <c r="C348" s="28"/>
      <c r="D348" s="28"/>
      <c r="E348" s="34"/>
      <c r="F348" s="34"/>
      <c r="G348" s="34"/>
      <c r="H348" s="34"/>
      <c r="I348" s="34"/>
      <c r="J348" s="28" t="str">
        <f>IFERROR(__xludf.DUMMYFUNCTION("iferror(if(I348="""","""",unique(query('tbl driver 2'!$K$2:$L1508,""SELECT L WHERE K = '""&amp;I348&amp;""'""))),"""")"),"")</f>
        <v/>
      </c>
      <c r="K348" s="31"/>
      <c r="L348" s="39"/>
      <c r="M348" s="39"/>
      <c r="N348" s="28" t="str">
        <f>IFERROR(__xludf.DUMMYFUNCTION("IF(OR(C348="""",M348=""""),"""",IFERROR(IF(M348="""","""",query('tbl user'!$A$2:$D1508,""SELECT A WHERE D = '""&amp;M348&amp;""'"")),""USER TIDAK DIKETAHUI""))"),"")</f>
        <v/>
      </c>
    </row>
    <row r="349">
      <c r="A349" s="23" t="str">
        <f t="shared" si="3"/>
        <v/>
      </c>
      <c r="B349" s="24" t="str">
        <f t="shared" si="4"/>
        <v/>
      </c>
      <c r="C349" s="28"/>
      <c r="D349" s="28"/>
      <c r="E349" s="34"/>
      <c r="F349" s="34"/>
      <c r="G349" s="34"/>
      <c r="H349" s="34"/>
      <c r="I349" s="34"/>
      <c r="J349" s="28" t="str">
        <f>IFERROR(__xludf.DUMMYFUNCTION("iferror(if(I349="""","""",unique(query('tbl driver 2'!$K$2:$L1508,""SELECT L WHERE K = '""&amp;I349&amp;""'""))),"""")"),"")</f>
        <v/>
      </c>
      <c r="K349" s="31"/>
      <c r="L349" s="39"/>
      <c r="M349" s="39"/>
      <c r="N349" s="28" t="str">
        <f>IFERROR(__xludf.DUMMYFUNCTION("IF(OR(C349="""",M349=""""),"""",IFERROR(IF(M349="""","""",query('tbl user'!$A$2:$D1508,""SELECT A WHERE D = '""&amp;M349&amp;""'"")),""USER TIDAK DIKETAHUI""))"),"")</f>
        <v/>
      </c>
    </row>
    <row r="350">
      <c r="A350" s="23" t="str">
        <f t="shared" si="3"/>
        <v/>
      </c>
      <c r="B350" s="24" t="str">
        <f t="shared" si="4"/>
        <v/>
      </c>
      <c r="C350" s="28"/>
      <c r="D350" s="28"/>
      <c r="E350" s="34"/>
      <c r="F350" s="34"/>
      <c r="G350" s="34"/>
      <c r="H350" s="34"/>
      <c r="I350" s="34"/>
      <c r="J350" s="28" t="str">
        <f>IFERROR(__xludf.DUMMYFUNCTION("iferror(if(I350="""","""",unique(query('tbl driver 2'!$K$2:$L1508,""SELECT L WHERE K = '""&amp;I350&amp;""'""))),"""")"),"")</f>
        <v/>
      </c>
      <c r="K350" s="31"/>
      <c r="L350" s="39"/>
      <c r="M350" s="39"/>
      <c r="N350" s="28" t="str">
        <f>IFERROR(__xludf.DUMMYFUNCTION("IF(OR(C350="""",M350=""""),"""",IFERROR(IF(M350="""","""",query('tbl user'!$A$2:$D1508,""SELECT A WHERE D = '""&amp;M350&amp;""'"")),""USER TIDAK DIKETAHUI""))"),"")</f>
        <v/>
      </c>
    </row>
    <row r="351">
      <c r="A351" s="23" t="str">
        <f t="shared" si="3"/>
        <v/>
      </c>
      <c r="B351" s="24" t="str">
        <f t="shared" si="4"/>
        <v/>
      </c>
      <c r="C351" s="28"/>
      <c r="D351" s="28"/>
      <c r="E351" s="34"/>
      <c r="F351" s="34"/>
      <c r="G351" s="34"/>
      <c r="H351" s="34"/>
      <c r="I351" s="34"/>
      <c r="J351" s="28" t="str">
        <f>IFERROR(__xludf.DUMMYFUNCTION("iferror(if(I351="""","""",unique(query('tbl driver 2'!$K$2:$L1508,""SELECT L WHERE K = '""&amp;I351&amp;""'""))),"""")"),"")</f>
        <v/>
      </c>
      <c r="K351" s="31"/>
      <c r="L351" s="39"/>
      <c r="M351" s="39"/>
      <c r="N351" s="28" t="str">
        <f>IFERROR(__xludf.DUMMYFUNCTION("IF(OR(C351="""",M351=""""),"""",IFERROR(IF(M351="""","""",query('tbl user'!$A$2:$D1508,""SELECT A WHERE D = '""&amp;M351&amp;""'"")),""USER TIDAK DIKETAHUI""))"),"")</f>
        <v/>
      </c>
    </row>
    <row r="352">
      <c r="A352" s="23" t="str">
        <f t="shared" si="3"/>
        <v/>
      </c>
      <c r="B352" s="24" t="str">
        <f t="shared" si="4"/>
        <v/>
      </c>
      <c r="C352" s="28"/>
      <c r="D352" s="28"/>
      <c r="E352" s="34"/>
      <c r="F352" s="34"/>
      <c r="G352" s="34"/>
      <c r="H352" s="34"/>
      <c r="I352" s="34"/>
      <c r="J352" s="28" t="str">
        <f>IFERROR(__xludf.DUMMYFUNCTION("iferror(if(I352="""","""",unique(query('tbl driver 2'!$K$2:$L1508,""SELECT L WHERE K = '""&amp;I352&amp;""'""))),"""")"),"")</f>
        <v/>
      </c>
      <c r="K352" s="31"/>
      <c r="L352" s="39"/>
      <c r="M352" s="39"/>
      <c r="N352" s="28" t="str">
        <f>IFERROR(__xludf.DUMMYFUNCTION("IF(OR(C352="""",M352=""""),"""",IFERROR(IF(M352="""","""",query('tbl user'!$A$2:$D1508,""SELECT A WHERE D = '""&amp;M352&amp;""'"")),""USER TIDAK DIKETAHUI""))"),"")</f>
        <v/>
      </c>
    </row>
    <row r="353">
      <c r="A353" s="23" t="str">
        <f t="shared" si="3"/>
        <v/>
      </c>
      <c r="B353" s="24" t="str">
        <f t="shared" si="4"/>
        <v/>
      </c>
      <c r="C353" s="28"/>
      <c r="D353" s="28"/>
      <c r="E353" s="34"/>
      <c r="F353" s="34"/>
      <c r="G353" s="34"/>
      <c r="H353" s="34"/>
      <c r="I353" s="34"/>
      <c r="J353" s="28" t="str">
        <f>IFERROR(__xludf.DUMMYFUNCTION("iferror(if(I353="""","""",unique(query('tbl driver 2'!$K$2:$L1508,""SELECT L WHERE K = '""&amp;I353&amp;""'""))),"""")"),"")</f>
        <v/>
      </c>
      <c r="K353" s="31"/>
      <c r="L353" s="39"/>
      <c r="M353" s="39"/>
      <c r="N353" s="28" t="str">
        <f>IFERROR(__xludf.DUMMYFUNCTION("IF(OR(C353="""",M353=""""),"""",IFERROR(IF(M353="""","""",query('tbl user'!$A$2:$D1508,""SELECT A WHERE D = '""&amp;M353&amp;""'"")),""USER TIDAK DIKETAHUI""))"),"")</f>
        <v/>
      </c>
    </row>
    <row r="354">
      <c r="A354" s="23" t="str">
        <f t="shared" si="3"/>
        <v/>
      </c>
      <c r="B354" s="24" t="str">
        <f t="shared" si="4"/>
        <v/>
      </c>
      <c r="C354" s="28"/>
      <c r="D354" s="28"/>
      <c r="E354" s="34"/>
      <c r="F354" s="34"/>
      <c r="G354" s="34"/>
      <c r="H354" s="34"/>
      <c r="I354" s="34"/>
      <c r="J354" s="28" t="str">
        <f>IFERROR(__xludf.DUMMYFUNCTION("iferror(if(I354="""","""",unique(query('tbl driver 2'!$K$2:$L1508,""SELECT L WHERE K = '""&amp;I354&amp;""'""))),"""")"),"")</f>
        <v/>
      </c>
      <c r="K354" s="31"/>
      <c r="L354" s="39"/>
      <c r="M354" s="39"/>
      <c r="N354" s="28" t="str">
        <f>IFERROR(__xludf.DUMMYFUNCTION("IF(OR(C354="""",M354=""""),"""",IFERROR(IF(M354="""","""",query('tbl user'!$A$2:$D1508,""SELECT A WHERE D = '""&amp;M354&amp;""'"")),""USER TIDAK DIKETAHUI""))"),"")</f>
        <v/>
      </c>
    </row>
    <row r="355">
      <c r="A355" s="23" t="str">
        <f t="shared" si="3"/>
        <v/>
      </c>
      <c r="B355" s="24" t="str">
        <f t="shared" si="4"/>
        <v/>
      </c>
      <c r="C355" s="28"/>
      <c r="D355" s="28"/>
      <c r="E355" s="34"/>
      <c r="F355" s="34"/>
      <c r="G355" s="34"/>
      <c r="H355" s="34"/>
      <c r="I355" s="34"/>
      <c r="J355" s="28" t="str">
        <f>IFERROR(__xludf.DUMMYFUNCTION("iferror(if(I355="""","""",unique(query('tbl driver 2'!$K$2:$L1508,""SELECT L WHERE K = '""&amp;I355&amp;""'""))),"""")"),"")</f>
        <v/>
      </c>
      <c r="K355" s="31"/>
      <c r="L355" s="39"/>
      <c r="M355" s="39"/>
      <c r="N355" s="28" t="str">
        <f>IFERROR(__xludf.DUMMYFUNCTION("IF(OR(C355="""",M355=""""),"""",IFERROR(IF(M355="""","""",query('tbl user'!$A$2:$D1508,""SELECT A WHERE D = '""&amp;M355&amp;""'"")),""USER TIDAK DIKETAHUI""))"),"")</f>
        <v/>
      </c>
    </row>
    <row r="356">
      <c r="A356" s="23" t="str">
        <f t="shared" si="3"/>
        <v/>
      </c>
      <c r="B356" s="24" t="str">
        <f t="shared" si="4"/>
        <v/>
      </c>
      <c r="C356" s="28"/>
      <c r="D356" s="28"/>
      <c r="E356" s="34"/>
      <c r="F356" s="34"/>
      <c r="G356" s="34"/>
      <c r="H356" s="34"/>
      <c r="I356" s="34"/>
      <c r="J356" s="28" t="str">
        <f>IFERROR(__xludf.DUMMYFUNCTION("iferror(if(I356="""","""",unique(query('tbl driver 2'!$K$2:$L1508,""SELECT L WHERE K = '""&amp;I356&amp;""'""))),"""")"),"")</f>
        <v/>
      </c>
      <c r="K356" s="31"/>
      <c r="L356" s="39"/>
      <c r="M356" s="39"/>
      <c r="N356" s="28" t="str">
        <f>IFERROR(__xludf.DUMMYFUNCTION("IF(OR(C356="""",M356=""""),"""",IFERROR(IF(M356="""","""",query('tbl user'!$A$2:$D1508,""SELECT A WHERE D = '""&amp;M356&amp;""'"")),""USER TIDAK DIKETAHUI""))"),"")</f>
        <v/>
      </c>
    </row>
    <row r="357">
      <c r="A357" s="23" t="str">
        <f t="shared" si="3"/>
        <v/>
      </c>
      <c r="B357" s="24" t="str">
        <f t="shared" si="4"/>
        <v/>
      </c>
      <c r="C357" s="28"/>
      <c r="D357" s="28"/>
      <c r="E357" s="34"/>
      <c r="F357" s="34"/>
      <c r="G357" s="34"/>
      <c r="H357" s="34"/>
      <c r="I357" s="34"/>
      <c r="J357" s="28" t="str">
        <f>IFERROR(__xludf.DUMMYFUNCTION("iferror(if(I357="""","""",unique(query('tbl driver 2'!$K$2:$L1508,""SELECT L WHERE K = '""&amp;I357&amp;""'""))),"""")"),"")</f>
        <v/>
      </c>
      <c r="K357" s="31"/>
      <c r="L357" s="39"/>
      <c r="M357" s="39"/>
      <c r="N357" s="28" t="str">
        <f>IFERROR(__xludf.DUMMYFUNCTION("IF(OR(C357="""",M357=""""),"""",IFERROR(IF(M357="""","""",query('tbl user'!$A$2:$D1508,""SELECT A WHERE D = '""&amp;M357&amp;""'"")),""USER TIDAK DIKETAHUI""))"),"")</f>
        <v/>
      </c>
    </row>
    <row r="358">
      <c r="A358" s="23" t="str">
        <f t="shared" si="3"/>
        <v/>
      </c>
      <c r="B358" s="24" t="str">
        <f t="shared" si="4"/>
        <v/>
      </c>
      <c r="C358" s="28"/>
      <c r="D358" s="28"/>
      <c r="E358" s="34"/>
      <c r="F358" s="34"/>
      <c r="G358" s="34"/>
      <c r="H358" s="34"/>
      <c r="I358" s="34"/>
      <c r="J358" s="28" t="str">
        <f>IFERROR(__xludf.DUMMYFUNCTION("iferror(if(I358="""","""",unique(query('tbl driver 2'!$K$2:$L1508,""SELECT L WHERE K = '""&amp;I358&amp;""'""))),"""")"),"")</f>
        <v/>
      </c>
      <c r="K358" s="31"/>
      <c r="L358" s="39"/>
      <c r="M358" s="39"/>
      <c r="N358" s="28" t="str">
        <f>IFERROR(__xludf.DUMMYFUNCTION("IF(OR(C358="""",M358=""""),"""",IFERROR(IF(M358="""","""",query('tbl user'!$A$2:$D1508,""SELECT A WHERE D = '""&amp;M358&amp;""'"")),""USER TIDAK DIKETAHUI""))"),"")</f>
        <v/>
      </c>
    </row>
    <row r="359">
      <c r="A359" s="23" t="str">
        <f t="shared" si="3"/>
        <v/>
      </c>
      <c r="B359" s="24" t="str">
        <f t="shared" si="4"/>
        <v/>
      </c>
      <c r="C359" s="28"/>
      <c r="D359" s="28"/>
      <c r="E359" s="34"/>
      <c r="F359" s="34"/>
      <c r="G359" s="34"/>
      <c r="H359" s="34"/>
      <c r="I359" s="34"/>
      <c r="J359" s="28" t="str">
        <f>IFERROR(__xludf.DUMMYFUNCTION("iferror(if(I359="""","""",unique(query('tbl driver 2'!$K$2:$L1508,""SELECT L WHERE K = '""&amp;I359&amp;""'""))),"""")"),"")</f>
        <v/>
      </c>
      <c r="K359" s="31"/>
      <c r="L359" s="39"/>
      <c r="M359" s="39"/>
      <c r="N359" s="28" t="str">
        <f>IFERROR(__xludf.DUMMYFUNCTION("IF(OR(C359="""",M359=""""),"""",IFERROR(IF(M359="""","""",query('tbl user'!$A$2:$D1508,""SELECT A WHERE D = '""&amp;M359&amp;""'"")),""USER TIDAK DIKETAHUI""))"),"")</f>
        <v/>
      </c>
    </row>
    <row r="360">
      <c r="A360" s="23" t="str">
        <f t="shared" si="3"/>
        <v/>
      </c>
      <c r="B360" s="24" t="str">
        <f t="shared" si="4"/>
        <v/>
      </c>
      <c r="C360" s="28"/>
      <c r="D360" s="28"/>
      <c r="E360" s="34"/>
      <c r="F360" s="34"/>
      <c r="G360" s="34"/>
      <c r="H360" s="34"/>
      <c r="I360" s="34"/>
      <c r="J360" s="28" t="str">
        <f>IFERROR(__xludf.DUMMYFUNCTION("iferror(if(I360="""","""",unique(query('tbl driver 2'!$K$2:$L1508,""SELECT L WHERE K = '""&amp;I360&amp;""'""))),"""")"),"")</f>
        <v/>
      </c>
      <c r="K360" s="31"/>
      <c r="L360" s="39"/>
      <c r="M360" s="39"/>
      <c r="N360" s="28" t="str">
        <f>IFERROR(__xludf.DUMMYFUNCTION("IF(OR(C360="""",M360=""""),"""",IFERROR(IF(M360="""","""",query('tbl user'!$A$2:$D1508,""SELECT A WHERE D = '""&amp;M360&amp;""'"")),""USER TIDAK DIKETAHUI""))"),"")</f>
        <v/>
      </c>
    </row>
    <row r="361">
      <c r="A361" s="23" t="str">
        <f t="shared" si="3"/>
        <v/>
      </c>
      <c r="B361" s="24" t="str">
        <f t="shared" si="4"/>
        <v/>
      </c>
      <c r="C361" s="28"/>
      <c r="D361" s="28"/>
      <c r="E361" s="34"/>
      <c r="F361" s="34"/>
      <c r="G361" s="34"/>
      <c r="H361" s="34"/>
      <c r="I361" s="34"/>
      <c r="J361" s="28" t="str">
        <f>IFERROR(__xludf.DUMMYFUNCTION("iferror(if(I361="""","""",unique(query('tbl driver 2'!$K$2:$L1508,""SELECT L WHERE K = '""&amp;I361&amp;""'""))),"""")"),"")</f>
        <v/>
      </c>
      <c r="K361" s="31"/>
      <c r="L361" s="39"/>
      <c r="M361" s="39"/>
      <c r="N361" s="28" t="str">
        <f>IFERROR(__xludf.DUMMYFUNCTION("IF(OR(C361="""",M361=""""),"""",IFERROR(IF(M361="""","""",query('tbl user'!$A$2:$D1508,""SELECT A WHERE D = '""&amp;M361&amp;""'"")),""USER TIDAK DIKETAHUI""))"),"")</f>
        <v/>
      </c>
    </row>
    <row r="362">
      <c r="A362" s="23" t="str">
        <f t="shared" si="3"/>
        <v/>
      </c>
      <c r="B362" s="24" t="str">
        <f t="shared" si="4"/>
        <v/>
      </c>
      <c r="C362" s="28"/>
      <c r="D362" s="28"/>
      <c r="E362" s="34"/>
      <c r="F362" s="34"/>
      <c r="G362" s="34"/>
      <c r="H362" s="34"/>
      <c r="I362" s="34"/>
      <c r="J362" s="28" t="str">
        <f>IFERROR(__xludf.DUMMYFUNCTION("iferror(if(I362="""","""",unique(query('tbl driver 2'!$K$2:$L1508,""SELECT L WHERE K = '""&amp;I362&amp;""'""))),"""")"),"")</f>
        <v/>
      </c>
      <c r="K362" s="31"/>
      <c r="L362" s="39"/>
      <c r="M362" s="39"/>
      <c r="N362" s="28" t="str">
        <f>IFERROR(__xludf.DUMMYFUNCTION("IF(OR(C362="""",M362=""""),"""",IFERROR(IF(M362="""","""",query('tbl user'!$A$2:$D1508,""SELECT A WHERE D = '""&amp;M362&amp;""'"")),""USER TIDAK DIKETAHUI""))"),"")</f>
        <v/>
      </c>
    </row>
    <row r="363">
      <c r="A363" s="23" t="str">
        <f t="shared" si="3"/>
        <v/>
      </c>
      <c r="B363" s="24" t="str">
        <f t="shared" si="4"/>
        <v/>
      </c>
      <c r="C363" s="28"/>
      <c r="D363" s="28"/>
      <c r="E363" s="34"/>
      <c r="F363" s="34"/>
      <c r="G363" s="34"/>
      <c r="H363" s="34"/>
      <c r="I363" s="34"/>
      <c r="J363" s="28" t="str">
        <f>IFERROR(__xludf.DUMMYFUNCTION("iferror(if(I363="""","""",unique(query('tbl driver 2'!$K$2:$L1508,""SELECT L WHERE K = '""&amp;I363&amp;""'""))),"""")"),"")</f>
        <v/>
      </c>
      <c r="K363" s="31"/>
      <c r="L363" s="39"/>
      <c r="M363" s="39"/>
      <c r="N363" s="28" t="str">
        <f>IFERROR(__xludf.DUMMYFUNCTION("IF(OR(C363="""",M363=""""),"""",IFERROR(IF(M363="""","""",query('tbl user'!$A$2:$D1508,""SELECT A WHERE D = '""&amp;M363&amp;""'"")),""USER TIDAK DIKETAHUI""))"),"")</f>
        <v/>
      </c>
    </row>
    <row r="364">
      <c r="A364" s="23" t="str">
        <f t="shared" si="3"/>
        <v/>
      </c>
      <c r="B364" s="24" t="str">
        <f t="shared" si="4"/>
        <v/>
      </c>
      <c r="C364" s="28"/>
      <c r="D364" s="28"/>
      <c r="E364" s="34"/>
      <c r="F364" s="34"/>
      <c r="G364" s="34"/>
      <c r="H364" s="34"/>
      <c r="I364" s="34"/>
      <c r="J364" s="28" t="str">
        <f>IFERROR(__xludf.DUMMYFUNCTION("iferror(if(I364="""","""",unique(query('tbl driver 2'!$K$2:$L1508,""SELECT L WHERE K = '""&amp;I364&amp;""'""))),"""")"),"")</f>
        <v/>
      </c>
      <c r="K364" s="31"/>
      <c r="L364" s="39"/>
      <c r="M364" s="39"/>
      <c r="N364" s="28" t="str">
        <f>IFERROR(__xludf.DUMMYFUNCTION("IF(OR(C364="""",M364=""""),"""",IFERROR(IF(M364="""","""",query('tbl user'!$A$2:$D1508,""SELECT A WHERE D = '""&amp;M364&amp;""'"")),""USER TIDAK DIKETAHUI""))"),"")</f>
        <v/>
      </c>
    </row>
    <row r="365">
      <c r="A365" s="23" t="str">
        <f t="shared" si="3"/>
        <v/>
      </c>
      <c r="B365" s="24" t="str">
        <f t="shared" si="4"/>
        <v/>
      </c>
      <c r="C365" s="28"/>
      <c r="D365" s="28"/>
      <c r="E365" s="34"/>
      <c r="F365" s="34"/>
      <c r="G365" s="34"/>
      <c r="H365" s="34"/>
      <c r="I365" s="34"/>
      <c r="J365" s="28" t="str">
        <f>IFERROR(__xludf.DUMMYFUNCTION("iferror(if(I365="""","""",unique(query('tbl driver 2'!$K$2:$L1508,""SELECT L WHERE K = '""&amp;I365&amp;""'""))),"""")"),"")</f>
        <v/>
      </c>
      <c r="K365" s="31"/>
      <c r="L365" s="39"/>
      <c r="M365" s="39"/>
      <c r="N365" s="28" t="str">
        <f>IFERROR(__xludf.DUMMYFUNCTION("IF(OR(C365="""",M365=""""),"""",IFERROR(IF(M365="""","""",query('tbl user'!$A$2:$D1508,""SELECT A WHERE D = '""&amp;M365&amp;""'"")),""USER TIDAK DIKETAHUI""))"),"")</f>
        <v/>
      </c>
    </row>
    <row r="366">
      <c r="A366" s="23" t="str">
        <f t="shared" si="3"/>
        <v/>
      </c>
      <c r="B366" s="24" t="str">
        <f t="shared" si="4"/>
        <v/>
      </c>
      <c r="C366" s="28"/>
      <c r="D366" s="28"/>
      <c r="E366" s="34"/>
      <c r="F366" s="34"/>
      <c r="G366" s="34"/>
      <c r="H366" s="34"/>
      <c r="I366" s="34"/>
      <c r="J366" s="28" t="str">
        <f>IFERROR(__xludf.DUMMYFUNCTION("iferror(if(I366="""","""",unique(query('tbl driver 2'!$K$2:$L1508,""SELECT L WHERE K = '""&amp;I366&amp;""'""))),"""")"),"")</f>
        <v/>
      </c>
      <c r="K366" s="31"/>
      <c r="L366" s="39"/>
      <c r="M366" s="39"/>
      <c r="N366" s="28" t="str">
        <f>IFERROR(__xludf.DUMMYFUNCTION("IF(OR(C366="""",M366=""""),"""",IFERROR(IF(M366="""","""",query('tbl user'!$A$2:$D1508,""SELECT A WHERE D = '""&amp;M366&amp;""'"")),""USER TIDAK DIKETAHUI""))"),"")</f>
        <v/>
      </c>
    </row>
    <row r="367">
      <c r="A367" s="23" t="str">
        <f t="shared" si="3"/>
        <v/>
      </c>
      <c r="B367" s="24" t="str">
        <f t="shared" si="4"/>
        <v/>
      </c>
      <c r="C367" s="28"/>
      <c r="D367" s="28"/>
      <c r="E367" s="34"/>
      <c r="F367" s="34"/>
      <c r="G367" s="34"/>
      <c r="H367" s="34"/>
      <c r="I367" s="34"/>
      <c r="J367" s="28" t="str">
        <f>IFERROR(__xludf.DUMMYFUNCTION("iferror(if(I367="""","""",unique(query('tbl driver 2'!$K$2:$L1508,""SELECT L WHERE K = '""&amp;I367&amp;""'""))),"""")"),"")</f>
        <v/>
      </c>
      <c r="K367" s="31"/>
      <c r="L367" s="39"/>
      <c r="M367" s="39"/>
      <c r="N367" s="28" t="str">
        <f>IFERROR(__xludf.DUMMYFUNCTION("IF(OR(C367="""",M367=""""),"""",IFERROR(IF(M367="""","""",query('tbl user'!$A$2:$D1508,""SELECT A WHERE D = '""&amp;M367&amp;""'"")),""USER TIDAK DIKETAHUI""))"),"")</f>
        <v/>
      </c>
    </row>
    <row r="368">
      <c r="A368" s="23" t="str">
        <f t="shared" si="3"/>
        <v/>
      </c>
      <c r="B368" s="24" t="str">
        <f t="shared" si="4"/>
        <v/>
      </c>
      <c r="C368" s="28"/>
      <c r="D368" s="28"/>
      <c r="E368" s="34"/>
      <c r="F368" s="34"/>
      <c r="G368" s="34"/>
      <c r="H368" s="34"/>
      <c r="I368" s="34"/>
      <c r="J368" s="28" t="str">
        <f>IFERROR(__xludf.DUMMYFUNCTION("iferror(if(I368="""","""",unique(query('tbl driver 2'!$K$2:$L1508,""SELECT L WHERE K = '""&amp;I368&amp;""'""))),"""")"),"")</f>
        <v/>
      </c>
      <c r="K368" s="31"/>
      <c r="L368" s="39"/>
      <c r="M368" s="39"/>
      <c r="N368" s="28" t="str">
        <f>IFERROR(__xludf.DUMMYFUNCTION("IF(OR(C368="""",M368=""""),"""",IFERROR(IF(M368="""","""",query('tbl user'!$A$2:$D1508,""SELECT A WHERE D = '""&amp;M368&amp;""'"")),""USER TIDAK DIKETAHUI""))"),"")</f>
        <v/>
      </c>
    </row>
    <row r="369">
      <c r="A369" s="23" t="str">
        <f t="shared" si="3"/>
        <v/>
      </c>
      <c r="B369" s="24" t="str">
        <f t="shared" si="4"/>
        <v/>
      </c>
      <c r="C369" s="28"/>
      <c r="D369" s="28"/>
      <c r="E369" s="34"/>
      <c r="F369" s="34"/>
      <c r="G369" s="34"/>
      <c r="H369" s="34"/>
      <c r="I369" s="34"/>
      <c r="J369" s="28" t="str">
        <f>IFERROR(__xludf.DUMMYFUNCTION("iferror(if(I369="""","""",unique(query('tbl driver 2'!$K$2:$L1508,""SELECT L WHERE K = '""&amp;I369&amp;""'""))),"""")"),"")</f>
        <v/>
      </c>
      <c r="K369" s="31"/>
      <c r="L369" s="39"/>
      <c r="M369" s="39"/>
      <c r="N369" s="28" t="str">
        <f>IFERROR(__xludf.DUMMYFUNCTION("IF(OR(C369="""",M369=""""),"""",IFERROR(IF(M369="""","""",query('tbl user'!$A$2:$D1508,""SELECT A WHERE D = '""&amp;M369&amp;""'"")),""USER TIDAK DIKETAHUI""))"),"")</f>
        <v/>
      </c>
    </row>
    <row r="370">
      <c r="A370" s="23" t="str">
        <f t="shared" si="3"/>
        <v/>
      </c>
      <c r="B370" s="24" t="str">
        <f t="shared" si="4"/>
        <v/>
      </c>
      <c r="C370" s="28"/>
      <c r="D370" s="28"/>
      <c r="E370" s="34"/>
      <c r="F370" s="34"/>
      <c r="G370" s="34"/>
      <c r="H370" s="34"/>
      <c r="I370" s="34"/>
      <c r="J370" s="28" t="str">
        <f>IFERROR(__xludf.DUMMYFUNCTION("iferror(if(I370="""","""",unique(query('tbl driver 2'!$K$2:$L1508,""SELECT L WHERE K = '""&amp;I370&amp;""'""))),"""")"),"")</f>
        <v/>
      </c>
      <c r="K370" s="31"/>
      <c r="L370" s="39"/>
      <c r="M370" s="39"/>
      <c r="N370" s="28" t="str">
        <f>IFERROR(__xludf.DUMMYFUNCTION("IF(OR(C370="""",M370=""""),"""",IFERROR(IF(M370="""","""",query('tbl user'!$A$2:$D1508,""SELECT A WHERE D = '""&amp;M370&amp;""'"")),""USER TIDAK DIKETAHUI""))"),"")</f>
        <v/>
      </c>
    </row>
    <row r="371">
      <c r="A371" s="23" t="str">
        <f t="shared" si="3"/>
        <v/>
      </c>
      <c r="B371" s="24" t="str">
        <f t="shared" si="4"/>
        <v/>
      </c>
      <c r="C371" s="28"/>
      <c r="D371" s="28"/>
      <c r="E371" s="34"/>
      <c r="F371" s="34"/>
      <c r="G371" s="34"/>
      <c r="H371" s="34"/>
      <c r="I371" s="34"/>
      <c r="J371" s="28" t="str">
        <f>IFERROR(__xludf.DUMMYFUNCTION("iferror(if(I371="""","""",unique(query('tbl driver 2'!$K$2:$L1508,""SELECT L WHERE K = '""&amp;I371&amp;""'""))),"""")"),"")</f>
        <v/>
      </c>
      <c r="K371" s="31"/>
      <c r="L371" s="39"/>
      <c r="M371" s="39"/>
      <c r="N371" s="28" t="str">
        <f>IFERROR(__xludf.DUMMYFUNCTION("IF(OR(C371="""",M371=""""),"""",IFERROR(IF(M371="""","""",query('tbl user'!$A$2:$D1508,""SELECT A WHERE D = '""&amp;M371&amp;""'"")),""USER TIDAK DIKETAHUI""))"),"")</f>
        <v/>
      </c>
    </row>
    <row r="372">
      <c r="A372" s="23" t="str">
        <f t="shared" si="3"/>
        <v/>
      </c>
      <c r="B372" s="24" t="str">
        <f t="shared" si="4"/>
        <v/>
      </c>
      <c r="C372" s="28"/>
      <c r="D372" s="28"/>
      <c r="E372" s="34"/>
      <c r="F372" s="34"/>
      <c r="G372" s="34"/>
      <c r="H372" s="34"/>
      <c r="I372" s="34"/>
      <c r="J372" s="28" t="str">
        <f>IFERROR(__xludf.DUMMYFUNCTION("iferror(if(I372="""","""",unique(query('tbl driver 2'!$K$2:$L1508,""SELECT L WHERE K = '""&amp;I372&amp;""'""))),"""")"),"")</f>
        <v/>
      </c>
      <c r="K372" s="31"/>
      <c r="L372" s="39"/>
      <c r="M372" s="39"/>
      <c r="N372" s="28" t="str">
        <f>IFERROR(__xludf.DUMMYFUNCTION("IF(OR(C372="""",M372=""""),"""",IFERROR(IF(M372="""","""",query('tbl user'!$A$2:$D1508,""SELECT A WHERE D = '""&amp;M372&amp;""'"")),""USER TIDAK DIKETAHUI""))"),"")</f>
        <v/>
      </c>
    </row>
    <row r="373">
      <c r="A373" s="23" t="str">
        <f t="shared" si="3"/>
        <v/>
      </c>
      <c r="B373" s="24" t="str">
        <f t="shared" si="4"/>
        <v/>
      </c>
      <c r="C373" s="28"/>
      <c r="D373" s="28"/>
      <c r="E373" s="34"/>
      <c r="F373" s="34"/>
      <c r="G373" s="34"/>
      <c r="H373" s="34"/>
      <c r="I373" s="34"/>
      <c r="J373" s="28" t="str">
        <f>IFERROR(__xludf.DUMMYFUNCTION("iferror(if(I373="""","""",unique(query('tbl driver 2'!$K$2:$L1508,""SELECT L WHERE K = '""&amp;I373&amp;""'""))),"""")"),"")</f>
        <v/>
      </c>
      <c r="K373" s="31"/>
      <c r="L373" s="39"/>
      <c r="M373" s="39"/>
      <c r="N373" s="28" t="str">
        <f>IFERROR(__xludf.DUMMYFUNCTION("IF(OR(C373="""",M373=""""),"""",IFERROR(IF(M373="""","""",query('tbl user'!$A$2:$D1508,""SELECT A WHERE D = '""&amp;M373&amp;""'"")),""USER TIDAK DIKETAHUI""))"),"")</f>
        <v/>
      </c>
    </row>
    <row r="374">
      <c r="A374" s="23" t="str">
        <f t="shared" si="3"/>
        <v/>
      </c>
      <c r="B374" s="24" t="str">
        <f t="shared" si="4"/>
        <v/>
      </c>
      <c r="C374" s="28"/>
      <c r="D374" s="28"/>
      <c r="E374" s="34"/>
      <c r="F374" s="34"/>
      <c r="G374" s="34"/>
      <c r="H374" s="34"/>
      <c r="I374" s="34"/>
      <c r="J374" s="28" t="str">
        <f>IFERROR(__xludf.DUMMYFUNCTION("iferror(if(I374="""","""",unique(query('tbl driver 2'!$K$2:$L1508,""SELECT L WHERE K = '""&amp;I374&amp;""'""))),"""")"),"")</f>
        <v/>
      </c>
      <c r="K374" s="31"/>
      <c r="L374" s="39"/>
      <c r="M374" s="39"/>
      <c r="N374" s="28" t="str">
        <f>IFERROR(__xludf.DUMMYFUNCTION("IF(OR(C374="""",M374=""""),"""",IFERROR(IF(M374="""","""",query('tbl user'!$A$2:$D1508,""SELECT A WHERE D = '""&amp;M374&amp;""'"")),""USER TIDAK DIKETAHUI""))"),"")</f>
        <v/>
      </c>
    </row>
    <row r="375">
      <c r="A375" s="23" t="str">
        <f t="shared" si="3"/>
        <v/>
      </c>
      <c r="B375" s="24" t="str">
        <f t="shared" si="4"/>
        <v/>
      </c>
      <c r="C375" s="28"/>
      <c r="D375" s="28"/>
      <c r="E375" s="34"/>
      <c r="F375" s="34"/>
      <c r="G375" s="34"/>
      <c r="H375" s="34"/>
      <c r="I375" s="34"/>
      <c r="J375" s="28" t="str">
        <f>IFERROR(__xludf.DUMMYFUNCTION("iferror(if(I375="""","""",unique(query('tbl driver 2'!$K$2:$L1508,""SELECT L WHERE K = '""&amp;I375&amp;""'""))),"""")"),"")</f>
        <v/>
      </c>
      <c r="K375" s="31"/>
      <c r="L375" s="39"/>
      <c r="M375" s="39"/>
      <c r="N375" s="28" t="str">
        <f>IFERROR(__xludf.DUMMYFUNCTION("IF(OR(C375="""",M375=""""),"""",IFERROR(IF(M375="""","""",query('tbl user'!$A$2:$D1508,""SELECT A WHERE D = '""&amp;M375&amp;""'"")),""USER TIDAK DIKETAHUI""))"),"")</f>
        <v/>
      </c>
    </row>
    <row r="376">
      <c r="A376" s="23" t="str">
        <f t="shared" si="3"/>
        <v/>
      </c>
      <c r="B376" s="24" t="str">
        <f t="shared" si="4"/>
        <v/>
      </c>
      <c r="C376" s="28"/>
      <c r="D376" s="28"/>
      <c r="E376" s="34"/>
      <c r="F376" s="34"/>
      <c r="G376" s="34"/>
      <c r="H376" s="34"/>
      <c r="I376" s="34"/>
      <c r="J376" s="28" t="str">
        <f>IFERROR(__xludf.DUMMYFUNCTION("iferror(if(I376="""","""",unique(query('tbl driver 2'!$K$2:$L1508,""SELECT L WHERE K = '""&amp;I376&amp;""'""))),"""")"),"")</f>
        <v/>
      </c>
      <c r="K376" s="31"/>
      <c r="L376" s="39"/>
      <c r="M376" s="39"/>
      <c r="N376" s="28" t="str">
        <f>IFERROR(__xludf.DUMMYFUNCTION("IF(OR(C376="""",M376=""""),"""",IFERROR(IF(M376="""","""",query('tbl user'!$A$2:$D1508,""SELECT A WHERE D = '""&amp;M376&amp;""'"")),""USER TIDAK DIKETAHUI""))"),"")</f>
        <v/>
      </c>
    </row>
    <row r="377">
      <c r="A377" s="23" t="str">
        <f t="shared" si="3"/>
        <v/>
      </c>
      <c r="B377" s="24" t="str">
        <f t="shared" si="4"/>
        <v/>
      </c>
      <c r="C377" s="28"/>
      <c r="D377" s="28"/>
      <c r="E377" s="34"/>
      <c r="F377" s="34"/>
      <c r="G377" s="34"/>
      <c r="H377" s="34"/>
      <c r="I377" s="34"/>
      <c r="J377" s="28" t="str">
        <f>IFERROR(__xludf.DUMMYFUNCTION("iferror(if(I377="""","""",unique(query('tbl driver 2'!$K$2:$L1508,""SELECT L WHERE K = '""&amp;I377&amp;""'""))),"""")"),"")</f>
        <v/>
      </c>
      <c r="K377" s="31"/>
      <c r="L377" s="39"/>
      <c r="M377" s="39"/>
      <c r="N377" s="28" t="str">
        <f>IFERROR(__xludf.DUMMYFUNCTION("IF(OR(C377="""",M377=""""),"""",IFERROR(IF(M377="""","""",query('tbl user'!$A$2:$D1508,""SELECT A WHERE D = '""&amp;M377&amp;""'"")),""USER TIDAK DIKETAHUI""))"),"")</f>
        <v/>
      </c>
    </row>
    <row r="378">
      <c r="A378" s="23" t="str">
        <f t="shared" si="3"/>
        <v/>
      </c>
      <c r="B378" s="24" t="str">
        <f t="shared" si="4"/>
        <v/>
      </c>
      <c r="C378" s="28"/>
      <c r="D378" s="28"/>
      <c r="E378" s="34"/>
      <c r="F378" s="34"/>
      <c r="G378" s="34"/>
      <c r="H378" s="34"/>
      <c r="I378" s="34"/>
      <c r="J378" s="28" t="str">
        <f>IFERROR(__xludf.DUMMYFUNCTION("iferror(if(I378="""","""",unique(query('tbl driver 2'!$K$2:$L1508,""SELECT L WHERE K = '""&amp;I378&amp;""'""))),"""")"),"")</f>
        <v/>
      </c>
      <c r="K378" s="31"/>
      <c r="L378" s="39"/>
      <c r="M378" s="39"/>
      <c r="N378" s="28" t="str">
        <f>IFERROR(__xludf.DUMMYFUNCTION("IF(OR(C378="""",M378=""""),"""",IFERROR(IF(M378="""","""",query('tbl user'!$A$2:$D1508,""SELECT A WHERE D = '""&amp;M378&amp;""'"")),""USER TIDAK DIKETAHUI""))"),"")</f>
        <v/>
      </c>
    </row>
    <row r="379">
      <c r="A379" s="23" t="str">
        <f t="shared" si="3"/>
        <v/>
      </c>
      <c r="B379" s="24" t="str">
        <f t="shared" si="4"/>
        <v/>
      </c>
      <c r="C379" s="28"/>
      <c r="D379" s="28"/>
      <c r="E379" s="34"/>
      <c r="F379" s="34"/>
      <c r="G379" s="34"/>
      <c r="H379" s="34"/>
      <c r="I379" s="34"/>
      <c r="J379" s="28" t="str">
        <f>IFERROR(__xludf.DUMMYFUNCTION("iferror(if(I379="""","""",unique(query('tbl driver 2'!$K$2:$L1508,""SELECT L WHERE K = '""&amp;I379&amp;""'""))),"""")"),"")</f>
        <v/>
      </c>
      <c r="K379" s="31"/>
      <c r="L379" s="39"/>
      <c r="M379" s="39"/>
      <c r="N379" s="28" t="str">
        <f>IFERROR(__xludf.DUMMYFUNCTION("IF(OR(C379="""",M379=""""),"""",IFERROR(IF(M379="""","""",query('tbl user'!$A$2:$D1508,""SELECT A WHERE D = '""&amp;M379&amp;""'"")),""USER TIDAK DIKETAHUI""))"),"")</f>
        <v/>
      </c>
    </row>
    <row r="380">
      <c r="A380" s="23" t="str">
        <f t="shared" si="3"/>
        <v/>
      </c>
      <c r="B380" s="24" t="str">
        <f t="shared" si="4"/>
        <v/>
      </c>
      <c r="C380" s="28"/>
      <c r="D380" s="28"/>
      <c r="E380" s="34"/>
      <c r="F380" s="34"/>
      <c r="G380" s="34"/>
      <c r="H380" s="34"/>
      <c r="I380" s="34"/>
      <c r="J380" s="28" t="str">
        <f>IFERROR(__xludf.DUMMYFUNCTION("iferror(if(I380="""","""",unique(query('tbl driver 2'!$K$2:$L1508,""SELECT L WHERE K = '""&amp;I380&amp;""'""))),"""")"),"")</f>
        <v/>
      </c>
      <c r="K380" s="31"/>
      <c r="L380" s="39"/>
      <c r="M380" s="39"/>
      <c r="N380" s="28" t="str">
        <f>IFERROR(__xludf.DUMMYFUNCTION("IF(OR(C380="""",M380=""""),"""",IFERROR(IF(M380="""","""",query('tbl user'!$A$2:$D1508,""SELECT A WHERE D = '""&amp;M380&amp;""'"")),""USER TIDAK DIKETAHUI""))"),"")</f>
        <v/>
      </c>
    </row>
    <row r="381">
      <c r="A381" s="23" t="str">
        <f t="shared" si="3"/>
        <v/>
      </c>
      <c r="B381" s="24" t="str">
        <f t="shared" si="4"/>
        <v/>
      </c>
      <c r="C381" s="28"/>
      <c r="D381" s="28"/>
      <c r="E381" s="34"/>
      <c r="F381" s="34"/>
      <c r="G381" s="34"/>
      <c r="H381" s="34"/>
      <c r="I381" s="34"/>
      <c r="J381" s="28" t="str">
        <f>IFERROR(__xludf.DUMMYFUNCTION("iferror(if(I381="""","""",unique(query('tbl driver 2'!$K$2:$L1508,""SELECT L WHERE K = '""&amp;I381&amp;""'""))),"""")"),"")</f>
        <v/>
      </c>
      <c r="K381" s="31"/>
      <c r="L381" s="39"/>
      <c r="M381" s="39"/>
      <c r="N381" s="28" t="str">
        <f>IFERROR(__xludf.DUMMYFUNCTION("IF(OR(C381="""",M381=""""),"""",IFERROR(IF(M381="""","""",query('tbl user'!$A$2:$D1508,""SELECT A WHERE D = '""&amp;M381&amp;""'"")),""USER TIDAK DIKETAHUI""))"),"")</f>
        <v/>
      </c>
    </row>
    <row r="382">
      <c r="A382" s="23" t="str">
        <f t="shared" si="3"/>
        <v/>
      </c>
      <c r="B382" s="24" t="str">
        <f t="shared" si="4"/>
        <v/>
      </c>
      <c r="C382" s="28"/>
      <c r="D382" s="28"/>
      <c r="E382" s="34"/>
      <c r="F382" s="34"/>
      <c r="G382" s="34"/>
      <c r="H382" s="34"/>
      <c r="I382" s="34"/>
      <c r="J382" s="28" t="str">
        <f>IFERROR(__xludf.DUMMYFUNCTION("iferror(if(I382="""","""",unique(query('tbl driver 2'!$K$2:$L1508,""SELECT L WHERE K = '""&amp;I382&amp;""'""))),"""")"),"")</f>
        <v/>
      </c>
      <c r="K382" s="31"/>
      <c r="L382" s="39"/>
      <c r="M382" s="39"/>
      <c r="N382" s="28" t="str">
        <f>IFERROR(__xludf.DUMMYFUNCTION("IF(OR(C382="""",M382=""""),"""",IFERROR(IF(M382="""","""",query('tbl user'!$A$2:$D1508,""SELECT A WHERE D = '""&amp;M382&amp;""'"")),""USER TIDAK DIKETAHUI""))"),"")</f>
        <v/>
      </c>
    </row>
    <row r="383">
      <c r="A383" s="23" t="str">
        <f t="shared" si="3"/>
        <v/>
      </c>
      <c r="B383" s="24" t="str">
        <f t="shared" si="4"/>
        <v/>
      </c>
      <c r="C383" s="28"/>
      <c r="D383" s="28"/>
      <c r="E383" s="34"/>
      <c r="F383" s="34"/>
      <c r="G383" s="34"/>
      <c r="H383" s="34"/>
      <c r="I383" s="34"/>
      <c r="J383" s="28" t="str">
        <f>IFERROR(__xludf.DUMMYFUNCTION("iferror(if(I383="""","""",unique(query('tbl driver 2'!$K$2:$L1508,""SELECT L WHERE K = '""&amp;I383&amp;""'""))),"""")"),"")</f>
        <v/>
      </c>
      <c r="K383" s="31"/>
      <c r="L383" s="39"/>
      <c r="M383" s="39"/>
      <c r="N383" s="28" t="str">
        <f>IFERROR(__xludf.DUMMYFUNCTION("IF(OR(C383="""",M383=""""),"""",IFERROR(IF(M383="""","""",query('tbl user'!$A$2:$D1508,""SELECT A WHERE D = '""&amp;M383&amp;""'"")),""USER TIDAK DIKETAHUI""))"),"")</f>
        <v/>
      </c>
    </row>
    <row r="384">
      <c r="A384" s="23" t="str">
        <f t="shared" si="3"/>
        <v/>
      </c>
      <c r="B384" s="24" t="str">
        <f t="shared" si="4"/>
        <v/>
      </c>
      <c r="C384" s="28"/>
      <c r="D384" s="28"/>
      <c r="E384" s="34"/>
      <c r="F384" s="34"/>
      <c r="G384" s="34"/>
      <c r="H384" s="34"/>
      <c r="I384" s="34"/>
      <c r="J384" s="28" t="str">
        <f>IFERROR(__xludf.DUMMYFUNCTION("iferror(if(I384="""","""",unique(query('tbl driver 2'!$K$2:$L1508,""SELECT L WHERE K = '""&amp;I384&amp;""'""))),"""")"),"")</f>
        <v/>
      </c>
      <c r="K384" s="31"/>
      <c r="L384" s="39"/>
      <c r="M384" s="39"/>
      <c r="N384" s="28" t="str">
        <f>IFERROR(__xludf.DUMMYFUNCTION("IF(OR(C384="""",M384=""""),"""",IFERROR(IF(M384="""","""",query('tbl user'!$A$2:$D1508,""SELECT A WHERE D = '""&amp;M384&amp;""'"")),""USER TIDAK DIKETAHUI""))"),"")</f>
        <v/>
      </c>
    </row>
    <row r="385">
      <c r="A385" s="23" t="str">
        <f t="shared" si="3"/>
        <v/>
      </c>
      <c r="B385" s="24" t="str">
        <f t="shared" si="4"/>
        <v/>
      </c>
      <c r="C385" s="28"/>
      <c r="D385" s="28"/>
      <c r="E385" s="34"/>
      <c r="F385" s="34"/>
      <c r="G385" s="34"/>
      <c r="H385" s="34"/>
      <c r="I385" s="34"/>
      <c r="J385" s="28" t="str">
        <f>IFERROR(__xludf.DUMMYFUNCTION("iferror(if(I385="""","""",unique(query('tbl driver 2'!$K$2:$L1508,""SELECT L WHERE K = '""&amp;I385&amp;""'""))),"""")"),"")</f>
        <v/>
      </c>
      <c r="K385" s="31"/>
      <c r="L385" s="39"/>
      <c r="M385" s="39"/>
      <c r="N385" s="28" t="str">
        <f>IFERROR(__xludf.DUMMYFUNCTION("IF(OR(C385="""",M385=""""),"""",IFERROR(IF(M385="""","""",query('tbl user'!$A$2:$D1508,""SELECT A WHERE D = '""&amp;M385&amp;""'"")),""USER TIDAK DIKETAHUI""))"),"")</f>
        <v/>
      </c>
    </row>
    <row r="386">
      <c r="A386" s="23" t="str">
        <f t="shared" si="3"/>
        <v/>
      </c>
      <c r="B386" s="24" t="str">
        <f t="shared" si="4"/>
        <v/>
      </c>
      <c r="C386" s="28"/>
      <c r="D386" s="28"/>
      <c r="E386" s="34"/>
      <c r="F386" s="34"/>
      <c r="G386" s="34"/>
      <c r="H386" s="34"/>
      <c r="I386" s="34"/>
      <c r="J386" s="28" t="str">
        <f>IFERROR(__xludf.DUMMYFUNCTION("iferror(if(I386="""","""",unique(query('tbl driver 2'!$K$2:$L1508,""SELECT L WHERE K = '""&amp;I386&amp;""'""))),"""")"),"")</f>
        <v/>
      </c>
      <c r="K386" s="31"/>
      <c r="L386" s="39"/>
      <c r="M386" s="39"/>
      <c r="N386" s="28" t="str">
        <f>IFERROR(__xludf.DUMMYFUNCTION("IF(OR(C386="""",M386=""""),"""",IFERROR(IF(M386="""","""",query('tbl user'!$A$2:$D1508,""SELECT A WHERE D = '""&amp;M386&amp;""'"")),""USER TIDAK DIKETAHUI""))"),"")</f>
        <v/>
      </c>
    </row>
    <row r="387">
      <c r="A387" s="23" t="str">
        <f t="shared" si="3"/>
        <v/>
      </c>
      <c r="B387" s="24" t="str">
        <f t="shared" si="4"/>
        <v/>
      </c>
      <c r="C387" s="28"/>
      <c r="D387" s="28"/>
      <c r="E387" s="34"/>
      <c r="F387" s="34"/>
      <c r="G387" s="34"/>
      <c r="H387" s="34"/>
      <c r="I387" s="34"/>
      <c r="J387" s="28" t="str">
        <f>IFERROR(__xludf.DUMMYFUNCTION("iferror(if(I387="""","""",unique(query('tbl driver 2'!$K$2:$L1508,""SELECT L WHERE K = '""&amp;I387&amp;""'""))),"""")"),"")</f>
        <v/>
      </c>
      <c r="K387" s="31"/>
      <c r="L387" s="39"/>
      <c r="M387" s="39"/>
      <c r="N387" s="28" t="str">
        <f>IFERROR(__xludf.DUMMYFUNCTION("IF(OR(C387="""",M387=""""),"""",IFERROR(IF(M387="""","""",query('tbl user'!$A$2:$D1508,""SELECT A WHERE D = '""&amp;M387&amp;""'"")),""USER TIDAK DIKETAHUI""))"),"")</f>
        <v/>
      </c>
    </row>
    <row r="388">
      <c r="A388" s="23" t="str">
        <f t="shared" si="3"/>
        <v/>
      </c>
      <c r="B388" s="24" t="str">
        <f t="shared" si="4"/>
        <v/>
      </c>
      <c r="C388" s="28"/>
      <c r="D388" s="28"/>
      <c r="E388" s="34"/>
      <c r="F388" s="34"/>
      <c r="G388" s="34"/>
      <c r="H388" s="34"/>
      <c r="I388" s="34"/>
      <c r="J388" s="28" t="str">
        <f>IFERROR(__xludf.DUMMYFUNCTION("iferror(if(I388="""","""",unique(query('tbl driver 2'!$K$2:$L1508,""SELECT L WHERE K = '""&amp;I388&amp;""'""))),"""")"),"")</f>
        <v/>
      </c>
      <c r="K388" s="31"/>
      <c r="L388" s="39"/>
      <c r="M388" s="39"/>
      <c r="N388" s="28" t="str">
        <f>IFERROR(__xludf.DUMMYFUNCTION("IF(OR(C388="""",M388=""""),"""",IFERROR(IF(M388="""","""",query('tbl user'!$A$2:$D1508,""SELECT A WHERE D = '""&amp;M388&amp;""'"")),""USER TIDAK DIKETAHUI""))"),"")</f>
        <v/>
      </c>
    </row>
    <row r="389">
      <c r="A389" s="23" t="str">
        <f t="shared" si="3"/>
        <v/>
      </c>
      <c r="B389" s="24" t="str">
        <f t="shared" si="4"/>
        <v/>
      </c>
      <c r="C389" s="28"/>
      <c r="D389" s="28"/>
      <c r="E389" s="34"/>
      <c r="F389" s="34"/>
      <c r="G389" s="34"/>
      <c r="H389" s="34"/>
      <c r="I389" s="34"/>
      <c r="J389" s="28" t="str">
        <f>IFERROR(__xludf.DUMMYFUNCTION("iferror(if(I389="""","""",unique(query('tbl driver 2'!$K$2:$L1508,""SELECT L WHERE K = '""&amp;I389&amp;""'""))),"""")"),"")</f>
        <v/>
      </c>
      <c r="K389" s="31"/>
      <c r="L389" s="39"/>
      <c r="M389" s="39"/>
      <c r="N389" s="28" t="str">
        <f>IFERROR(__xludf.DUMMYFUNCTION("IF(OR(C389="""",M389=""""),"""",IFERROR(IF(M389="""","""",query('tbl user'!$A$2:$D1508,""SELECT A WHERE D = '""&amp;M389&amp;""'"")),""USER TIDAK DIKETAHUI""))"),"")</f>
        <v/>
      </c>
    </row>
    <row r="390">
      <c r="A390" s="23" t="str">
        <f t="shared" si="3"/>
        <v/>
      </c>
      <c r="B390" s="24" t="str">
        <f t="shared" si="4"/>
        <v/>
      </c>
      <c r="C390" s="28"/>
      <c r="D390" s="28"/>
      <c r="E390" s="34"/>
      <c r="F390" s="34"/>
      <c r="G390" s="34"/>
      <c r="H390" s="34"/>
      <c r="I390" s="34"/>
      <c r="J390" s="28" t="str">
        <f>IFERROR(__xludf.DUMMYFUNCTION("iferror(if(I390="""","""",unique(query('tbl driver 2'!$K$2:$L1508,""SELECT L WHERE K = '""&amp;I390&amp;""'""))),"""")"),"")</f>
        <v/>
      </c>
      <c r="K390" s="31"/>
      <c r="L390" s="39"/>
      <c r="M390" s="39"/>
      <c r="N390" s="28" t="str">
        <f>IFERROR(__xludf.DUMMYFUNCTION("IF(OR(C390="""",M390=""""),"""",IFERROR(IF(M390="""","""",query('tbl user'!$A$2:$D1508,""SELECT A WHERE D = '""&amp;M390&amp;""'"")),""USER TIDAK DIKETAHUI""))"),"")</f>
        <v/>
      </c>
    </row>
    <row r="391">
      <c r="A391" s="23" t="str">
        <f t="shared" si="3"/>
        <v/>
      </c>
      <c r="B391" s="24" t="str">
        <f t="shared" si="4"/>
        <v/>
      </c>
      <c r="C391" s="28"/>
      <c r="D391" s="28"/>
      <c r="E391" s="34"/>
      <c r="F391" s="34"/>
      <c r="G391" s="34"/>
      <c r="H391" s="34"/>
      <c r="I391" s="34"/>
      <c r="J391" s="28" t="str">
        <f>IFERROR(__xludf.DUMMYFUNCTION("iferror(if(I391="""","""",unique(query('tbl driver 2'!$K$2:$L1508,""SELECT L WHERE K = '""&amp;I391&amp;""'""))),"""")"),"")</f>
        <v/>
      </c>
      <c r="K391" s="31"/>
      <c r="L391" s="39"/>
      <c r="M391" s="39"/>
      <c r="N391" s="28" t="str">
        <f>IFERROR(__xludf.DUMMYFUNCTION("IF(OR(C391="""",M391=""""),"""",IFERROR(IF(M391="""","""",query('tbl user'!$A$2:$D1508,""SELECT A WHERE D = '""&amp;M391&amp;""'"")),""USER TIDAK DIKETAHUI""))"),"")</f>
        <v/>
      </c>
    </row>
    <row r="392">
      <c r="A392" s="23" t="str">
        <f t="shared" si="3"/>
        <v/>
      </c>
      <c r="B392" s="24" t="str">
        <f t="shared" si="4"/>
        <v/>
      </c>
      <c r="C392" s="28"/>
      <c r="D392" s="28"/>
      <c r="E392" s="34"/>
      <c r="F392" s="34"/>
      <c r="G392" s="34"/>
      <c r="H392" s="34"/>
      <c r="I392" s="34"/>
      <c r="J392" s="28" t="str">
        <f>IFERROR(__xludf.DUMMYFUNCTION("iferror(if(I392="""","""",unique(query('tbl driver 2'!$K$2:$L1508,""SELECT L WHERE K = '""&amp;I392&amp;""'""))),"""")"),"")</f>
        <v/>
      </c>
      <c r="K392" s="31"/>
      <c r="L392" s="39"/>
      <c r="M392" s="39"/>
      <c r="N392" s="28" t="str">
        <f>IFERROR(__xludf.DUMMYFUNCTION("IF(OR(C392="""",M392=""""),"""",IFERROR(IF(M392="""","""",query('tbl user'!$A$2:$D1508,""SELECT A WHERE D = '""&amp;M392&amp;""'"")),""USER TIDAK DIKETAHUI""))"),"")</f>
        <v/>
      </c>
    </row>
    <row r="393">
      <c r="A393" s="23" t="str">
        <f t="shared" si="3"/>
        <v/>
      </c>
      <c r="B393" s="24" t="str">
        <f t="shared" si="4"/>
        <v/>
      </c>
      <c r="C393" s="28"/>
      <c r="D393" s="28"/>
      <c r="E393" s="34"/>
      <c r="F393" s="34"/>
      <c r="G393" s="34"/>
      <c r="H393" s="34"/>
      <c r="I393" s="34"/>
      <c r="J393" s="28" t="str">
        <f>IFERROR(__xludf.DUMMYFUNCTION("iferror(if(I393="""","""",unique(query('tbl driver 2'!$K$2:$L1508,""SELECT L WHERE K = '""&amp;I393&amp;""'""))),"""")"),"")</f>
        <v/>
      </c>
      <c r="K393" s="31"/>
      <c r="L393" s="39"/>
      <c r="M393" s="39"/>
      <c r="N393" s="28" t="str">
        <f>IFERROR(__xludf.DUMMYFUNCTION("IF(OR(C393="""",M393=""""),"""",IFERROR(IF(M393="""","""",query('tbl user'!$A$2:$D1508,""SELECT A WHERE D = '""&amp;M393&amp;""'"")),""USER TIDAK DIKETAHUI""))"),"")</f>
        <v/>
      </c>
    </row>
    <row r="394">
      <c r="A394" s="23" t="str">
        <f t="shared" si="3"/>
        <v/>
      </c>
      <c r="B394" s="24" t="str">
        <f t="shared" si="4"/>
        <v/>
      </c>
      <c r="C394" s="28"/>
      <c r="D394" s="28"/>
      <c r="E394" s="34"/>
      <c r="F394" s="34"/>
      <c r="G394" s="34"/>
      <c r="H394" s="34"/>
      <c r="I394" s="34"/>
      <c r="J394" s="28" t="str">
        <f>IFERROR(__xludf.DUMMYFUNCTION("iferror(if(I394="""","""",unique(query('tbl driver 2'!$K$2:$L1508,""SELECT L WHERE K = '""&amp;I394&amp;""'""))),"""")"),"")</f>
        <v/>
      </c>
      <c r="K394" s="31"/>
      <c r="L394" s="39"/>
      <c r="M394" s="39"/>
      <c r="N394" s="28" t="str">
        <f>IFERROR(__xludf.DUMMYFUNCTION("IF(OR(C394="""",M394=""""),"""",IFERROR(IF(M394="""","""",query('tbl user'!$A$2:$D1508,""SELECT A WHERE D = '""&amp;M394&amp;""'"")),""USER TIDAK DIKETAHUI""))"),"")</f>
        <v/>
      </c>
    </row>
    <row r="395">
      <c r="A395" s="23" t="str">
        <f t="shared" si="3"/>
        <v/>
      </c>
      <c r="B395" s="24" t="str">
        <f t="shared" si="4"/>
        <v/>
      </c>
      <c r="C395" s="28"/>
      <c r="D395" s="28"/>
      <c r="E395" s="34"/>
      <c r="F395" s="34"/>
      <c r="G395" s="34"/>
      <c r="H395" s="34"/>
      <c r="I395" s="34"/>
      <c r="J395" s="28" t="str">
        <f>IFERROR(__xludf.DUMMYFUNCTION("iferror(if(I395="""","""",unique(query('tbl driver 2'!$K$2:$L1508,""SELECT L WHERE K = '""&amp;I395&amp;""'""))),"""")"),"")</f>
        <v/>
      </c>
      <c r="K395" s="31"/>
      <c r="L395" s="39"/>
      <c r="M395" s="39"/>
      <c r="N395" s="28" t="str">
        <f>IFERROR(__xludf.DUMMYFUNCTION("IF(OR(C395="""",M395=""""),"""",IFERROR(IF(M395="""","""",query('tbl user'!$A$2:$D1508,""SELECT A WHERE D = '""&amp;M395&amp;""'"")),""USER TIDAK DIKETAHUI""))"),"")</f>
        <v/>
      </c>
    </row>
    <row r="396">
      <c r="A396" s="23" t="str">
        <f t="shared" si="3"/>
        <v/>
      </c>
      <c r="B396" s="24" t="str">
        <f t="shared" si="4"/>
        <v/>
      </c>
      <c r="C396" s="28"/>
      <c r="D396" s="28"/>
      <c r="E396" s="34"/>
      <c r="F396" s="34"/>
      <c r="G396" s="34"/>
      <c r="H396" s="34"/>
      <c r="I396" s="34"/>
      <c r="J396" s="28" t="str">
        <f>IFERROR(__xludf.DUMMYFUNCTION("iferror(if(I396="""","""",unique(query('tbl driver 2'!$K$2:$L1508,""SELECT L WHERE K = '""&amp;I396&amp;""'""))),"""")"),"")</f>
        <v/>
      </c>
      <c r="K396" s="31"/>
      <c r="L396" s="39"/>
      <c r="M396" s="39"/>
      <c r="N396" s="28" t="str">
        <f>IFERROR(__xludf.DUMMYFUNCTION("IF(OR(C396="""",M396=""""),"""",IFERROR(IF(M396="""","""",query('tbl user'!$A$2:$D1508,""SELECT A WHERE D = '""&amp;M396&amp;""'"")),""USER TIDAK DIKETAHUI""))"),"")</f>
        <v/>
      </c>
    </row>
    <row r="397">
      <c r="A397" s="23" t="str">
        <f t="shared" si="3"/>
        <v/>
      </c>
      <c r="B397" s="24" t="str">
        <f t="shared" si="4"/>
        <v/>
      </c>
      <c r="C397" s="28"/>
      <c r="D397" s="28"/>
      <c r="E397" s="34"/>
      <c r="F397" s="34"/>
      <c r="G397" s="34"/>
      <c r="H397" s="34"/>
      <c r="I397" s="34"/>
      <c r="J397" s="28" t="str">
        <f>IFERROR(__xludf.DUMMYFUNCTION("iferror(if(I397="""","""",unique(query('tbl driver 2'!$K$2:$L1508,""SELECT L WHERE K = '""&amp;I397&amp;""'""))),"""")"),"")</f>
        <v/>
      </c>
      <c r="K397" s="31"/>
      <c r="L397" s="39"/>
      <c r="M397" s="39"/>
      <c r="N397" s="28" t="str">
        <f>IFERROR(__xludf.DUMMYFUNCTION("IF(OR(C397="""",M397=""""),"""",IFERROR(IF(M397="""","""",query('tbl user'!$A$2:$D1508,""SELECT A WHERE D = '""&amp;M397&amp;""'"")),""USER TIDAK DIKETAHUI""))"),"")</f>
        <v/>
      </c>
    </row>
    <row r="398">
      <c r="A398" s="23" t="str">
        <f t="shared" si="3"/>
        <v/>
      </c>
      <c r="B398" s="24" t="str">
        <f t="shared" si="4"/>
        <v/>
      </c>
      <c r="C398" s="28"/>
      <c r="D398" s="28"/>
      <c r="E398" s="34"/>
      <c r="F398" s="34"/>
      <c r="G398" s="34"/>
      <c r="H398" s="34"/>
      <c r="I398" s="34"/>
      <c r="J398" s="28" t="str">
        <f>IFERROR(__xludf.DUMMYFUNCTION("iferror(if(I398="""","""",unique(query('tbl driver 2'!$K$2:$L1508,""SELECT L WHERE K = '""&amp;I398&amp;""'""))),"""")"),"")</f>
        <v/>
      </c>
      <c r="K398" s="31"/>
      <c r="L398" s="39"/>
      <c r="M398" s="39"/>
      <c r="N398" s="28" t="str">
        <f>IFERROR(__xludf.DUMMYFUNCTION("IF(OR(C398="""",M398=""""),"""",IFERROR(IF(M398="""","""",query('tbl user'!$A$2:$D1508,""SELECT A WHERE D = '""&amp;M398&amp;""'"")),""USER TIDAK DIKETAHUI""))"),"")</f>
        <v/>
      </c>
    </row>
    <row r="399">
      <c r="A399" s="23" t="str">
        <f t="shared" si="3"/>
        <v/>
      </c>
      <c r="B399" s="24" t="str">
        <f t="shared" si="4"/>
        <v/>
      </c>
      <c r="C399" s="28"/>
      <c r="D399" s="28"/>
      <c r="E399" s="34"/>
      <c r="F399" s="34"/>
      <c r="G399" s="34"/>
      <c r="H399" s="34"/>
      <c r="I399" s="34"/>
      <c r="J399" s="28" t="str">
        <f>IFERROR(__xludf.DUMMYFUNCTION("iferror(if(I399="""","""",unique(query('tbl driver 2'!$K$2:$L1508,""SELECT L WHERE K = '""&amp;I399&amp;""'""))),"""")"),"")</f>
        <v/>
      </c>
      <c r="K399" s="31"/>
      <c r="L399" s="39"/>
      <c r="M399" s="39"/>
      <c r="N399" s="28" t="str">
        <f>IFERROR(__xludf.DUMMYFUNCTION("IF(OR(C399="""",M399=""""),"""",IFERROR(IF(M399="""","""",query('tbl user'!$A$2:$D1508,""SELECT A WHERE D = '""&amp;M399&amp;""'"")),""USER TIDAK DIKETAHUI""))"),"")</f>
        <v/>
      </c>
    </row>
    <row r="400">
      <c r="A400" s="23" t="str">
        <f t="shared" si="3"/>
        <v/>
      </c>
      <c r="B400" s="24" t="str">
        <f t="shared" si="4"/>
        <v/>
      </c>
      <c r="C400" s="28"/>
      <c r="D400" s="28"/>
      <c r="E400" s="34"/>
      <c r="F400" s="34"/>
      <c r="G400" s="34"/>
      <c r="H400" s="34"/>
      <c r="I400" s="34"/>
      <c r="J400" s="28" t="str">
        <f>IFERROR(__xludf.DUMMYFUNCTION("iferror(if(I400="""","""",unique(query('tbl driver 2'!$K$2:$L1508,""SELECT L WHERE K = '""&amp;I400&amp;""'""))),"""")"),"")</f>
        <v/>
      </c>
      <c r="K400" s="31"/>
      <c r="L400" s="39"/>
      <c r="M400" s="39"/>
      <c r="N400" s="28" t="str">
        <f>IFERROR(__xludf.DUMMYFUNCTION("IF(OR(C400="""",M400=""""),"""",IFERROR(IF(M400="""","""",query('tbl user'!$A$2:$D1508,""SELECT A WHERE D = '""&amp;M400&amp;""'"")),""USER TIDAK DIKETAHUI""))"),"")</f>
        <v/>
      </c>
    </row>
    <row r="401">
      <c r="A401" s="23" t="str">
        <f t="shared" si="3"/>
        <v/>
      </c>
      <c r="B401" s="24" t="str">
        <f t="shared" si="4"/>
        <v/>
      </c>
      <c r="C401" s="28"/>
      <c r="D401" s="28"/>
      <c r="E401" s="34"/>
      <c r="F401" s="34"/>
      <c r="G401" s="34"/>
      <c r="H401" s="34"/>
      <c r="I401" s="34"/>
      <c r="J401" s="28" t="str">
        <f>IFERROR(__xludf.DUMMYFUNCTION("iferror(if(I401="""","""",unique(query('tbl driver 2'!$K$2:$L1508,""SELECT L WHERE K = '""&amp;I401&amp;""'""))),"""")"),"")</f>
        <v/>
      </c>
      <c r="K401" s="31"/>
      <c r="L401" s="39"/>
      <c r="M401" s="39"/>
      <c r="N401" s="28" t="str">
        <f>IFERROR(__xludf.DUMMYFUNCTION("IF(OR(C401="""",M401=""""),"""",IFERROR(IF(M401="""","""",query('tbl user'!$A$2:$D1508,""SELECT A WHERE D = '""&amp;M401&amp;""'"")),""USER TIDAK DIKETAHUI""))"),"")</f>
        <v/>
      </c>
    </row>
    <row r="402">
      <c r="A402" s="23" t="str">
        <f t="shared" si="3"/>
        <v/>
      </c>
      <c r="B402" s="24" t="str">
        <f t="shared" si="4"/>
        <v/>
      </c>
      <c r="C402" s="28"/>
      <c r="D402" s="28"/>
      <c r="E402" s="34"/>
      <c r="F402" s="34"/>
      <c r="G402" s="34"/>
      <c r="H402" s="34"/>
      <c r="I402" s="34"/>
      <c r="J402" s="28" t="str">
        <f>IFERROR(__xludf.DUMMYFUNCTION("iferror(if(I402="""","""",unique(query('tbl driver 2'!$K$2:$L1508,""SELECT L WHERE K = '""&amp;I402&amp;""'""))),"""")"),"")</f>
        <v/>
      </c>
      <c r="K402" s="31"/>
      <c r="L402" s="39"/>
      <c r="M402" s="39"/>
      <c r="N402" s="28" t="str">
        <f>IFERROR(__xludf.DUMMYFUNCTION("IF(OR(C402="""",M402=""""),"""",IFERROR(IF(M402="""","""",query('tbl user'!$A$2:$D1508,""SELECT A WHERE D = '""&amp;M402&amp;""'"")),""USER TIDAK DIKETAHUI""))"),"")</f>
        <v/>
      </c>
    </row>
    <row r="403">
      <c r="A403" s="23" t="str">
        <f t="shared" si="3"/>
        <v/>
      </c>
      <c r="B403" s="24" t="str">
        <f t="shared" si="4"/>
        <v/>
      </c>
      <c r="C403" s="28"/>
      <c r="D403" s="28"/>
      <c r="E403" s="34"/>
      <c r="F403" s="34"/>
      <c r="G403" s="34"/>
      <c r="H403" s="34"/>
      <c r="I403" s="34"/>
      <c r="J403" s="28" t="str">
        <f>IFERROR(__xludf.DUMMYFUNCTION("iferror(if(I403="""","""",unique(query('tbl driver 2'!$K$2:$L1508,""SELECT L WHERE K = '""&amp;I403&amp;""'""))),"""")"),"")</f>
        <v/>
      </c>
      <c r="K403" s="31"/>
      <c r="L403" s="39"/>
      <c r="M403" s="39"/>
      <c r="N403" s="28" t="str">
        <f>IFERROR(__xludf.DUMMYFUNCTION("IF(OR(C403="""",M403=""""),"""",IFERROR(IF(M403="""","""",query('tbl user'!$A$2:$D1508,""SELECT A WHERE D = '""&amp;M403&amp;""'"")),""USER TIDAK DIKETAHUI""))"),"")</f>
        <v/>
      </c>
    </row>
    <row r="404">
      <c r="A404" s="23" t="str">
        <f t="shared" si="3"/>
        <v/>
      </c>
      <c r="B404" s="24" t="str">
        <f t="shared" si="4"/>
        <v/>
      </c>
      <c r="C404" s="28"/>
      <c r="D404" s="28"/>
      <c r="E404" s="34"/>
      <c r="F404" s="34"/>
      <c r="G404" s="34"/>
      <c r="H404" s="34"/>
      <c r="I404" s="34"/>
      <c r="J404" s="28" t="str">
        <f>IFERROR(__xludf.DUMMYFUNCTION("iferror(if(I404="""","""",unique(query('tbl driver 2'!$K$2:$L1508,""SELECT L WHERE K = '""&amp;I404&amp;""'""))),"""")"),"")</f>
        <v/>
      </c>
      <c r="K404" s="31"/>
      <c r="L404" s="39"/>
      <c r="M404" s="39"/>
      <c r="N404" s="28" t="str">
        <f>IFERROR(__xludf.DUMMYFUNCTION("IF(OR(C404="""",M404=""""),"""",IFERROR(IF(M404="""","""",query('tbl user'!$A$2:$D1508,""SELECT A WHERE D = '""&amp;M404&amp;""'"")),""USER TIDAK DIKETAHUI""))"),"")</f>
        <v/>
      </c>
    </row>
    <row r="405">
      <c r="A405" s="23" t="str">
        <f t="shared" si="3"/>
        <v/>
      </c>
      <c r="B405" s="24" t="str">
        <f t="shared" si="4"/>
        <v/>
      </c>
      <c r="C405" s="28"/>
      <c r="D405" s="28"/>
      <c r="E405" s="34"/>
      <c r="F405" s="34"/>
      <c r="G405" s="34"/>
      <c r="H405" s="34"/>
      <c r="I405" s="34"/>
      <c r="J405" s="28" t="str">
        <f>IFERROR(__xludf.DUMMYFUNCTION("iferror(if(I405="""","""",unique(query('tbl driver 2'!$K$2:$L1508,""SELECT L WHERE K = '""&amp;I405&amp;""'""))),"""")"),"")</f>
        <v/>
      </c>
      <c r="K405" s="31"/>
      <c r="L405" s="39"/>
      <c r="M405" s="39"/>
      <c r="N405" s="28" t="str">
        <f>IFERROR(__xludf.DUMMYFUNCTION("IF(OR(C405="""",M405=""""),"""",IFERROR(IF(M405="""","""",query('tbl user'!$A$2:$D1508,""SELECT A WHERE D = '""&amp;M405&amp;""'"")),""USER TIDAK DIKETAHUI""))"),"")</f>
        <v/>
      </c>
    </row>
    <row r="406">
      <c r="A406" s="23" t="str">
        <f t="shared" si="3"/>
        <v/>
      </c>
      <c r="B406" s="24" t="str">
        <f t="shared" si="4"/>
        <v/>
      </c>
      <c r="C406" s="28"/>
      <c r="D406" s="28"/>
      <c r="E406" s="34"/>
      <c r="F406" s="34"/>
      <c r="G406" s="34"/>
      <c r="H406" s="34"/>
      <c r="I406" s="34"/>
      <c r="J406" s="28" t="str">
        <f>IFERROR(__xludf.DUMMYFUNCTION("iferror(if(I406="""","""",unique(query('tbl driver 2'!$K$2:$L1508,""SELECT L WHERE K = '""&amp;I406&amp;""'""))),"""")"),"")</f>
        <v/>
      </c>
      <c r="K406" s="31"/>
      <c r="L406" s="39"/>
      <c r="M406" s="39"/>
      <c r="N406" s="28" t="str">
        <f>IFERROR(__xludf.DUMMYFUNCTION("IF(OR(C406="""",M406=""""),"""",IFERROR(IF(M406="""","""",query('tbl user'!$A$2:$D1508,""SELECT A WHERE D = '""&amp;M406&amp;""'"")),""USER TIDAK DIKETAHUI""))"),"")</f>
        <v/>
      </c>
    </row>
    <row r="407">
      <c r="A407" s="23" t="str">
        <f t="shared" si="3"/>
        <v/>
      </c>
      <c r="B407" s="24" t="str">
        <f t="shared" si="4"/>
        <v/>
      </c>
      <c r="C407" s="28"/>
      <c r="D407" s="28"/>
      <c r="E407" s="34"/>
      <c r="F407" s="34"/>
      <c r="G407" s="34"/>
      <c r="H407" s="34"/>
      <c r="I407" s="34"/>
      <c r="J407" s="28" t="str">
        <f>IFERROR(__xludf.DUMMYFUNCTION("iferror(if(I407="""","""",unique(query('tbl driver 2'!$K$2:$L1508,""SELECT L WHERE K = '""&amp;I407&amp;""'""))),"""")"),"")</f>
        <v/>
      </c>
      <c r="K407" s="31"/>
      <c r="L407" s="39"/>
      <c r="M407" s="39"/>
      <c r="N407" s="28" t="str">
        <f>IFERROR(__xludf.DUMMYFUNCTION("IF(OR(C407="""",M407=""""),"""",IFERROR(IF(M407="""","""",query('tbl user'!$A$2:$D1508,""SELECT A WHERE D = '""&amp;M407&amp;""'"")),""USER TIDAK DIKETAHUI""))"),"")</f>
        <v/>
      </c>
    </row>
    <row r="408">
      <c r="A408" s="23" t="str">
        <f t="shared" si="3"/>
        <v/>
      </c>
      <c r="B408" s="24" t="str">
        <f t="shared" si="4"/>
        <v/>
      </c>
      <c r="C408" s="28"/>
      <c r="D408" s="28"/>
      <c r="E408" s="34"/>
      <c r="F408" s="34"/>
      <c r="G408" s="34"/>
      <c r="H408" s="34"/>
      <c r="I408" s="34"/>
      <c r="J408" s="28" t="str">
        <f>IFERROR(__xludf.DUMMYFUNCTION("iferror(if(I408="""","""",unique(query('tbl driver 2'!$K$2:$L1508,""SELECT L WHERE K = '""&amp;I408&amp;""'""))),"""")"),"")</f>
        <v/>
      </c>
      <c r="K408" s="31"/>
      <c r="L408" s="39"/>
      <c r="M408" s="39"/>
      <c r="N408" s="28" t="str">
        <f>IFERROR(__xludf.DUMMYFUNCTION("IF(OR(C408="""",M408=""""),"""",IFERROR(IF(M408="""","""",query('tbl user'!$A$2:$D1508,""SELECT A WHERE D = '""&amp;M408&amp;""'"")),""USER TIDAK DIKETAHUI""))"),"")</f>
        <v/>
      </c>
    </row>
    <row r="409">
      <c r="A409" s="23" t="str">
        <f t="shared" si="3"/>
        <v/>
      </c>
      <c r="B409" s="24" t="str">
        <f t="shared" si="4"/>
        <v/>
      </c>
      <c r="C409" s="28"/>
      <c r="D409" s="28"/>
      <c r="E409" s="34"/>
      <c r="F409" s="34"/>
      <c r="G409" s="34"/>
      <c r="H409" s="34"/>
      <c r="I409" s="34"/>
      <c r="J409" s="28" t="str">
        <f>IFERROR(__xludf.DUMMYFUNCTION("iferror(if(I409="""","""",unique(query('tbl driver 2'!$K$2:$L1508,""SELECT L WHERE K = '""&amp;I409&amp;""'""))),"""")"),"")</f>
        <v/>
      </c>
      <c r="K409" s="31"/>
      <c r="L409" s="39"/>
      <c r="M409" s="39"/>
      <c r="N409" s="28" t="str">
        <f>IFERROR(__xludf.DUMMYFUNCTION("IF(OR(C409="""",M409=""""),"""",IFERROR(IF(M409="""","""",query('tbl user'!$A$2:$D1508,""SELECT A WHERE D = '""&amp;M409&amp;""'"")),""USER TIDAK DIKETAHUI""))"),"")</f>
        <v/>
      </c>
    </row>
    <row r="410">
      <c r="A410" s="23" t="str">
        <f t="shared" si="3"/>
        <v/>
      </c>
      <c r="B410" s="24" t="str">
        <f t="shared" si="4"/>
        <v/>
      </c>
      <c r="C410" s="28"/>
      <c r="D410" s="28"/>
      <c r="E410" s="34"/>
      <c r="F410" s="34"/>
      <c r="G410" s="34"/>
      <c r="H410" s="34"/>
      <c r="I410" s="34"/>
      <c r="J410" s="28" t="str">
        <f>IFERROR(__xludf.DUMMYFUNCTION("iferror(if(I410="""","""",unique(query('tbl driver 2'!$K$2:$L1508,""SELECT L WHERE K = '""&amp;I410&amp;""'""))),"""")"),"")</f>
        <v/>
      </c>
      <c r="K410" s="31"/>
      <c r="L410" s="39"/>
      <c r="M410" s="39"/>
      <c r="N410" s="28" t="str">
        <f>IFERROR(__xludf.DUMMYFUNCTION("IF(OR(C410="""",M410=""""),"""",IFERROR(IF(M410="""","""",query('tbl user'!$A$2:$D1508,""SELECT A WHERE D = '""&amp;M410&amp;""'"")),""USER TIDAK DIKETAHUI""))"),"")</f>
        <v/>
      </c>
    </row>
    <row r="411">
      <c r="A411" s="23" t="str">
        <f t="shared" si="3"/>
        <v/>
      </c>
      <c r="B411" s="24" t="str">
        <f t="shared" si="4"/>
        <v/>
      </c>
      <c r="C411" s="28"/>
      <c r="D411" s="28"/>
      <c r="E411" s="34"/>
      <c r="F411" s="34"/>
      <c r="G411" s="34"/>
      <c r="H411" s="34"/>
      <c r="I411" s="34"/>
      <c r="J411" s="28" t="str">
        <f>IFERROR(__xludf.DUMMYFUNCTION("iferror(if(I411="""","""",unique(query('tbl driver 2'!$K$2:$L1508,""SELECT L WHERE K = '""&amp;I411&amp;""'""))),"""")"),"")</f>
        <v/>
      </c>
      <c r="K411" s="31"/>
      <c r="L411" s="39"/>
      <c r="M411" s="39"/>
      <c r="N411" s="28" t="str">
        <f>IFERROR(__xludf.DUMMYFUNCTION("IF(OR(C411="""",M411=""""),"""",IFERROR(IF(M411="""","""",query('tbl user'!$A$2:$D1508,""SELECT A WHERE D = '""&amp;M411&amp;""'"")),""USER TIDAK DIKETAHUI""))"),"")</f>
        <v/>
      </c>
    </row>
    <row r="412">
      <c r="A412" s="23" t="str">
        <f t="shared" si="3"/>
        <v/>
      </c>
      <c r="B412" s="24" t="str">
        <f t="shared" si="4"/>
        <v/>
      </c>
      <c r="C412" s="28"/>
      <c r="D412" s="28"/>
      <c r="E412" s="34"/>
      <c r="F412" s="34"/>
      <c r="G412" s="34"/>
      <c r="H412" s="34"/>
      <c r="I412" s="34"/>
      <c r="J412" s="28" t="str">
        <f>IFERROR(__xludf.DUMMYFUNCTION("iferror(if(I412="""","""",unique(query('tbl driver 2'!$K$2:$L1508,""SELECT L WHERE K = '""&amp;I412&amp;""'""))),"""")"),"")</f>
        <v/>
      </c>
      <c r="K412" s="31"/>
      <c r="L412" s="39"/>
      <c r="M412" s="39"/>
      <c r="N412" s="28" t="str">
        <f>IFERROR(__xludf.DUMMYFUNCTION("IF(OR(C412="""",M412=""""),"""",IFERROR(IF(M412="""","""",query('tbl user'!$A$2:$D1508,""SELECT A WHERE D = '""&amp;M412&amp;""'"")),""USER TIDAK DIKETAHUI""))"),"")</f>
        <v/>
      </c>
    </row>
    <row r="413">
      <c r="A413" s="23" t="str">
        <f t="shared" si="3"/>
        <v/>
      </c>
      <c r="B413" s="24" t="str">
        <f t="shared" si="4"/>
        <v/>
      </c>
      <c r="C413" s="28"/>
      <c r="D413" s="28"/>
      <c r="E413" s="34"/>
      <c r="F413" s="34"/>
      <c r="G413" s="34"/>
      <c r="H413" s="34"/>
      <c r="I413" s="34"/>
      <c r="J413" s="28" t="str">
        <f>IFERROR(__xludf.DUMMYFUNCTION("iferror(if(I413="""","""",unique(query('tbl driver 2'!$K$2:$L1508,""SELECT L WHERE K = '""&amp;I413&amp;""'""))),"""")"),"")</f>
        <v/>
      </c>
      <c r="K413" s="31"/>
      <c r="L413" s="39"/>
      <c r="M413" s="39"/>
      <c r="N413" s="28" t="str">
        <f>IFERROR(__xludf.DUMMYFUNCTION("IF(OR(C413="""",M413=""""),"""",IFERROR(IF(M413="""","""",query('tbl user'!$A$2:$D1508,""SELECT A WHERE D = '""&amp;M413&amp;""'"")),""USER TIDAK DIKETAHUI""))"),"")</f>
        <v/>
      </c>
    </row>
    <row r="414">
      <c r="A414" s="23" t="str">
        <f t="shared" si="3"/>
        <v/>
      </c>
      <c r="B414" s="24" t="str">
        <f t="shared" si="4"/>
        <v/>
      </c>
      <c r="C414" s="28"/>
      <c r="D414" s="28"/>
      <c r="E414" s="34"/>
      <c r="F414" s="34"/>
      <c r="G414" s="34"/>
      <c r="H414" s="34"/>
      <c r="I414" s="34"/>
      <c r="J414" s="28" t="str">
        <f>IFERROR(__xludf.DUMMYFUNCTION("iferror(if(I414="""","""",unique(query('tbl driver 2'!$K$2:$L1508,""SELECT L WHERE K = '""&amp;I414&amp;""'""))),"""")"),"")</f>
        <v/>
      </c>
      <c r="K414" s="31"/>
      <c r="L414" s="39"/>
      <c r="M414" s="39"/>
      <c r="N414" s="28" t="str">
        <f>IFERROR(__xludf.DUMMYFUNCTION("IF(OR(C414="""",M414=""""),"""",IFERROR(IF(M414="""","""",query('tbl user'!$A$2:$D1508,""SELECT A WHERE D = '""&amp;M414&amp;""'"")),""USER TIDAK DIKETAHUI""))"),"")</f>
        <v/>
      </c>
    </row>
    <row r="415">
      <c r="A415" s="23" t="str">
        <f t="shared" si="3"/>
        <v/>
      </c>
      <c r="B415" s="24" t="str">
        <f t="shared" si="4"/>
        <v/>
      </c>
      <c r="C415" s="28"/>
      <c r="D415" s="28"/>
      <c r="E415" s="34"/>
      <c r="F415" s="34"/>
      <c r="G415" s="34"/>
      <c r="H415" s="34"/>
      <c r="I415" s="34"/>
      <c r="J415" s="28" t="str">
        <f>IFERROR(__xludf.DUMMYFUNCTION("iferror(if(I415="""","""",unique(query('tbl driver 2'!$K$2:$L1508,""SELECT L WHERE K = '""&amp;I415&amp;""'""))),"""")"),"")</f>
        <v/>
      </c>
      <c r="K415" s="31"/>
      <c r="L415" s="39"/>
      <c r="M415" s="39"/>
      <c r="N415" s="28" t="str">
        <f>IFERROR(__xludf.DUMMYFUNCTION("IF(OR(C415="""",M415=""""),"""",IFERROR(IF(M415="""","""",query('tbl user'!$A$2:$D1508,""SELECT A WHERE D = '""&amp;M415&amp;""'"")),""USER TIDAK DIKETAHUI""))"),"")</f>
        <v/>
      </c>
    </row>
    <row r="416">
      <c r="A416" s="23" t="str">
        <f t="shared" si="3"/>
        <v/>
      </c>
      <c r="B416" s="24" t="str">
        <f t="shared" si="4"/>
        <v/>
      </c>
      <c r="C416" s="28"/>
      <c r="D416" s="28"/>
      <c r="E416" s="34"/>
      <c r="F416" s="34"/>
      <c r="G416" s="34"/>
      <c r="H416" s="34"/>
      <c r="I416" s="34"/>
      <c r="J416" s="28" t="str">
        <f>IFERROR(__xludf.DUMMYFUNCTION("iferror(if(I416="""","""",unique(query('tbl driver 2'!$K$2:$L1508,""SELECT L WHERE K = '""&amp;I416&amp;""'""))),"""")"),"")</f>
        <v/>
      </c>
      <c r="K416" s="31"/>
      <c r="L416" s="39"/>
      <c r="M416" s="39"/>
      <c r="N416" s="28" t="str">
        <f>IFERROR(__xludf.DUMMYFUNCTION("IF(OR(C416="""",M416=""""),"""",IFERROR(IF(M416="""","""",query('tbl user'!$A$2:$D1508,""SELECT A WHERE D = '""&amp;M416&amp;""'"")),""USER TIDAK DIKETAHUI""))"),"")</f>
        <v/>
      </c>
    </row>
    <row r="417">
      <c r="A417" s="23" t="str">
        <f t="shared" si="3"/>
        <v/>
      </c>
      <c r="B417" s="24" t="str">
        <f t="shared" si="4"/>
        <v/>
      </c>
      <c r="C417" s="28"/>
      <c r="D417" s="28"/>
      <c r="E417" s="34"/>
      <c r="F417" s="34"/>
      <c r="G417" s="34"/>
      <c r="H417" s="34"/>
      <c r="I417" s="34"/>
      <c r="J417" s="28" t="str">
        <f>IFERROR(__xludf.DUMMYFUNCTION("iferror(if(I417="""","""",unique(query('tbl driver 2'!$K$2:$L1508,""SELECT L WHERE K = '""&amp;I417&amp;""'""))),"""")"),"")</f>
        <v/>
      </c>
      <c r="K417" s="31"/>
      <c r="L417" s="39"/>
      <c r="M417" s="39"/>
      <c r="N417" s="28" t="str">
        <f>IFERROR(__xludf.DUMMYFUNCTION("IF(OR(C417="""",M417=""""),"""",IFERROR(IF(M417="""","""",query('tbl user'!$A$2:$D1508,""SELECT A WHERE D = '""&amp;M417&amp;""'"")),""USER TIDAK DIKETAHUI""))"),"")</f>
        <v/>
      </c>
    </row>
    <row r="418">
      <c r="A418" s="23" t="str">
        <f t="shared" si="3"/>
        <v/>
      </c>
      <c r="B418" s="24" t="str">
        <f t="shared" si="4"/>
        <v/>
      </c>
      <c r="C418" s="28"/>
      <c r="D418" s="28"/>
      <c r="E418" s="34"/>
      <c r="F418" s="34"/>
      <c r="G418" s="34"/>
      <c r="H418" s="34"/>
      <c r="I418" s="34"/>
      <c r="J418" s="28" t="str">
        <f>IFERROR(__xludf.DUMMYFUNCTION("iferror(if(I418="""","""",unique(query('tbl driver 2'!$K$2:$L1508,""SELECT L WHERE K = '""&amp;I418&amp;""'""))),"""")"),"")</f>
        <v/>
      </c>
      <c r="K418" s="31"/>
      <c r="L418" s="39"/>
      <c r="M418" s="39"/>
      <c r="N418" s="28" t="str">
        <f>IFERROR(__xludf.DUMMYFUNCTION("IF(OR(C418="""",M418=""""),"""",IFERROR(IF(M418="""","""",query('tbl user'!$A$2:$D1508,""SELECT A WHERE D = '""&amp;M418&amp;""'"")),""USER TIDAK DIKETAHUI""))"),"")</f>
        <v/>
      </c>
    </row>
    <row r="419">
      <c r="A419" s="23" t="str">
        <f t="shared" si="3"/>
        <v/>
      </c>
      <c r="B419" s="24" t="str">
        <f t="shared" si="4"/>
        <v/>
      </c>
      <c r="C419" s="28"/>
      <c r="D419" s="28"/>
      <c r="E419" s="34"/>
      <c r="F419" s="34"/>
      <c r="G419" s="34"/>
      <c r="H419" s="34"/>
      <c r="I419" s="34"/>
      <c r="J419" s="28" t="str">
        <f>IFERROR(__xludf.DUMMYFUNCTION("iferror(if(I419="""","""",unique(query('tbl driver 2'!$K$2:$L1508,""SELECT L WHERE K = '""&amp;I419&amp;""'""))),"""")"),"")</f>
        <v/>
      </c>
      <c r="K419" s="31"/>
      <c r="L419" s="39"/>
      <c r="M419" s="39"/>
      <c r="N419" s="28" t="str">
        <f>IFERROR(__xludf.DUMMYFUNCTION("IF(OR(C419="""",M419=""""),"""",IFERROR(IF(M419="""","""",query('tbl user'!$A$2:$D1508,""SELECT A WHERE D = '""&amp;M419&amp;""'"")),""USER TIDAK DIKETAHUI""))"),"")</f>
        <v/>
      </c>
    </row>
    <row r="420">
      <c r="A420" s="23" t="str">
        <f t="shared" si="3"/>
        <v/>
      </c>
      <c r="B420" s="24" t="str">
        <f t="shared" si="4"/>
        <v/>
      </c>
      <c r="C420" s="28"/>
      <c r="D420" s="28"/>
      <c r="E420" s="34"/>
      <c r="F420" s="34"/>
      <c r="G420" s="34"/>
      <c r="H420" s="34"/>
      <c r="I420" s="34"/>
      <c r="J420" s="28" t="str">
        <f>IFERROR(__xludf.DUMMYFUNCTION("iferror(if(I420="""","""",unique(query('tbl driver 2'!$K$2:$L1508,""SELECT L WHERE K = '""&amp;I420&amp;""'""))),"""")"),"")</f>
        <v/>
      </c>
      <c r="K420" s="31"/>
      <c r="L420" s="39"/>
      <c r="M420" s="39"/>
      <c r="N420" s="28" t="str">
        <f>IFERROR(__xludf.DUMMYFUNCTION("IF(OR(C420="""",M420=""""),"""",IFERROR(IF(M420="""","""",query('tbl user'!$A$2:$D1508,""SELECT A WHERE D = '""&amp;M420&amp;""'"")),""USER TIDAK DIKETAHUI""))"),"")</f>
        <v/>
      </c>
    </row>
    <row r="421">
      <c r="A421" s="23" t="str">
        <f t="shared" si="3"/>
        <v/>
      </c>
      <c r="B421" s="24" t="str">
        <f t="shared" si="4"/>
        <v/>
      </c>
      <c r="C421" s="28"/>
      <c r="D421" s="28"/>
      <c r="E421" s="34"/>
      <c r="F421" s="34"/>
      <c r="G421" s="34"/>
      <c r="H421" s="34"/>
      <c r="I421" s="34"/>
      <c r="J421" s="28" t="str">
        <f>IFERROR(__xludf.DUMMYFUNCTION("iferror(if(I421="""","""",unique(query('tbl driver 2'!$K$2:$L1508,""SELECT L WHERE K = '""&amp;I421&amp;""'""))),"""")"),"")</f>
        <v/>
      </c>
      <c r="K421" s="31"/>
      <c r="L421" s="39"/>
      <c r="M421" s="39"/>
      <c r="N421" s="28" t="str">
        <f>IFERROR(__xludf.DUMMYFUNCTION("IF(OR(C421="""",M421=""""),"""",IFERROR(IF(M421="""","""",query('tbl user'!$A$2:$D1508,""SELECT A WHERE D = '""&amp;M421&amp;""'"")),""USER TIDAK DIKETAHUI""))"),"")</f>
        <v/>
      </c>
    </row>
    <row r="422">
      <c r="A422" s="23" t="str">
        <f t="shared" si="3"/>
        <v/>
      </c>
      <c r="B422" s="24" t="str">
        <f t="shared" si="4"/>
        <v/>
      </c>
      <c r="C422" s="28"/>
      <c r="D422" s="28"/>
      <c r="E422" s="34"/>
      <c r="F422" s="34"/>
      <c r="G422" s="34"/>
      <c r="H422" s="34"/>
      <c r="I422" s="34"/>
      <c r="J422" s="28" t="str">
        <f>IFERROR(__xludf.DUMMYFUNCTION("iferror(if(I422="""","""",unique(query('tbl driver 2'!$K$2:$L1508,""SELECT L WHERE K = '""&amp;I422&amp;""'""))),"""")"),"")</f>
        <v/>
      </c>
      <c r="K422" s="31"/>
      <c r="L422" s="39"/>
      <c r="M422" s="39"/>
      <c r="N422" s="28" t="str">
        <f>IFERROR(__xludf.DUMMYFUNCTION("IF(OR(C422="""",M422=""""),"""",IFERROR(IF(M422="""","""",query('tbl user'!$A$2:$D1508,""SELECT A WHERE D = '""&amp;M422&amp;""'"")),""USER TIDAK DIKETAHUI""))"),"")</f>
        <v/>
      </c>
    </row>
    <row r="423">
      <c r="A423" s="23" t="str">
        <f t="shared" si="3"/>
        <v/>
      </c>
      <c r="B423" s="24" t="str">
        <f t="shared" si="4"/>
        <v/>
      </c>
      <c r="C423" s="28"/>
      <c r="D423" s="28"/>
      <c r="E423" s="34"/>
      <c r="F423" s="34"/>
      <c r="G423" s="34"/>
      <c r="H423" s="34"/>
      <c r="I423" s="34"/>
      <c r="J423" s="28" t="str">
        <f>IFERROR(__xludf.DUMMYFUNCTION("iferror(if(I423="""","""",unique(query('tbl driver 2'!$K$2:$L1508,""SELECT L WHERE K = '""&amp;I423&amp;""'""))),"""")"),"")</f>
        <v/>
      </c>
      <c r="K423" s="31"/>
      <c r="L423" s="39"/>
      <c r="M423" s="39"/>
      <c r="N423" s="28" t="str">
        <f>IFERROR(__xludf.DUMMYFUNCTION("IF(OR(C423="""",M423=""""),"""",IFERROR(IF(M423="""","""",query('tbl user'!$A$2:$D1508,""SELECT A WHERE D = '""&amp;M423&amp;""'"")),""USER TIDAK DIKETAHUI""))"),"")</f>
        <v/>
      </c>
    </row>
    <row r="424">
      <c r="A424" s="23" t="str">
        <f t="shared" si="3"/>
        <v/>
      </c>
      <c r="B424" s="24" t="str">
        <f t="shared" si="4"/>
        <v/>
      </c>
      <c r="C424" s="28"/>
      <c r="D424" s="28"/>
      <c r="E424" s="34"/>
      <c r="F424" s="34"/>
      <c r="G424" s="34"/>
      <c r="H424" s="34"/>
      <c r="I424" s="34"/>
      <c r="J424" s="28" t="str">
        <f>IFERROR(__xludf.DUMMYFUNCTION("iferror(if(I424="""","""",unique(query('tbl driver 2'!$K$2:$L1508,""SELECT L WHERE K = '""&amp;I424&amp;""'""))),"""")"),"")</f>
        <v/>
      </c>
      <c r="K424" s="31"/>
      <c r="L424" s="39"/>
      <c r="M424" s="39"/>
      <c r="N424" s="28" t="str">
        <f>IFERROR(__xludf.DUMMYFUNCTION("IF(OR(C424="""",M424=""""),"""",IFERROR(IF(M424="""","""",query('tbl user'!$A$2:$D1508,""SELECT A WHERE D = '""&amp;M424&amp;""'"")),""USER TIDAK DIKETAHUI""))"),"")</f>
        <v/>
      </c>
    </row>
    <row r="425">
      <c r="A425" s="23" t="str">
        <f t="shared" si="3"/>
        <v/>
      </c>
      <c r="B425" s="24" t="str">
        <f t="shared" si="4"/>
        <v/>
      </c>
      <c r="C425" s="28"/>
      <c r="D425" s="28"/>
      <c r="E425" s="34"/>
      <c r="F425" s="34"/>
      <c r="G425" s="34"/>
      <c r="H425" s="34"/>
      <c r="I425" s="34"/>
      <c r="J425" s="28" t="str">
        <f>IFERROR(__xludf.DUMMYFUNCTION("iferror(if(I425="""","""",unique(query('tbl driver 2'!$K$2:$L1508,""SELECT L WHERE K = '""&amp;I425&amp;""'""))),"""")"),"")</f>
        <v/>
      </c>
      <c r="K425" s="31"/>
      <c r="L425" s="39"/>
      <c r="M425" s="39"/>
      <c r="N425" s="28" t="str">
        <f>IFERROR(__xludf.DUMMYFUNCTION("IF(OR(C425="""",M425=""""),"""",IFERROR(IF(M425="""","""",query('tbl user'!$A$2:$D1508,""SELECT A WHERE D = '""&amp;M425&amp;""'"")),""USER TIDAK DIKETAHUI""))"),"")</f>
        <v/>
      </c>
    </row>
    <row r="426">
      <c r="A426" s="23" t="str">
        <f t="shared" si="3"/>
        <v/>
      </c>
      <c r="B426" s="24" t="str">
        <f t="shared" si="4"/>
        <v/>
      </c>
      <c r="C426" s="28"/>
      <c r="D426" s="28"/>
      <c r="E426" s="34"/>
      <c r="F426" s="34"/>
      <c r="G426" s="34"/>
      <c r="H426" s="34"/>
      <c r="I426" s="34"/>
      <c r="J426" s="28" t="str">
        <f>IFERROR(__xludf.DUMMYFUNCTION("iferror(if(I426="""","""",unique(query('tbl driver 2'!$K$2:$L1508,""SELECT L WHERE K = '""&amp;I426&amp;""'""))),"""")"),"")</f>
        <v/>
      </c>
      <c r="K426" s="31"/>
      <c r="L426" s="39"/>
      <c r="M426" s="39"/>
      <c r="N426" s="28" t="str">
        <f>IFERROR(__xludf.DUMMYFUNCTION("IF(OR(C426="""",M426=""""),"""",IFERROR(IF(M426="""","""",query('tbl user'!$A$2:$D1508,""SELECT A WHERE D = '""&amp;M426&amp;""'"")),""USER TIDAK DIKETAHUI""))"),"")</f>
        <v/>
      </c>
    </row>
    <row r="427">
      <c r="A427" s="23" t="str">
        <f t="shared" si="3"/>
        <v/>
      </c>
      <c r="B427" s="24" t="str">
        <f t="shared" si="4"/>
        <v/>
      </c>
      <c r="C427" s="28"/>
      <c r="D427" s="28"/>
      <c r="E427" s="34"/>
      <c r="F427" s="34"/>
      <c r="G427" s="34"/>
      <c r="H427" s="34"/>
      <c r="I427" s="34"/>
      <c r="J427" s="28" t="str">
        <f>IFERROR(__xludf.DUMMYFUNCTION("iferror(if(I427="""","""",unique(query('tbl driver 2'!$K$2:$L1508,""SELECT L WHERE K = '""&amp;I427&amp;""'""))),"""")"),"")</f>
        <v/>
      </c>
      <c r="K427" s="31"/>
      <c r="L427" s="39"/>
      <c r="M427" s="39"/>
      <c r="N427" s="28" t="str">
        <f>IFERROR(__xludf.DUMMYFUNCTION("IF(OR(C427="""",M427=""""),"""",IFERROR(IF(M427="""","""",query('tbl user'!$A$2:$D1508,""SELECT A WHERE D = '""&amp;M427&amp;""'"")),""USER TIDAK DIKETAHUI""))"),"")</f>
        <v/>
      </c>
    </row>
    <row r="428">
      <c r="A428" s="23" t="str">
        <f t="shared" si="3"/>
        <v/>
      </c>
      <c r="B428" s="24" t="str">
        <f t="shared" si="4"/>
        <v/>
      </c>
      <c r="C428" s="28"/>
      <c r="D428" s="28"/>
      <c r="E428" s="34"/>
      <c r="F428" s="34"/>
      <c r="G428" s="34"/>
      <c r="H428" s="34"/>
      <c r="I428" s="34"/>
      <c r="J428" s="28" t="str">
        <f>IFERROR(__xludf.DUMMYFUNCTION("iferror(if(I428="""","""",unique(query('tbl driver 2'!$K$2:$L1508,""SELECT L WHERE K = '""&amp;I428&amp;""'""))),"""")"),"")</f>
        <v/>
      </c>
      <c r="K428" s="31"/>
      <c r="L428" s="39"/>
      <c r="M428" s="39"/>
      <c r="N428" s="28" t="str">
        <f>IFERROR(__xludf.DUMMYFUNCTION("IF(OR(C428="""",M428=""""),"""",IFERROR(IF(M428="""","""",query('tbl user'!$A$2:$D1508,""SELECT A WHERE D = '""&amp;M428&amp;""'"")),""USER TIDAK DIKETAHUI""))"),"")</f>
        <v/>
      </c>
    </row>
    <row r="429">
      <c r="A429" s="23" t="str">
        <f t="shared" si="3"/>
        <v/>
      </c>
      <c r="B429" s="24" t="str">
        <f t="shared" si="4"/>
        <v/>
      </c>
      <c r="C429" s="28"/>
      <c r="D429" s="28"/>
      <c r="E429" s="34"/>
      <c r="F429" s="34"/>
      <c r="G429" s="34"/>
      <c r="H429" s="34"/>
      <c r="I429" s="34"/>
      <c r="J429" s="28" t="str">
        <f>IFERROR(__xludf.DUMMYFUNCTION("iferror(if(I429="""","""",unique(query('tbl driver 2'!$K$2:$L1508,""SELECT L WHERE K = '""&amp;I429&amp;""'""))),"""")"),"")</f>
        <v/>
      </c>
      <c r="K429" s="31"/>
      <c r="L429" s="39"/>
      <c r="M429" s="39"/>
      <c r="N429" s="28" t="str">
        <f>IFERROR(__xludf.DUMMYFUNCTION("IF(OR(C429="""",M429=""""),"""",IFERROR(IF(M429="""","""",query('tbl user'!$A$2:$D1508,""SELECT A WHERE D = '""&amp;M429&amp;""'"")),""USER TIDAK DIKETAHUI""))"),"")</f>
        <v/>
      </c>
    </row>
    <row r="430">
      <c r="A430" s="23" t="str">
        <f t="shared" si="3"/>
        <v/>
      </c>
      <c r="B430" s="24" t="str">
        <f t="shared" si="4"/>
        <v/>
      </c>
      <c r="C430" s="28"/>
      <c r="D430" s="28"/>
      <c r="E430" s="34"/>
      <c r="F430" s="34"/>
      <c r="G430" s="34"/>
      <c r="H430" s="34"/>
      <c r="I430" s="34"/>
      <c r="J430" s="28" t="str">
        <f>IFERROR(__xludf.DUMMYFUNCTION("iferror(if(I430="""","""",unique(query('tbl driver 2'!$K$2:$L1508,""SELECT L WHERE K = '""&amp;I430&amp;""'""))),"""")"),"")</f>
        <v/>
      </c>
      <c r="K430" s="31"/>
      <c r="L430" s="39"/>
      <c r="M430" s="39"/>
      <c r="N430" s="28" t="str">
        <f>IFERROR(__xludf.DUMMYFUNCTION("IF(OR(C430="""",M430=""""),"""",IFERROR(IF(M430="""","""",query('tbl user'!$A$2:$D1508,""SELECT A WHERE D = '""&amp;M430&amp;""'"")),""USER TIDAK DIKETAHUI""))"),"")</f>
        <v/>
      </c>
    </row>
    <row r="431">
      <c r="A431" s="23" t="str">
        <f t="shared" si="3"/>
        <v/>
      </c>
      <c r="B431" s="24" t="str">
        <f t="shared" si="4"/>
        <v/>
      </c>
      <c r="C431" s="28"/>
      <c r="D431" s="28"/>
      <c r="E431" s="34"/>
      <c r="F431" s="34"/>
      <c r="G431" s="34"/>
      <c r="H431" s="34"/>
      <c r="I431" s="34"/>
      <c r="J431" s="28" t="str">
        <f>IFERROR(__xludf.DUMMYFUNCTION("iferror(if(I431="""","""",unique(query('tbl driver 2'!$K$2:$L1508,""SELECT L WHERE K = '""&amp;I431&amp;""'""))),"""")"),"")</f>
        <v/>
      </c>
      <c r="K431" s="31"/>
      <c r="L431" s="39"/>
      <c r="M431" s="39"/>
      <c r="N431" s="28" t="str">
        <f>IFERROR(__xludf.DUMMYFUNCTION("IF(OR(C431="""",M431=""""),"""",IFERROR(IF(M431="""","""",query('tbl user'!$A$2:$D1508,""SELECT A WHERE D = '""&amp;M431&amp;""'"")),""USER TIDAK DIKETAHUI""))"),"")</f>
        <v/>
      </c>
    </row>
    <row r="432">
      <c r="A432" s="23" t="str">
        <f t="shared" si="3"/>
        <v/>
      </c>
      <c r="B432" s="24" t="str">
        <f t="shared" si="4"/>
        <v/>
      </c>
      <c r="C432" s="28"/>
      <c r="D432" s="28"/>
      <c r="E432" s="34"/>
      <c r="F432" s="34"/>
      <c r="G432" s="34"/>
      <c r="H432" s="34"/>
      <c r="I432" s="34"/>
      <c r="J432" s="28" t="str">
        <f>IFERROR(__xludf.DUMMYFUNCTION("iferror(if(I432="""","""",unique(query('tbl driver 2'!$K$2:$L1508,""SELECT L WHERE K = '""&amp;I432&amp;""'""))),"""")"),"")</f>
        <v/>
      </c>
      <c r="K432" s="31"/>
      <c r="L432" s="39"/>
      <c r="M432" s="39"/>
      <c r="N432" s="28" t="str">
        <f>IFERROR(__xludf.DUMMYFUNCTION("IF(OR(C432="""",M432=""""),"""",IFERROR(IF(M432="""","""",query('tbl user'!$A$2:$D1508,""SELECT A WHERE D = '""&amp;M432&amp;""'"")),""USER TIDAK DIKETAHUI""))"),"")</f>
        <v/>
      </c>
    </row>
    <row r="433">
      <c r="A433" s="23" t="str">
        <f t="shared" si="3"/>
        <v/>
      </c>
      <c r="B433" s="24" t="str">
        <f t="shared" si="4"/>
        <v/>
      </c>
      <c r="C433" s="28"/>
      <c r="D433" s="28"/>
      <c r="E433" s="34"/>
      <c r="F433" s="34"/>
      <c r="G433" s="34"/>
      <c r="H433" s="34"/>
      <c r="I433" s="34"/>
      <c r="J433" s="28" t="str">
        <f>IFERROR(__xludf.DUMMYFUNCTION("iferror(if(I433="""","""",unique(query('tbl driver 2'!$K$2:$L1508,""SELECT L WHERE K = '""&amp;I433&amp;""'""))),"""")"),"")</f>
        <v/>
      </c>
      <c r="K433" s="31"/>
      <c r="L433" s="39"/>
      <c r="M433" s="39"/>
      <c r="N433" s="28" t="str">
        <f>IFERROR(__xludf.DUMMYFUNCTION("IF(OR(C433="""",M433=""""),"""",IFERROR(IF(M433="""","""",query('tbl user'!$A$2:$D1508,""SELECT A WHERE D = '""&amp;M433&amp;""'"")),""USER TIDAK DIKETAHUI""))"),"")</f>
        <v/>
      </c>
    </row>
    <row r="434">
      <c r="A434" s="23" t="str">
        <f t="shared" si="3"/>
        <v/>
      </c>
      <c r="B434" s="24" t="str">
        <f t="shared" si="4"/>
        <v/>
      </c>
      <c r="C434" s="28"/>
      <c r="D434" s="28"/>
      <c r="E434" s="34"/>
      <c r="F434" s="34"/>
      <c r="G434" s="34"/>
      <c r="H434" s="34"/>
      <c r="I434" s="34"/>
      <c r="J434" s="28" t="str">
        <f>IFERROR(__xludf.DUMMYFUNCTION("iferror(if(I434="""","""",unique(query('tbl driver 2'!$K$2:$L1508,""SELECT L WHERE K = '""&amp;I434&amp;""'""))),"""")"),"")</f>
        <v/>
      </c>
      <c r="K434" s="31"/>
      <c r="L434" s="39"/>
      <c r="M434" s="39"/>
      <c r="N434" s="28" t="str">
        <f>IFERROR(__xludf.DUMMYFUNCTION("IF(OR(C434="""",M434=""""),"""",IFERROR(IF(M434="""","""",query('tbl user'!$A$2:$D1508,""SELECT A WHERE D = '""&amp;M434&amp;""'"")),""USER TIDAK DIKETAHUI""))"),"")</f>
        <v/>
      </c>
    </row>
    <row r="435">
      <c r="A435" s="23" t="str">
        <f t="shared" si="3"/>
        <v/>
      </c>
      <c r="B435" s="24" t="str">
        <f t="shared" si="4"/>
        <v/>
      </c>
      <c r="C435" s="28"/>
      <c r="D435" s="28"/>
      <c r="E435" s="34"/>
      <c r="F435" s="34"/>
      <c r="G435" s="34"/>
      <c r="H435" s="34"/>
      <c r="I435" s="34"/>
      <c r="J435" s="28" t="str">
        <f>IFERROR(__xludf.DUMMYFUNCTION("iferror(if(I435="""","""",unique(query('tbl driver 2'!$K$2:$L1508,""SELECT L WHERE K = '""&amp;I435&amp;""'""))),"""")"),"")</f>
        <v/>
      </c>
      <c r="K435" s="31"/>
      <c r="L435" s="39"/>
      <c r="M435" s="39"/>
      <c r="N435" s="28" t="str">
        <f>IFERROR(__xludf.DUMMYFUNCTION("IF(OR(C435="""",M435=""""),"""",IFERROR(IF(M435="""","""",query('tbl user'!$A$2:$D1508,""SELECT A WHERE D = '""&amp;M435&amp;""'"")),""USER TIDAK DIKETAHUI""))"),"")</f>
        <v/>
      </c>
    </row>
    <row r="436">
      <c r="A436" s="23" t="str">
        <f t="shared" si="3"/>
        <v/>
      </c>
      <c r="B436" s="24" t="str">
        <f t="shared" si="4"/>
        <v/>
      </c>
      <c r="C436" s="28"/>
      <c r="D436" s="28"/>
      <c r="E436" s="34"/>
      <c r="F436" s="34"/>
      <c r="G436" s="34"/>
      <c r="H436" s="34"/>
      <c r="I436" s="34"/>
      <c r="J436" s="28" t="str">
        <f>IFERROR(__xludf.DUMMYFUNCTION("iferror(if(I436="""","""",unique(query('tbl driver 2'!$K$2:$L1508,""SELECT L WHERE K = '""&amp;I436&amp;""'""))),"""")"),"")</f>
        <v/>
      </c>
      <c r="K436" s="31"/>
      <c r="L436" s="39"/>
      <c r="M436" s="39"/>
      <c r="N436" s="28" t="str">
        <f>IFERROR(__xludf.DUMMYFUNCTION("IF(OR(C436="""",M436=""""),"""",IFERROR(IF(M436="""","""",query('tbl user'!$A$2:$D1508,""SELECT A WHERE D = '""&amp;M436&amp;""'"")),""USER TIDAK DIKETAHUI""))"),"")</f>
        <v/>
      </c>
    </row>
    <row r="437">
      <c r="A437" s="23" t="str">
        <f t="shared" si="3"/>
        <v/>
      </c>
      <c r="B437" s="24" t="str">
        <f t="shared" si="4"/>
        <v/>
      </c>
      <c r="C437" s="28"/>
      <c r="D437" s="28"/>
      <c r="E437" s="34"/>
      <c r="F437" s="34"/>
      <c r="G437" s="34"/>
      <c r="H437" s="34"/>
      <c r="I437" s="34"/>
      <c r="J437" s="28" t="str">
        <f>IFERROR(__xludf.DUMMYFUNCTION("iferror(if(I437="""","""",unique(query('tbl driver 2'!$K$2:$L1508,""SELECT L WHERE K = '""&amp;I437&amp;""'""))),"""")"),"")</f>
        <v/>
      </c>
      <c r="K437" s="31"/>
      <c r="L437" s="39"/>
      <c r="M437" s="39"/>
      <c r="N437" s="28" t="str">
        <f>IFERROR(__xludf.DUMMYFUNCTION("IF(OR(C437="""",M437=""""),"""",IFERROR(IF(M437="""","""",query('tbl user'!$A$2:$D1508,""SELECT A WHERE D = '""&amp;M437&amp;""'"")),""USER TIDAK DIKETAHUI""))"),"")</f>
        <v/>
      </c>
    </row>
    <row r="438">
      <c r="A438" s="23" t="str">
        <f t="shared" si="3"/>
        <v/>
      </c>
      <c r="B438" s="24" t="str">
        <f t="shared" si="4"/>
        <v/>
      </c>
      <c r="C438" s="28"/>
      <c r="D438" s="28"/>
      <c r="E438" s="34"/>
      <c r="F438" s="34"/>
      <c r="G438" s="34"/>
      <c r="H438" s="34"/>
      <c r="I438" s="34"/>
      <c r="J438" s="28" t="str">
        <f>IFERROR(__xludf.DUMMYFUNCTION("iferror(if(I438="""","""",unique(query('tbl driver 2'!$K$2:$L1508,""SELECT L WHERE K = '""&amp;I438&amp;""'""))),"""")"),"")</f>
        <v/>
      </c>
      <c r="K438" s="31"/>
      <c r="L438" s="39"/>
      <c r="M438" s="39"/>
      <c r="N438" s="28" t="str">
        <f>IFERROR(__xludf.DUMMYFUNCTION("IF(OR(C438="""",M438=""""),"""",IFERROR(IF(M438="""","""",query('tbl user'!$A$2:$D1508,""SELECT A WHERE D = '""&amp;M438&amp;""'"")),""USER TIDAK DIKETAHUI""))"),"")</f>
        <v/>
      </c>
    </row>
    <row r="439">
      <c r="A439" s="23" t="str">
        <f t="shared" si="3"/>
        <v/>
      </c>
      <c r="B439" s="24" t="str">
        <f t="shared" si="4"/>
        <v/>
      </c>
      <c r="C439" s="28"/>
      <c r="D439" s="28"/>
      <c r="E439" s="34"/>
      <c r="F439" s="34"/>
      <c r="G439" s="34"/>
      <c r="H439" s="34"/>
      <c r="I439" s="34"/>
      <c r="J439" s="28" t="str">
        <f>IFERROR(__xludf.DUMMYFUNCTION("iferror(if(I439="""","""",unique(query('tbl driver 2'!$K$2:$L1508,""SELECT L WHERE K = '""&amp;I439&amp;""'""))),"""")"),"")</f>
        <v/>
      </c>
      <c r="K439" s="31"/>
      <c r="L439" s="39"/>
      <c r="M439" s="39"/>
      <c r="N439" s="28" t="str">
        <f>IFERROR(__xludf.DUMMYFUNCTION("IF(OR(C439="""",M439=""""),"""",IFERROR(IF(M439="""","""",query('tbl user'!$A$2:$D1508,""SELECT A WHERE D = '""&amp;M439&amp;""'"")),""USER TIDAK DIKETAHUI""))"),"")</f>
        <v/>
      </c>
    </row>
    <row r="440">
      <c r="A440" s="23" t="str">
        <f t="shared" si="3"/>
        <v/>
      </c>
      <c r="B440" s="24" t="str">
        <f t="shared" si="4"/>
        <v/>
      </c>
      <c r="C440" s="28"/>
      <c r="D440" s="28"/>
      <c r="E440" s="34"/>
      <c r="F440" s="34"/>
      <c r="G440" s="34"/>
      <c r="H440" s="34"/>
      <c r="I440" s="34"/>
      <c r="J440" s="28" t="str">
        <f>IFERROR(__xludf.DUMMYFUNCTION("iferror(if(I440="""","""",unique(query('tbl driver 2'!$K$2:$L1508,""SELECT L WHERE K = '""&amp;I440&amp;""'""))),"""")"),"")</f>
        <v/>
      </c>
      <c r="K440" s="31"/>
      <c r="L440" s="39"/>
      <c r="M440" s="39"/>
      <c r="N440" s="28" t="str">
        <f>IFERROR(__xludf.DUMMYFUNCTION("IF(OR(C440="""",M440=""""),"""",IFERROR(IF(M440="""","""",query('tbl user'!$A$2:$D1508,""SELECT A WHERE D = '""&amp;M440&amp;""'"")),""USER TIDAK DIKETAHUI""))"),"")</f>
        <v/>
      </c>
    </row>
    <row r="441">
      <c r="A441" s="23" t="str">
        <f t="shared" si="3"/>
        <v/>
      </c>
      <c r="B441" s="24" t="str">
        <f t="shared" si="4"/>
        <v/>
      </c>
      <c r="C441" s="28"/>
      <c r="D441" s="28"/>
      <c r="E441" s="34"/>
      <c r="F441" s="34"/>
      <c r="G441" s="34"/>
      <c r="H441" s="34"/>
      <c r="I441" s="34"/>
      <c r="J441" s="28" t="str">
        <f>IFERROR(__xludf.DUMMYFUNCTION("iferror(if(I441="""","""",unique(query('tbl driver 2'!$K$2:$L1508,""SELECT L WHERE K = '""&amp;I441&amp;""'""))),"""")"),"")</f>
        <v/>
      </c>
      <c r="K441" s="31"/>
      <c r="L441" s="39"/>
      <c r="M441" s="39"/>
      <c r="N441" s="28" t="str">
        <f>IFERROR(__xludf.DUMMYFUNCTION("IF(OR(C441="""",M441=""""),"""",IFERROR(IF(M441="""","""",query('tbl user'!$A$2:$D1508,""SELECT A WHERE D = '""&amp;M441&amp;""'"")),""USER TIDAK DIKETAHUI""))"),"")</f>
        <v/>
      </c>
    </row>
    <row r="442">
      <c r="A442" s="23" t="str">
        <f t="shared" si="3"/>
        <v/>
      </c>
      <c r="B442" s="24" t="str">
        <f t="shared" si="4"/>
        <v/>
      </c>
      <c r="C442" s="28"/>
      <c r="D442" s="28"/>
      <c r="E442" s="34"/>
      <c r="F442" s="34"/>
      <c r="G442" s="34"/>
      <c r="H442" s="34"/>
      <c r="I442" s="34"/>
      <c r="J442" s="28" t="str">
        <f>IFERROR(__xludf.DUMMYFUNCTION("iferror(if(I442="""","""",unique(query('tbl driver 2'!$K$2:$L1508,""SELECT L WHERE K = '""&amp;I442&amp;""'""))),"""")"),"")</f>
        <v/>
      </c>
      <c r="K442" s="31"/>
      <c r="L442" s="39"/>
      <c r="M442" s="39"/>
      <c r="N442" s="28" t="str">
        <f>IFERROR(__xludf.DUMMYFUNCTION("IF(OR(C442="""",M442=""""),"""",IFERROR(IF(M442="""","""",query('tbl user'!$A$2:$D1508,""SELECT A WHERE D = '""&amp;M442&amp;""'"")),""USER TIDAK DIKETAHUI""))"),"")</f>
        <v/>
      </c>
    </row>
    <row r="443">
      <c r="A443" s="23" t="str">
        <f t="shared" si="3"/>
        <v/>
      </c>
      <c r="B443" s="24" t="str">
        <f t="shared" si="4"/>
        <v/>
      </c>
      <c r="C443" s="28"/>
      <c r="D443" s="28"/>
      <c r="E443" s="34"/>
      <c r="F443" s="34"/>
      <c r="G443" s="34"/>
      <c r="H443" s="34"/>
      <c r="I443" s="34"/>
      <c r="J443" s="28" t="str">
        <f>IFERROR(__xludf.DUMMYFUNCTION("iferror(if(I443="""","""",unique(query('tbl driver 2'!$K$2:$L1508,""SELECT L WHERE K = '""&amp;I443&amp;""'""))),"""")"),"")</f>
        <v/>
      </c>
      <c r="K443" s="31"/>
      <c r="L443" s="39"/>
      <c r="M443" s="39"/>
      <c r="N443" s="28" t="str">
        <f>IFERROR(__xludf.DUMMYFUNCTION("IF(OR(C443="""",M443=""""),"""",IFERROR(IF(M443="""","""",query('tbl user'!$A$2:$D1508,""SELECT A WHERE D = '""&amp;M443&amp;""'"")),""USER TIDAK DIKETAHUI""))"),"")</f>
        <v/>
      </c>
    </row>
    <row r="444">
      <c r="A444" s="23" t="str">
        <f t="shared" si="3"/>
        <v/>
      </c>
      <c r="B444" s="24" t="str">
        <f t="shared" si="4"/>
        <v/>
      </c>
      <c r="C444" s="28"/>
      <c r="D444" s="28"/>
      <c r="E444" s="34"/>
      <c r="F444" s="34"/>
      <c r="G444" s="34"/>
      <c r="H444" s="34"/>
      <c r="I444" s="34"/>
      <c r="J444" s="28" t="str">
        <f>IFERROR(__xludf.DUMMYFUNCTION("iferror(if(I444="""","""",unique(query('tbl driver 2'!$K$2:$L1508,""SELECT L WHERE K = '""&amp;I444&amp;""'""))),"""")"),"")</f>
        <v/>
      </c>
      <c r="K444" s="31"/>
      <c r="L444" s="39"/>
      <c r="M444" s="39"/>
      <c r="N444" s="28" t="str">
        <f>IFERROR(__xludf.DUMMYFUNCTION("IF(OR(C444="""",M444=""""),"""",IFERROR(IF(M444="""","""",query('tbl user'!$A$2:$D1508,""SELECT A WHERE D = '""&amp;M444&amp;""'"")),""USER TIDAK DIKETAHUI""))"),"")</f>
        <v/>
      </c>
    </row>
    <row r="445">
      <c r="A445" s="23" t="str">
        <f t="shared" si="3"/>
        <v/>
      </c>
      <c r="B445" s="24" t="str">
        <f t="shared" si="4"/>
        <v/>
      </c>
      <c r="C445" s="28"/>
      <c r="D445" s="28"/>
      <c r="E445" s="34"/>
      <c r="F445" s="34"/>
      <c r="G445" s="34"/>
      <c r="H445" s="34"/>
      <c r="I445" s="34"/>
      <c r="J445" s="28" t="str">
        <f>IFERROR(__xludf.DUMMYFUNCTION("iferror(if(I445="""","""",unique(query('tbl driver 2'!$K$2:$L1508,""SELECT L WHERE K = '""&amp;I445&amp;""'""))),"""")"),"")</f>
        <v/>
      </c>
      <c r="K445" s="31"/>
      <c r="L445" s="39"/>
      <c r="M445" s="39"/>
      <c r="N445" s="28" t="str">
        <f>IFERROR(__xludf.DUMMYFUNCTION("IF(OR(C445="""",M445=""""),"""",IFERROR(IF(M445="""","""",query('tbl user'!$A$2:$D1508,""SELECT A WHERE D = '""&amp;M445&amp;""'"")),""USER TIDAK DIKETAHUI""))"),"")</f>
        <v/>
      </c>
    </row>
    <row r="446">
      <c r="A446" s="23" t="str">
        <f t="shared" si="3"/>
        <v/>
      </c>
      <c r="B446" s="24" t="str">
        <f t="shared" si="4"/>
        <v/>
      </c>
      <c r="C446" s="28"/>
      <c r="D446" s="28"/>
      <c r="E446" s="34"/>
      <c r="F446" s="34"/>
      <c r="G446" s="34"/>
      <c r="H446" s="34"/>
      <c r="I446" s="34"/>
      <c r="J446" s="28" t="str">
        <f>IFERROR(__xludf.DUMMYFUNCTION("iferror(if(I446="""","""",unique(query('tbl driver 2'!$K$2:$L1508,""SELECT L WHERE K = '""&amp;I446&amp;""'""))),"""")"),"")</f>
        <v/>
      </c>
      <c r="K446" s="31"/>
      <c r="L446" s="39"/>
      <c r="M446" s="39"/>
      <c r="N446" s="28" t="str">
        <f>IFERROR(__xludf.DUMMYFUNCTION("IF(OR(C446="""",M446=""""),"""",IFERROR(IF(M446="""","""",query('tbl user'!$A$2:$D1508,""SELECT A WHERE D = '""&amp;M446&amp;""'"")),""USER TIDAK DIKETAHUI""))"),"")</f>
        <v/>
      </c>
    </row>
    <row r="447">
      <c r="A447" s="23" t="str">
        <f t="shared" si="3"/>
        <v/>
      </c>
      <c r="B447" s="24" t="str">
        <f t="shared" si="4"/>
        <v/>
      </c>
      <c r="C447" s="28"/>
      <c r="D447" s="28"/>
      <c r="E447" s="34"/>
      <c r="F447" s="34"/>
      <c r="G447" s="34"/>
      <c r="H447" s="34"/>
      <c r="I447" s="34"/>
      <c r="J447" s="28" t="str">
        <f>IFERROR(__xludf.DUMMYFUNCTION("iferror(if(I447="""","""",unique(query('tbl driver 2'!$K$2:$L1508,""SELECT L WHERE K = '""&amp;I447&amp;""'""))),"""")"),"")</f>
        <v/>
      </c>
      <c r="K447" s="31"/>
      <c r="L447" s="39"/>
      <c r="M447" s="39"/>
      <c r="N447" s="28" t="str">
        <f>IFERROR(__xludf.DUMMYFUNCTION("IF(OR(C447="""",M447=""""),"""",IFERROR(IF(M447="""","""",query('tbl user'!$A$2:$D1508,""SELECT A WHERE D = '""&amp;M447&amp;""'"")),""USER TIDAK DIKETAHUI""))"),"")</f>
        <v/>
      </c>
    </row>
    <row r="448">
      <c r="A448" s="23" t="str">
        <f t="shared" si="3"/>
        <v/>
      </c>
      <c r="B448" s="24" t="str">
        <f t="shared" si="4"/>
        <v/>
      </c>
      <c r="C448" s="28"/>
      <c r="D448" s="28"/>
      <c r="E448" s="34"/>
      <c r="F448" s="34"/>
      <c r="G448" s="34"/>
      <c r="H448" s="34"/>
      <c r="I448" s="34"/>
      <c r="J448" s="28" t="str">
        <f>IFERROR(__xludf.DUMMYFUNCTION("iferror(if(I448="""","""",unique(query('tbl driver 2'!$K$2:$L1508,""SELECT L WHERE K = '""&amp;I448&amp;""'""))),"""")"),"")</f>
        <v/>
      </c>
      <c r="K448" s="31"/>
      <c r="L448" s="39"/>
      <c r="M448" s="39"/>
      <c r="N448" s="28" t="str">
        <f>IFERROR(__xludf.DUMMYFUNCTION("IF(OR(C448="""",M448=""""),"""",IFERROR(IF(M448="""","""",query('tbl user'!$A$2:$D1508,""SELECT A WHERE D = '""&amp;M448&amp;""'"")),""USER TIDAK DIKETAHUI""))"),"")</f>
        <v/>
      </c>
    </row>
    <row r="449">
      <c r="A449" s="23" t="str">
        <f t="shared" si="3"/>
        <v/>
      </c>
      <c r="B449" s="24" t="str">
        <f t="shared" si="4"/>
        <v/>
      </c>
      <c r="C449" s="28"/>
      <c r="D449" s="28"/>
      <c r="E449" s="34"/>
      <c r="F449" s="34"/>
      <c r="G449" s="34"/>
      <c r="H449" s="34"/>
      <c r="I449" s="34"/>
      <c r="J449" s="28" t="str">
        <f>IFERROR(__xludf.DUMMYFUNCTION("iferror(if(I449="""","""",unique(query('tbl driver 2'!$K$2:$L1508,""SELECT L WHERE K = '""&amp;I449&amp;""'""))),"""")"),"")</f>
        <v/>
      </c>
      <c r="K449" s="31"/>
      <c r="L449" s="39"/>
      <c r="M449" s="39"/>
      <c r="N449" s="28" t="str">
        <f>IFERROR(__xludf.DUMMYFUNCTION("IF(OR(C449="""",M449=""""),"""",IFERROR(IF(M449="""","""",query('tbl user'!$A$2:$D1508,""SELECT A WHERE D = '""&amp;M449&amp;""'"")),""USER TIDAK DIKETAHUI""))"),"")</f>
        <v/>
      </c>
    </row>
    <row r="450">
      <c r="A450" s="23" t="str">
        <f t="shared" si="3"/>
        <v/>
      </c>
      <c r="B450" s="24" t="str">
        <f t="shared" si="4"/>
        <v/>
      </c>
      <c r="C450" s="28"/>
      <c r="D450" s="28"/>
      <c r="E450" s="34"/>
      <c r="F450" s="34"/>
      <c r="G450" s="34"/>
      <c r="H450" s="34"/>
      <c r="I450" s="34"/>
      <c r="J450" s="28" t="str">
        <f>IFERROR(__xludf.DUMMYFUNCTION("iferror(if(I450="""","""",unique(query('tbl driver 2'!$K$2:$L1508,""SELECT L WHERE K = '""&amp;I450&amp;""'""))),"""")"),"")</f>
        <v/>
      </c>
      <c r="K450" s="31"/>
      <c r="L450" s="39"/>
      <c r="M450" s="39"/>
      <c r="N450" s="28" t="str">
        <f>IFERROR(__xludf.DUMMYFUNCTION("IF(OR(C450="""",M450=""""),"""",IFERROR(IF(M450="""","""",query('tbl user'!$A$2:$D1508,""SELECT A WHERE D = '""&amp;M450&amp;""'"")),""USER TIDAK DIKETAHUI""))"),"")</f>
        <v/>
      </c>
    </row>
    <row r="451">
      <c r="A451" s="23" t="str">
        <f t="shared" si="3"/>
        <v/>
      </c>
      <c r="B451" s="24" t="str">
        <f t="shared" si="4"/>
        <v/>
      </c>
      <c r="C451" s="28"/>
      <c r="D451" s="28"/>
      <c r="E451" s="34"/>
      <c r="F451" s="34"/>
      <c r="G451" s="34"/>
      <c r="H451" s="34"/>
      <c r="I451" s="34"/>
      <c r="J451" s="28" t="str">
        <f>IFERROR(__xludf.DUMMYFUNCTION("iferror(if(I451="""","""",unique(query('tbl driver 2'!$K$2:$L1508,""SELECT L WHERE K = '""&amp;I451&amp;""'""))),"""")"),"")</f>
        <v/>
      </c>
      <c r="K451" s="31"/>
      <c r="L451" s="39"/>
      <c r="M451" s="39"/>
      <c r="N451" s="28" t="str">
        <f>IFERROR(__xludf.DUMMYFUNCTION("IF(OR(C451="""",M451=""""),"""",IFERROR(IF(M451="""","""",query('tbl user'!$A$2:$D1508,""SELECT A WHERE D = '""&amp;M451&amp;""'"")),""USER TIDAK DIKETAHUI""))"),"")</f>
        <v/>
      </c>
    </row>
    <row r="452">
      <c r="A452" s="23" t="str">
        <f t="shared" si="3"/>
        <v/>
      </c>
      <c r="B452" s="24" t="str">
        <f t="shared" si="4"/>
        <v/>
      </c>
      <c r="C452" s="28"/>
      <c r="D452" s="28"/>
      <c r="E452" s="34"/>
      <c r="F452" s="34"/>
      <c r="G452" s="34"/>
      <c r="H452" s="34"/>
      <c r="I452" s="34"/>
      <c r="J452" s="28" t="str">
        <f>IFERROR(__xludf.DUMMYFUNCTION("iferror(if(I452="""","""",unique(query('tbl driver 2'!$K$2:$L1508,""SELECT L WHERE K = '""&amp;I452&amp;""'""))),"""")"),"")</f>
        <v/>
      </c>
      <c r="K452" s="31"/>
      <c r="L452" s="39"/>
      <c r="M452" s="39"/>
      <c r="N452" s="28" t="str">
        <f>IFERROR(__xludf.DUMMYFUNCTION("IF(OR(C452="""",M452=""""),"""",IFERROR(IF(M452="""","""",query('tbl user'!$A$2:$D1508,""SELECT A WHERE D = '""&amp;M452&amp;""'"")),""USER TIDAK DIKETAHUI""))"),"")</f>
        <v/>
      </c>
    </row>
    <row r="453">
      <c r="A453" s="23" t="str">
        <f t="shared" si="3"/>
        <v/>
      </c>
      <c r="B453" s="24" t="str">
        <f t="shared" si="4"/>
        <v/>
      </c>
      <c r="C453" s="28"/>
      <c r="D453" s="28"/>
      <c r="E453" s="34"/>
      <c r="F453" s="34"/>
      <c r="G453" s="34"/>
      <c r="H453" s="34"/>
      <c r="I453" s="34"/>
      <c r="J453" s="28" t="str">
        <f>IFERROR(__xludf.DUMMYFUNCTION("iferror(if(I453="""","""",unique(query('tbl driver 2'!$K$2:$L1508,""SELECT L WHERE K = '""&amp;I453&amp;""'""))),"""")"),"")</f>
        <v/>
      </c>
      <c r="K453" s="31"/>
      <c r="L453" s="39"/>
      <c r="M453" s="39"/>
      <c r="N453" s="28" t="str">
        <f>IFERROR(__xludf.DUMMYFUNCTION("IF(OR(C453="""",M453=""""),"""",IFERROR(IF(M453="""","""",query('tbl user'!$A$2:$D1508,""SELECT A WHERE D = '""&amp;M453&amp;""'"")),""USER TIDAK DIKETAHUI""))"),"")</f>
        <v/>
      </c>
    </row>
    <row r="454">
      <c r="A454" s="23" t="str">
        <f t="shared" si="3"/>
        <v/>
      </c>
      <c r="B454" s="24" t="str">
        <f t="shared" si="4"/>
        <v/>
      </c>
      <c r="C454" s="28"/>
      <c r="D454" s="28"/>
      <c r="E454" s="34"/>
      <c r="F454" s="34"/>
      <c r="G454" s="34"/>
      <c r="H454" s="34"/>
      <c r="I454" s="34"/>
      <c r="J454" s="28" t="str">
        <f>IFERROR(__xludf.DUMMYFUNCTION("iferror(if(I454="""","""",unique(query('tbl driver 2'!$K$2:$L1508,""SELECT L WHERE K = '""&amp;I454&amp;""'""))),"""")"),"")</f>
        <v/>
      </c>
      <c r="K454" s="31"/>
      <c r="L454" s="39"/>
      <c r="M454" s="39"/>
      <c r="N454" s="28" t="str">
        <f>IFERROR(__xludf.DUMMYFUNCTION("IF(OR(C454="""",M454=""""),"""",IFERROR(IF(M454="""","""",query('tbl user'!$A$2:$D1508,""SELECT A WHERE D = '""&amp;M454&amp;""'"")),""USER TIDAK DIKETAHUI""))"),"")</f>
        <v/>
      </c>
    </row>
    <row r="455">
      <c r="A455" s="23" t="str">
        <f t="shared" si="3"/>
        <v/>
      </c>
      <c r="B455" s="24" t="str">
        <f t="shared" si="4"/>
        <v/>
      </c>
      <c r="C455" s="28"/>
      <c r="D455" s="28"/>
      <c r="E455" s="34"/>
      <c r="F455" s="34"/>
      <c r="G455" s="34"/>
      <c r="H455" s="34"/>
      <c r="I455" s="34"/>
      <c r="J455" s="28" t="str">
        <f>IFERROR(__xludf.DUMMYFUNCTION("iferror(if(I455="""","""",unique(query('tbl driver 2'!$K$2:$L1508,""SELECT L WHERE K = '""&amp;I455&amp;""'""))),"""")"),"")</f>
        <v/>
      </c>
      <c r="K455" s="31"/>
      <c r="L455" s="39"/>
      <c r="M455" s="39"/>
      <c r="N455" s="28" t="str">
        <f>IFERROR(__xludf.DUMMYFUNCTION("IF(OR(C455="""",M455=""""),"""",IFERROR(IF(M455="""","""",query('tbl user'!$A$2:$D1508,""SELECT A WHERE D = '""&amp;M455&amp;""'"")),""USER TIDAK DIKETAHUI""))"),"")</f>
        <v/>
      </c>
    </row>
    <row r="456">
      <c r="A456" s="23" t="str">
        <f t="shared" si="3"/>
        <v/>
      </c>
      <c r="B456" s="24" t="str">
        <f t="shared" si="4"/>
        <v/>
      </c>
      <c r="C456" s="28"/>
      <c r="D456" s="28"/>
      <c r="E456" s="34"/>
      <c r="F456" s="34"/>
      <c r="G456" s="34"/>
      <c r="H456" s="34"/>
      <c r="I456" s="34"/>
      <c r="J456" s="28" t="str">
        <f>IFERROR(__xludf.DUMMYFUNCTION("iferror(if(I456="""","""",unique(query('tbl driver 2'!$K$2:$L1508,""SELECT L WHERE K = '""&amp;I456&amp;""'""))),"""")"),"")</f>
        <v/>
      </c>
      <c r="K456" s="31"/>
      <c r="L456" s="39"/>
      <c r="M456" s="39"/>
      <c r="N456" s="28" t="str">
        <f>IFERROR(__xludf.DUMMYFUNCTION("IF(OR(C456="""",M456=""""),"""",IFERROR(IF(M456="""","""",query('tbl user'!$A$2:$D1508,""SELECT A WHERE D = '""&amp;M456&amp;""'"")),""USER TIDAK DIKETAHUI""))"),"")</f>
        <v/>
      </c>
    </row>
    <row r="457">
      <c r="A457" s="23" t="str">
        <f t="shared" si="3"/>
        <v/>
      </c>
      <c r="B457" s="24" t="str">
        <f t="shared" si="4"/>
        <v/>
      </c>
      <c r="C457" s="28"/>
      <c r="D457" s="28"/>
      <c r="E457" s="34"/>
      <c r="F457" s="34"/>
      <c r="G457" s="34"/>
      <c r="H457" s="34"/>
      <c r="I457" s="34"/>
      <c r="J457" s="28" t="str">
        <f>IFERROR(__xludf.DUMMYFUNCTION("iferror(if(I457="""","""",unique(query('tbl driver 2'!$K$2:$L1508,""SELECT L WHERE K = '""&amp;I457&amp;""'""))),"""")"),"")</f>
        <v/>
      </c>
      <c r="K457" s="31"/>
      <c r="L457" s="39"/>
      <c r="M457" s="39"/>
      <c r="N457" s="28" t="str">
        <f>IFERROR(__xludf.DUMMYFUNCTION("IF(OR(C457="""",M457=""""),"""",IFERROR(IF(M457="""","""",query('tbl user'!$A$2:$D1508,""SELECT A WHERE D = '""&amp;M457&amp;""'"")),""USER TIDAK DIKETAHUI""))"),"")</f>
        <v/>
      </c>
    </row>
    <row r="458">
      <c r="A458" s="23" t="str">
        <f t="shared" si="3"/>
        <v/>
      </c>
      <c r="B458" s="24" t="str">
        <f t="shared" si="4"/>
        <v/>
      </c>
      <c r="C458" s="28"/>
      <c r="D458" s="28"/>
      <c r="E458" s="34"/>
      <c r="F458" s="34"/>
      <c r="G458" s="34"/>
      <c r="H458" s="34"/>
      <c r="I458" s="34"/>
      <c r="J458" s="28" t="str">
        <f>IFERROR(__xludf.DUMMYFUNCTION("iferror(if(I458="""","""",unique(query('tbl driver 2'!$K$2:$L1508,""SELECT L WHERE K = '""&amp;I458&amp;""'""))),"""")"),"")</f>
        <v/>
      </c>
      <c r="K458" s="31"/>
      <c r="L458" s="39"/>
      <c r="M458" s="39"/>
      <c r="N458" s="28" t="str">
        <f>IFERROR(__xludf.DUMMYFUNCTION("IF(OR(C458="""",M458=""""),"""",IFERROR(IF(M458="""","""",query('tbl user'!$A$2:$D1508,""SELECT A WHERE D = '""&amp;M458&amp;""'"")),""USER TIDAK DIKETAHUI""))"),"")</f>
        <v/>
      </c>
    </row>
    <row r="459">
      <c r="A459" s="23" t="str">
        <f t="shared" si="3"/>
        <v/>
      </c>
      <c r="B459" s="24" t="str">
        <f t="shared" si="4"/>
        <v/>
      </c>
      <c r="C459" s="28"/>
      <c r="D459" s="28"/>
      <c r="E459" s="34"/>
      <c r="F459" s="34"/>
      <c r="G459" s="34"/>
      <c r="H459" s="34"/>
      <c r="I459" s="34"/>
      <c r="J459" s="28" t="str">
        <f>IFERROR(__xludf.DUMMYFUNCTION("iferror(if(I459="""","""",unique(query('tbl driver 2'!$K$2:$L1508,""SELECT L WHERE K = '""&amp;I459&amp;""'""))),"""")"),"")</f>
        <v/>
      </c>
      <c r="K459" s="31"/>
      <c r="L459" s="39"/>
      <c r="M459" s="39"/>
      <c r="N459" s="28" t="str">
        <f>IFERROR(__xludf.DUMMYFUNCTION("IF(OR(C459="""",M459=""""),"""",IFERROR(IF(M459="""","""",query('tbl user'!$A$2:$D1508,""SELECT A WHERE D = '""&amp;M459&amp;""'"")),""USER TIDAK DIKETAHUI""))"),"")</f>
        <v/>
      </c>
    </row>
    <row r="460">
      <c r="A460" s="23" t="str">
        <f t="shared" si="3"/>
        <v/>
      </c>
      <c r="B460" s="24" t="str">
        <f t="shared" si="4"/>
        <v/>
      </c>
      <c r="C460" s="28"/>
      <c r="D460" s="28"/>
      <c r="E460" s="34"/>
      <c r="F460" s="34"/>
      <c r="G460" s="34"/>
      <c r="H460" s="34"/>
      <c r="I460" s="34"/>
      <c r="J460" s="28" t="str">
        <f>IFERROR(__xludf.DUMMYFUNCTION("iferror(if(I460="""","""",unique(query('tbl driver 2'!$K$2:$L1508,""SELECT L WHERE K = '""&amp;I460&amp;""'""))),"""")"),"")</f>
        <v/>
      </c>
      <c r="K460" s="31"/>
      <c r="L460" s="39"/>
      <c r="M460" s="39"/>
      <c r="N460" s="28" t="str">
        <f>IFERROR(__xludf.DUMMYFUNCTION("IF(OR(C460="""",M460=""""),"""",IFERROR(IF(M460="""","""",query('tbl user'!$A$2:$D1508,""SELECT A WHERE D = '""&amp;M460&amp;""'"")),""USER TIDAK DIKETAHUI""))"),"")</f>
        <v/>
      </c>
    </row>
    <row r="461">
      <c r="A461" s="23" t="str">
        <f t="shared" si="3"/>
        <v/>
      </c>
      <c r="B461" s="24" t="str">
        <f t="shared" si="4"/>
        <v/>
      </c>
      <c r="C461" s="28"/>
      <c r="D461" s="28"/>
      <c r="E461" s="34"/>
      <c r="F461" s="34"/>
      <c r="G461" s="34"/>
      <c r="H461" s="34"/>
      <c r="I461" s="34"/>
      <c r="J461" s="28" t="str">
        <f>IFERROR(__xludf.DUMMYFUNCTION("iferror(if(I461="""","""",unique(query('tbl driver 2'!$K$2:$L1508,""SELECT L WHERE K = '""&amp;I461&amp;""'""))),"""")"),"")</f>
        <v/>
      </c>
      <c r="K461" s="31"/>
      <c r="L461" s="39"/>
      <c r="M461" s="39"/>
      <c r="N461" s="28" t="str">
        <f>IFERROR(__xludf.DUMMYFUNCTION("IF(OR(C461="""",M461=""""),"""",IFERROR(IF(M461="""","""",query('tbl user'!$A$2:$D1508,""SELECT A WHERE D = '""&amp;M461&amp;""'"")),""USER TIDAK DIKETAHUI""))"),"")</f>
        <v/>
      </c>
    </row>
    <row r="462">
      <c r="A462" s="23" t="str">
        <f t="shared" si="3"/>
        <v/>
      </c>
      <c r="B462" s="24" t="str">
        <f t="shared" si="4"/>
        <v/>
      </c>
      <c r="C462" s="28"/>
      <c r="D462" s="28"/>
      <c r="E462" s="34"/>
      <c r="F462" s="34"/>
      <c r="G462" s="34"/>
      <c r="H462" s="34"/>
      <c r="I462" s="34"/>
      <c r="J462" s="28" t="str">
        <f>IFERROR(__xludf.DUMMYFUNCTION("iferror(if(I462="""","""",unique(query('tbl driver 2'!$K$2:$L1508,""SELECT L WHERE K = '""&amp;I462&amp;""'""))),"""")"),"")</f>
        <v/>
      </c>
      <c r="K462" s="31"/>
      <c r="L462" s="39"/>
      <c r="M462" s="39"/>
      <c r="N462" s="28" t="str">
        <f>IFERROR(__xludf.DUMMYFUNCTION("IF(OR(C462="""",M462=""""),"""",IFERROR(IF(M462="""","""",query('tbl user'!$A$2:$D1508,""SELECT A WHERE D = '""&amp;M462&amp;""'"")),""USER TIDAK DIKETAHUI""))"),"")</f>
        <v/>
      </c>
    </row>
    <row r="463">
      <c r="A463" s="23" t="str">
        <f t="shared" si="3"/>
        <v/>
      </c>
      <c r="B463" s="24" t="str">
        <f t="shared" si="4"/>
        <v/>
      </c>
      <c r="C463" s="28"/>
      <c r="D463" s="28"/>
      <c r="E463" s="34"/>
      <c r="F463" s="34"/>
      <c r="G463" s="34"/>
      <c r="H463" s="34"/>
      <c r="I463" s="34"/>
      <c r="J463" s="28" t="str">
        <f>IFERROR(__xludf.DUMMYFUNCTION("iferror(if(I463="""","""",unique(query('tbl driver 2'!$K$2:$L1508,""SELECT L WHERE K = '""&amp;I463&amp;""'""))),"""")"),"")</f>
        <v/>
      </c>
      <c r="K463" s="31"/>
      <c r="L463" s="39"/>
      <c r="M463" s="39"/>
      <c r="N463" s="28" t="str">
        <f>IFERROR(__xludf.DUMMYFUNCTION("IF(OR(C463="""",M463=""""),"""",IFERROR(IF(M463="""","""",query('tbl user'!$A$2:$D1508,""SELECT A WHERE D = '""&amp;M463&amp;""'"")),""USER TIDAK DIKETAHUI""))"),"")</f>
        <v/>
      </c>
    </row>
    <row r="464">
      <c r="A464" s="23" t="str">
        <f t="shared" si="3"/>
        <v/>
      </c>
      <c r="B464" s="24" t="str">
        <f t="shared" si="4"/>
        <v/>
      </c>
      <c r="C464" s="28"/>
      <c r="D464" s="28"/>
      <c r="E464" s="34"/>
      <c r="F464" s="34"/>
      <c r="G464" s="34"/>
      <c r="H464" s="34"/>
      <c r="I464" s="34"/>
      <c r="J464" s="28" t="str">
        <f>IFERROR(__xludf.DUMMYFUNCTION("iferror(if(I464="""","""",unique(query('tbl driver 2'!$K$2:$L1508,""SELECT L WHERE K = '""&amp;I464&amp;""'""))),"""")"),"")</f>
        <v/>
      </c>
      <c r="K464" s="31"/>
      <c r="L464" s="39"/>
      <c r="M464" s="39"/>
      <c r="N464" s="28" t="str">
        <f>IFERROR(__xludf.DUMMYFUNCTION("IF(OR(C464="""",M464=""""),"""",IFERROR(IF(M464="""","""",query('tbl user'!$A$2:$D1508,""SELECT A WHERE D = '""&amp;M464&amp;""'"")),""USER TIDAK DIKETAHUI""))"),"")</f>
        <v/>
      </c>
    </row>
    <row r="465">
      <c r="A465" s="23" t="str">
        <f t="shared" si="3"/>
        <v/>
      </c>
      <c r="B465" s="24" t="str">
        <f t="shared" si="4"/>
        <v/>
      </c>
      <c r="C465" s="28"/>
      <c r="D465" s="28"/>
      <c r="E465" s="34"/>
      <c r="F465" s="34"/>
      <c r="G465" s="34"/>
      <c r="H465" s="34"/>
      <c r="I465" s="34"/>
      <c r="J465" s="28" t="str">
        <f>IFERROR(__xludf.DUMMYFUNCTION("iferror(if(I465="""","""",unique(query('tbl driver 2'!$K$2:$L1508,""SELECT L WHERE K = '""&amp;I465&amp;""'""))),"""")"),"")</f>
        <v/>
      </c>
      <c r="K465" s="31"/>
      <c r="L465" s="39"/>
      <c r="M465" s="39"/>
      <c r="N465" s="28" t="str">
        <f>IFERROR(__xludf.DUMMYFUNCTION("IF(OR(C465="""",M465=""""),"""",IFERROR(IF(M465="""","""",query('tbl user'!$A$2:$D1508,""SELECT A WHERE D = '""&amp;M465&amp;""'"")),""USER TIDAK DIKETAHUI""))"),"")</f>
        <v/>
      </c>
    </row>
    <row r="466">
      <c r="A466" s="23" t="str">
        <f t="shared" si="3"/>
        <v/>
      </c>
      <c r="B466" s="24" t="str">
        <f t="shared" si="4"/>
        <v/>
      </c>
      <c r="C466" s="28"/>
      <c r="D466" s="28"/>
      <c r="E466" s="34"/>
      <c r="F466" s="34"/>
      <c r="G466" s="34"/>
      <c r="H466" s="34"/>
      <c r="I466" s="34"/>
      <c r="J466" s="28" t="str">
        <f>IFERROR(__xludf.DUMMYFUNCTION("iferror(if(I466="""","""",unique(query('tbl driver 2'!$K$2:$L1508,""SELECT L WHERE K = '""&amp;I466&amp;""'""))),"""")"),"")</f>
        <v/>
      </c>
      <c r="K466" s="31"/>
      <c r="L466" s="39"/>
      <c r="M466" s="39"/>
      <c r="N466" s="28" t="str">
        <f>IFERROR(__xludf.DUMMYFUNCTION("IF(OR(C466="""",M466=""""),"""",IFERROR(IF(M466="""","""",query('tbl user'!$A$2:$D1508,""SELECT A WHERE D = '""&amp;M466&amp;""'"")),""USER TIDAK DIKETAHUI""))"),"")</f>
        <v/>
      </c>
    </row>
    <row r="467">
      <c r="A467" s="23" t="str">
        <f t="shared" si="3"/>
        <v/>
      </c>
      <c r="B467" s="24" t="str">
        <f t="shared" si="4"/>
        <v/>
      </c>
      <c r="C467" s="28"/>
      <c r="D467" s="28"/>
      <c r="E467" s="34"/>
      <c r="F467" s="34"/>
      <c r="G467" s="34"/>
      <c r="H467" s="34"/>
      <c r="I467" s="34"/>
      <c r="J467" s="28" t="str">
        <f>IFERROR(__xludf.DUMMYFUNCTION("iferror(if(I467="""","""",unique(query('tbl driver 2'!$K$2:$L1508,""SELECT L WHERE K = '""&amp;I467&amp;""'""))),"""")"),"")</f>
        <v/>
      </c>
      <c r="K467" s="31"/>
      <c r="L467" s="39"/>
      <c r="M467" s="39"/>
      <c r="N467" s="28" t="str">
        <f>IFERROR(__xludf.DUMMYFUNCTION("IF(OR(C467="""",M467=""""),"""",IFERROR(IF(M467="""","""",query('tbl user'!$A$2:$D1508,""SELECT A WHERE D = '""&amp;M467&amp;""'"")),""USER TIDAK DIKETAHUI""))"),"")</f>
        <v/>
      </c>
    </row>
    <row r="468">
      <c r="A468" s="23" t="str">
        <f t="shared" si="3"/>
        <v/>
      </c>
      <c r="B468" s="24" t="str">
        <f t="shared" si="4"/>
        <v/>
      </c>
      <c r="C468" s="28"/>
      <c r="D468" s="28"/>
      <c r="E468" s="34"/>
      <c r="F468" s="34"/>
      <c r="G468" s="34"/>
      <c r="H468" s="34"/>
      <c r="I468" s="34"/>
      <c r="J468" s="28" t="str">
        <f>IFERROR(__xludf.DUMMYFUNCTION("iferror(if(I468="""","""",unique(query('tbl driver 2'!$K$2:$L1508,""SELECT L WHERE K = '""&amp;I468&amp;""'""))),"""")"),"")</f>
        <v/>
      </c>
      <c r="K468" s="31"/>
      <c r="L468" s="39"/>
      <c r="M468" s="39"/>
      <c r="N468" s="28" t="str">
        <f>IFERROR(__xludf.DUMMYFUNCTION("IF(OR(C468="""",M468=""""),"""",IFERROR(IF(M468="""","""",query('tbl user'!$A$2:$D1508,""SELECT A WHERE D = '""&amp;M468&amp;""'"")),""USER TIDAK DIKETAHUI""))"),"")</f>
        <v/>
      </c>
    </row>
    <row r="469">
      <c r="A469" s="23" t="str">
        <f t="shared" si="3"/>
        <v/>
      </c>
      <c r="B469" s="24" t="str">
        <f t="shared" si="4"/>
        <v/>
      </c>
      <c r="C469" s="28"/>
      <c r="D469" s="28"/>
      <c r="E469" s="34"/>
      <c r="F469" s="34"/>
      <c r="G469" s="34"/>
      <c r="H469" s="34"/>
      <c r="I469" s="34"/>
      <c r="J469" s="28" t="str">
        <f>IFERROR(__xludf.DUMMYFUNCTION("iferror(if(I469="""","""",unique(query('tbl driver 2'!$K$2:$L1508,""SELECT L WHERE K = '""&amp;I469&amp;""'""))),"""")"),"")</f>
        <v/>
      </c>
      <c r="K469" s="31"/>
      <c r="L469" s="39"/>
      <c r="M469" s="39"/>
      <c r="N469" s="28" t="str">
        <f>IFERROR(__xludf.DUMMYFUNCTION("IF(OR(C469="""",M469=""""),"""",IFERROR(IF(M469="""","""",query('tbl user'!$A$2:$D1508,""SELECT A WHERE D = '""&amp;M469&amp;""'"")),""USER TIDAK DIKETAHUI""))"),"")</f>
        <v/>
      </c>
    </row>
    <row r="470">
      <c r="A470" s="23" t="str">
        <f t="shared" si="3"/>
        <v/>
      </c>
      <c r="B470" s="24" t="str">
        <f t="shared" si="4"/>
        <v/>
      </c>
      <c r="C470" s="28"/>
      <c r="D470" s="28"/>
      <c r="E470" s="34"/>
      <c r="F470" s="34"/>
      <c r="G470" s="34"/>
      <c r="H470" s="34"/>
      <c r="I470" s="34"/>
      <c r="J470" s="28" t="str">
        <f>IFERROR(__xludf.DUMMYFUNCTION("iferror(if(I470="""","""",unique(query('tbl driver 2'!$K$2:$L1508,""SELECT L WHERE K = '""&amp;I470&amp;""'""))),"""")"),"")</f>
        <v/>
      </c>
      <c r="K470" s="31"/>
      <c r="L470" s="39"/>
      <c r="M470" s="39"/>
      <c r="N470" s="28" t="str">
        <f>IFERROR(__xludf.DUMMYFUNCTION("IF(OR(C470="""",M470=""""),"""",IFERROR(IF(M470="""","""",query('tbl user'!$A$2:$D1508,""SELECT A WHERE D = '""&amp;M470&amp;""'"")),""USER TIDAK DIKETAHUI""))"),"")</f>
        <v/>
      </c>
    </row>
    <row r="471">
      <c r="A471" s="23" t="str">
        <f t="shared" si="3"/>
        <v/>
      </c>
      <c r="B471" s="24" t="str">
        <f t="shared" si="4"/>
        <v/>
      </c>
      <c r="C471" s="28"/>
      <c r="D471" s="28"/>
      <c r="E471" s="34"/>
      <c r="F471" s="34"/>
      <c r="G471" s="34"/>
      <c r="H471" s="34"/>
      <c r="I471" s="34"/>
      <c r="J471" s="28" t="str">
        <f>IFERROR(__xludf.DUMMYFUNCTION("iferror(if(I471="""","""",unique(query('tbl driver 2'!$K$2:$L1508,""SELECT L WHERE K = '""&amp;I471&amp;""'""))),"""")"),"")</f>
        <v/>
      </c>
      <c r="K471" s="31"/>
      <c r="L471" s="39"/>
      <c r="M471" s="39"/>
      <c r="N471" s="28" t="str">
        <f>IFERROR(__xludf.DUMMYFUNCTION("IF(OR(C471="""",M471=""""),"""",IFERROR(IF(M471="""","""",query('tbl user'!$A$2:$D1508,""SELECT A WHERE D = '""&amp;M471&amp;""'"")),""USER TIDAK DIKETAHUI""))"),"")</f>
        <v/>
      </c>
    </row>
    <row r="472">
      <c r="A472" s="23" t="str">
        <f t="shared" si="3"/>
        <v/>
      </c>
      <c r="B472" s="24" t="str">
        <f t="shared" si="4"/>
        <v/>
      </c>
      <c r="C472" s="28"/>
      <c r="D472" s="28"/>
      <c r="E472" s="34"/>
      <c r="F472" s="34"/>
      <c r="G472" s="34"/>
      <c r="H472" s="34"/>
      <c r="I472" s="34"/>
      <c r="J472" s="28" t="str">
        <f>IFERROR(__xludf.DUMMYFUNCTION("iferror(if(I472="""","""",unique(query('tbl driver 2'!$K$2:$L1508,""SELECT L WHERE K = '""&amp;I472&amp;""'""))),"""")"),"")</f>
        <v/>
      </c>
      <c r="K472" s="31"/>
      <c r="L472" s="39"/>
      <c r="M472" s="39"/>
      <c r="N472" s="28" t="str">
        <f>IFERROR(__xludf.DUMMYFUNCTION("IF(OR(C472="""",M472=""""),"""",IFERROR(IF(M472="""","""",query('tbl user'!$A$2:$D1508,""SELECT A WHERE D = '""&amp;M472&amp;""'"")),""USER TIDAK DIKETAHUI""))"),"")</f>
        <v/>
      </c>
    </row>
    <row r="473">
      <c r="A473" s="23" t="str">
        <f t="shared" si="3"/>
        <v/>
      </c>
      <c r="B473" s="24" t="str">
        <f t="shared" si="4"/>
        <v/>
      </c>
      <c r="C473" s="28"/>
      <c r="D473" s="28"/>
      <c r="E473" s="34"/>
      <c r="F473" s="34"/>
      <c r="G473" s="34"/>
      <c r="H473" s="34"/>
      <c r="I473" s="34"/>
      <c r="J473" s="28" t="str">
        <f>IFERROR(__xludf.DUMMYFUNCTION("iferror(if(I473="""","""",unique(query('tbl driver 2'!$K$2:$L1508,""SELECT L WHERE K = '""&amp;I473&amp;""'""))),"""")"),"")</f>
        <v/>
      </c>
      <c r="K473" s="31"/>
      <c r="L473" s="39"/>
      <c r="M473" s="39"/>
      <c r="N473" s="28" t="str">
        <f>IFERROR(__xludf.DUMMYFUNCTION("IF(OR(C473="""",M473=""""),"""",IFERROR(IF(M473="""","""",query('tbl user'!$A$2:$D1508,""SELECT A WHERE D = '""&amp;M473&amp;""'"")),""USER TIDAK DIKETAHUI""))"),"")</f>
        <v/>
      </c>
    </row>
    <row r="474">
      <c r="A474" s="23" t="str">
        <f t="shared" si="3"/>
        <v/>
      </c>
      <c r="B474" s="24" t="str">
        <f t="shared" si="4"/>
        <v/>
      </c>
      <c r="C474" s="28"/>
      <c r="D474" s="28"/>
      <c r="E474" s="34"/>
      <c r="F474" s="34"/>
      <c r="G474" s="34"/>
      <c r="H474" s="34"/>
      <c r="I474" s="34"/>
      <c r="J474" s="28" t="str">
        <f>IFERROR(__xludf.DUMMYFUNCTION("iferror(if(I474="""","""",unique(query('tbl driver 2'!$K$2:$L1508,""SELECT L WHERE K = '""&amp;I474&amp;""'""))),"""")"),"")</f>
        <v/>
      </c>
      <c r="K474" s="31"/>
      <c r="L474" s="39"/>
      <c r="M474" s="39"/>
      <c r="N474" s="28" t="str">
        <f>IFERROR(__xludf.DUMMYFUNCTION("IF(OR(C474="""",M474=""""),"""",IFERROR(IF(M474="""","""",query('tbl user'!$A$2:$D1508,""SELECT A WHERE D = '""&amp;M474&amp;""'"")),""USER TIDAK DIKETAHUI""))"),"")</f>
        <v/>
      </c>
    </row>
    <row r="475">
      <c r="A475" s="23" t="str">
        <f t="shared" si="3"/>
        <v/>
      </c>
      <c r="B475" s="24" t="str">
        <f t="shared" si="4"/>
        <v/>
      </c>
      <c r="C475" s="28"/>
      <c r="D475" s="28"/>
      <c r="E475" s="34"/>
      <c r="F475" s="34"/>
      <c r="G475" s="34"/>
      <c r="H475" s="34"/>
      <c r="I475" s="34"/>
      <c r="J475" s="28" t="str">
        <f>IFERROR(__xludf.DUMMYFUNCTION("iferror(if(I475="""","""",unique(query('tbl driver 2'!$K$2:$L1508,""SELECT L WHERE K = '""&amp;I475&amp;""'""))),"""")"),"")</f>
        <v/>
      </c>
      <c r="K475" s="31"/>
      <c r="L475" s="39"/>
      <c r="M475" s="39"/>
      <c r="N475" s="28" t="str">
        <f>IFERROR(__xludf.DUMMYFUNCTION("IF(OR(C475="""",M475=""""),"""",IFERROR(IF(M475="""","""",query('tbl user'!$A$2:$D1508,""SELECT A WHERE D = '""&amp;M475&amp;""'"")),""USER TIDAK DIKETAHUI""))"),"")</f>
        <v/>
      </c>
    </row>
    <row r="476">
      <c r="A476" s="23" t="str">
        <f t="shared" si="3"/>
        <v/>
      </c>
      <c r="B476" s="24" t="str">
        <f t="shared" si="4"/>
        <v/>
      </c>
      <c r="C476" s="28"/>
      <c r="D476" s="28"/>
      <c r="E476" s="34"/>
      <c r="F476" s="34"/>
      <c r="G476" s="34"/>
      <c r="H476" s="34"/>
      <c r="I476" s="34"/>
      <c r="J476" s="28" t="str">
        <f>IFERROR(__xludf.DUMMYFUNCTION("iferror(if(I476="""","""",unique(query('tbl driver 2'!$K$2:$L1508,""SELECT L WHERE K = '""&amp;I476&amp;""'""))),"""")"),"")</f>
        <v/>
      </c>
      <c r="K476" s="31"/>
      <c r="L476" s="39"/>
      <c r="M476" s="39"/>
      <c r="N476" s="28" t="str">
        <f>IFERROR(__xludf.DUMMYFUNCTION("IF(OR(C476="""",M476=""""),"""",IFERROR(IF(M476="""","""",query('tbl user'!$A$2:$D1508,""SELECT A WHERE D = '""&amp;M476&amp;""'"")),""USER TIDAK DIKETAHUI""))"),"")</f>
        <v/>
      </c>
    </row>
    <row r="477">
      <c r="A477" s="23" t="str">
        <f t="shared" si="3"/>
        <v/>
      </c>
      <c r="B477" s="24" t="str">
        <f t="shared" si="4"/>
        <v/>
      </c>
      <c r="C477" s="28"/>
      <c r="D477" s="28"/>
      <c r="E477" s="34"/>
      <c r="F477" s="34"/>
      <c r="G477" s="34"/>
      <c r="H477" s="34"/>
      <c r="I477" s="34"/>
      <c r="J477" s="28" t="str">
        <f>IFERROR(__xludf.DUMMYFUNCTION("iferror(if(I477="""","""",unique(query('tbl driver 2'!$K$2:$L1508,""SELECT L WHERE K = '""&amp;I477&amp;""'""))),"""")"),"")</f>
        <v/>
      </c>
      <c r="K477" s="31"/>
      <c r="L477" s="39"/>
      <c r="M477" s="39"/>
      <c r="N477" s="28" t="str">
        <f>IFERROR(__xludf.DUMMYFUNCTION("IF(OR(C477="""",M477=""""),"""",IFERROR(IF(M477="""","""",query('tbl user'!$A$2:$D1508,""SELECT A WHERE D = '""&amp;M477&amp;""'"")),""USER TIDAK DIKETAHUI""))"),"")</f>
        <v/>
      </c>
    </row>
    <row r="478">
      <c r="A478" s="23" t="str">
        <f t="shared" si="3"/>
        <v/>
      </c>
      <c r="B478" s="24" t="str">
        <f t="shared" si="4"/>
        <v/>
      </c>
      <c r="C478" s="28"/>
      <c r="D478" s="28"/>
      <c r="E478" s="34"/>
      <c r="F478" s="34"/>
      <c r="G478" s="34"/>
      <c r="H478" s="34"/>
      <c r="I478" s="34"/>
      <c r="J478" s="28" t="str">
        <f>IFERROR(__xludf.DUMMYFUNCTION("iferror(if(I478="""","""",unique(query('tbl driver 2'!$K$2:$L1508,""SELECT L WHERE K = '""&amp;I478&amp;""'""))),"""")"),"")</f>
        <v/>
      </c>
      <c r="K478" s="31"/>
      <c r="L478" s="39"/>
      <c r="M478" s="39"/>
      <c r="N478" s="28" t="str">
        <f>IFERROR(__xludf.DUMMYFUNCTION("IF(OR(C478="""",M478=""""),"""",IFERROR(IF(M478="""","""",query('tbl user'!$A$2:$D1508,""SELECT A WHERE D = '""&amp;M478&amp;""'"")),""USER TIDAK DIKETAHUI""))"),"")</f>
        <v/>
      </c>
    </row>
    <row r="479">
      <c r="A479" s="23" t="str">
        <f t="shared" si="3"/>
        <v/>
      </c>
      <c r="B479" s="24" t="str">
        <f t="shared" si="4"/>
        <v/>
      </c>
      <c r="C479" s="28"/>
      <c r="D479" s="28"/>
      <c r="E479" s="34"/>
      <c r="F479" s="34"/>
      <c r="G479" s="34"/>
      <c r="H479" s="34"/>
      <c r="I479" s="34"/>
      <c r="J479" s="28" t="str">
        <f>IFERROR(__xludf.DUMMYFUNCTION("iferror(if(I479="""","""",unique(query('tbl driver 2'!$K$2:$L1508,""SELECT L WHERE K = '""&amp;I479&amp;""'""))),"""")"),"")</f>
        <v/>
      </c>
      <c r="K479" s="31"/>
      <c r="L479" s="39"/>
      <c r="M479" s="39"/>
      <c r="N479" s="28" t="str">
        <f>IFERROR(__xludf.DUMMYFUNCTION("IF(OR(C479="""",M479=""""),"""",IFERROR(IF(M479="""","""",query('tbl user'!$A$2:$D1508,""SELECT A WHERE D = '""&amp;M479&amp;""'"")),""USER TIDAK DIKETAHUI""))"),"")</f>
        <v/>
      </c>
    </row>
    <row r="480">
      <c r="A480" s="23" t="str">
        <f t="shared" si="3"/>
        <v/>
      </c>
      <c r="B480" s="24" t="str">
        <f t="shared" si="4"/>
        <v/>
      </c>
      <c r="C480" s="28"/>
      <c r="D480" s="28"/>
      <c r="E480" s="34"/>
      <c r="F480" s="34"/>
      <c r="G480" s="34"/>
      <c r="H480" s="34"/>
      <c r="I480" s="34"/>
      <c r="J480" s="28" t="str">
        <f>IFERROR(__xludf.DUMMYFUNCTION("iferror(if(I480="""","""",unique(query('tbl driver 2'!$K$2:$L1508,""SELECT L WHERE K = '""&amp;I480&amp;""'""))),"""")"),"")</f>
        <v/>
      </c>
      <c r="K480" s="31"/>
      <c r="L480" s="39"/>
      <c r="M480" s="39"/>
      <c r="N480" s="28" t="str">
        <f>IFERROR(__xludf.DUMMYFUNCTION("IF(OR(C480="""",M480=""""),"""",IFERROR(IF(M480="""","""",query('tbl user'!$A$2:$D1508,""SELECT A WHERE D = '""&amp;M480&amp;""'"")),""USER TIDAK DIKETAHUI""))"),"")</f>
        <v/>
      </c>
    </row>
    <row r="481">
      <c r="A481" s="23" t="str">
        <f t="shared" si="3"/>
        <v/>
      </c>
      <c r="B481" s="24" t="str">
        <f t="shared" si="4"/>
        <v/>
      </c>
      <c r="C481" s="28"/>
      <c r="D481" s="28"/>
      <c r="E481" s="34"/>
      <c r="F481" s="34"/>
      <c r="G481" s="34"/>
      <c r="H481" s="34"/>
      <c r="I481" s="34"/>
      <c r="J481" s="28" t="str">
        <f>IFERROR(__xludf.DUMMYFUNCTION("iferror(if(I481="""","""",unique(query('tbl driver 2'!$K$2:$L1508,""SELECT L WHERE K = '""&amp;I481&amp;""'""))),"""")"),"")</f>
        <v/>
      </c>
      <c r="K481" s="31"/>
      <c r="L481" s="39"/>
      <c r="M481" s="39"/>
      <c r="N481" s="28" t="str">
        <f>IFERROR(__xludf.DUMMYFUNCTION("IF(OR(C481="""",M481=""""),"""",IFERROR(IF(M481="""","""",query('tbl user'!$A$2:$D1508,""SELECT A WHERE D = '""&amp;M481&amp;""'"")),""USER TIDAK DIKETAHUI""))"),"")</f>
        <v/>
      </c>
    </row>
    <row r="482">
      <c r="A482" s="23" t="str">
        <f t="shared" si="3"/>
        <v/>
      </c>
      <c r="B482" s="24" t="str">
        <f t="shared" si="4"/>
        <v/>
      </c>
      <c r="C482" s="28"/>
      <c r="D482" s="28"/>
      <c r="E482" s="34"/>
      <c r="F482" s="34"/>
      <c r="G482" s="34"/>
      <c r="H482" s="34"/>
      <c r="I482" s="34"/>
      <c r="J482" s="28" t="str">
        <f>IFERROR(__xludf.DUMMYFUNCTION("iferror(if(I482="""","""",unique(query('tbl driver 2'!$K$2:$L1508,""SELECT L WHERE K = '""&amp;I482&amp;""'""))),"""")"),"")</f>
        <v/>
      </c>
      <c r="K482" s="31"/>
      <c r="L482" s="39"/>
      <c r="M482" s="39"/>
      <c r="N482" s="28" t="str">
        <f>IFERROR(__xludf.DUMMYFUNCTION("IF(OR(C482="""",M482=""""),"""",IFERROR(IF(M482="""","""",query('tbl user'!$A$2:$D1508,""SELECT A WHERE D = '""&amp;M482&amp;""'"")),""USER TIDAK DIKETAHUI""))"),"")</f>
        <v/>
      </c>
    </row>
    <row r="483">
      <c r="A483" s="23" t="str">
        <f t="shared" si="3"/>
        <v/>
      </c>
      <c r="B483" s="24" t="str">
        <f t="shared" si="4"/>
        <v/>
      </c>
      <c r="C483" s="28"/>
      <c r="D483" s="28"/>
      <c r="E483" s="34"/>
      <c r="F483" s="34"/>
      <c r="G483" s="34"/>
      <c r="H483" s="34"/>
      <c r="I483" s="34"/>
      <c r="J483" s="28" t="str">
        <f>IFERROR(__xludf.DUMMYFUNCTION("iferror(if(I483="""","""",unique(query('tbl driver 2'!$K$2:$L1508,""SELECT L WHERE K = '""&amp;I483&amp;""'""))),"""")"),"")</f>
        <v/>
      </c>
      <c r="K483" s="31"/>
      <c r="L483" s="39"/>
      <c r="M483" s="39"/>
      <c r="N483" s="28" t="str">
        <f>IFERROR(__xludf.DUMMYFUNCTION("IF(OR(C483="""",M483=""""),"""",IFERROR(IF(M483="""","""",query('tbl user'!$A$2:$D1508,""SELECT A WHERE D = '""&amp;M483&amp;""'"")),""USER TIDAK DIKETAHUI""))"),"")</f>
        <v/>
      </c>
    </row>
    <row r="484">
      <c r="A484" s="23" t="str">
        <f t="shared" si="3"/>
        <v/>
      </c>
      <c r="B484" s="24" t="str">
        <f t="shared" si="4"/>
        <v/>
      </c>
      <c r="C484" s="28"/>
      <c r="D484" s="28"/>
      <c r="E484" s="34"/>
      <c r="F484" s="34"/>
      <c r="G484" s="34"/>
      <c r="H484" s="34"/>
      <c r="I484" s="34"/>
      <c r="J484" s="28" t="str">
        <f>IFERROR(__xludf.DUMMYFUNCTION("iferror(if(I484="""","""",unique(query('tbl driver 2'!$K$2:$L1508,""SELECT L WHERE K = '""&amp;I484&amp;""'""))),"""")"),"")</f>
        <v/>
      </c>
      <c r="K484" s="31"/>
      <c r="L484" s="39"/>
      <c r="M484" s="39"/>
      <c r="N484" s="28" t="str">
        <f>IFERROR(__xludf.DUMMYFUNCTION("IF(OR(C484="""",M484=""""),"""",IFERROR(IF(M484="""","""",query('tbl user'!$A$2:$D1508,""SELECT A WHERE D = '""&amp;M484&amp;""'"")),""USER TIDAK DIKETAHUI""))"),"")</f>
        <v/>
      </c>
    </row>
    <row r="485">
      <c r="A485" s="23" t="str">
        <f t="shared" si="3"/>
        <v/>
      </c>
      <c r="B485" s="24" t="str">
        <f t="shared" si="4"/>
        <v/>
      </c>
      <c r="C485" s="28"/>
      <c r="D485" s="28"/>
      <c r="E485" s="34"/>
      <c r="F485" s="34"/>
      <c r="G485" s="34"/>
      <c r="H485" s="34"/>
      <c r="I485" s="34"/>
      <c r="J485" s="28" t="str">
        <f>IFERROR(__xludf.DUMMYFUNCTION("iferror(if(I485="""","""",unique(query('tbl driver 2'!$K$2:$L1508,""SELECT L WHERE K = '""&amp;I485&amp;""'""))),"""")"),"")</f>
        <v/>
      </c>
      <c r="K485" s="31"/>
      <c r="L485" s="39"/>
      <c r="M485" s="39"/>
      <c r="N485" s="28" t="str">
        <f>IFERROR(__xludf.DUMMYFUNCTION("IF(OR(C485="""",M485=""""),"""",IFERROR(IF(M485="""","""",query('tbl user'!$A$2:$D1508,""SELECT A WHERE D = '""&amp;M485&amp;""'"")),""USER TIDAK DIKETAHUI""))"),"")</f>
        <v/>
      </c>
    </row>
    <row r="486">
      <c r="A486" s="23" t="str">
        <f t="shared" si="3"/>
        <v/>
      </c>
      <c r="B486" s="24" t="str">
        <f t="shared" si="4"/>
        <v/>
      </c>
      <c r="C486" s="28"/>
      <c r="D486" s="28"/>
      <c r="E486" s="34"/>
      <c r="F486" s="34"/>
      <c r="G486" s="34"/>
      <c r="H486" s="34"/>
      <c r="I486" s="34"/>
      <c r="J486" s="28" t="str">
        <f>IFERROR(__xludf.DUMMYFUNCTION("iferror(if(I486="""","""",unique(query('tbl driver 2'!$K$2:$L1508,""SELECT L WHERE K = '""&amp;I486&amp;""'""))),"""")"),"")</f>
        <v/>
      </c>
      <c r="K486" s="31"/>
      <c r="L486" s="39"/>
      <c r="M486" s="39"/>
      <c r="N486" s="28" t="str">
        <f>IFERROR(__xludf.DUMMYFUNCTION("IF(OR(C486="""",M486=""""),"""",IFERROR(IF(M486="""","""",query('tbl user'!$A$2:$D1508,""SELECT A WHERE D = '""&amp;M486&amp;""'"")),""USER TIDAK DIKETAHUI""))"),"")</f>
        <v/>
      </c>
    </row>
    <row r="487">
      <c r="A487" s="23" t="str">
        <f t="shared" si="3"/>
        <v/>
      </c>
      <c r="B487" s="24" t="str">
        <f t="shared" si="4"/>
        <v/>
      </c>
      <c r="C487" s="28"/>
      <c r="D487" s="28"/>
      <c r="E487" s="34"/>
      <c r="F487" s="34"/>
      <c r="G487" s="34"/>
      <c r="H487" s="34"/>
      <c r="I487" s="34"/>
      <c r="J487" s="28" t="str">
        <f>IFERROR(__xludf.DUMMYFUNCTION("iferror(if(I487="""","""",unique(query('tbl driver 2'!$K$2:$L1508,""SELECT L WHERE K = '""&amp;I487&amp;""'""))),"""")"),"")</f>
        <v/>
      </c>
      <c r="K487" s="31"/>
      <c r="L487" s="39"/>
      <c r="M487" s="39"/>
      <c r="N487" s="28" t="str">
        <f>IFERROR(__xludf.DUMMYFUNCTION("IF(OR(C487="""",M487=""""),"""",IFERROR(IF(M487="""","""",query('tbl user'!$A$2:$D1508,""SELECT A WHERE D = '""&amp;M487&amp;""'"")),""USER TIDAK DIKETAHUI""))"),"")</f>
        <v/>
      </c>
    </row>
    <row r="488">
      <c r="A488" s="23" t="str">
        <f t="shared" si="3"/>
        <v/>
      </c>
      <c r="B488" s="24" t="str">
        <f t="shared" si="4"/>
        <v/>
      </c>
      <c r="C488" s="28"/>
      <c r="D488" s="28"/>
      <c r="E488" s="34"/>
      <c r="F488" s="34"/>
      <c r="G488" s="34"/>
      <c r="H488" s="34"/>
      <c r="I488" s="34"/>
      <c r="J488" s="28" t="str">
        <f>IFERROR(__xludf.DUMMYFUNCTION("iferror(if(I488="""","""",unique(query('tbl driver 2'!$K$2:$L1508,""SELECT L WHERE K = '""&amp;I488&amp;""'""))),"""")"),"")</f>
        <v/>
      </c>
      <c r="K488" s="31"/>
      <c r="L488" s="39"/>
      <c r="M488" s="39"/>
      <c r="N488" s="28" t="str">
        <f>IFERROR(__xludf.DUMMYFUNCTION("IF(OR(C488="""",M488=""""),"""",IFERROR(IF(M488="""","""",query('tbl user'!$A$2:$D1508,""SELECT A WHERE D = '""&amp;M488&amp;""'"")),""USER TIDAK DIKETAHUI""))"),"")</f>
        <v/>
      </c>
    </row>
    <row r="489">
      <c r="A489" s="23" t="str">
        <f t="shared" si="3"/>
        <v/>
      </c>
      <c r="B489" s="24" t="str">
        <f t="shared" si="4"/>
        <v/>
      </c>
      <c r="C489" s="28"/>
      <c r="D489" s="28"/>
      <c r="E489" s="34"/>
      <c r="F489" s="34"/>
      <c r="G489" s="34"/>
      <c r="H489" s="34"/>
      <c r="I489" s="34"/>
      <c r="J489" s="28" t="str">
        <f>IFERROR(__xludf.DUMMYFUNCTION("iferror(if(I489="""","""",unique(query('tbl driver 2'!$K$2:$L1508,""SELECT L WHERE K = '""&amp;I489&amp;""'""))),"""")"),"")</f>
        <v/>
      </c>
      <c r="K489" s="31"/>
      <c r="L489" s="39"/>
      <c r="M489" s="39"/>
      <c r="N489" s="28" t="str">
        <f>IFERROR(__xludf.DUMMYFUNCTION("IF(OR(C489="""",M489=""""),"""",IFERROR(IF(M489="""","""",query('tbl user'!$A$2:$D1508,""SELECT A WHERE D = '""&amp;M489&amp;""'"")),""USER TIDAK DIKETAHUI""))"),"")</f>
        <v/>
      </c>
    </row>
    <row r="490">
      <c r="A490" s="23" t="str">
        <f t="shared" si="3"/>
        <v/>
      </c>
      <c r="B490" s="24" t="str">
        <f t="shared" si="4"/>
        <v/>
      </c>
      <c r="C490" s="28"/>
      <c r="D490" s="28"/>
      <c r="E490" s="34"/>
      <c r="F490" s="34"/>
      <c r="G490" s="34"/>
      <c r="H490" s="34"/>
      <c r="I490" s="34"/>
      <c r="J490" s="28" t="str">
        <f>IFERROR(__xludf.DUMMYFUNCTION("iferror(if(I490="""","""",unique(query('tbl driver 2'!$K$2:$L1508,""SELECT L WHERE K = '""&amp;I490&amp;""'""))),"""")"),"")</f>
        <v/>
      </c>
      <c r="K490" s="31"/>
      <c r="L490" s="39"/>
      <c r="M490" s="39"/>
      <c r="N490" s="28" t="str">
        <f>IFERROR(__xludf.DUMMYFUNCTION("IF(OR(C490="""",M490=""""),"""",IFERROR(IF(M490="""","""",query('tbl user'!$A$2:$D1508,""SELECT A WHERE D = '""&amp;M490&amp;""'"")),""USER TIDAK DIKETAHUI""))"),"")</f>
        <v/>
      </c>
    </row>
    <row r="491">
      <c r="A491" s="23" t="str">
        <f t="shared" si="3"/>
        <v/>
      </c>
      <c r="B491" s="24" t="str">
        <f t="shared" si="4"/>
        <v/>
      </c>
      <c r="C491" s="28"/>
      <c r="D491" s="28"/>
      <c r="E491" s="34"/>
      <c r="F491" s="34"/>
      <c r="G491" s="34"/>
      <c r="H491" s="34"/>
      <c r="I491" s="34"/>
      <c r="J491" s="28" t="str">
        <f>IFERROR(__xludf.DUMMYFUNCTION("iferror(if(I491="""","""",unique(query('tbl driver 2'!$K$2:$L1508,""SELECT L WHERE K = '""&amp;I491&amp;""'""))),"""")"),"")</f>
        <v/>
      </c>
      <c r="K491" s="31"/>
      <c r="L491" s="39"/>
      <c r="M491" s="39"/>
      <c r="N491" s="28" t="str">
        <f>IFERROR(__xludf.DUMMYFUNCTION("IF(OR(C491="""",M491=""""),"""",IFERROR(IF(M491="""","""",query('tbl user'!$A$2:$D1508,""SELECT A WHERE D = '""&amp;M491&amp;""'"")),""USER TIDAK DIKETAHUI""))"),"")</f>
        <v/>
      </c>
    </row>
    <row r="492">
      <c r="A492" s="23" t="str">
        <f t="shared" si="3"/>
        <v/>
      </c>
      <c r="B492" s="24" t="str">
        <f t="shared" si="4"/>
        <v/>
      </c>
      <c r="C492" s="28"/>
      <c r="D492" s="28"/>
      <c r="E492" s="34"/>
      <c r="F492" s="34"/>
      <c r="G492" s="34"/>
      <c r="H492" s="34"/>
      <c r="I492" s="34"/>
      <c r="J492" s="28" t="str">
        <f>IFERROR(__xludf.DUMMYFUNCTION("iferror(if(I492="""","""",unique(query('tbl driver 2'!$K$2:$L1508,""SELECT L WHERE K = '""&amp;I492&amp;""'""))),"""")"),"")</f>
        <v/>
      </c>
      <c r="K492" s="31"/>
      <c r="L492" s="39"/>
      <c r="M492" s="39"/>
      <c r="N492" s="28" t="str">
        <f>IFERROR(__xludf.DUMMYFUNCTION("IF(OR(C492="""",M492=""""),"""",IFERROR(IF(M492="""","""",query('tbl user'!$A$2:$D1508,""SELECT A WHERE D = '""&amp;M492&amp;""'"")),""USER TIDAK DIKETAHUI""))"),"")</f>
        <v/>
      </c>
    </row>
    <row r="493">
      <c r="A493" s="23" t="str">
        <f t="shared" si="3"/>
        <v/>
      </c>
      <c r="B493" s="24" t="str">
        <f t="shared" si="4"/>
        <v/>
      </c>
      <c r="C493" s="28"/>
      <c r="D493" s="28"/>
      <c r="E493" s="34"/>
      <c r="F493" s="34"/>
      <c r="G493" s="34"/>
      <c r="H493" s="34"/>
      <c r="I493" s="34"/>
      <c r="J493" s="28" t="str">
        <f>IFERROR(__xludf.DUMMYFUNCTION("iferror(if(I493="""","""",unique(query('tbl driver 2'!$K$2:$L1508,""SELECT L WHERE K = '""&amp;I493&amp;""'""))),"""")"),"")</f>
        <v/>
      </c>
      <c r="K493" s="31"/>
      <c r="L493" s="39"/>
      <c r="M493" s="39"/>
      <c r="N493" s="28" t="str">
        <f>IFERROR(__xludf.DUMMYFUNCTION("IF(OR(C493="""",M493=""""),"""",IFERROR(IF(M493="""","""",query('tbl user'!$A$2:$D1508,""SELECT A WHERE D = '""&amp;M493&amp;""'"")),""USER TIDAK DIKETAHUI""))"),"")</f>
        <v/>
      </c>
    </row>
    <row r="494">
      <c r="A494" s="23" t="str">
        <f t="shared" si="3"/>
        <v/>
      </c>
      <c r="B494" s="24" t="str">
        <f t="shared" si="4"/>
        <v/>
      </c>
      <c r="C494" s="28"/>
      <c r="D494" s="28"/>
      <c r="E494" s="34"/>
      <c r="F494" s="34"/>
      <c r="G494" s="34"/>
      <c r="H494" s="34"/>
      <c r="I494" s="34"/>
      <c r="J494" s="28" t="str">
        <f>IFERROR(__xludf.DUMMYFUNCTION("iferror(if(I494="""","""",unique(query('tbl driver 2'!$K$2:$L1508,""SELECT L WHERE K = '""&amp;I494&amp;""'""))),"""")"),"")</f>
        <v/>
      </c>
      <c r="K494" s="31"/>
      <c r="L494" s="39"/>
      <c r="M494" s="39"/>
      <c r="N494" s="28" t="str">
        <f>IFERROR(__xludf.DUMMYFUNCTION("IF(OR(C494="""",M494=""""),"""",IFERROR(IF(M494="""","""",query('tbl user'!$A$2:$D1508,""SELECT A WHERE D = '""&amp;M494&amp;""'"")),""USER TIDAK DIKETAHUI""))"),"")</f>
        <v/>
      </c>
    </row>
    <row r="495">
      <c r="A495" s="23" t="str">
        <f t="shared" si="3"/>
        <v/>
      </c>
      <c r="B495" s="24" t="str">
        <f t="shared" si="4"/>
        <v/>
      </c>
      <c r="C495" s="28"/>
      <c r="D495" s="28"/>
      <c r="E495" s="34"/>
      <c r="F495" s="34"/>
      <c r="G495" s="34"/>
      <c r="H495" s="34"/>
      <c r="I495" s="34"/>
      <c r="J495" s="28" t="str">
        <f>IFERROR(__xludf.DUMMYFUNCTION("iferror(if(I495="""","""",unique(query('tbl driver 2'!$K$2:$L1508,""SELECT L WHERE K = '""&amp;I495&amp;""'""))),"""")"),"")</f>
        <v/>
      </c>
      <c r="K495" s="31"/>
      <c r="L495" s="39"/>
      <c r="M495" s="39"/>
      <c r="N495" s="28" t="str">
        <f>IFERROR(__xludf.DUMMYFUNCTION("IF(OR(C495="""",M495=""""),"""",IFERROR(IF(M495="""","""",query('tbl user'!$A$2:$D1508,""SELECT A WHERE D = '""&amp;M495&amp;""'"")),""USER TIDAK DIKETAHUI""))"),"")</f>
        <v/>
      </c>
    </row>
    <row r="496">
      <c r="A496" s="23" t="str">
        <f t="shared" si="3"/>
        <v/>
      </c>
      <c r="B496" s="24" t="str">
        <f t="shared" si="4"/>
        <v/>
      </c>
      <c r="C496" s="28"/>
      <c r="D496" s="28"/>
      <c r="E496" s="34"/>
      <c r="F496" s="34"/>
      <c r="G496" s="34"/>
      <c r="H496" s="34"/>
      <c r="I496" s="34"/>
      <c r="J496" s="28" t="str">
        <f>IFERROR(__xludf.DUMMYFUNCTION("iferror(if(I496="""","""",unique(query('tbl driver 2'!$K$2:$L1508,""SELECT L WHERE K = '""&amp;I496&amp;""'""))),"""")"),"")</f>
        <v/>
      </c>
      <c r="K496" s="31"/>
      <c r="L496" s="39"/>
      <c r="M496" s="39"/>
      <c r="N496" s="28" t="str">
        <f>IFERROR(__xludf.DUMMYFUNCTION("IF(OR(C496="""",M496=""""),"""",IFERROR(IF(M496="""","""",query('tbl user'!$A$2:$D1508,""SELECT A WHERE D = '""&amp;M496&amp;""'"")),""USER TIDAK DIKETAHUI""))"),"")</f>
        <v/>
      </c>
    </row>
    <row r="497">
      <c r="A497" s="23" t="str">
        <f t="shared" si="3"/>
        <v/>
      </c>
      <c r="B497" s="24" t="str">
        <f t="shared" si="4"/>
        <v/>
      </c>
      <c r="C497" s="28"/>
      <c r="D497" s="28"/>
      <c r="E497" s="34"/>
      <c r="F497" s="34"/>
      <c r="G497" s="34"/>
      <c r="H497" s="34"/>
      <c r="I497" s="34"/>
      <c r="J497" s="28" t="str">
        <f>IFERROR(__xludf.DUMMYFUNCTION("iferror(if(I497="""","""",unique(query('tbl driver 2'!$K$2:$L1508,""SELECT L WHERE K = '""&amp;I497&amp;""'""))),"""")"),"")</f>
        <v/>
      </c>
      <c r="K497" s="31"/>
      <c r="L497" s="39"/>
      <c r="M497" s="39"/>
      <c r="N497" s="28" t="str">
        <f>IFERROR(__xludf.DUMMYFUNCTION("IF(OR(C497="""",M497=""""),"""",IFERROR(IF(M497="""","""",query('tbl user'!$A$2:$D1508,""SELECT A WHERE D = '""&amp;M497&amp;""'"")),""USER TIDAK DIKETAHUI""))"),"")</f>
        <v/>
      </c>
    </row>
    <row r="498">
      <c r="A498" s="23" t="str">
        <f t="shared" si="3"/>
        <v/>
      </c>
      <c r="B498" s="24" t="str">
        <f t="shared" si="4"/>
        <v/>
      </c>
      <c r="C498" s="28"/>
      <c r="D498" s="28"/>
      <c r="E498" s="34"/>
      <c r="F498" s="34"/>
      <c r="G498" s="34"/>
      <c r="H498" s="34"/>
      <c r="I498" s="34"/>
      <c r="J498" s="28" t="str">
        <f>IFERROR(__xludf.DUMMYFUNCTION("iferror(if(I498="""","""",unique(query('tbl driver 2'!$K$2:$L1508,""SELECT L WHERE K = '""&amp;I498&amp;""'""))),"""")"),"")</f>
        <v/>
      </c>
      <c r="K498" s="31"/>
      <c r="L498" s="39"/>
      <c r="M498" s="39"/>
      <c r="N498" s="28" t="str">
        <f>IFERROR(__xludf.DUMMYFUNCTION("IF(OR(C498="""",M498=""""),"""",IFERROR(IF(M498="""","""",query('tbl user'!$A$2:$D1508,""SELECT A WHERE D = '""&amp;M498&amp;""'"")),""USER TIDAK DIKETAHUI""))"),"")</f>
        <v/>
      </c>
    </row>
    <row r="499">
      <c r="A499" s="23" t="str">
        <f t="shared" si="3"/>
        <v/>
      </c>
      <c r="B499" s="24" t="str">
        <f t="shared" si="4"/>
        <v/>
      </c>
      <c r="C499" s="28"/>
      <c r="D499" s="28"/>
      <c r="E499" s="34"/>
      <c r="F499" s="34"/>
      <c r="G499" s="34"/>
      <c r="H499" s="34"/>
      <c r="I499" s="34"/>
      <c r="J499" s="28" t="str">
        <f>IFERROR(__xludf.DUMMYFUNCTION("iferror(if(I499="""","""",unique(query('tbl driver 2'!$K$2:$L1508,""SELECT L WHERE K = '""&amp;I499&amp;""'""))),"""")"),"")</f>
        <v/>
      </c>
      <c r="K499" s="31"/>
      <c r="L499" s="39"/>
      <c r="M499" s="39"/>
      <c r="N499" s="28" t="str">
        <f>IFERROR(__xludf.DUMMYFUNCTION("IF(OR(C499="""",M499=""""),"""",IFERROR(IF(M499="""","""",query('tbl user'!$A$2:$D1508,""SELECT A WHERE D = '""&amp;M499&amp;""'"")),""USER TIDAK DIKETAHUI""))"),"")</f>
        <v/>
      </c>
    </row>
    <row r="500">
      <c r="A500" s="23" t="str">
        <f t="shared" si="3"/>
        <v/>
      </c>
      <c r="B500" s="24" t="str">
        <f t="shared" si="4"/>
        <v/>
      </c>
      <c r="C500" s="28"/>
      <c r="D500" s="28"/>
      <c r="E500" s="34"/>
      <c r="F500" s="34"/>
      <c r="G500" s="34"/>
      <c r="H500" s="34"/>
      <c r="I500" s="34"/>
      <c r="J500" s="28" t="str">
        <f>IFERROR(__xludf.DUMMYFUNCTION("iferror(if(I500="""","""",unique(query('tbl driver 2'!$K$2:$L1508,""SELECT L WHERE K = '""&amp;I500&amp;""'""))),"""")"),"")</f>
        <v/>
      </c>
      <c r="K500" s="31"/>
      <c r="L500" s="39"/>
      <c r="M500" s="39"/>
      <c r="N500" s="28" t="str">
        <f>IFERROR(__xludf.DUMMYFUNCTION("IF(OR(C500="""",M500=""""),"""",IFERROR(IF(M500="""","""",query('tbl user'!$A$2:$D1508,""SELECT A WHERE D = '""&amp;M500&amp;""'"")),""USER TIDAK DIKETAHUI""))"),"")</f>
        <v/>
      </c>
    </row>
    <row r="501">
      <c r="A501" s="23" t="str">
        <f t="shared" si="3"/>
        <v/>
      </c>
      <c r="B501" s="24" t="str">
        <f t="shared" si="4"/>
        <v/>
      </c>
      <c r="C501" s="28"/>
      <c r="D501" s="28"/>
      <c r="E501" s="34"/>
      <c r="F501" s="34"/>
      <c r="G501" s="34"/>
      <c r="H501" s="34"/>
      <c r="I501" s="34"/>
      <c r="J501" s="28" t="str">
        <f>IFERROR(__xludf.DUMMYFUNCTION("iferror(if(I501="""","""",unique(query('tbl driver 2'!$K$2:$L1508,""SELECT L WHERE K = '""&amp;I501&amp;""'""))),"""")"),"")</f>
        <v/>
      </c>
      <c r="K501" s="31"/>
      <c r="L501" s="39"/>
      <c r="M501" s="39"/>
      <c r="N501" s="28" t="str">
        <f>IFERROR(__xludf.DUMMYFUNCTION("IF(OR(C501="""",M501=""""),"""",IFERROR(IF(M501="""","""",query('tbl user'!$A$2:$D1508,""SELECT A WHERE D = '""&amp;M501&amp;""'"")),""USER TIDAK DIKETAHUI""))"),"")</f>
        <v/>
      </c>
    </row>
    <row r="502">
      <c r="A502" s="23" t="str">
        <f t="shared" si="3"/>
        <v/>
      </c>
      <c r="B502" s="24" t="str">
        <f t="shared" si="4"/>
        <v/>
      </c>
      <c r="C502" s="28"/>
      <c r="D502" s="28"/>
      <c r="E502" s="34"/>
      <c r="F502" s="34"/>
      <c r="G502" s="34"/>
      <c r="H502" s="34"/>
      <c r="I502" s="34"/>
      <c r="J502" s="28" t="str">
        <f>IFERROR(__xludf.DUMMYFUNCTION("iferror(if(I502="""","""",unique(query('tbl driver 2'!$K$2:$L1508,""SELECT L WHERE K = '""&amp;I502&amp;""'""))),"""")"),"")</f>
        <v/>
      </c>
      <c r="K502" s="31"/>
      <c r="L502" s="39"/>
      <c r="M502" s="39"/>
      <c r="N502" s="28" t="str">
        <f>IFERROR(__xludf.DUMMYFUNCTION("IF(OR(C502="""",M502=""""),"""",IFERROR(IF(M502="""","""",query('tbl user'!$A$2:$D1508,""SELECT A WHERE D = '""&amp;M502&amp;""'"")),""USER TIDAK DIKETAHUI""))"),"")</f>
        <v/>
      </c>
    </row>
    <row r="503">
      <c r="A503" s="23" t="str">
        <f t="shared" si="3"/>
        <v/>
      </c>
      <c r="B503" s="24" t="str">
        <f t="shared" si="4"/>
        <v/>
      </c>
      <c r="C503" s="28"/>
      <c r="D503" s="28"/>
      <c r="E503" s="34"/>
      <c r="F503" s="34"/>
      <c r="G503" s="34"/>
      <c r="H503" s="34"/>
      <c r="I503" s="34"/>
      <c r="J503" s="28" t="str">
        <f>IFERROR(__xludf.DUMMYFUNCTION("iferror(if(I503="""","""",unique(query('tbl driver 2'!$K$2:$L1508,""SELECT L WHERE K = '""&amp;I503&amp;""'""))),"""")"),"")</f>
        <v/>
      </c>
      <c r="K503" s="31"/>
      <c r="L503" s="39"/>
      <c r="M503" s="39"/>
      <c r="N503" s="28" t="str">
        <f>IFERROR(__xludf.DUMMYFUNCTION("IF(OR(C503="""",M503=""""),"""",IFERROR(IF(M503="""","""",query('tbl user'!$A$2:$D1508,""SELECT A WHERE D = '""&amp;M503&amp;""'"")),""USER TIDAK DIKETAHUI""))"),"")</f>
        <v/>
      </c>
    </row>
    <row r="504">
      <c r="A504" s="23" t="str">
        <f t="shared" si="3"/>
        <v/>
      </c>
      <c r="B504" s="24" t="str">
        <f t="shared" si="4"/>
        <v/>
      </c>
      <c r="C504" s="28"/>
      <c r="D504" s="28"/>
      <c r="E504" s="34"/>
      <c r="F504" s="34"/>
      <c r="G504" s="34"/>
      <c r="H504" s="34"/>
      <c r="I504" s="34"/>
      <c r="J504" s="28" t="str">
        <f>IFERROR(__xludf.DUMMYFUNCTION("iferror(if(I504="""","""",unique(query('tbl driver 2'!$K$2:$L1508,""SELECT L WHERE K = '""&amp;I504&amp;""'""))),"""")"),"")</f>
        <v/>
      </c>
      <c r="K504" s="31"/>
      <c r="L504" s="39"/>
      <c r="M504" s="39"/>
      <c r="N504" s="28" t="str">
        <f>IFERROR(__xludf.DUMMYFUNCTION("IF(OR(C504="""",M504=""""),"""",IFERROR(IF(M504="""","""",query('tbl user'!$A$2:$D1508,""SELECT A WHERE D = '""&amp;M504&amp;""'"")),""USER TIDAK DIKETAHUI""))"),"")</f>
        <v/>
      </c>
    </row>
    <row r="505">
      <c r="A505" s="23" t="str">
        <f t="shared" si="3"/>
        <v/>
      </c>
      <c r="B505" s="24" t="str">
        <f t="shared" si="4"/>
        <v/>
      </c>
      <c r="C505" s="28"/>
      <c r="D505" s="28"/>
      <c r="E505" s="34"/>
      <c r="F505" s="34"/>
      <c r="G505" s="34"/>
      <c r="H505" s="34"/>
      <c r="I505" s="34"/>
      <c r="J505" s="28" t="str">
        <f>IFERROR(__xludf.DUMMYFUNCTION("iferror(if(I505="""","""",unique(query('tbl driver 2'!$K$2:$L1508,""SELECT L WHERE K = '""&amp;I505&amp;""'""))),"""")"),"")</f>
        <v/>
      </c>
      <c r="K505" s="31"/>
      <c r="L505" s="39"/>
      <c r="M505" s="39"/>
      <c r="N505" s="28" t="str">
        <f>IFERROR(__xludf.DUMMYFUNCTION("IF(OR(C505="""",M505=""""),"""",IFERROR(IF(M505="""","""",query('tbl user'!$A$2:$D1508,""SELECT A WHERE D = '""&amp;M505&amp;""'"")),""USER TIDAK DIKETAHUI""))"),"")</f>
        <v/>
      </c>
    </row>
    <row r="506">
      <c r="A506" s="23" t="str">
        <f t="shared" si="3"/>
        <v/>
      </c>
      <c r="B506" s="24" t="str">
        <f t="shared" si="4"/>
        <v/>
      </c>
      <c r="C506" s="28"/>
      <c r="D506" s="28"/>
      <c r="E506" s="34"/>
      <c r="F506" s="34"/>
      <c r="G506" s="34"/>
      <c r="H506" s="34"/>
      <c r="I506" s="34"/>
      <c r="J506" s="28" t="str">
        <f>IFERROR(__xludf.DUMMYFUNCTION("iferror(if(I506="""","""",unique(query('tbl driver 2'!$K$2:$L1508,""SELECT L WHERE K = '""&amp;I506&amp;""'""))),"""")"),"")</f>
        <v/>
      </c>
      <c r="K506" s="31"/>
      <c r="L506" s="39"/>
      <c r="M506" s="39"/>
      <c r="N506" s="28" t="str">
        <f>IFERROR(__xludf.DUMMYFUNCTION("IF(OR(C506="""",M506=""""),"""",IFERROR(IF(M506="""","""",query('tbl user'!$A$2:$D1508,""SELECT A WHERE D = '""&amp;M506&amp;""'"")),""USER TIDAK DIKETAHUI""))"),"")</f>
        <v/>
      </c>
    </row>
    <row r="507">
      <c r="A507" s="23" t="str">
        <f t="shared" si="3"/>
        <v/>
      </c>
      <c r="B507" s="24" t="str">
        <f t="shared" si="4"/>
        <v/>
      </c>
      <c r="C507" s="28"/>
      <c r="D507" s="28"/>
      <c r="E507" s="34"/>
      <c r="F507" s="34"/>
      <c r="G507" s="34"/>
      <c r="H507" s="34"/>
      <c r="I507" s="34"/>
      <c r="J507" s="28" t="str">
        <f>IFERROR(__xludf.DUMMYFUNCTION("iferror(if(I507="""","""",unique(query('tbl driver 2'!$K$2:$L1508,""SELECT L WHERE K = '""&amp;I507&amp;""'""))),"""")"),"")</f>
        <v/>
      </c>
      <c r="K507" s="31"/>
      <c r="L507" s="39"/>
      <c r="M507" s="39"/>
      <c r="N507" s="28" t="str">
        <f>IFERROR(__xludf.DUMMYFUNCTION("IF(OR(C507="""",M507=""""),"""",IFERROR(IF(M507="""","""",query('tbl user'!$A$2:$D1508,""SELECT A WHERE D = '""&amp;M507&amp;""'"")),""USER TIDAK DIKETAHUI""))"),"")</f>
        <v/>
      </c>
    </row>
    <row r="508">
      <c r="A508" s="23" t="str">
        <f t="shared" si="3"/>
        <v/>
      </c>
      <c r="B508" s="24" t="str">
        <f t="shared" si="4"/>
        <v/>
      </c>
      <c r="C508" s="28"/>
      <c r="D508" s="28"/>
      <c r="E508" s="34"/>
      <c r="F508" s="34"/>
      <c r="G508" s="34"/>
      <c r="H508" s="34"/>
      <c r="I508" s="34"/>
      <c r="J508" s="28" t="str">
        <f>IFERROR(__xludf.DUMMYFUNCTION("iferror(if(I508="""","""",unique(query('tbl driver 2'!$K$2:$L1508,""SELECT L WHERE K = '""&amp;I508&amp;""'""))),"""")"),"")</f>
        <v/>
      </c>
      <c r="K508" s="31"/>
      <c r="L508" s="39"/>
      <c r="M508" s="39"/>
      <c r="N508" s="28" t="str">
        <f>IFERROR(__xludf.DUMMYFUNCTION("IF(OR(C508="""",M508=""""),"""",IFERROR(IF(M508="""","""",query('tbl user'!$A$2:$D1508,""SELECT A WHERE D = '""&amp;M508&amp;""'"")),""USER TIDAK DIKETAHUI""))"),"")</f>
        <v/>
      </c>
    </row>
    <row r="509">
      <c r="A509" s="23" t="str">
        <f t="shared" si="3"/>
        <v/>
      </c>
      <c r="B509" s="24" t="str">
        <f t="shared" si="4"/>
        <v/>
      </c>
      <c r="C509" s="28"/>
      <c r="D509" s="28"/>
      <c r="E509" s="34"/>
      <c r="F509" s="34"/>
      <c r="G509" s="34"/>
      <c r="H509" s="34"/>
      <c r="I509" s="34"/>
      <c r="J509" s="28" t="str">
        <f>IFERROR(__xludf.DUMMYFUNCTION("iferror(if(I509="""","""",unique(query('tbl driver 2'!$K$2:$L1508,""SELECT L WHERE K = '""&amp;I509&amp;""'""))),"""")"),"")</f>
        <v/>
      </c>
      <c r="K509" s="31"/>
      <c r="L509" s="39"/>
      <c r="M509" s="39"/>
      <c r="N509" s="28" t="str">
        <f>IFERROR(__xludf.DUMMYFUNCTION("IF(OR(C509="""",M509=""""),"""",IFERROR(IF(M509="""","""",query('tbl user'!$A$2:$D1508,""SELECT A WHERE D = '""&amp;M509&amp;""'"")),""USER TIDAK DIKETAHUI""))"),"")</f>
        <v/>
      </c>
    </row>
    <row r="510">
      <c r="A510" s="23" t="str">
        <f t="shared" si="3"/>
        <v/>
      </c>
      <c r="B510" s="24" t="str">
        <f t="shared" si="4"/>
        <v/>
      </c>
      <c r="C510" s="28"/>
      <c r="D510" s="28"/>
      <c r="E510" s="34"/>
      <c r="F510" s="34"/>
      <c r="G510" s="34"/>
      <c r="H510" s="34"/>
      <c r="I510" s="34"/>
      <c r="J510" s="28" t="str">
        <f>IFERROR(__xludf.DUMMYFUNCTION("iferror(if(I510="""","""",unique(query('tbl driver 2'!$K$2:$L1508,""SELECT L WHERE K = '""&amp;I510&amp;""'""))),"""")"),"")</f>
        <v/>
      </c>
      <c r="K510" s="31"/>
      <c r="L510" s="39"/>
      <c r="M510" s="39"/>
      <c r="N510" s="28" t="str">
        <f>IFERROR(__xludf.DUMMYFUNCTION("IF(OR(C510="""",M510=""""),"""",IFERROR(IF(M510="""","""",query('tbl user'!$A$2:$D1508,""SELECT A WHERE D = '""&amp;M510&amp;""'"")),""USER TIDAK DIKETAHUI""))"),"")</f>
        <v/>
      </c>
    </row>
    <row r="511">
      <c r="A511" s="23" t="str">
        <f t="shared" si="3"/>
        <v/>
      </c>
      <c r="B511" s="24" t="str">
        <f t="shared" si="4"/>
        <v/>
      </c>
      <c r="C511" s="28"/>
      <c r="D511" s="28"/>
      <c r="E511" s="34"/>
      <c r="F511" s="34"/>
      <c r="G511" s="34"/>
      <c r="H511" s="34"/>
      <c r="I511" s="34"/>
      <c r="J511" s="28" t="str">
        <f>IFERROR(__xludf.DUMMYFUNCTION("iferror(if(I511="""","""",unique(query('tbl driver 2'!$K$2:$L1508,""SELECT L WHERE K = '""&amp;I511&amp;""'""))),"""")"),"")</f>
        <v/>
      </c>
      <c r="K511" s="31"/>
      <c r="L511" s="39"/>
      <c r="M511" s="39"/>
      <c r="N511" s="28" t="str">
        <f>IFERROR(__xludf.DUMMYFUNCTION("IF(OR(C511="""",M511=""""),"""",IFERROR(IF(M511="""","""",query('tbl user'!$A$2:$D1508,""SELECT A WHERE D = '""&amp;M511&amp;""'"")),""USER TIDAK DIKETAHUI""))"),"")</f>
        <v/>
      </c>
    </row>
    <row r="512">
      <c r="A512" s="23" t="str">
        <f t="shared" si="3"/>
        <v/>
      </c>
      <c r="B512" s="24" t="str">
        <f t="shared" si="4"/>
        <v/>
      </c>
      <c r="C512" s="28"/>
      <c r="D512" s="28"/>
      <c r="E512" s="34"/>
      <c r="F512" s="34"/>
      <c r="G512" s="34"/>
      <c r="H512" s="34"/>
      <c r="I512" s="34"/>
      <c r="J512" s="28" t="str">
        <f>IFERROR(__xludf.DUMMYFUNCTION("iferror(if(I512="""","""",unique(query('tbl driver 2'!$K$2:$L1508,""SELECT L WHERE K = '""&amp;I512&amp;""'""))),"""")"),"")</f>
        <v/>
      </c>
      <c r="K512" s="31"/>
      <c r="L512" s="39"/>
      <c r="M512" s="39"/>
      <c r="N512" s="28" t="str">
        <f>IFERROR(__xludf.DUMMYFUNCTION("IF(OR(C512="""",M512=""""),"""",IFERROR(IF(M512="""","""",query('tbl user'!$A$2:$D1508,""SELECT A WHERE D = '""&amp;M512&amp;""'"")),""USER TIDAK DIKETAHUI""))"),"")</f>
        <v/>
      </c>
    </row>
    <row r="513">
      <c r="A513" s="23" t="str">
        <f t="shared" si="3"/>
        <v/>
      </c>
      <c r="B513" s="24" t="str">
        <f t="shared" si="4"/>
        <v/>
      </c>
      <c r="C513" s="28"/>
      <c r="D513" s="28"/>
      <c r="E513" s="34"/>
      <c r="F513" s="34"/>
      <c r="G513" s="34"/>
      <c r="H513" s="34"/>
      <c r="I513" s="34"/>
      <c r="J513" s="28" t="str">
        <f>IFERROR(__xludf.DUMMYFUNCTION("iferror(if(I513="""","""",unique(query('tbl driver 2'!$K$2:$L1508,""SELECT L WHERE K = '""&amp;I513&amp;""'""))),"""")"),"")</f>
        <v/>
      </c>
      <c r="K513" s="31"/>
      <c r="L513" s="39"/>
      <c r="M513" s="39"/>
      <c r="N513" s="28" t="str">
        <f>IFERROR(__xludf.DUMMYFUNCTION("IF(OR(C513="""",M513=""""),"""",IFERROR(IF(M513="""","""",query('tbl user'!$A$2:$D1508,""SELECT A WHERE D = '""&amp;M513&amp;""'"")),""USER TIDAK DIKETAHUI""))"),"")</f>
        <v/>
      </c>
    </row>
    <row r="514">
      <c r="A514" s="23" t="str">
        <f t="shared" si="3"/>
        <v/>
      </c>
      <c r="B514" s="24" t="str">
        <f t="shared" si="4"/>
        <v/>
      </c>
      <c r="C514" s="28"/>
      <c r="D514" s="28"/>
      <c r="E514" s="34"/>
      <c r="F514" s="34"/>
      <c r="G514" s="34"/>
      <c r="H514" s="34"/>
      <c r="I514" s="34"/>
      <c r="J514" s="28" t="str">
        <f>IFERROR(__xludf.DUMMYFUNCTION("iferror(if(I514="""","""",unique(query('tbl driver 2'!$K$2:$L1508,""SELECT L WHERE K = '""&amp;I514&amp;""'""))),"""")"),"")</f>
        <v/>
      </c>
      <c r="K514" s="31"/>
      <c r="L514" s="39"/>
      <c r="M514" s="39"/>
      <c r="N514" s="28" t="str">
        <f>IFERROR(__xludf.DUMMYFUNCTION("IF(OR(C514="""",M514=""""),"""",IFERROR(IF(M514="""","""",query('tbl user'!$A$2:$D1508,""SELECT A WHERE D = '""&amp;M514&amp;""'"")),""USER TIDAK DIKETAHUI""))"),"")</f>
        <v/>
      </c>
    </row>
    <row r="515">
      <c r="A515" s="23" t="str">
        <f t="shared" si="3"/>
        <v/>
      </c>
      <c r="B515" s="24" t="str">
        <f t="shared" si="4"/>
        <v/>
      </c>
      <c r="C515" s="28"/>
      <c r="D515" s="28"/>
      <c r="E515" s="34"/>
      <c r="F515" s="34"/>
      <c r="G515" s="34"/>
      <c r="H515" s="34"/>
      <c r="I515" s="34"/>
      <c r="J515" s="28" t="str">
        <f>IFERROR(__xludf.DUMMYFUNCTION("iferror(if(I515="""","""",unique(query('tbl driver 2'!$K$2:$L1508,""SELECT L WHERE K = '""&amp;I515&amp;""'""))),"""")"),"")</f>
        <v/>
      </c>
      <c r="K515" s="31"/>
      <c r="L515" s="39"/>
      <c r="M515" s="39"/>
      <c r="N515" s="28" t="str">
        <f>IFERROR(__xludf.DUMMYFUNCTION("IF(OR(C515="""",M515=""""),"""",IFERROR(IF(M515="""","""",query('tbl user'!$A$2:$D1508,""SELECT A WHERE D = '""&amp;M515&amp;""'"")),""USER TIDAK DIKETAHUI""))"),"")</f>
        <v/>
      </c>
    </row>
    <row r="516">
      <c r="A516" s="23" t="str">
        <f t="shared" si="3"/>
        <v/>
      </c>
      <c r="B516" s="24" t="str">
        <f t="shared" si="4"/>
        <v/>
      </c>
      <c r="C516" s="28"/>
      <c r="D516" s="28"/>
      <c r="E516" s="34"/>
      <c r="F516" s="34"/>
      <c r="G516" s="34"/>
      <c r="H516" s="34"/>
      <c r="I516" s="34"/>
      <c r="J516" s="28" t="str">
        <f>IFERROR(__xludf.DUMMYFUNCTION("iferror(if(I516="""","""",unique(query('tbl driver 2'!$K$2:$L1508,""SELECT L WHERE K = '""&amp;I516&amp;""'""))),"""")"),"")</f>
        <v/>
      </c>
      <c r="K516" s="31"/>
      <c r="L516" s="39"/>
      <c r="M516" s="39"/>
      <c r="N516" s="28" t="str">
        <f>IFERROR(__xludf.DUMMYFUNCTION("IF(OR(C516="""",M516=""""),"""",IFERROR(IF(M516="""","""",query('tbl user'!$A$2:$D1508,""SELECT A WHERE D = '""&amp;M516&amp;""'"")),""USER TIDAK DIKETAHUI""))"),"")</f>
        <v/>
      </c>
    </row>
    <row r="517">
      <c r="A517" s="23" t="str">
        <f t="shared" si="3"/>
        <v/>
      </c>
      <c r="B517" s="24" t="str">
        <f t="shared" si="4"/>
        <v/>
      </c>
      <c r="C517" s="28"/>
      <c r="D517" s="28"/>
      <c r="E517" s="34"/>
      <c r="F517" s="34"/>
      <c r="G517" s="34"/>
      <c r="H517" s="34"/>
      <c r="I517" s="34"/>
      <c r="J517" s="28" t="str">
        <f>IFERROR(__xludf.DUMMYFUNCTION("iferror(if(I517="""","""",unique(query('tbl driver 2'!$K$2:$L1508,""SELECT L WHERE K = '""&amp;I517&amp;""'""))),"""")"),"")</f>
        <v/>
      </c>
      <c r="K517" s="31"/>
      <c r="L517" s="39"/>
      <c r="M517" s="39"/>
      <c r="N517" s="28" t="str">
        <f>IFERROR(__xludf.DUMMYFUNCTION("IF(OR(C517="""",M517=""""),"""",IFERROR(IF(M517="""","""",query('tbl user'!$A$2:$D1508,""SELECT A WHERE D = '""&amp;M517&amp;""'"")),""USER TIDAK DIKETAHUI""))"),"")</f>
        <v/>
      </c>
    </row>
    <row r="518">
      <c r="A518" s="23" t="str">
        <f t="shared" si="3"/>
        <v/>
      </c>
      <c r="B518" s="24" t="str">
        <f t="shared" si="4"/>
        <v/>
      </c>
      <c r="C518" s="28"/>
      <c r="D518" s="28"/>
      <c r="E518" s="34"/>
      <c r="F518" s="34"/>
      <c r="G518" s="34"/>
      <c r="H518" s="34"/>
      <c r="I518" s="34"/>
      <c r="J518" s="28" t="str">
        <f>IFERROR(__xludf.DUMMYFUNCTION("iferror(if(I518="""","""",unique(query('tbl driver 2'!$K$2:$L1508,""SELECT L WHERE K = '""&amp;I518&amp;""'""))),"""")"),"")</f>
        <v/>
      </c>
      <c r="K518" s="31"/>
      <c r="L518" s="39"/>
      <c r="M518" s="39"/>
      <c r="N518" s="28" t="str">
        <f>IFERROR(__xludf.DUMMYFUNCTION("IF(OR(C518="""",M518=""""),"""",IFERROR(IF(M518="""","""",query('tbl user'!$A$2:$D1508,""SELECT A WHERE D = '""&amp;M518&amp;""'"")),""USER TIDAK DIKETAHUI""))"),"")</f>
        <v/>
      </c>
    </row>
    <row r="519">
      <c r="A519" s="23" t="str">
        <f t="shared" si="3"/>
        <v/>
      </c>
      <c r="B519" s="24" t="str">
        <f t="shared" si="4"/>
        <v/>
      </c>
      <c r="C519" s="28"/>
      <c r="D519" s="28"/>
      <c r="E519" s="34"/>
      <c r="F519" s="34"/>
      <c r="G519" s="34"/>
      <c r="H519" s="34"/>
      <c r="I519" s="34"/>
      <c r="J519" s="28" t="str">
        <f>IFERROR(__xludf.DUMMYFUNCTION("iferror(if(I519="""","""",unique(query('tbl driver 2'!$K$2:$L1508,""SELECT L WHERE K = '""&amp;I519&amp;""'""))),"""")"),"")</f>
        <v/>
      </c>
      <c r="K519" s="31"/>
      <c r="L519" s="39"/>
      <c r="M519" s="39"/>
      <c r="N519" s="28" t="str">
        <f>IFERROR(__xludf.DUMMYFUNCTION("IF(OR(C519="""",M519=""""),"""",IFERROR(IF(M519="""","""",query('tbl user'!$A$2:$D1508,""SELECT A WHERE D = '""&amp;M519&amp;""'"")),""USER TIDAK DIKETAHUI""))"),"")</f>
        <v/>
      </c>
    </row>
    <row r="520">
      <c r="A520" s="23" t="str">
        <f t="shared" si="3"/>
        <v/>
      </c>
      <c r="B520" s="24" t="str">
        <f t="shared" si="4"/>
        <v/>
      </c>
      <c r="C520" s="28"/>
      <c r="D520" s="28"/>
      <c r="E520" s="34"/>
      <c r="F520" s="34"/>
      <c r="G520" s="34"/>
      <c r="H520" s="34"/>
      <c r="I520" s="34"/>
      <c r="J520" s="28" t="str">
        <f>IFERROR(__xludf.DUMMYFUNCTION("iferror(if(I520="""","""",unique(query('tbl driver 2'!$K$2:$L1508,""SELECT L WHERE K = '""&amp;I520&amp;""'""))),"""")"),"")</f>
        <v/>
      </c>
      <c r="K520" s="31"/>
      <c r="L520" s="39"/>
      <c r="M520" s="39"/>
      <c r="N520" s="28" t="str">
        <f>IFERROR(__xludf.DUMMYFUNCTION("IF(OR(C520="""",M520=""""),"""",IFERROR(IF(M520="""","""",query('tbl user'!$A$2:$D1508,""SELECT A WHERE D = '""&amp;M520&amp;""'"")),""USER TIDAK DIKETAHUI""))"),"")</f>
        <v/>
      </c>
    </row>
    <row r="521">
      <c r="A521" s="23" t="str">
        <f t="shared" si="3"/>
        <v/>
      </c>
      <c r="B521" s="24" t="str">
        <f t="shared" si="4"/>
        <v/>
      </c>
      <c r="C521" s="28"/>
      <c r="D521" s="28"/>
      <c r="E521" s="34"/>
      <c r="F521" s="34"/>
      <c r="G521" s="34"/>
      <c r="H521" s="34"/>
      <c r="I521" s="34"/>
      <c r="J521" s="28" t="str">
        <f>IFERROR(__xludf.DUMMYFUNCTION("iferror(if(I521="""","""",unique(query('tbl driver 2'!$K$2:$L1508,""SELECT L WHERE K = '""&amp;I521&amp;""'""))),"""")"),"")</f>
        <v/>
      </c>
      <c r="K521" s="31"/>
      <c r="L521" s="39"/>
      <c r="M521" s="39"/>
      <c r="N521" s="28" t="str">
        <f>IFERROR(__xludf.DUMMYFUNCTION("IF(OR(C521="""",M521=""""),"""",IFERROR(IF(M521="""","""",query('tbl user'!$A$2:$D1508,""SELECT A WHERE D = '""&amp;M521&amp;""'"")),""USER TIDAK DIKETAHUI""))"),"")</f>
        <v/>
      </c>
    </row>
    <row r="522">
      <c r="A522" s="23" t="str">
        <f t="shared" si="3"/>
        <v/>
      </c>
      <c r="B522" s="24" t="str">
        <f t="shared" si="4"/>
        <v/>
      </c>
      <c r="C522" s="28"/>
      <c r="D522" s="28"/>
      <c r="E522" s="34"/>
      <c r="F522" s="34"/>
      <c r="G522" s="34"/>
      <c r="H522" s="34"/>
      <c r="I522" s="34"/>
      <c r="J522" s="28" t="str">
        <f>IFERROR(__xludf.DUMMYFUNCTION("iferror(if(I522="""","""",unique(query('tbl driver 2'!$K$2:$L1508,""SELECT L WHERE K = '""&amp;I522&amp;""'""))),"""")"),"")</f>
        <v/>
      </c>
      <c r="K522" s="31"/>
      <c r="L522" s="39"/>
      <c r="M522" s="39"/>
      <c r="N522" s="28" t="str">
        <f>IFERROR(__xludf.DUMMYFUNCTION("IF(OR(C522="""",M522=""""),"""",IFERROR(IF(M522="""","""",query('tbl user'!$A$2:$D1508,""SELECT A WHERE D = '""&amp;M522&amp;""'"")),""USER TIDAK DIKETAHUI""))"),"")</f>
        <v/>
      </c>
    </row>
    <row r="523">
      <c r="A523" s="23" t="str">
        <f t="shared" si="3"/>
        <v/>
      </c>
      <c r="B523" s="24" t="str">
        <f t="shared" si="4"/>
        <v/>
      </c>
      <c r="C523" s="28"/>
      <c r="D523" s="28"/>
      <c r="E523" s="34"/>
      <c r="F523" s="34"/>
      <c r="G523" s="34"/>
      <c r="H523" s="34"/>
      <c r="I523" s="34"/>
      <c r="J523" s="28" t="str">
        <f>IFERROR(__xludf.DUMMYFUNCTION("iferror(if(I523="""","""",unique(query('tbl driver 2'!$K$2:$L1508,""SELECT L WHERE K = '""&amp;I523&amp;""'""))),"""")"),"")</f>
        <v/>
      </c>
      <c r="K523" s="31"/>
      <c r="L523" s="39"/>
      <c r="M523" s="39"/>
      <c r="N523" s="28" t="str">
        <f>IFERROR(__xludf.DUMMYFUNCTION("IF(OR(C523="""",M523=""""),"""",IFERROR(IF(M523="""","""",query('tbl user'!$A$2:$D1508,""SELECT A WHERE D = '""&amp;M523&amp;""'"")),""USER TIDAK DIKETAHUI""))"),"")</f>
        <v/>
      </c>
    </row>
    <row r="524">
      <c r="A524" s="23" t="str">
        <f t="shared" si="3"/>
        <v/>
      </c>
      <c r="B524" s="24" t="str">
        <f t="shared" si="4"/>
        <v/>
      </c>
      <c r="C524" s="28"/>
      <c r="D524" s="28"/>
      <c r="E524" s="34"/>
      <c r="F524" s="34"/>
      <c r="G524" s="34"/>
      <c r="H524" s="34"/>
      <c r="I524" s="34"/>
      <c r="J524" s="28" t="str">
        <f>IFERROR(__xludf.DUMMYFUNCTION("iferror(if(I524="""","""",unique(query('tbl driver 2'!$K$2:$L1508,""SELECT L WHERE K = '""&amp;I524&amp;""'""))),"""")"),"")</f>
        <v/>
      </c>
      <c r="K524" s="31"/>
      <c r="L524" s="39"/>
      <c r="M524" s="39"/>
      <c r="N524" s="28" t="str">
        <f>IFERROR(__xludf.DUMMYFUNCTION("IF(OR(C524="""",M524=""""),"""",IFERROR(IF(M524="""","""",query('tbl user'!$A$2:$D1508,""SELECT A WHERE D = '""&amp;M524&amp;""'"")),""USER TIDAK DIKETAHUI""))"),"")</f>
        <v/>
      </c>
    </row>
    <row r="525">
      <c r="A525" s="23" t="str">
        <f t="shared" si="3"/>
        <v/>
      </c>
      <c r="B525" s="24" t="str">
        <f t="shared" si="4"/>
        <v/>
      </c>
      <c r="C525" s="28"/>
      <c r="D525" s="28"/>
      <c r="E525" s="34"/>
      <c r="F525" s="34"/>
      <c r="G525" s="34"/>
      <c r="H525" s="34"/>
      <c r="I525" s="34"/>
      <c r="J525" s="28" t="str">
        <f>IFERROR(__xludf.DUMMYFUNCTION("iferror(if(I525="""","""",unique(query('tbl driver 2'!$K$2:$L1508,""SELECT L WHERE K = '""&amp;I525&amp;""'""))),"""")"),"")</f>
        <v/>
      </c>
      <c r="K525" s="31"/>
      <c r="L525" s="39"/>
      <c r="M525" s="39"/>
      <c r="N525" s="28" t="str">
        <f>IFERROR(__xludf.DUMMYFUNCTION("IF(OR(C525="""",M525=""""),"""",IFERROR(IF(M525="""","""",query('tbl user'!$A$2:$D1508,""SELECT A WHERE D = '""&amp;M525&amp;""'"")),""USER TIDAK DIKETAHUI""))"),"")</f>
        <v/>
      </c>
    </row>
    <row r="526">
      <c r="A526" s="23" t="str">
        <f t="shared" si="3"/>
        <v/>
      </c>
      <c r="B526" s="24" t="str">
        <f t="shared" si="4"/>
        <v/>
      </c>
      <c r="C526" s="28"/>
      <c r="D526" s="28"/>
      <c r="E526" s="34"/>
      <c r="F526" s="34"/>
      <c r="G526" s="34"/>
      <c r="H526" s="34"/>
      <c r="I526" s="34"/>
      <c r="J526" s="28" t="str">
        <f>IFERROR(__xludf.DUMMYFUNCTION("iferror(if(I526="""","""",unique(query('tbl driver 2'!$K$2:$L1508,""SELECT L WHERE K = '""&amp;I526&amp;""'""))),"""")"),"")</f>
        <v/>
      </c>
      <c r="K526" s="31"/>
      <c r="L526" s="39"/>
      <c r="M526" s="39"/>
      <c r="N526" s="28" t="str">
        <f>IFERROR(__xludf.DUMMYFUNCTION("IF(OR(C526="""",M526=""""),"""",IFERROR(IF(M526="""","""",query('tbl user'!$A$2:$D1508,""SELECT A WHERE D = '""&amp;M526&amp;""'"")),""USER TIDAK DIKETAHUI""))"),"")</f>
        <v/>
      </c>
    </row>
    <row r="527">
      <c r="A527" s="23" t="str">
        <f t="shared" si="3"/>
        <v/>
      </c>
      <c r="B527" s="24" t="str">
        <f t="shared" si="4"/>
        <v/>
      </c>
      <c r="C527" s="28"/>
      <c r="D527" s="28"/>
      <c r="E527" s="34"/>
      <c r="F527" s="34"/>
      <c r="G527" s="34"/>
      <c r="H527" s="34"/>
      <c r="I527" s="34"/>
      <c r="J527" s="28" t="str">
        <f>IFERROR(__xludf.DUMMYFUNCTION("iferror(if(I527="""","""",unique(query('tbl driver 2'!$K$2:$L1508,""SELECT L WHERE K = '""&amp;I527&amp;""'""))),"""")"),"")</f>
        <v/>
      </c>
      <c r="K527" s="31"/>
      <c r="L527" s="39"/>
      <c r="M527" s="39"/>
      <c r="N527" s="28" t="str">
        <f>IFERROR(__xludf.DUMMYFUNCTION("IF(OR(C527="""",M527=""""),"""",IFERROR(IF(M527="""","""",query('tbl user'!$A$2:$D1508,""SELECT A WHERE D = '""&amp;M527&amp;""'"")),""USER TIDAK DIKETAHUI""))"),"")</f>
        <v/>
      </c>
    </row>
    <row r="528">
      <c r="A528" s="23" t="str">
        <f t="shared" si="3"/>
        <v/>
      </c>
      <c r="B528" s="24" t="str">
        <f t="shared" si="4"/>
        <v/>
      </c>
      <c r="C528" s="28"/>
      <c r="D528" s="28"/>
      <c r="E528" s="34"/>
      <c r="F528" s="34"/>
      <c r="G528" s="34"/>
      <c r="H528" s="34"/>
      <c r="I528" s="34"/>
      <c r="J528" s="28" t="str">
        <f>IFERROR(__xludf.DUMMYFUNCTION("iferror(if(I528="""","""",unique(query('tbl driver 2'!$K$2:$L1508,""SELECT L WHERE K = '""&amp;I528&amp;""'""))),"""")"),"")</f>
        <v/>
      </c>
      <c r="K528" s="31"/>
      <c r="L528" s="39"/>
      <c r="M528" s="39"/>
      <c r="N528" s="28" t="str">
        <f>IFERROR(__xludf.DUMMYFUNCTION("IF(OR(C528="""",M528=""""),"""",IFERROR(IF(M528="""","""",query('tbl user'!$A$2:$D1508,""SELECT A WHERE D = '""&amp;M528&amp;""'"")),""USER TIDAK DIKETAHUI""))"),"")</f>
        <v/>
      </c>
    </row>
    <row r="529">
      <c r="A529" s="23" t="str">
        <f t="shared" si="3"/>
        <v/>
      </c>
      <c r="B529" s="24" t="str">
        <f t="shared" si="4"/>
        <v/>
      </c>
      <c r="C529" s="28"/>
      <c r="D529" s="28"/>
      <c r="E529" s="34"/>
      <c r="F529" s="34"/>
      <c r="G529" s="34"/>
      <c r="H529" s="34"/>
      <c r="I529" s="34"/>
      <c r="J529" s="28" t="str">
        <f>IFERROR(__xludf.DUMMYFUNCTION("iferror(if(I529="""","""",unique(query('tbl driver 2'!$K$2:$L1508,""SELECT L WHERE K = '""&amp;I529&amp;""'""))),"""")"),"")</f>
        <v/>
      </c>
      <c r="K529" s="31"/>
      <c r="L529" s="39"/>
      <c r="M529" s="39"/>
      <c r="N529" s="28" t="str">
        <f>IFERROR(__xludf.DUMMYFUNCTION("IF(OR(C529="""",M529=""""),"""",IFERROR(IF(M529="""","""",query('tbl user'!$A$2:$D1508,""SELECT A WHERE D = '""&amp;M529&amp;""'"")),""USER TIDAK DIKETAHUI""))"),"")</f>
        <v/>
      </c>
    </row>
    <row r="530">
      <c r="A530" s="23" t="str">
        <f t="shared" si="3"/>
        <v/>
      </c>
      <c r="B530" s="24" t="str">
        <f t="shared" si="4"/>
        <v/>
      </c>
      <c r="C530" s="28"/>
      <c r="D530" s="28"/>
      <c r="E530" s="34"/>
      <c r="F530" s="34"/>
      <c r="G530" s="34"/>
      <c r="H530" s="34"/>
      <c r="I530" s="34"/>
      <c r="J530" s="28" t="str">
        <f>IFERROR(__xludf.DUMMYFUNCTION("iferror(if(I530="""","""",unique(query('tbl driver 2'!$K$2:$L1508,""SELECT L WHERE K = '""&amp;I530&amp;""'""))),"""")"),"")</f>
        <v/>
      </c>
      <c r="K530" s="31"/>
      <c r="L530" s="39"/>
      <c r="M530" s="39"/>
      <c r="N530" s="28" t="str">
        <f>IFERROR(__xludf.DUMMYFUNCTION("IF(OR(C530="""",M530=""""),"""",IFERROR(IF(M530="""","""",query('tbl user'!$A$2:$D1508,""SELECT A WHERE D = '""&amp;M530&amp;""'"")),""USER TIDAK DIKETAHUI""))"),"")</f>
        <v/>
      </c>
    </row>
    <row r="531">
      <c r="A531" s="23" t="str">
        <f t="shared" si="3"/>
        <v/>
      </c>
      <c r="B531" s="24" t="str">
        <f t="shared" si="4"/>
        <v/>
      </c>
      <c r="C531" s="28"/>
      <c r="D531" s="28"/>
      <c r="E531" s="34"/>
      <c r="F531" s="34"/>
      <c r="G531" s="34"/>
      <c r="H531" s="34"/>
      <c r="I531" s="34"/>
      <c r="J531" s="28" t="str">
        <f>IFERROR(__xludf.DUMMYFUNCTION("iferror(if(I531="""","""",unique(query('tbl driver 2'!$K$2:$L1508,""SELECT L WHERE K = '""&amp;I531&amp;""'""))),"""")"),"")</f>
        <v/>
      </c>
      <c r="K531" s="31"/>
      <c r="L531" s="39"/>
      <c r="M531" s="39"/>
      <c r="N531" s="28" t="str">
        <f>IFERROR(__xludf.DUMMYFUNCTION("IF(OR(C531="""",M531=""""),"""",IFERROR(IF(M531="""","""",query('tbl user'!$A$2:$D1508,""SELECT A WHERE D = '""&amp;M531&amp;""'"")),""USER TIDAK DIKETAHUI""))"),"")</f>
        <v/>
      </c>
    </row>
    <row r="532">
      <c r="A532" s="23" t="str">
        <f t="shared" si="3"/>
        <v/>
      </c>
      <c r="B532" s="24" t="str">
        <f t="shared" si="4"/>
        <v/>
      </c>
      <c r="C532" s="28"/>
      <c r="D532" s="28"/>
      <c r="E532" s="34"/>
      <c r="F532" s="34"/>
      <c r="G532" s="34"/>
      <c r="H532" s="34"/>
      <c r="I532" s="34"/>
      <c r="J532" s="28" t="str">
        <f>IFERROR(__xludf.DUMMYFUNCTION("iferror(if(I532="""","""",unique(query('tbl driver 2'!$K$2:$L1508,""SELECT L WHERE K = '""&amp;I532&amp;""'""))),"""")"),"")</f>
        <v/>
      </c>
      <c r="K532" s="31"/>
      <c r="L532" s="39"/>
      <c r="M532" s="39"/>
      <c r="N532" s="28" t="str">
        <f>IFERROR(__xludf.DUMMYFUNCTION("IF(OR(C532="""",M532=""""),"""",IFERROR(IF(M532="""","""",query('tbl user'!$A$2:$D1508,""SELECT A WHERE D = '""&amp;M532&amp;""'"")),""USER TIDAK DIKETAHUI""))"),"")</f>
        <v/>
      </c>
    </row>
    <row r="533">
      <c r="A533" s="23" t="str">
        <f t="shared" si="3"/>
        <v/>
      </c>
      <c r="B533" s="24" t="str">
        <f t="shared" si="4"/>
        <v/>
      </c>
      <c r="C533" s="28"/>
      <c r="D533" s="28"/>
      <c r="E533" s="34"/>
      <c r="F533" s="34"/>
      <c r="G533" s="34"/>
      <c r="H533" s="34"/>
      <c r="I533" s="34"/>
      <c r="J533" s="28" t="str">
        <f>IFERROR(__xludf.DUMMYFUNCTION("iferror(if(I533="""","""",unique(query('tbl driver 2'!$K$2:$L1508,""SELECT L WHERE K = '""&amp;I533&amp;""'""))),"""")"),"")</f>
        <v/>
      </c>
      <c r="K533" s="31"/>
      <c r="L533" s="39"/>
      <c r="M533" s="39"/>
      <c r="N533" s="28" t="str">
        <f>IFERROR(__xludf.DUMMYFUNCTION("IF(OR(C533="""",M533=""""),"""",IFERROR(IF(M533="""","""",query('tbl user'!$A$2:$D1508,""SELECT A WHERE D = '""&amp;M533&amp;""'"")),""USER TIDAK DIKETAHUI""))"),"")</f>
        <v/>
      </c>
    </row>
    <row r="534">
      <c r="A534" s="23" t="str">
        <f t="shared" si="3"/>
        <v/>
      </c>
      <c r="B534" s="24" t="str">
        <f t="shared" si="4"/>
        <v/>
      </c>
      <c r="C534" s="28"/>
      <c r="D534" s="28"/>
      <c r="E534" s="34"/>
      <c r="F534" s="34"/>
      <c r="G534" s="34"/>
      <c r="H534" s="34"/>
      <c r="I534" s="34"/>
      <c r="J534" s="28" t="str">
        <f>IFERROR(__xludf.DUMMYFUNCTION("iferror(if(I534="""","""",unique(query('tbl driver 2'!$K$2:$L1508,""SELECT L WHERE K = '""&amp;I534&amp;""'""))),"""")"),"")</f>
        <v/>
      </c>
      <c r="K534" s="31"/>
      <c r="L534" s="39"/>
      <c r="M534" s="39"/>
      <c r="N534" s="28" t="str">
        <f>IFERROR(__xludf.DUMMYFUNCTION("IF(OR(C534="""",M534=""""),"""",IFERROR(IF(M534="""","""",query('tbl user'!$A$2:$D1508,""SELECT A WHERE D = '""&amp;M534&amp;""'"")),""USER TIDAK DIKETAHUI""))"),"")</f>
        <v/>
      </c>
    </row>
    <row r="535">
      <c r="A535" s="23" t="str">
        <f t="shared" si="3"/>
        <v/>
      </c>
      <c r="B535" s="24" t="str">
        <f t="shared" si="4"/>
        <v/>
      </c>
      <c r="C535" s="28"/>
      <c r="D535" s="28"/>
      <c r="E535" s="34"/>
      <c r="F535" s="34"/>
      <c r="G535" s="34"/>
      <c r="H535" s="34"/>
      <c r="I535" s="34"/>
      <c r="J535" s="28" t="str">
        <f>IFERROR(__xludf.DUMMYFUNCTION("iferror(if(I535="""","""",unique(query('tbl driver 2'!$K$2:$L1508,""SELECT L WHERE K = '""&amp;I535&amp;""'""))),"""")"),"")</f>
        <v/>
      </c>
      <c r="K535" s="31"/>
      <c r="L535" s="39"/>
      <c r="M535" s="39"/>
      <c r="N535" s="28" t="str">
        <f>IFERROR(__xludf.DUMMYFUNCTION("IF(OR(C535="""",M535=""""),"""",IFERROR(IF(M535="""","""",query('tbl user'!$A$2:$D1508,""SELECT A WHERE D = '""&amp;M535&amp;""'"")),""USER TIDAK DIKETAHUI""))"),"")</f>
        <v/>
      </c>
    </row>
    <row r="536">
      <c r="A536" s="23" t="str">
        <f t="shared" si="3"/>
        <v/>
      </c>
      <c r="B536" s="24" t="str">
        <f t="shared" si="4"/>
        <v/>
      </c>
      <c r="C536" s="28"/>
      <c r="D536" s="28"/>
      <c r="E536" s="34"/>
      <c r="F536" s="34"/>
      <c r="G536" s="34"/>
      <c r="H536" s="34"/>
      <c r="I536" s="34"/>
      <c r="J536" s="28" t="str">
        <f>IFERROR(__xludf.DUMMYFUNCTION("iferror(if(I536="""","""",unique(query('tbl driver 2'!$K$2:$L1508,""SELECT L WHERE K = '""&amp;I536&amp;""'""))),"""")"),"")</f>
        <v/>
      </c>
      <c r="K536" s="31"/>
      <c r="L536" s="39"/>
      <c r="M536" s="39"/>
      <c r="N536" s="28" t="str">
        <f>IFERROR(__xludf.DUMMYFUNCTION("IF(OR(C536="""",M536=""""),"""",IFERROR(IF(M536="""","""",query('tbl user'!$A$2:$D1508,""SELECT A WHERE D = '""&amp;M536&amp;""'"")),""USER TIDAK DIKETAHUI""))"),"")</f>
        <v/>
      </c>
    </row>
    <row r="537">
      <c r="A537" s="23" t="str">
        <f t="shared" si="3"/>
        <v/>
      </c>
      <c r="B537" s="24" t="str">
        <f t="shared" si="4"/>
        <v/>
      </c>
      <c r="C537" s="28"/>
      <c r="D537" s="28"/>
      <c r="E537" s="34"/>
      <c r="F537" s="34"/>
      <c r="G537" s="34"/>
      <c r="H537" s="34"/>
      <c r="I537" s="34"/>
      <c r="J537" s="28" t="str">
        <f>IFERROR(__xludf.DUMMYFUNCTION("iferror(if(I537="""","""",unique(query('tbl driver 2'!$K$2:$L1508,""SELECT L WHERE K = '""&amp;I537&amp;""'""))),"""")"),"")</f>
        <v/>
      </c>
      <c r="K537" s="31"/>
      <c r="L537" s="39"/>
      <c r="M537" s="39"/>
      <c r="N537" s="28" t="str">
        <f>IFERROR(__xludf.DUMMYFUNCTION("IF(OR(C537="""",M537=""""),"""",IFERROR(IF(M537="""","""",query('tbl user'!$A$2:$D1508,""SELECT A WHERE D = '""&amp;M537&amp;""'"")),""USER TIDAK DIKETAHUI""))"),"")</f>
        <v/>
      </c>
    </row>
    <row r="538">
      <c r="A538" s="23" t="str">
        <f t="shared" si="3"/>
        <v/>
      </c>
      <c r="B538" s="24" t="str">
        <f t="shared" si="4"/>
        <v/>
      </c>
      <c r="C538" s="28"/>
      <c r="D538" s="28"/>
      <c r="E538" s="34"/>
      <c r="F538" s="34"/>
      <c r="G538" s="34"/>
      <c r="H538" s="34"/>
      <c r="I538" s="34"/>
      <c r="J538" s="28" t="str">
        <f>IFERROR(__xludf.DUMMYFUNCTION("iferror(if(I538="""","""",unique(query('tbl driver 2'!$K$2:$L1508,""SELECT L WHERE K = '""&amp;I538&amp;""'""))),"""")"),"")</f>
        <v/>
      </c>
      <c r="K538" s="31"/>
      <c r="L538" s="39"/>
      <c r="M538" s="39"/>
      <c r="N538" s="28" t="str">
        <f>IFERROR(__xludf.DUMMYFUNCTION("IF(OR(C538="""",M538=""""),"""",IFERROR(IF(M538="""","""",query('tbl user'!$A$2:$D1508,""SELECT A WHERE D = '""&amp;M538&amp;""'"")),""USER TIDAK DIKETAHUI""))"),"")</f>
        <v/>
      </c>
    </row>
    <row r="539">
      <c r="A539" s="23" t="str">
        <f t="shared" si="3"/>
        <v/>
      </c>
      <c r="B539" s="24" t="str">
        <f t="shared" si="4"/>
        <v/>
      </c>
      <c r="C539" s="28"/>
      <c r="D539" s="28"/>
      <c r="E539" s="34"/>
      <c r="F539" s="34"/>
      <c r="G539" s="34"/>
      <c r="H539" s="34"/>
      <c r="I539" s="34"/>
      <c r="J539" s="28" t="str">
        <f>IFERROR(__xludf.DUMMYFUNCTION("iferror(if(I539="""","""",unique(query('tbl driver 2'!$K$2:$L1508,""SELECT L WHERE K = '""&amp;I539&amp;""'""))),"""")"),"")</f>
        <v/>
      </c>
      <c r="K539" s="31"/>
      <c r="L539" s="39"/>
      <c r="M539" s="39"/>
      <c r="N539" s="28" t="str">
        <f>IFERROR(__xludf.DUMMYFUNCTION("IF(OR(C539="""",M539=""""),"""",IFERROR(IF(M539="""","""",query('tbl user'!$A$2:$D1508,""SELECT A WHERE D = '""&amp;M539&amp;""'"")),""USER TIDAK DIKETAHUI""))"),"")</f>
        <v/>
      </c>
    </row>
    <row r="540">
      <c r="A540" s="23" t="str">
        <f t="shared" si="3"/>
        <v/>
      </c>
      <c r="B540" s="24" t="str">
        <f t="shared" si="4"/>
        <v/>
      </c>
      <c r="C540" s="28"/>
      <c r="D540" s="28"/>
      <c r="E540" s="34"/>
      <c r="F540" s="34"/>
      <c r="G540" s="34"/>
      <c r="H540" s="34"/>
      <c r="I540" s="34"/>
      <c r="J540" s="28" t="str">
        <f>IFERROR(__xludf.DUMMYFUNCTION("iferror(if(I540="""","""",unique(query('tbl driver 2'!$K$2:$L1508,""SELECT L WHERE K = '""&amp;I540&amp;""'""))),"""")"),"")</f>
        <v/>
      </c>
      <c r="K540" s="31"/>
      <c r="L540" s="39"/>
      <c r="M540" s="39"/>
      <c r="N540" s="28" t="str">
        <f>IFERROR(__xludf.DUMMYFUNCTION("IF(OR(C540="""",M540=""""),"""",IFERROR(IF(M540="""","""",query('tbl user'!$A$2:$D1508,""SELECT A WHERE D = '""&amp;M540&amp;""'"")),""USER TIDAK DIKETAHUI""))"),"")</f>
        <v/>
      </c>
    </row>
    <row r="541">
      <c r="A541" s="23" t="str">
        <f t="shared" si="3"/>
        <v/>
      </c>
      <c r="B541" s="24" t="str">
        <f t="shared" si="4"/>
        <v/>
      </c>
      <c r="C541" s="28"/>
      <c r="D541" s="28"/>
      <c r="E541" s="34"/>
      <c r="F541" s="34"/>
      <c r="G541" s="34"/>
      <c r="H541" s="34"/>
      <c r="I541" s="34"/>
      <c r="J541" s="28" t="str">
        <f>IFERROR(__xludf.DUMMYFUNCTION("iferror(if(I541="""","""",unique(query('tbl driver 2'!$K$2:$L1508,""SELECT L WHERE K = '""&amp;I541&amp;""'""))),"""")"),"")</f>
        <v/>
      </c>
      <c r="K541" s="31"/>
      <c r="L541" s="39"/>
      <c r="M541" s="39"/>
      <c r="N541" s="28" t="str">
        <f>IFERROR(__xludf.DUMMYFUNCTION("IF(OR(C541="""",M541=""""),"""",IFERROR(IF(M541="""","""",query('tbl user'!$A$2:$D1508,""SELECT A WHERE D = '""&amp;M541&amp;""'"")),""USER TIDAK DIKETAHUI""))"),"")</f>
        <v/>
      </c>
    </row>
    <row r="542">
      <c r="A542" s="23" t="str">
        <f t="shared" si="3"/>
        <v/>
      </c>
      <c r="B542" s="24" t="str">
        <f t="shared" si="4"/>
        <v/>
      </c>
      <c r="C542" s="28"/>
      <c r="D542" s="28"/>
      <c r="E542" s="34"/>
      <c r="F542" s="34"/>
      <c r="G542" s="34"/>
      <c r="H542" s="34"/>
      <c r="I542" s="34"/>
      <c r="J542" s="28" t="str">
        <f>IFERROR(__xludf.DUMMYFUNCTION("iferror(if(I542="""","""",unique(query('tbl driver 2'!$K$2:$L1508,""SELECT L WHERE K = '""&amp;I542&amp;""'""))),"""")"),"")</f>
        <v/>
      </c>
      <c r="K542" s="31"/>
      <c r="L542" s="39"/>
      <c r="M542" s="39"/>
      <c r="N542" s="28" t="str">
        <f>IFERROR(__xludf.DUMMYFUNCTION("IF(OR(C542="""",M542=""""),"""",IFERROR(IF(M542="""","""",query('tbl user'!$A$2:$D1508,""SELECT A WHERE D = '""&amp;M542&amp;""'"")),""USER TIDAK DIKETAHUI""))"),"")</f>
        <v/>
      </c>
    </row>
    <row r="543">
      <c r="A543" s="23" t="str">
        <f t="shared" si="3"/>
        <v/>
      </c>
      <c r="B543" s="24" t="str">
        <f t="shared" si="4"/>
        <v/>
      </c>
      <c r="C543" s="28"/>
      <c r="D543" s="28"/>
      <c r="E543" s="34"/>
      <c r="F543" s="34"/>
      <c r="G543" s="34"/>
      <c r="H543" s="34"/>
      <c r="I543" s="34"/>
      <c r="J543" s="28" t="str">
        <f>IFERROR(__xludf.DUMMYFUNCTION("iferror(if(I543="""","""",unique(query('tbl driver 2'!$K$2:$L1508,""SELECT L WHERE K = '""&amp;I543&amp;""'""))),"""")"),"")</f>
        <v/>
      </c>
      <c r="K543" s="31"/>
      <c r="L543" s="39"/>
      <c r="M543" s="39"/>
      <c r="N543" s="28" t="str">
        <f>IFERROR(__xludf.DUMMYFUNCTION("IF(OR(C543="""",M543=""""),"""",IFERROR(IF(M543="""","""",query('tbl user'!$A$2:$D1508,""SELECT A WHERE D = '""&amp;M543&amp;""'"")),""USER TIDAK DIKETAHUI""))"),"")</f>
        <v/>
      </c>
    </row>
    <row r="544">
      <c r="A544" s="23" t="str">
        <f t="shared" si="3"/>
        <v/>
      </c>
      <c r="B544" s="24" t="str">
        <f t="shared" si="4"/>
        <v/>
      </c>
      <c r="C544" s="28"/>
      <c r="D544" s="28"/>
      <c r="E544" s="34"/>
      <c r="F544" s="34"/>
      <c r="G544" s="34"/>
      <c r="H544" s="34"/>
      <c r="I544" s="34"/>
      <c r="J544" s="28" t="str">
        <f>IFERROR(__xludf.DUMMYFUNCTION("iferror(if(I544="""","""",unique(query('tbl driver 2'!$K$2:$L1508,""SELECT L WHERE K = '""&amp;I544&amp;""'""))),"""")"),"")</f>
        <v/>
      </c>
      <c r="K544" s="31"/>
      <c r="L544" s="39"/>
      <c r="M544" s="39"/>
      <c r="N544" s="28" t="str">
        <f>IFERROR(__xludf.DUMMYFUNCTION("IF(OR(C544="""",M544=""""),"""",IFERROR(IF(M544="""","""",query('tbl user'!$A$2:$D1508,""SELECT A WHERE D = '""&amp;M544&amp;""'"")),""USER TIDAK DIKETAHUI""))"),"")</f>
        <v/>
      </c>
    </row>
    <row r="545">
      <c r="A545" s="23" t="str">
        <f t="shared" si="3"/>
        <v/>
      </c>
      <c r="B545" s="24" t="str">
        <f t="shared" si="4"/>
        <v/>
      </c>
      <c r="C545" s="28"/>
      <c r="D545" s="28"/>
      <c r="E545" s="34"/>
      <c r="F545" s="34"/>
      <c r="G545" s="34"/>
      <c r="H545" s="34"/>
      <c r="I545" s="34"/>
      <c r="J545" s="28" t="str">
        <f>IFERROR(__xludf.DUMMYFUNCTION("iferror(if(I545="""","""",unique(query('tbl driver 2'!$K$2:$L1508,""SELECT L WHERE K = '""&amp;I545&amp;""'""))),"""")"),"")</f>
        <v/>
      </c>
      <c r="K545" s="31"/>
      <c r="L545" s="39"/>
      <c r="M545" s="39"/>
      <c r="N545" s="28" t="str">
        <f>IFERROR(__xludf.DUMMYFUNCTION("IF(OR(C545="""",M545=""""),"""",IFERROR(IF(M545="""","""",query('tbl user'!$A$2:$D1508,""SELECT A WHERE D = '""&amp;M545&amp;""'"")),""USER TIDAK DIKETAHUI""))"),"")</f>
        <v/>
      </c>
    </row>
    <row r="546">
      <c r="A546" s="23" t="str">
        <f t="shared" si="3"/>
        <v/>
      </c>
      <c r="B546" s="24" t="str">
        <f t="shared" si="4"/>
        <v/>
      </c>
      <c r="C546" s="28"/>
      <c r="D546" s="28"/>
      <c r="E546" s="34"/>
      <c r="F546" s="34"/>
      <c r="G546" s="34"/>
      <c r="H546" s="34"/>
      <c r="I546" s="34"/>
      <c r="J546" s="28" t="str">
        <f>IFERROR(__xludf.DUMMYFUNCTION("iferror(if(I546="""","""",unique(query('tbl driver 2'!$K$2:$L1508,""SELECT L WHERE K = '""&amp;I546&amp;""'""))),"""")"),"")</f>
        <v/>
      </c>
      <c r="K546" s="31"/>
      <c r="L546" s="39"/>
      <c r="M546" s="39"/>
      <c r="N546" s="28" t="str">
        <f>IFERROR(__xludf.DUMMYFUNCTION("IF(OR(C546="""",M546=""""),"""",IFERROR(IF(M546="""","""",query('tbl user'!$A$2:$D1508,""SELECT A WHERE D = '""&amp;M546&amp;""'"")),""USER TIDAK DIKETAHUI""))"),"")</f>
        <v/>
      </c>
    </row>
    <row r="547">
      <c r="A547" s="23" t="str">
        <f t="shared" si="3"/>
        <v/>
      </c>
      <c r="B547" s="24" t="str">
        <f t="shared" si="4"/>
        <v/>
      </c>
      <c r="C547" s="28"/>
      <c r="D547" s="28"/>
      <c r="E547" s="34"/>
      <c r="F547" s="34"/>
      <c r="G547" s="34"/>
      <c r="H547" s="34"/>
      <c r="I547" s="34"/>
      <c r="J547" s="28" t="str">
        <f>IFERROR(__xludf.DUMMYFUNCTION("iferror(if(I547="""","""",unique(query('tbl driver 2'!$K$2:$L1508,""SELECT L WHERE K = '""&amp;I547&amp;""'""))),"""")"),"")</f>
        <v/>
      </c>
      <c r="K547" s="31"/>
      <c r="L547" s="39"/>
      <c r="M547" s="39"/>
      <c r="N547" s="28" t="str">
        <f>IFERROR(__xludf.DUMMYFUNCTION("IF(OR(C547="""",M547=""""),"""",IFERROR(IF(M547="""","""",query('tbl user'!$A$2:$D1508,""SELECT A WHERE D = '""&amp;M547&amp;""'"")),""USER TIDAK DIKETAHUI""))"),"")</f>
        <v/>
      </c>
    </row>
    <row r="548">
      <c r="A548" s="23" t="str">
        <f t="shared" si="3"/>
        <v/>
      </c>
      <c r="B548" s="24" t="str">
        <f t="shared" si="4"/>
        <v/>
      </c>
      <c r="C548" s="28"/>
      <c r="D548" s="28"/>
      <c r="E548" s="34"/>
      <c r="F548" s="34"/>
      <c r="G548" s="34"/>
      <c r="H548" s="34"/>
      <c r="I548" s="34"/>
      <c r="J548" s="28" t="str">
        <f>IFERROR(__xludf.DUMMYFUNCTION("iferror(if(I548="""","""",unique(query('tbl driver 2'!$K$2:$L1508,""SELECT L WHERE K = '""&amp;I548&amp;""'""))),"""")"),"")</f>
        <v/>
      </c>
      <c r="K548" s="31"/>
      <c r="L548" s="39"/>
      <c r="M548" s="39"/>
      <c r="N548" s="28" t="str">
        <f>IFERROR(__xludf.DUMMYFUNCTION("IF(OR(C548="""",M548=""""),"""",IFERROR(IF(M548="""","""",query('tbl user'!$A$2:$D1508,""SELECT A WHERE D = '""&amp;M548&amp;""'"")),""USER TIDAK DIKETAHUI""))"),"")</f>
        <v/>
      </c>
    </row>
    <row r="549">
      <c r="A549" s="23" t="str">
        <f t="shared" si="3"/>
        <v/>
      </c>
      <c r="B549" s="24" t="str">
        <f t="shared" si="4"/>
        <v/>
      </c>
      <c r="C549" s="28"/>
      <c r="D549" s="28"/>
      <c r="E549" s="34"/>
      <c r="F549" s="34"/>
      <c r="G549" s="34"/>
      <c r="H549" s="34"/>
      <c r="I549" s="34"/>
      <c r="J549" s="28" t="str">
        <f>IFERROR(__xludf.DUMMYFUNCTION("iferror(if(I549="""","""",unique(query('tbl driver 2'!$K$2:$L1508,""SELECT L WHERE K = '""&amp;I549&amp;""'""))),"""")"),"")</f>
        <v/>
      </c>
      <c r="K549" s="31"/>
      <c r="L549" s="39"/>
      <c r="M549" s="39"/>
      <c r="N549" s="28" t="str">
        <f>IFERROR(__xludf.DUMMYFUNCTION("IF(OR(C549="""",M549=""""),"""",IFERROR(IF(M549="""","""",query('tbl user'!$A$2:$D1508,""SELECT A WHERE D = '""&amp;M549&amp;""'"")),""USER TIDAK DIKETAHUI""))"),"")</f>
        <v/>
      </c>
    </row>
    <row r="550">
      <c r="A550" s="23" t="str">
        <f t="shared" si="3"/>
        <v/>
      </c>
      <c r="B550" s="24" t="str">
        <f t="shared" si="4"/>
        <v/>
      </c>
      <c r="C550" s="28"/>
      <c r="D550" s="28"/>
      <c r="E550" s="34"/>
      <c r="F550" s="34"/>
      <c r="G550" s="34"/>
      <c r="H550" s="34"/>
      <c r="I550" s="34"/>
      <c r="J550" s="28" t="str">
        <f>IFERROR(__xludf.DUMMYFUNCTION("iferror(if(I550="""","""",unique(query('tbl driver 2'!$K$2:$L1508,""SELECT L WHERE K = '""&amp;I550&amp;""'""))),"""")"),"")</f>
        <v/>
      </c>
      <c r="K550" s="31"/>
      <c r="L550" s="39"/>
      <c r="M550" s="39"/>
      <c r="N550" s="28" t="str">
        <f>IFERROR(__xludf.DUMMYFUNCTION("IF(OR(C550="""",M550=""""),"""",IFERROR(IF(M550="""","""",query('tbl user'!$A$2:$D1508,""SELECT A WHERE D = '""&amp;M550&amp;""'"")),""USER TIDAK DIKETAHUI""))"),"")</f>
        <v/>
      </c>
    </row>
    <row r="551">
      <c r="A551" s="23" t="str">
        <f t="shared" si="3"/>
        <v/>
      </c>
      <c r="B551" s="24" t="str">
        <f t="shared" si="4"/>
        <v/>
      </c>
      <c r="C551" s="28"/>
      <c r="D551" s="28"/>
      <c r="E551" s="34"/>
      <c r="F551" s="34"/>
      <c r="G551" s="34"/>
      <c r="H551" s="34"/>
      <c r="I551" s="34"/>
      <c r="J551" s="28" t="str">
        <f>IFERROR(__xludf.DUMMYFUNCTION("iferror(if(I551="""","""",unique(query('tbl driver 2'!$K$2:$L1508,""SELECT L WHERE K = '""&amp;I551&amp;""'""))),"""")"),"")</f>
        <v/>
      </c>
      <c r="K551" s="31"/>
      <c r="L551" s="39"/>
      <c r="M551" s="39"/>
      <c r="N551" s="28" t="str">
        <f>IFERROR(__xludf.DUMMYFUNCTION("IF(OR(C551="""",M551=""""),"""",IFERROR(IF(M551="""","""",query('tbl user'!$A$2:$D1508,""SELECT A WHERE D = '""&amp;M551&amp;""'"")),""USER TIDAK DIKETAHUI""))"),"")</f>
        <v/>
      </c>
    </row>
    <row r="552">
      <c r="A552" s="23" t="str">
        <f t="shared" si="3"/>
        <v/>
      </c>
      <c r="B552" s="24" t="str">
        <f t="shared" si="4"/>
        <v/>
      </c>
      <c r="C552" s="28"/>
      <c r="D552" s="28"/>
      <c r="E552" s="34"/>
      <c r="F552" s="34"/>
      <c r="G552" s="34"/>
      <c r="H552" s="34"/>
      <c r="I552" s="34"/>
      <c r="J552" s="28" t="str">
        <f>IFERROR(__xludf.DUMMYFUNCTION("iferror(if(I552="""","""",unique(query('tbl driver 2'!$K$2:$L1508,""SELECT L WHERE K = '""&amp;I552&amp;""'""))),"""")"),"")</f>
        <v/>
      </c>
      <c r="K552" s="31"/>
      <c r="L552" s="39"/>
      <c r="M552" s="39"/>
      <c r="N552" s="28" t="str">
        <f>IFERROR(__xludf.DUMMYFUNCTION("IF(OR(C552="""",M552=""""),"""",IFERROR(IF(M552="""","""",query('tbl user'!$A$2:$D1508,""SELECT A WHERE D = '""&amp;M552&amp;""'"")),""USER TIDAK DIKETAHUI""))"),"")</f>
        <v/>
      </c>
    </row>
    <row r="553">
      <c r="A553" s="23" t="str">
        <f t="shared" si="3"/>
        <v/>
      </c>
      <c r="B553" s="24" t="str">
        <f t="shared" si="4"/>
        <v/>
      </c>
      <c r="C553" s="28"/>
      <c r="D553" s="28"/>
      <c r="E553" s="34"/>
      <c r="F553" s="34"/>
      <c r="G553" s="34"/>
      <c r="H553" s="34"/>
      <c r="I553" s="34"/>
      <c r="J553" s="28" t="str">
        <f>IFERROR(__xludf.DUMMYFUNCTION("iferror(if(I553="""","""",unique(query('tbl driver 2'!$K$2:$L1508,""SELECT L WHERE K = '""&amp;I553&amp;""'""))),"""")"),"")</f>
        <v/>
      </c>
      <c r="K553" s="31"/>
      <c r="L553" s="39"/>
      <c r="M553" s="39"/>
      <c r="N553" s="28" t="str">
        <f>IFERROR(__xludf.DUMMYFUNCTION("IF(OR(C553="""",M553=""""),"""",IFERROR(IF(M553="""","""",query('tbl user'!$A$2:$D1508,""SELECT A WHERE D = '""&amp;M553&amp;""'"")),""USER TIDAK DIKETAHUI""))"),"")</f>
        <v/>
      </c>
    </row>
    <row r="554">
      <c r="A554" s="23" t="str">
        <f t="shared" si="3"/>
        <v/>
      </c>
      <c r="B554" s="24" t="str">
        <f t="shared" si="4"/>
        <v/>
      </c>
      <c r="C554" s="28"/>
      <c r="D554" s="28"/>
      <c r="E554" s="34"/>
      <c r="F554" s="34"/>
      <c r="G554" s="34"/>
      <c r="H554" s="34"/>
      <c r="I554" s="34"/>
      <c r="J554" s="28" t="str">
        <f>IFERROR(__xludf.DUMMYFUNCTION("iferror(if(I554="""","""",unique(query('tbl driver 2'!$K$2:$L1508,""SELECT L WHERE K = '""&amp;I554&amp;""'""))),"""")"),"")</f>
        <v/>
      </c>
      <c r="K554" s="31"/>
      <c r="L554" s="39"/>
      <c r="M554" s="39"/>
      <c r="N554" s="28" t="str">
        <f>IFERROR(__xludf.DUMMYFUNCTION("IF(OR(C554="""",M554=""""),"""",IFERROR(IF(M554="""","""",query('tbl user'!$A$2:$D1508,""SELECT A WHERE D = '""&amp;M554&amp;""'"")),""USER TIDAK DIKETAHUI""))"),"")</f>
        <v/>
      </c>
    </row>
    <row r="555">
      <c r="A555" s="23" t="str">
        <f t="shared" si="3"/>
        <v/>
      </c>
      <c r="B555" s="24" t="str">
        <f t="shared" si="4"/>
        <v/>
      </c>
      <c r="C555" s="28"/>
      <c r="D555" s="28"/>
      <c r="E555" s="34"/>
      <c r="F555" s="34"/>
      <c r="G555" s="34"/>
      <c r="H555" s="34"/>
      <c r="I555" s="34"/>
      <c r="J555" s="28" t="str">
        <f>IFERROR(__xludf.DUMMYFUNCTION("iferror(if(I555="""","""",unique(query('tbl driver 2'!$K$2:$L1508,""SELECT L WHERE K = '""&amp;I555&amp;""'""))),"""")"),"")</f>
        <v/>
      </c>
      <c r="K555" s="31"/>
      <c r="L555" s="39"/>
      <c r="M555" s="39"/>
      <c r="N555" s="28" t="str">
        <f>IFERROR(__xludf.DUMMYFUNCTION("IF(OR(C555="""",M555=""""),"""",IFERROR(IF(M555="""","""",query('tbl user'!$A$2:$D1508,""SELECT A WHERE D = '""&amp;M555&amp;""'"")),""USER TIDAK DIKETAHUI""))"),"")</f>
        <v/>
      </c>
    </row>
    <row r="556">
      <c r="A556" s="23" t="str">
        <f t="shared" si="3"/>
        <v/>
      </c>
      <c r="B556" s="24" t="str">
        <f t="shared" si="4"/>
        <v/>
      </c>
      <c r="C556" s="28"/>
      <c r="D556" s="28"/>
      <c r="E556" s="34"/>
      <c r="F556" s="34"/>
      <c r="G556" s="34"/>
      <c r="H556" s="34"/>
      <c r="I556" s="34"/>
      <c r="J556" s="28" t="str">
        <f>IFERROR(__xludf.DUMMYFUNCTION("iferror(if(I556="""","""",unique(query('tbl driver 2'!$K$2:$L1508,""SELECT L WHERE K = '""&amp;I556&amp;""'""))),"""")"),"")</f>
        <v/>
      </c>
      <c r="K556" s="31"/>
      <c r="L556" s="39"/>
      <c r="M556" s="39"/>
      <c r="N556" s="28" t="str">
        <f>IFERROR(__xludf.DUMMYFUNCTION("IF(OR(C556="""",M556=""""),"""",IFERROR(IF(M556="""","""",query('tbl user'!$A$2:$D1508,""SELECT A WHERE D = '""&amp;M556&amp;""'"")),""USER TIDAK DIKETAHUI""))"),"")</f>
        <v/>
      </c>
    </row>
    <row r="557">
      <c r="A557" s="23" t="str">
        <f t="shared" si="3"/>
        <v/>
      </c>
      <c r="B557" s="24" t="str">
        <f t="shared" si="4"/>
        <v/>
      </c>
      <c r="C557" s="28"/>
      <c r="D557" s="28"/>
      <c r="E557" s="34"/>
      <c r="F557" s="34"/>
      <c r="G557" s="34"/>
      <c r="H557" s="34"/>
      <c r="I557" s="34"/>
      <c r="J557" s="28" t="str">
        <f>IFERROR(__xludf.DUMMYFUNCTION("iferror(if(I557="""","""",unique(query('tbl driver 2'!$K$2:$L1508,""SELECT L WHERE K = '""&amp;I557&amp;""'""))),"""")"),"")</f>
        <v/>
      </c>
      <c r="K557" s="31"/>
      <c r="L557" s="39"/>
      <c r="M557" s="39"/>
      <c r="N557" s="28" t="str">
        <f>IFERROR(__xludf.DUMMYFUNCTION("IF(OR(C557="""",M557=""""),"""",IFERROR(IF(M557="""","""",query('tbl user'!$A$2:$D1508,""SELECT A WHERE D = '""&amp;M557&amp;""'"")),""USER TIDAK DIKETAHUI""))"),"")</f>
        <v/>
      </c>
    </row>
    <row r="558">
      <c r="A558" s="23" t="str">
        <f t="shared" si="3"/>
        <v/>
      </c>
      <c r="B558" s="24" t="str">
        <f t="shared" si="4"/>
        <v/>
      </c>
      <c r="C558" s="28"/>
      <c r="D558" s="28"/>
      <c r="E558" s="34"/>
      <c r="F558" s="34"/>
      <c r="G558" s="34"/>
      <c r="H558" s="34"/>
      <c r="I558" s="34"/>
      <c r="J558" s="28" t="str">
        <f>IFERROR(__xludf.DUMMYFUNCTION("iferror(if(I558="""","""",unique(query('tbl driver 2'!$K$2:$L1508,""SELECT L WHERE K = '""&amp;I558&amp;""'""))),"""")"),"")</f>
        <v/>
      </c>
      <c r="K558" s="31"/>
      <c r="L558" s="39"/>
      <c r="M558" s="39"/>
      <c r="N558" s="28" t="str">
        <f>IFERROR(__xludf.DUMMYFUNCTION("IF(OR(C558="""",M558=""""),"""",IFERROR(IF(M558="""","""",query('tbl user'!$A$2:$D1508,""SELECT A WHERE D = '""&amp;M558&amp;""'"")),""USER TIDAK DIKETAHUI""))"),"")</f>
        <v/>
      </c>
    </row>
    <row r="559">
      <c r="A559" s="23" t="str">
        <f t="shared" si="3"/>
        <v/>
      </c>
      <c r="B559" s="24" t="str">
        <f t="shared" si="4"/>
        <v/>
      </c>
      <c r="C559" s="28"/>
      <c r="D559" s="28"/>
      <c r="E559" s="34"/>
      <c r="F559" s="34"/>
      <c r="G559" s="34"/>
      <c r="H559" s="34"/>
      <c r="I559" s="34"/>
      <c r="J559" s="28" t="str">
        <f>IFERROR(__xludf.DUMMYFUNCTION("iferror(if(I559="""","""",unique(query('tbl driver 2'!$K$2:$L1508,""SELECT L WHERE K = '""&amp;I559&amp;""'""))),"""")"),"")</f>
        <v/>
      </c>
      <c r="K559" s="31"/>
      <c r="L559" s="39"/>
      <c r="M559" s="39"/>
      <c r="N559" s="28" t="str">
        <f>IFERROR(__xludf.DUMMYFUNCTION("IF(OR(C559="""",M559=""""),"""",IFERROR(IF(M559="""","""",query('tbl user'!$A$2:$D1508,""SELECT A WHERE D = '""&amp;M559&amp;""'"")),""USER TIDAK DIKETAHUI""))"),"")</f>
        <v/>
      </c>
    </row>
    <row r="560">
      <c r="A560" s="23" t="str">
        <f t="shared" si="3"/>
        <v/>
      </c>
      <c r="B560" s="24" t="str">
        <f t="shared" si="4"/>
        <v/>
      </c>
      <c r="C560" s="28"/>
      <c r="D560" s="28"/>
      <c r="E560" s="34"/>
      <c r="F560" s="34"/>
      <c r="G560" s="34"/>
      <c r="H560" s="34"/>
      <c r="I560" s="34"/>
      <c r="J560" s="28" t="str">
        <f>IFERROR(__xludf.DUMMYFUNCTION("iferror(if(I560="""","""",unique(query('tbl driver 2'!$K$2:$L1508,""SELECT L WHERE K = '""&amp;I560&amp;""'""))),"""")"),"")</f>
        <v/>
      </c>
      <c r="K560" s="31"/>
      <c r="L560" s="39"/>
      <c r="M560" s="39"/>
      <c r="N560" s="28" t="str">
        <f>IFERROR(__xludf.DUMMYFUNCTION("IF(OR(C560="""",M560=""""),"""",IFERROR(IF(M560="""","""",query('tbl user'!$A$2:$D1508,""SELECT A WHERE D = '""&amp;M560&amp;""'"")),""USER TIDAK DIKETAHUI""))"),"")</f>
        <v/>
      </c>
    </row>
    <row r="561">
      <c r="A561" s="23" t="str">
        <f t="shared" si="3"/>
        <v/>
      </c>
      <c r="B561" s="24" t="str">
        <f t="shared" si="4"/>
        <v/>
      </c>
      <c r="C561" s="28"/>
      <c r="D561" s="28"/>
      <c r="E561" s="34"/>
      <c r="F561" s="34"/>
      <c r="G561" s="34"/>
      <c r="H561" s="34"/>
      <c r="I561" s="34"/>
      <c r="J561" s="28" t="str">
        <f>IFERROR(__xludf.DUMMYFUNCTION("iferror(if(I561="""","""",unique(query('tbl driver 2'!$K$2:$L1508,""SELECT L WHERE K = '""&amp;I561&amp;""'""))),"""")"),"")</f>
        <v/>
      </c>
      <c r="K561" s="31"/>
      <c r="L561" s="39"/>
      <c r="M561" s="39"/>
      <c r="N561" s="28" t="str">
        <f>IFERROR(__xludf.DUMMYFUNCTION("IF(OR(C561="""",M561=""""),"""",IFERROR(IF(M561="""","""",query('tbl user'!$A$2:$D1508,""SELECT A WHERE D = '""&amp;M561&amp;""'"")),""USER TIDAK DIKETAHUI""))"),"")</f>
        <v/>
      </c>
    </row>
    <row r="562">
      <c r="A562" s="23" t="str">
        <f t="shared" si="3"/>
        <v/>
      </c>
      <c r="B562" s="24" t="str">
        <f t="shared" si="4"/>
        <v/>
      </c>
      <c r="C562" s="28"/>
      <c r="D562" s="28"/>
      <c r="E562" s="34"/>
      <c r="F562" s="34"/>
      <c r="G562" s="34"/>
      <c r="H562" s="34"/>
      <c r="I562" s="34"/>
      <c r="J562" s="28" t="str">
        <f>IFERROR(__xludf.DUMMYFUNCTION("iferror(if(I562="""","""",unique(query('tbl driver 2'!$K$2:$L1508,""SELECT L WHERE K = '""&amp;I562&amp;""'""))),"""")"),"")</f>
        <v/>
      </c>
      <c r="K562" s="31"/>
      <c r="L562" s="39"/>
      <c r="M562" s="39"/>
      <c r="N562" s="28" t="str">
        <f>IFERROR(__xludf.DUMMYFUNCTION("IF(OR(C562="""",M562=""""),"""",IFERROR(IF(M562="""","""",query('tbl user'!$A$2:$D1508,""SELECT A WHERE D = '""&amp;M562&amp;""'"")),""USER TIDAK DIKETAHUI""))"),"")</f>
        <v/>
      </c>
    </row>
    <row r="563">
      <c r="A563" s="23" t="str">
        <f t="shared" si="3"/>
        <v/>
      </c>
      <c r="B563" s="24" t="str">
        <f t="shared" si="4"/>
        <v/>
      </c>
      <c r="C563" s="28"/>
      <c r="D563" s="28"/>
      <c r="E563" s="34"/>
      <c r="F563" s="34"/>
      <c r="G563" s="34"/>
      <c r="H563" s="34"/>
      <c r="I563" s="34"/>
      <c r="J563" s="28" t="str">
        <f>IFERROR(__xludf.DUMMYFUNCTION("iferror(if(I563="""","""",unique(query('tbl driver 2'!$K$2:$L1508,""SELECT L WHERE K = '""&amp;I563&amp;""'""))),"""")"),"")</f>
        <v/>
      </c>
      <c r="K563" s="31"/>
      <c r="L563" s="39"/>
      <c r="M563" s="39"/>
      <c r="N563" s="28" t="str">
        <f>IFERROR(__xludf.DUMMYFUNCTION("IF(OR(C563="""",M563=""""),"""",IFERROR(IF(M563="""","""",query('tbl user'!$A$2:$D1508,""SELECT A WHERE D = '""&amp;M563&amp;""'"")),""USER TIDAK DIKETAHUI""))"),"")</f>
        <v/>
      </c>
    </row>
    <row r="564">
      <c r="A564" s="23" t="str">
        <f t="shared" si="3"/>
        <v/>
      </c>
      <c r="B564" s="24" t="str">
        <f t="shared" si="4"/>
        <v/>
      </c>
      <c r="C564" s="28"/>
      <c r="D564" s="28"/>
      <c r="E564" s="34"/>
      <c r="F564" s="34"/>
      <c r="G564" s="34"/>
      <c r="H564" s="34"/>
      <c r="I564" s="34"/>
      <c r="J564" s="28" t="str">
        <f>IFERROR(__xludf.DUMMYFUNCTION("iferror(if(I564="""","""",unique(query('tbl driver 2'!$K$2:$L1508,""SELECT L WHERE K = '""&amp;I564&amp;""'""))),"""")"),"")</f>
        <v/>
      </c>
      <c r="K564" s="31"/>
      <c r="L564" s="39"/>
      <c r="M564" s="39"/>
      <c r="N564" s="28" t="str">
        <f>IFERROR(__xludf.DUMMYFUNCTION("IF(OR(C564="""",M564=""""),"""",IFERROR(IF(M564="""","""",query('tbl user'!$A$2:$D1508,""SELECT A WHERE D = '""&amp;M564&amp;""'"")),""USER TIDAK DIKETAHUI""))"),"")</f>
        <v/>
      </c>
    </row>
    <row r="565">
      <c r="A565" s="23" t="str">
        <f t="shared" si="3"/>
        <v/>
      </c>
      <c r="B565" s="24" t="str">
        <f t="shared" si="4"/>
        <v/>
      </c>
      <c r="C565" s="28"/>
      <c r="D565" s="28"/>
      <c r="E565" s="34"/>
      <c r="F565" s="34"/>
      <c r="G565" s="34"/>
      <c r="H565" s="34"/>
      <c r="I565" s="34"/>
      <c r="J565" s="28" t="str">
        <f>IFERROR(__xludf.DUMMYFUNCTION("iferror(if(I565="""","""",unique(query('tbl driver 2'!$K$2:$L1508,""SELECT L WHERE K = '""&amp;I565&amp;""'""))),"""")"),"")</f>
        <v/>
      </c>
      <c r="K565" s="31"/>
      <c r="L565" s="39"/>
      <c r="M565" s="39"/>
      <c r="N565" s="28" t="str">
        <f>IFERROR(__xludf.DUMMYFUNCTION("IF(OR(C565="""",M565=""""),"""",IFERROR(IF(M565="""","""",query('tbl user'!$A$2:$D1508,""SELECT A WHERE D = '""&amp;M565&amp;""'"")),""USER TIDAK DIKETAHUI""))"),"")</f>
        <v/>
      </c>
    </row>
    <row r="566">
      <c r="A566" s="23" t="str">
        <f t="shared" si="3"/>
        <v/>
      </c>
      <c r="B566" s="24" t="str">
        <f t="shared" si="4"/>
        <v/>
      </c>
      <c r="C566" s="28"/>
      <c r="D566" s="28"/>
      <c r="E566" s="34"/>
      <c r="F566" s="34"/>
      <c r="G566" s="34"/>
      <c r="H566" s="34"/>
      <c r="I566" s="34"/>
      <c r="J566" s="28" t="str">
        <f>IFERROR(__xludf.DUMMYFUNCTION("iferror(if(I566="""","""",unique(query('tbl driver 2'!$K$2:$L1508,""SELECT L WHERE K = '""&amp;I566&amp;""'""))),"""")"),"")</f>
        <v/>
      </c>
      <c r="K566" s="31"/>
      <c r="L566" s="39"/>
      <c r="M566" s="39"/>
      <c r="N566" s="28" t="str">
        <f>IFERROR(__xludf.DUMMYFUNCTION("IF(OR(C566="""",M566=""""),"""",IFERROR(IF(M566="""","""",query('tbl user'!$A$2:$D1508,""SELECT A WHERE D = '""&amp;M566&amp;""'"")),""USER TIDAK DIKETAHUI""))"),"")</f>
        <v/>
      </c>
    </row>
    <row r="567">
      <c r="A567" s="23" t="str">
        <f t="shared" si="3"/>
        <v/>
      </c>
      <c r="B567" s="24" t="str">
        <f t="shared" si="4"/>
        <v/>
      </c>
      <c r="C567" s="28"/>
      <c r="D567" s="28"/>
      <c r="E567" s="34"/>
      <c r="F567" s="34"/>
      <c r="G567" s="34"/>
      <c r="H567" s="34"/>
      <c r="I567" s="34"/>
      <c r="J567" s="28" t="str">
        <f>IFERROR(__xludf.DUMMYFUNCTION("iferror(if(I567="""","""",unique(query('tbl driver 2'!$K$2:$L1508,""SELECT L WHERE K = '""&amp;I567&amp;""'""))),"""")"),"")</f>
        <v/>
      </c>
      <c r="K567" s="31"/>
      <c r="L567" s="39"/>
      <c r="M567" s="39"/>
      <c r="N567" s="28" t="str">
        <f>IFERROR(__xludf.DUMMYFUNCTION("IF(OR(C567="""",M567=""""),"""",IFERROR(IF(M567="""","""",query('tbl user'!$A$2:$D1508,""SELECT A WHERE D = '""&amp;M567&amp;""'"")),""USER TIDAK DIKETAHUI""))"),"")</f>
        <v/>
      </c>
    </row>
    <row r="568">
      <c r="A568" s="23" t="str">
        <f t="shared" si="3"/>
        <v/>
      </c>
      <c r="B568" s="24" t="str">
        <f t="shared" si="4"/>
        <v/>
      </c>
      <c r="C568" s="28"/>
      <c r="D568" s="28"/>
      <c r="E568" s="34"/>
      <c r="F568" s="34"/>
      <c r="G568" s="34"/>
      <c r="H568" s="34"/>
      <c r="I568" s="34"/>
      <c r="J568" s="28" t="str">
        <f>IFERROR(__xludf.DUMMYFUNCTION("iferror(if(I568="""","""",unique(query('tbl driver 2'!$K$2:$L1508,""SELECT L WHERE K = '""&amp;I568&amp;""'""))),"""")"),"")</f>
        <v/>
      </c>
      <c r="K568" s="31"/>
      <c r="L568" s="39"/>
      <c r="M568" s="39"/>
      <c r="N568" s="28" t="str">
        <f>IFERROR(__xludf.DUMMYFUNCTION("IF(OR(C568="""",M568=""""),"""",IFERROR(IF(M568="""","""",query('tbl user'!$A$2:$D1508,""SELECT A WHERE D = '""&amp;M568&amp;""'"")),""USER TIDAK DIKETAHUI""))"),"")</f>
        <v/>
      </c>
    </row>
    <row r="569">
      <c r="A569" s="23" t="str">
        <f t="shared" si="3"/>
        <v/>
      </c>
      <c r="B569" s="24" t="str">
        <f t="shared" si="4"/>
        <v/>
      </c>
      <c r="C569" s="28"/>
      <c r="D569" s="28"/>
      <c r="E569" s="34"/>
      <c r="F569" s="34"/>
      <c r="G569" s="34"/>
      <c r="H569" s="34"/>
      <c r="I569" s="34"/>
      <c r="J569" s="28" t="str">
        <f>IFERROR(__xludf.DUMMYFUNCTION("iferror(if(I569="""","""",unique(query('tbl driver 2'!$K$2:$L1508,""SELECT L WHERE K = '""&amp;I569&amp;""'""))),"""")"),"")</f>
        <v/>
      </c>
      <c r="K569" s="31"/>
      <c r="L569" s="39"/>
      <c r="M569" s="39"/>
      <c r="N569" s="28" t="str">
        <f>IFERROR(__xludf.DUMMYFUNCTION("IF(OR(C569="""",M569=""""),"""",IFERROR(IF(M569="""","""",query('tbl user'!$A$2:$D1508,""SELECT A WHERE D = '""&amp;M569&amp;""'"")),""USER TIDAK DIKETAHUI""))"),"")</f>
        <v/>
      </c>
    </row>
    <row r="570">
      <c r="A570" s="23" t="str">
        <f t="shared" si="3"/>
        <v/>
      </c>
      <c r="B570" s="24" t="str">
        <f t="shared" si="4"/>
        <v/>
      </c>
      <c r="C570" s="28"/>
      <c r="D570" s="28"/>
      <c r="E570" s="34"/>
      <c r="F570" s="34"/>
      <c r="G570" s="34"/>
      <c r="H570" s="34"/>
      <c r="I570" s="34"/>
      <c r="J570" s="28" t="str">
        <f>IFERROR(__xludf.DUMMYFUNCTION("iferror(if(I570="""","""",unique(query('tbl driver 2'!$K$2:$L1508,""SELECT L WHERE K = '""&amp;I570&amp;""'""))),"""")"),"")</f>
        <v/>
      </c>
      <c r="K570" s="31"/>
      <c r="L570" s="39"/>
      <c r="M570" s="39"/>
      <c r="N570" s="28" t="str">
        <f>IFERROR(__xludf.DUMMYFUNCTION("IF(OR(C570="""",M570=""""),"""",IFERROR(IF(M570="""","""",query('tbl user'!$A$2:$D1508,""SELECT A WHERE D = '""&amp;M570&amp;""'"")),""USER TIDAK DIKETAHUI""))"),"")</f>
        <v/>
      </c>
    </row>
    <row r="571">
      <c r="A571" s="23" t="str">
        <f t="shared" si="3"/>
        <v/>
      </c>
      <c r="B571" s="24" t="str">
        <f t="shared" si="4"/>
        <v/>
      </c>
      <c r="C571" s="28"/>
      <c r="D571" s="28"/>
      <c r="E571" s="34"/>
      <c r="F571" s="34"/>
      <c r="G571" s="34"/>
      <c r="H571" s="34"/>
      <c r="I571" s="34"/>
      <c r="J571" s="28" t="str">
        <f>IFERROR(__xludf.DUMMYFUNCTION("iferror(if(I571="""","""",unique(query('tbl driver 2'!$K$2:$L1508,""SELECT L WHERE K = '""&amp;I571&amp;""'""))),"""")"),"")</f>
        <v/>
      </c>
      <c r="K571" s="31"/>
      <c r="L571" s="39"/>
      <c r="M571" s="39"/>
      <c r="N571" s="28" t="str">
        <f>IFERROR(__xludf.DUMMYFUNCTION("IF(OR(C571="""",M571=""""),"""",IFERROR(IF(M571="""","""",query('tbl user'!$A$2:$D1508,""SELECT A WHERE D = '""&amp;M571&amp;""'"")),""USER TIDAK DIKETAHUI""))"),"")</f>
        <v/>
      </c>
    </row>
    <row r="572">
      <c r="A572" s="23" t="str">
        <f t="shared" si="3"/>
        <v/>
      </c>
      <c r="B572" s="24" t="str">
        <f t="shared" si="4"/>
        <v/>
      </c>
      <c r="C572" s="28"/>
      <c r="D572" s="28"/>
      <c r="E572" s="34"/>
      <c r="F572" s="34"/>
      <c r="G572" s="34"/>
      <c r="H572" s="34"/>
      <c r="I572" s="34"/>
      <c r="J572" s="28" t="str">
        <f>IFERROR(__xludf.DUMMYFUNCTION("iferror(if(I572="""","""",unique(query('tbl driver 2'!$K$2:$L1508,""SELECT L WHERE K = '""&amp;I572&amp;""'""))),"""")"),"")</f>
        <v/>
      </c>
      <c r="K572" s="31"/>
      <c r="L572" s="39"/>
      <c r="M572" s="39"/>
      <c r="N572" s="28" t="str">
        <f>IFERROR(__xludf.DUMMYFUNCTION("IF(OR(C572="""",M572=""""),"""",IFERROR(IF(M572="""","""",query('tbl user'!$A$2:$D1508,""SELECT A WHERE D = '""&amp;M572&amp;""'"")),""USER TIDAK DIKETAHUI""))"),"")</f>
        <v/>
      </c>
    </row>
    <row r="573">
      <c r="A573" s="23" t="str">
        <f t="shared" si="3"/>
        <v/>
      </c>
      <c r="B573" s="24" t="str">
        <f t="shared" si="4"/>
        <v/>
      </c>
      <c r="C573" s="28"/>
      <c r="D573" s="28"/>
      <c r="E573" s="34"/>
      <c r="F573" s="34"/>
      <c r="G573" s="34"/>
      <c r="H573" s="34"/>
      <c r="I573" s="34"/>
      <c r="J573" s="28" t="str">
        <f>IFERROR(__xludf.DUMMYFUNCTION("iferror(if(I573="""","""",unique(query('tbl driver 2'!$K$2:$L1508,""SELECT L WHERE K = '""&amp;I573&amp;""'""))),"""")"),"")</f>
        <v/>
      </c>
      <c r="K573" s="31"/>
      <c r="L573" s="39"/>
      <c r="M573" s="39"/>
      <c r="N573" s="28" t="str">
        <f>IFERROR(__xludf.DUMMYFUNCTION("IF(OR(C573="""",M573=""""),"""",IFERROR(IF(M573="""","""",query('tbl user'!$A$2:$D1508,""SELECT A WHERE D = '""&amp;M573&amp;""'"")),""USER TIDAK DIKETAHUI""))"),"")</f>
        <v/>
      </c>
    </row>
    <row r="574">
      <c r="A574" s="23" t="str">
        <f t="shared" si="3"/>
        <v/>
      </c>
      <c r="B574" s="24" t="str">
        <f t="shared" si="4"/>
        <v/>
      </c>
      <c r="C574" s="28"/>
      <c r="D574" s="28"/>
      <c r="E574" s="34"/>
      <c r="F574" s="34"/>
      <c r="G574" s="34"/>
      <c r="H574" s="34"/>
      <c r="I574" s="34"/>
      <c r="J574" s="28" t="str">
        <f>IFERROR(__xludf.DUMMYFUNCTION("iferror(if(I574="""","""",unique(query('tbl driver 2'!$K$2:$L1508,""SELECT L WHERE K = '""&amp;I574&amp;""'""))),"""")"),"")</f>
        <v/>
      </c>
      <c r="K574" s="31"/>
      <c r="L574" s="39"/>
      <c r="M574" s="39"/>
      <c r="N574" s="28" t="str">
        <f>IFERROR(__xludf.DUMMYFUNCTION("IF(OR(C574="""",M574=""""),"""",IFERROR(IF(M574="""","""",query('tbl user'!$A$2:$D1508,""SELECT A WHERE D = '""&amp;M574&amp;""'"")),""USER TIDAK DIKETAHUI""))"),"")</f>
        <v/>
      </c>
    </row>
    <row r="575">
      <c r="A575" s="23" t="str">
        <f t="shared" si="3"/>
        <v/>
      </c>
      <c r="B575" s="24" t="str">
        <f t="shared" si="4"/>
        <v/>
      </c>
      <c r="C575" s="28"/>
      <c r="D575" s="28"/>
      <c r="E575" s="34"/>
      <c r="F575" s="34"/>
      <c r="G575" s="34"/>
      <c r="H575" s="34"/>
      <c r="I575" s="34"/>
      <c r="J575" s="28" t="str">
        <f>IFERROR(__xludf.DUMMYFUNCTION("iferror(if(I575="""","""",unique(query('tbl driver 2'!$K$2:$L1508,""SELECT L WHERE K = '""&amp;I575&amp;""'""))),"""")"),"")</f>
        <v/>
      </c>
      <c r="K575" s="31"/>
      <c r="L575" s="39"/>
      <c r="M575" s="39"/>
      <c r="N575" s="28" t="str">
        <f>IFERROR(__xludf.DUMMYFUNCTION("IF(OR(C575="""",M575=""""),"""",IFERROR(IF(M575="""","""",query('tbl user'!$A$2:$D1508,""SELECT A WHERE D = '""&amp;M575&amp;""'"")),""USER TIDAK DIKETAHUI""))"),"")</f>
        <v/>
      </c>
    </row>
    <row r="576">
      <c r="A576" s="23" t="str">
        <f t="shared" si="3"/>
        <v/>
      </c>
      <c r="B576" s="24" t="str">
        <f t="shared" si="4"/>
        <v/>
      </c>
      <c r="C576" s="28"/>
      <c r="D576" s="28"/>
      <c r="E576" s="34"/>
      <c r="F576" s="34"/>
      <c r="G576" s="34"/>
      <c r="H576" s="34"/>
      <c r="I576" s="34"/>
      <c r="J576" s="28" t="str">
        <f>IFERROR(__xludf.DUMMYFUNCTION("iferror(if(I576="""","""",unique(query('tbl driver 2'!$K$2:$L1508,""SELECT L WHERE K = '""&amp;I576&amp;""'""))),"""")"),"")</f>
        <v/>
      </c>
      <c r="K576" s="31"/>
      <c r="L576" s="39"/>
      <c r="M576" s="39"/>
      <c r="N576" s="28" t="str">
        <f>IFERROR(__xludf.DUMMYFUNCTION("IF(OR(C576="""",M576=""""),"""",IFERROR(IF(M576="""","""",query('tbl user'!$A$2:$D1508,""SELECT A WHERE D = '""&amp;M576&amp;""'"")),""USER TIDAK DIKETAHUI""))"),"")</f>
        <v/>
      </c>
    </row>
    <row r="577">
      <c r="A577" s="23" t="str">
        <f t="shared" si="3"/>
        <v/>
      </c>
      <c r="B577" s="24" t="str">
        <f t="shared" si="4"/>
        <v/>
      </c>
      <c r="C577" s="28"/>
      <c r="D577" s="28"/>
      <c r="E577" s="34"/>
      <c r="F577" s="34"/>
      <c r="G577" s="34"/>
      <c r="H577" s="34"/>
      <c r="I577" s="34"/>
      <c r="J577" s="28" t="str">
        <f>IFERROR(__xludf.DUMMYFUNCTION("iferror(if(I577="""","""",unique(query('tbl driver 2'!$K$2:$L1508,""SELECT L WHERE K = '""&amp;I577&amp;""'""))),"""")"),"")</f>
        <v/>
      </c>
      <c r="K577" s="31"/>
      <c r="L577" s="39"/>
      <c r="M577" s="39"/>
      <c r="N577" s="28" t="str">
        <f>IFERROR(__xludf.DUMMYFUNCTION("IF(OR(C577="""",M577=""""),"""",IFERROR(IF(M577="""","""",query('tbl user'!$A$2:$D1508,""SELECT A WHERE D = '""&amp;M577&amp;""'"")),""USER TIDAK DIKETAHUI""))"),"")</f>
        <v/>
      </c>
    </row>
    <row r="578">
      <c r="A578" s="23" t="str">
        <f t="shared" si="3"/>
        <v/>
      </c>
      <c r="B578" s="24" t="str">
        <f t="shared" si="4"/>
        <v/>
      </c>
      <c r="C578" s="28"/>
      <c r="D578" s="28"/>
      <c r="E578" s="34"/>
      <c r="F578" s="34"/>
      <c r="G578" s="34"/>
      <c r="H578" s="34"/>
      <c r="I578" s="34"/>
      <c r="J578" s="28" t="str">
        <f>IFERROR(__xludf.DUMMYFUNCTION("iferror(if(I578="""","""",unique(query('tbl driver 2'!$K$2:$L1508,""SELECT L WHERE K = '""&amp;I578&amp;""'""))),"""")"),"")</f>
        <v/>
      </c>
      <c r="K578" s="31"/>
      <c r="L578" s="39"/>
      <c r="M578" s="39"/>
      <c r="N578" s="28" t="str">
        <f>IFERROR(__xludf.DUMMYFUNCTION("IF(OR(C578="""",M578=""""),"""",IFERROR(IF(M578="""","""",query('tbl user'!$A$2:$D1508,""SELECT A WHERE D = '""&amp;M578&amp;""'"")),""USER TIDAK DIKETAHUI""))"),"")</f>
        <v/>
      </c>
    </row>
    <row r="579">
      <c r="A579" s="23" t="str">
        <f t="shared" si="3"/>
        <v/>
      </c>
      <c r="B579" s="24" t="str">
        <f t="shared" si="4"/>
        <v/>
      </c>
      <c r="C579" s="28"/>
      <c r="D579" s="28"/>
      <c r="E579" s="34"/>
      <c r="F579" s="34"/>
      <c r="G579" s="34"/>
      <c r="H579" s="34"/>
      <c r="I579" s="34"/>
      <c r="J579" s="28" t="str">
        <f>IFERROR(__xludf.DUMMYFUNCTION("iferror(if(I579="""","""",unique(query('tbl driver 2'!$K$2:$L1508,""SELECT L WHERE K = '""&amp;I579&amp;""'""))),"""")"),"")</f>
        <v/>
      </c>
      <c r="K579" s="31"/>
      <c r="L579" s="39"/>
      <c r="M579" s="39"/>
      <c r="N579" s="28" t="str">
        <f>IFERROR(__xludf.DUMMYFUNCTION("IF(OR(C579="""",M579=""""),"""",IFERROR(IF(M579="""","""",query('tbl user'!$A$2:$D1508,""SELECT A WHERE D = '""&amp;M579&amp;""'"")),""USER TIDAK DIKETAHUI""))"),"")</f>
        <v/>
      </c>
    </row>
    <row r="580">
      <c r="A580" s="23" t="str">
        <f t="shared" si="3"/>
        <v/>
      </c>
      <c r="B580" s="24" t="str">
        <f t="shared" si="4"/>
        <v/>
      </c>
      <c r="C580" s="28"/>
      <c r="D580" s="28"/>
      <c r="E580" s="34"/>
      <c r="F580" s="34"/>
      <c r="G580" s="34"/>
      <c r="H580" s="34"/>
      <c r="I580" s="34"/>
      <c r="J580" s="28" t="str">
        <f>IFERROR(__xludf.DUMMYFUNCTION("iferror(if(I580="""","""",unique(query('tbl driver 2'!$K$2:$L1508,""SELECT L WHERE K = '""&amp;I580&amp;""'""))),"""")"),"")</f>
        <v/>
      </c>
      <c r="K580" s="31"/>
      <c r="L580" s="39"/>
      <c r="M580" s="39"/>
      <c r="N580" s="28" t="str">
        <f>IFERROR(__xludf.DUMMYFUNCTION("IF(OR(C580="""",M580=""""),"""",IFERROR(IF(M580="""","""",query('tbl user'!$A$2:$D1508,""SELECT A WHERE D = '""&amp;M580&amp;""'"")),""USER TIDAK DIKETAHUI""))"),"")</f>
        <v/>
      </c>
    </row>
    <row r="581">
      <c r="A581" s="23" t="str">
        <f t="shared" si="3"/>
        <v/>
      </c>
      <c r="B581" s="24" t="str">
        <f t="shared" si="4"/>
        <v/>
      </c>
      <c r="C581" s="28"/>
      <c r="D581" s="28"/>
      <c r="E581" s="34"/>
      <c r="F581" s="34"/>
      <c r="G581" s="34"/>
      <c r="H581" s="34"/>
      <c r="I581" s="34"/>
      <c r="J581" s="28" t="str">
        <f>IFERROR(__xludf.DUMMYFUNCTION("iferror(if(I581="""","""",unique(query('tbl driver 2'!$K$2:$L1508,""SELECT L WHERE K = '""&amp;I581&amp;""'""))),"""")"),"")</f>
        <v/>
      </c>
      <c r="K581" s="31"/>
      <c r="L581" s="39"/>
      <c r="M581" s="39"/>
      <c r="N581" s="28" t="str">
        <f>IFERROR(__xludf.DUMMYFUNCTION("IF(OR(C581="""",M581=""""),"""",IFERROR(IF(M581="""","""",query('tbl user'!$A$2:$D1508,""SELECT A WHERE D = '""&amp;M581&amp;""'"")),""USER TIDAK DIKETAHUI""))"),"")</f>
        <v/>
      </c>
    </row>
    <row r="582">
      <c r="A582" s="23" t="str">
        <f t="shared" si="3"/>
        <v/>
      </c>
      <c r="B582" s="24" t="str">
        <f t="shared" si="4"/>
        <v/>
      </c>
      <c r="C582" s="28"/>
      <c r="D582" s="28"/>
      <c r="E582" s="34"/>
      <c r="F582" s="34"/>
      <c r="G582" s="34"/>
      <c r="H582" s="34"/>
      <c r="I582" s="34"/>
      <c r="J582" s="28" t="str">
        <f>IFERROR(__xludf.DUMMYFUNCTION("iferror(if(I582="""","""",unique(query('tbl driver 2'!$K$2:$L1508,""SELECT L WHERE K = '""&amp;I582&amp;""'""))),"""")"),"")</f>
        <v/>
      </c>
      <c r="K582" s="31"/>
      <c r="L582" s="39"/>
      <c r="M582" s="39"/>
      <c r="N582" s="28" t="str">
        <f>IFERROR(__xludf.DUMMYFUNCTION("IF(OR(C582="""",M582=""""),"""",IFERROR(IF(M582="""","""",query('tbl user'!$A$2:$D1508,""SELECT A WHERE D = '""&amp;M582&amp;""'"")),""USER TIDAK DIKETAHUI""))"),"")</f>
        <v/>
      </c>
    </row>
    <row r="583">
      <c r="A583" s="23" t="str">
        <f t="shared" si="3"/>
        <v/>
      </c>
      <c r="B583" s="24" t="str">
        <f t="shared" si="4"/>
        <v/>
      </c>
      <c r="C583" s="28"/>
      <c r="D583" s="28"/>
      <c r="E583" s="34"/>
      <c r="F583" s="34"/>
      <c r="G583" s="34"/>
      <c r="H583" s="34"/>
      <c r="I583" s="34"/>
      <c r="J583" s="28" t="str">
        <f>IFERROR(__xludf.DUMMYFUNCTION("iferror(if(I583="""","""",unique(query('tbl driver 2'!$K$2:$L1508,""SELECT L WHERE K = '""&amp;I583&amp;""'""))),"""")"),"")</f>
        <v/>
      </c>
      <c r="K583" s="31"/>
      <c r="L583" s="39"/>
      <c r="M583" s="39"/>
      <c r="N583" s="28" t="str">
        <f>IFERROR(__xludf.DUMMYFUNCTION("IF(OR(C583="""",M583=""""),"""",IFERROR(IF(M583="""","""",query('tbl user'!$A$2:$D1508,""SELECT A WHERE D = '""&amp;M583&amp;""'"")),""USER TIDAK DIKETAHUI""))"),"")</f>
        <v/>
      </c>
    </row>
    <row r="584">
      <c r="A584" s="23" t="str">
        <f t="shared" si="3"/>
        <v/>
      </c>
      <c r="B584" s="24" t="str">
        <f t="shared" si="4"/>
        <v/>
      </c>
      <c r="C584" s="28"/>
      <c r="D584" s="28"/>
      <c r="E584" s="34"/>
      <c r="F584" s="34"/>
      <c r="G584" s="34"/>
      <c r="H584" s="34"/>
      <c r="I584" s="34"/>
      <c r="J584" s="28" t="str">
        <f>IFERROR(__xludf.DUMMYFUNCTION("iferror(if(I584="""","""",unique(query('tbl driver 2'!$K$2:$L1508,""SELECT L WHERE K = '""&amp;I584&amp;""'""))),"""")"),"")</f>
        <v/>
      </c>
      <c r="K584" s="31"/>
      <c r="L584" s="39"/>
      <c r="M584" s="39"/>
      <c r="N584" s="28" t="str">
        <f>IFERROR(__xludf.DUMMYFUNCTION("IF(OR(C584="""",M584=""""),"""",IFERROR(IF(M584="""","""",query('tbl user'!$A$2:$D1508,""SELECT A WHERE D = '""&amp;M584&amp;""'"")),""USER TIDAK DIKETAHUI""))"),"")</f>
        <v/>
      </c>
    </row>
    <row r="585">
      <c r="A585" s="23" t="str">
        <f t="shared" si="3"/>
        <v/>
      </c>
      <c r="B585" s="24" t="str">
        <f t="shared" si="4"/>
        <v/>
      </c>
      <c r="C585" s="28"/>
      <c r="D585" s="28"/>
      <c r="E585" s="34"/>
      <c r="F585" s="34"/>
      <c r="G585" s="34"/>
      <c r="H585" s="34"/>
      <c r="I585" s="34"/>
      <c r="J585" s="28" t="str">
        <f>IFERROR(__xludf.DUMMYFUNCTION("iferror(if(I585="""","""",unique(query('tbl driver 2'!$K$2:$L1508,""SELECT L WHERE K = '""&amp;I585&amp;""'""))),"""")"),"")</f>
        <v/>
      </c>
      <c r="K585" s="31"/>
      <c r="L585" s="39"/>
      <c r="M585" s="39"/>
      <c r="N585" s="28" t="str">
        <f>IFERROR(__xludf.DUMMYFUNCTION("IF(OR(C585="""",M585=""""),"""",IFERROR(IF(M585="""","""",query('tbl user'!$A$2:$D1508,""SELECT A WHERE D = '""&amp;M585&amp;""'"")),""USER TIDAK DIKETAHUI""))"),"")</f>
        <v/>
      </c>
    </row>
    <row r="586">
      <c r="A586" s="23" t="str">
        <f t="shared" si="3"/>
        <v/>
      </c>
      <c r="B586" s="24" t="str">
        <f t="shared" si="4"/>
        <v/>
      </c>
      <c r="C586" s="28"/>
      <c r="D586" s="28"/>
      <c r="E586" s="34"/>
      <c r="F586" s="34"/>
      <c r="G586" s="34"/>
      <c r="H586" s="34"/>
      <c r="I586" s="34"/>
      <c r="J586" s="28" t="str">
        <f>IFERROR(__xludf.DUMMYFUNCTION("iferror(if(I586="""","""",unique(query('tbl driver 2'!$K$2:$L1508,""SELECT L WHERE K = '""&amp;I586&amp;""'""))),"""")"),"")</f>
        <v/>
      </c>
      <c r="K586" s="31"/>
      <c r="L586" s="39"/>
      <c r="M586" s="39"/>
      <c r="N586" s="28" t="str">
        <f>IFERROR(__xludf.DUMMYFUNCTION("IF(OR(C586="""",M586=""""),"""",IFERROR(IF(M586="""","""",query('tbl user'!$A$2:$D1508,""SELECT A WHERE D = '""&amp;M586&amp;""'"")),""USER TIDAK DIKETAHUI""))"),"")</f>
        <v/>
      </c>
    </row>
    <row r="587">
      <c r="A587" s="23" t="str">
        <f t="shared" si="3"/>
        <v/>
      </c>
      <c r="B587" s="24" t="str">
        <f t="shared" si="4"/>
        <v/>
      </c>
      <c r="C587" s="28"/>
      <c r="D587" s="28"/>
      <c r="E587" s="34"/>
      <c r="F587" s="34"/>
      <c r="G587" s="34"/>
      <c r="H587" s="34"/>
      <c r="I587" s="34"/>
      <c r="J587" s="28" t="str">
        <f>IFERROR(__xludf.DUMMYFUNCTION("iferror(if(I587="""","""",unique(query('tbl driver 2'!$K$2:$L1508,""SELECT L WHERE K = '""&amp;I587&amp;""'""))),"""")"),"")</f>
        <v/>
      </c>
      <c r="K587" s="31"/>
      <c r="L587" s="39"/>
      <c r="M587" s="39"/>
      <c r="N587" s="28" t="str">
        <f>IFERROR(__xludf.DUMMYFUNCTION("IF(OR(C587="""",M587=""""),"""",IFERROR(IF(M587="""","""",query('tbl user'!$A$2:$D1508,""SELECT A WHERE D = '""&amp;M587&amp;""'"")),""USER TIDAK DIKETAHUI""))"),"")</f>
        <v/>
      </c>
    </row>
    <row r="588">
      <c r="A588" s="23" t="str">
        <f t="shared" si="3"/>
        <v/>
      </c>
      <c r="B588" s="24" t="str">
        <f t="shared" si="4"/>
        <v/>
      </c>
      <c r="C588" s="28"/>
      <c r="D588" s="28"/>
      <c r="E588" s="34"/>
      <c r="F588" s="34"/>
      <c r="G588" s="34"/>
      <c r="H588" s="34"/>
      <c r="I588" s="34"/>
      <c r="J588" s="28" t="str">
        <f>IFERROR(__xludf.DUMMYFUNCTION("iferror(if(I588="""","""",unique(query('tbl driver 2'!$K$2:$L1508,""SELECT L WHERE K = '""&amp;I588&amp;""'""))),"""")"),"")</f>
        <v/>
      </c>
      <c r="K588" s="31"/>
      <c r="L588" s="39"/>
      <c r="M588" s="39"/>
      <c r="N588" s="28" t="str">
        <f>IFERROR(__xludf.DUMMYFUNCTION("IF(OR(C588="""",M588=""""),"""",IFERROR(IF(M588="""","""",query('tbl user'!$A$2:$D1508,""SELECT A WHERE D = '""&amp;M588&amp;""'"")),""USER TIDAK DIKETAHUI""))"),"")</f>
        <v/>
      </c>
    </row>
    <row r="589">
      <c r="A589" s="23" t="str">
        <f t="shared" si="3"/>
        <v/>
      </c>
      <c r="B589" s="24" t="str">
        <f t="shared" si="4"/>
        <v/>
      </c>
      <c r="C589" s="28"/>
      <c r="D589" s="28"/>
      <c r="E589" s="34"/>
      <c r="F589" s="34"/>
      <c r="G589" s="34"/>
      <c r="H589" s="34"/>
      <c r="I589" s="34"/>
      <c r="J589" s="28" t="str">
        <f>IFERROR(__xludf.DUMMYFUNCTION("iferror(if(I589="""","""",unique(query('tbl driver 2'!$K$2:$L1508,""SELECT L WHERE K = '""&amp;I589&amp;""'""))),"""")"),"")</f>
        <v/>
      </c>
      <c r="K589" s="31"/>
      <c r="L589" s="39"/>
      <c r="M589" s="39"/>
      <c r="N589" s="28" t="str">
        <f>IFERROR(__xludf.DUMMYFUNCTION("IF(OR(C589="""",M589=""""),"""",IFERROR(IF(M589="""","""",query('tbl user'!$A$2:$D1508,""SELECT A WHERE D = '""&amp;M589&amp;""'"")),""USER TIDAK DIKETAHUI""))"),"")</f>
        <v/>
      </c>
    </row>
    <row r="590">
      <c r="A590" s="23" t="str">
        <f t="shared" si="3"/>
        <v/>
      </c>
      <c r="B590" s="24" t="str">
        <f t="shared" si="4"/>
        <v/>
      </c>
      <c r="C590" s="28"/>
      <c r="D590" s="28"/>
      <c r="E590" s="34"/>
      <c r="F590" s="34"/>
      <c r="G590" s="34"/>
      <c r="H590" s="34"/>
      <c r="I590" s="34"/>
      <c r="J590" s="28" t="str">
        <f>IFERROR(__xludf.DUMMYFUNCTION("iferror(if(I590="""","""",unique(query('tbl driver 2'!$K$2:$L1508,""SELECT L WHERE K = '""&amp;I590&amp;""'""))),"""")"),"")</f>
        <v/>
      </c>
      <c r="K590" s="31"/>
      <c r="L590" s="39"/>
      <c r="M590" s="39"/>
      <c r="N590" s="28" t="str">
        <f>IFERROR(__xludf.DUMMYFUNCTION("IF(OR(C590="""",M590=""""),"""",IFERROR(IF(M590="""","""",query('tbl user'!$A$2:$D1508,""SELECT A WHERE D = '""&amp;M590&amp;""'"")),""USER TIDAK DIKETAHUI""))"),"")</f>
        <v/>
      </c>
    </row>
    <row r="591">
      <c r="A591" s="23" t="str">
        <f t="shared" si="3"/>
        <v/>
      </c>
      <c r="B591" s="24" t="str">
        <f t="shared" si="4"/>
        <v/>
      </c>
      <c r="C591" s="28"/>
      <c r="D591" s="28"/>
      <c r="E591" s="34"/>
      <c r="F591" s="34"/>
      <c r="G591" s="34"/>
      <c r="H591" s="34"/>
      <c r="I591" s="34"/>
      <c r="J591" s="28" t="str">
        <f>IFERROR(__xludf.DUMMYFUNCTION("iferror(if(I591="""","""",unique(query('tbl driver 2'!$K$2:$L1508,""SELECT L WHERE K = '""&amp;I591&amp;""'""))),"""")"),"")</f>
        <v/>
      </c>
      <c r="K591" s="31"/>
      <c r="L591" s="39"/>
      <c r="M591" s="39"/>
      <c r="N591" s="28" t="str">
        <f>IFERROR(__xludf.DUMMYFUNCTION("IF(OR(C591="""",M591=""""),"""",IFERROR(IF(M591="""","""",query('tbl user'!$A$2:$D1508,""SELECT A WHERE D = '""&amp;M591&amp;""'"")),""USER TIDAK DIKETAHUI""))"),"")</f>
        <v/>
      </c>
    </row>
    <row r="592">
      <c r="A592" s="23" t="str">
        <f t="shared" si="3"/>
        <v/>
      </c>
      <c r="B592" s="24" t="str">
        <f t="shared" si="4"/>
        <v/>
      </c>
      <c r="C592" s="28"/>
      <c r="D592" s="28"/>
      <c r="E592" s="34"/>
      <c r="F592" s="34"/>
      <c r="G592" s="34"/>
      <c r="H592" s="34"/>
      <c r="I592" s="34"/>
      <c r="J592" s="28" t="str">
        <f>IFERROR(__xludf.DUMMYFUNCTION("iferror(if(I592="""","""",unique(query('tbl driver 2'!$K$2:$L1508,""SELECT L WHERE K = '""&amp;I592&amp;""'""))),"""")"),"")</f>
        <v/>
      </c>
      <c r="K592" s="31"/>
      <c r="L592" s="39"/>
      <c r="M592" s="39"/>
      <c r="N592" s="28" t="str">
        <f>IFERROR(__xludf.DUMMYFUNCTION("IF(OR(C592="""",M592=""""),"""",IFERROR(IF(M592="""","""",query('tbl user'!$A$2:$D1508,""SELECT A WHERE D = '""&amp;M592&amp;""'"")),""USER TIDAK DIKETAHUI""))"),"")</f>
        <v/>
      </c>
    </row>
    <row r="593">
      <c r="A593" s="23" t="str">
        <f t="shared" si="3"/>
        <v/>
      </c>
      <c r="B593" s="24" t="str">
        <f t="shared" si="4"/>
        <v/>
      </c>
      <c r="C593" s="28"/>
      <c r="D593" s="28"/>
      <c r="E593" s="34"/>
      <c r="F593" s="34"/>
      <c r="G593" s="34"/>
      <c r="H593" s="34"/>
      <c r="I593" s="34"/>
      <c r="J593" s="28" t="str">
        <f>IFERROR(__xludf.DUMMYFUNCTION("iferror(if(I593="""","""",unique(query('tbl driver 2'!$K$2:$L1508,""SELECT L WHERE K = '""&amp;I593&amp;""'""))),"""")"),"")</f>
        <v/>
      </c>
      <c r="K593" s="31"/>
      <c r="L593" s="39"/>
      <c r="M593" s="39"/>
      <c r="N593" s="28" t="str">
        <f>IFERROR(__xludf.DUMMYFUNCTION("IF(OR(C593="""",M593=""""),"""",IFERROR(IF(M593="""","""",query('tbl user'!$A$2:$D1508,""SELECT A WHERE D = '""&amp;M593&amp;""'"")),""USER TIDAK DIKETAHUI""))"),"")</f>
        <v/>
      </c>
    </row>
    <row r="594">
      <c r="A594" s="23" t="str">
        <f t="shared" si="3"/>
        <v/>
      </c>
      <c r="B594" s="24" t="str">
        <f t="shared" si="4"/>
        <v/>
      </c>
      <c r="C594" s="28"/>
      <c r="D594" s="28"/>
      <c r="E594" s="34"/>
      <c r="F594" s="34"/>
      <c r="G594" s="34"/>
      <c r="H594" s="34"/>
      <c r="I594" s="34"/>
      <c r="J594" s="28" t="str">
        <f>IFERROR(__xludf.DUMMYFUNCTION("iferror(if(I594="""","""",unique(query('tbl driver 2'!$K$2:$L1508,""SELECT L WHERE K = '""&amp;I594&amp;""'""))),"""")"),"")</f>
        <v/>
      </c>
      <c r="K594" s="31"/>
      <c r="L594" s="39"/>
      <c r="M594" s="39"/>
      <c r="N594" s="28" t="str">
        <f>IFERROR(__xludf.DUMMYFUNCTION("IF(OR(C594="""",M594=""""),"""",IFERROR(IF(M594="""","""",query('tbl user'!$A$2:$D1508,""SELECT A WHERE D = '""&amp;M594&amp;""'"")),""USER TIDAK DIKETAHUI""))"),"")</f>
        <v/>
      </c>
    </row>
    <row r="595">
      <c r="A595" s="23" t="str">
        <f t="shared" si="3"/>
        <v/>
      </c>
      <c r="B595" s="24" t="str">
        <f t="shared" si="4"/>
        <v/>
      </c>
      <c r="C595" s="28"/>
      <c r="D595" s="28"/>
      <c r="E595" s="34"/>
      <c r="F595" s="34"/>
      <c r="G595" s="34"/>
      <c r="H595" s="34"/>
      <c r="I595" s="34"/>
      <c r="J595" s="28" t="str">
        <f>IFERROR(__xludf.DUMMYFUNCTION("iferror(if(I595="""","""",unique(query('tbl driver 2'!$K$2:$L1508,""SELECT L WHERE K = '""&amp;I595&amp;""'""))),"""")"),"")</f>
        <v/>
      </c>
      <c r="K595" s="31"/>
      <c r="L595" s="39"/>
      <c r="M595" s="39"/>
      <c r="N595" s="28" t="str">
        <f>IFERROR(__xludf.DUMMYFUNCTION("IF(OR(C595="""",M595=""""),"""",IFERROR(IF(M595="""","""",query('tbl user'!$A$2:$D1508,""SELECT A WHERE D = '""&amp;M595&amp;""'"")),""USER TIDAK DIKETAHUI""))"),"")</f>
        <v/>
      </c>
    </row>
    <row r="596">
      <c r="A596" s="23" t="str">
        <f t="shared" si="3"/>
        <v/>
      </c>
      <c r="B596" s="24" t="str">
        <f t="shared" si="4"/>
        <v/>
      </c>
      <c r="C596" s="28"/>
      <c r="D596" s="28"/>
      <c r="E596" s="34"/>
      <c r="F596" s="34"/>
      <c r="G596" s="34"/>
      <c r="H596" s="34"/>
      <c r="I596" s="34"/>
      <c r="J596" s="28" t="str">
        <f>IFERROR(__xludf.DUMMYFUNCTION("iferror(if(I596="""","""",unique(query('tbl driver 2'!$K$2:$L1508,""SELECT L WHERE K = '""&amp;I596&amp;""'""))),"""")"),"")</f>
        <v/>
      </c>
      <c r="K596" s="31"/>
      <c r="L596" s="39"/>
      <c r="M596" s="39"/>
      <c r="N596" s="28" t="str">
        <f>IFERROR(__xludf.DUMMYFUNCTION("IF(OR(C596="""",M596=""""),"""",IFERROR(IF(M596="""","""",query('tbl user'!$A$2:$D1508,""SELECT A WHERE D = '""&amp;M596&amp;""'"")),""USER TIDAK DIKETAHUI""))"),"")</f>
        <v/>
      </c>
    </row>
    <row r="597">
      <c r="A597" s="23" t="str">
        <f t="shared" si="3"/>
        <v/>
      </c>
      <c r="B597" s="24" t="str">
        <f t="shared" si="4"/>
        <v/>
      </c>
      <c r="C597" s="28"/>
      <c r="D597" s="28"/>
      <c r="E597" s="34"/>
      <c r="F597" s="34"/>
      <c r="G597" s="34"/>
      <c r="H597" s="34"/>
      <c r="I597" s="34"/>
      <c r="J597" s="28" t="str">
        <f>IFERROR(__xludf.DUMMYFUNCTION("iferror(if(I597="""","""",unique(query('tbl driver 2'!$K$2:$L1508,""SELECT L WHERE K = '""&amp;I597&amp;""'""))),"""")"),"")</f>
        <v/>
      </c>
      <c r="K597" s="31"/>
      <c r="L597" s="39"/>
      <c r="M597" s="39"/>
      <c r="N597" s="28" t="str">
        <f>IFERROR(__xludf.DUMMYFUNCTION("IF(OR(C597="""",M597=""""),"""",IFERROR(IF(M597="""","""",query('tbl user'!$A$2:$D1508,""SELECT A WHERE D = '""&amp;M597&amp;""'"")),""USER TIDAK DIKETAHUI""))"),"")</f>
        <v/>
      </c>
    </row>
    <row r="598">
      <c r="A598" s="23" t="str">
        <f t="shared" si="3"/>
        <v/>
      </c>
      <c r="B598" s="24" t="str">
        <f t="shared" si="4"/>
        <v/>
      </c>
      <c r="C598" s="28"/>
      <c r="D598" s="28"/>
      <c r="E598" s="34"/>
      <c r="F598" s="34"/>
      <c r="G598" s="34"/>
      <c r="H598" s="34"/>
      <c r="I598" s="34"/>
      <c r="J598" s="28" t="str">
        <f>IFERROR(__xludf.DUMMYFUNCTION("iferror(if(I598="""","""",unique(query('tbl driver 2'!$K$2:$L1508,""SELECT L WHERE K = '""&amp;I598&amp;""'""))),"""")"),"")</f>
        <v/>
      </c>
      <c r="K598" s="31"/>
      <c r="L598" s="39"/>
      <c r="M598" s="39"/>
      <c r="N598" s="28" t="str">
        <f>IFERROR(__xludf.DUMMYFUNCTION("IF(OR(C598="""",M598=""""),"""",IFERROR(IF(M598="""","""",query('tbl user'!$A$2:$D1508,""SELECT A WHERE D = '""&amp;M598&amp;""'"")),""USER TIDAK DIKETAHUI""))"),"")</f>
        <v/>
      </c>
    </row>
    <row r="599">
      <c r="A599" s="23" t="str">
        <f t="shared" si="3"/>
        <v/>
      </c>
      <c r="B599" s="24" t="str">
        <f t="shared" si="4"/>
        <v/>
      </c>
      <c r="C599" s="28"/>
      <c r="D599" s="28"/>
      <c r="E599" s="34"/>
      <c r="F599" s="34"/>
      <c r="G599" s="34"/>
      <c r="H599" s="34"/>
      <c r="I599" s="34"/>
      <c r="J599" s="28" t="str">
        <f>IFERROR(__xludf.DUMMYFUNCTION("iferror(if(I599="""","""",unique(query('tbl driver 2'!$K$2:$L1508,""SELECT L WHERE K = '""&amp;I599&amp;""'""))),"""")"),"")</f>
        <v/>
      </c>
      <c r="K599" s="31"/>
      <c r="L599" s="39"/>
      <c r="M599" s="39"/>
      <c r="N599" s="28" t="str">
        <f>IFERROR(__xludf.DUMMYFUNCTION("IF(OR(C599="""",M599=""""),"""",IFERROR(IF(M599="""","""",query('tbl user'!$A$2:$D1508,""SELECT A WHERE D = '""&amp;M599&amp;""'"")),""USER TIDAK DIKETAHUI""))"),"")</f>
        <v/>
      </c>
    </row>
    <row r="600">
      <c r="A600" s="23" t="str">
        <f t="shared" si="3"/>
        <v/>
      </c>
      <c r="B600" s="24" t="str">
        <f t="shared" si="4"/>
        <v/>
      </c>
      <c r="C600" s="28"/>
      <c r="D600" s="28"/>
      <c r="E600" s="34"/>
      <c r="F600" s="34"/>
      <c r="G600" s="34"/>
      <c r="H600" s="34"/>
      <c r="I600" s="34"/>
      <c r="J600" s="28" t="str">
        <f>IFERROR(__xludf.DUMMYFUNCTION("iferror(if(I600="""","""",unique(query('tbl driver 2'!$K$2:$L1508,""SELECT L WHERE K = '""&amp;I600&amp;""'""))),"""")"),"")</f>
        <v/>
      </c>
      <c r="K600" s="31"/>
      <c r="L600" s="39"/>
      <c r="M600" s="39"/>
      <c r="N600" s="28" t="str">
        <f>IFERROR(__xludf.DUMMYFUNCTION("IF(OR(C600="""",M600=""""),"""",IFERROR(IF(M600="""","""",query('tbl user'!$A$2:$D1508,""SELECT A WHERE D = '""&amp;M600&amp;""'"")),""USER TIDAK DIKETAHUI""))"),"")</f>
        <v/>
      </c>
    </row>
    <row r="601">
      <c r="A601" s="23" t="str">
        <f t="shared" si="3"/>
        <v/>
      </c>
      <c r="B601" s="24" t="str">
        <f t="shared" si="4"/>
        <v/>
      </c>
      <c r="C601" s="28"/>
      <c r="D601" s="28"/>
      <c r="E601" s="34"/>
      <c r="F601" s="34"/>
      <c r="G601" s="34"/>
      <c r="H601" s="34"/>
      <c r="I601" s="34"/>
      <c r="J601" s="28" t="str">
        <f>IFERROR(__xludf.DUMMYFUNCTION("iferror(if(I601="""","""",unique(query('tbl driver 2'!$K$2:$L1508,""SELECT L WHERE K = '""&amp;I601&amp;""'""))),"""")"),"")</f>
        <v/>
      </c>
      <c r="K601" s="31"/>
      <c r="L601" s="39"/>
      <c r="M601" s="39"/>
      <c r="N601" s="28" t="str">
        <f>IFERROR(__xludf.DUMMYFUNCTION("IF(OR(C601="""",M601=""""),"""",IFERROR(IF(M601="""","""",query('tbl user'!$A$2:$D1508,""SELECT A WHERE D = '""&amp;M601&amp;""'"")),""USER TIDAK DIKETAHUI""))"),"")</f>
        <v/>
      </c>
    </row>
    <row r="602">
      <c r="A602" s="23" t="str">
        <f t="shared" si="3"/>
        <v/>
      </c>
      <c r="B602" s="24" t="str">
        <f t="shared" si="4"/>
        <v/>
      </c>
      <c r="C602" s="28"/>
      <c r="D602" s="28"/>
      <c r="E602" s="34"/>
      <c r="F602" s="34"/>
      <c r="G602" s="34"/>
      <c r="H602" s="34"/>
      <c r="I602" s="34"/>
      <c r="J602" s="28" t="str">
        <f>IFERROR(__xludf.DUMMYFUNCTION("iferror(if(I602="""","""",unique(query('tbl driver 2'!$K$2:$L1508,""SELECT L WHERE K = '""&amp;I602&amp;""'""))),"""")"),"")</f>
        <v/>
      </c>
      <c r="K602" s="31"/>
      <c r="L602" s="39"/>
      <c r="M602" s="39"/>
      <c r="N602" s="28" t="str">
        <f>IFERROR(__xludf.DUMMYFUNCTION("IF(OR(C602="""",M602=""""),"""",IFERROR(IF(M602="""","""",query('tbl user'!$A$2:$D1508,""SELECT A WHERE D = '""&amp;M602&amp;""'"")),""USER TIDAK DIKETAHUI""))"),"")</f>
        <v/>
      </c>
    </row>
    <row r="603">
      <c r="A603" s="23" t="str">
        <f t="shared" si="3"/>
        <v/>
      </c>
      <c r="B603" s="24" t="str">
        <f t="shared" si="4"/>
        <v/>
      </c>
      <c r="C603" s="28"/>
      <c r="D603" s="28"/>
      <c r="E603" s="34"/>
      <c r="F603" s="34"/>
      <c r="G603" s="34"/>
      <c r="H603" s="34"/>
      <c r="I603" s="34"/>
      <c r="J603" s="28" t="str">
        <f>IFERROR(__xludf.DUMMYFUNCTION("iferror(if(I603="""","""",unique(query('tbl driver 2'!$K$2:$L1508,""SELECT L WHERE K = '""&amp;I603&amp;""'""))),"""")"),"")</f>
        <v/>
      </c>
      <c r="K603" s="31"/>
      <c r="L603" s="39"/>
      <c r="M603" s="39"/>
      <c r="N603" s="28" t="str">
        <f>IFERROR(__xludf.DUMMYFUNCTION("IF(OR(C603="""",M603=""""),"""",IFERROR(IF(M603="""","""",query('tbl user'!$A$2:$D1508,""SELECT A WHERE D = '""&amp;M603&amp;""'"")),""USER TIDAK DIKETAHUI""))"),"")</f>
        <v/>
      </c>
    </row>
    <row r="604">
      <c r="A604" s="23" t="str">
        <f t="shared" si="3"/>
        <v/>
      </c>
      <c r="B604" s="24" t="str">
        <f t="shared" si="4"/>
        <v/>
      </c>
      <c r="C604" s="28"/>
      <c r="D604" s="28"/>
      <c r="E604" s="34"/>
      <c r="F604" s="34"/>
      <c r="G604" s="34"/>
      <c r="H604" s="34"/>
      <c r="I604" s="34"/>
      <c r="J604" s="28" t="str">
        <f>IFERROR(__xludf.DUMMYFUNCTION("iferror(if(I604="""","""",unique(query('tbl driver 2'!$K$2:$L1508,""SELECT L WHERE K = '""&amp;I604&amp;""'""))),"""")"),"")</f>
        <v/>
      </c>
      <c r="K604" s="31"/>
      <c r="L604" s="39"/>
      <c r="M604" s="39"/>
      <c r="N604" s="28" t="str">
        <f>IFERROR(__xludf.DUMMYFUNCTION("IF(OR(C604="""",M604=""""),"""",IFERROR(IF(M604="""","""",query('tbl user'!$A$2:$D1508,""SELECT A WHERE D = '""&amp;M604&amp;""'"")),""USER TIDAK DIKETAHUI""))"),"")</f>
        <v/>
      </c>
    </row>
    <row r="605">
      <c r="A605" s="23" t="str">
        <f t="shared" si="3"/>
        <v/>
      </c>
      <c r="B605" s="24" t="str">
        <f t="shared" si="4"/>
        <v/>
      </c>
      <c r="C605" s="28"/>
      <c r="D605" s="28"/>
      <c r="E605" s="34"/>
      <c r="F605" s="34"/>
      <c r="G605" s="34"/>
      <c r="H605" s="34"/>
      <c r="I605" s="34"/>
      <c r="J605" s="28" t="str">
        <f>IFERROR(__xludf.DUMMYFUNCTION("iferror(if(I605="""","""",unique(query('tbl driver 2'!$K$2:$L1508,""SELECT L WHERE K = '""&amp;I605&amp;""'""))),"""")"),"")</f>
        <v/>
      </c>
      <c r="K605" s="31"/>
      <c r="L605" s="39"/>
      <c r="M605" s="39"/>
      <c r="N605" s="28" t="str">
        <f>IFERROR(__xludf.DUMMYFUNCTION("IF(OR(C605="""",M605=""""),"""",IFERROR(IF(M605="""","""",query('tbl user'!$A$2:$D1508,""SELECT A WHERE D = '""&amp;M605&amp;""'"")),""USER TIDAK DIKETAHUI""))"),"")</f>
        <v/>
      </c>
    </row>
    <row r="606">
      <c r="A606" s="23" t="str">
        <f t="shared" si="3"/>
        <v/>
      </c>
      <c r="B606" s="24" t="str">
        <f t="shared" si="4"/>
        <v/>
      </c>
      <c r="C606" s="28"/>
      <c r="D606" s="28"/>
      <c r="E606" s="34"/>
      <c r="F606" s="34"/>
      <c r="G606" s="34"/>
      <c r="H606" s="34"/>
      <c r="I606" s="34"/>
      <c r="J606" s="28" t="str">
        <f>IFERROR(__xludf.DUMMYFUNCTION("iferror(if(I606="""","""",unique(query('tbl driver 2'!$K$2:$L1508,""SELECT L WHERE K = '""&amp;I606&amp;""'""))),"""")"),"")</f>
        <v/>
      </c>
      <c r="K606" s="31"/>
      <c r="L606" s="39"/>
      <c r="M606" s="39"/>
      <c r="N606" s="28" t="str">
        <f>IFERROR(__xludf.DUMMYFUNCTION("IF(OR(C606="""",M606=""""),"""",IFERROR(IF(M606="""","""",query('tbl user'!$A$2:$D1508,""SELECT A WHERE D = '""&amp;M606&amp;""'"")),""USER TIDAK DIKETAHUI""))"),"")</f>
        <v/>
      </c>
    </row>
    <row r="607">
      <c r="A607" s="23" t="str">
        <f t="shared" si="3"/>
        <v/>
      </c>
      <c r="B607" s="24" t="str">
        <f t="shared" si="4"/>
        <v/>
      </c>
      <c r="C607" s="28"/>
      <c r="D607" s="28"/>
      <c r="E607" s="34"/>
      <c r="F607" s="34"/>
      <c r="G607" s="34"/>
      <c r="H607" s="34"/>
      <c r="I607" s="34"/>
      <c r="J607" s="28" t="str">
        <f>IFERROR(__xludf.DUMMYFUNCTION("iferror(if(I607="""","""",unique(query('tbl driver 2'!$K$2:$L1508,""SELECT L WHERE K = '""&amp;I607&amp;""'""))),"""")"),"")</f>
        <v/>
      </c>
      <c r="K607" s="31"/>
      <c r="L607" s="39"/>
      <c r="M607" s="39"/>
      <c r="N607" s="28" t="str">
        <f>IFERROR(__xludf.DUMMYFUNCTION("IF(OR(C607="""",M607=""""),"""",IFERROR(IF(M607="""","""",query('tbl user'!$A$2:$D1508,""SELECT A WHERE D = '""&amp;M607&amp;""'"")),""USER TIDAK DIKETAHUI""))"),"")</f>
        <v/>
      </c>
    </row>
    <row r="608">
      <c r="A608" s="23" t="str">
        <f t="shared" si="3"/>
        <v/>
      </c>
      <c r="B608" s="24" t="str">
        <f t="shared" si="4"/>
        <v/>
      </c>
      <c r="C608" s="28"/>
      <c r="D608" s="28"/>
      <c r="E608" s="34"/>
      <c r="F608" s="34"/>
      <c r="G608" s="34"/>
      <c r="H608" s="34"/>
      <c r="I608" s="34"/>
      <c r="J608" s="28" t="str">
        <f>IFERROR(__xludf.DUMMYFUNCTION("iferror(if(I608="""","""",unique(query('tbl driver 2'!$K$2:$L1508,""SELECT L WHERE K = '""&amp;I608&amp;""'""))),"""")"),"")</f>
        <v/>
      </c>
      <c r="K608" s="31"/>
      <c r="L608" s="39"/>
      <c r="M608" s="39"/>
      <c r="N608" s="28" t="str">
        <f>IFERROR(__xludf.DUMMYFUNCTION("IF(OR(C608="""",M608=""""),"""",IFERROR(IF(M608="""","""",query('tbl user'!$A$2:$D1508,""SELECT A WHERE D = '""&amp;M608&amp;""'"")),""USER TIDAK DIKETAHUI""))"),"")</f>
        <v/>
      </c>
    </row>
    <row r="609">
      <c r="A609" s="23" t="str">
        <f t="shared" si="3"/>
        <v/>
      </c>
      <c r="B609" s="24" t="str">
        <f t="shared" si="4"/>
        <v/>
      </c>
      <c r="C609" s="28"/>
      <c r="D609" s="28"/>
      <c r="E609" s="34"/>
      <c r="F609" s="34"/>
      <c r="G609" s="34"/>
      <c r="H609" s="34"/>
      <c r="I609" s="34"/>
      <c r="J609" s="28" t="str">
        <f>IFERROR(__xludf.DUMMYFUNCTION("iferror(if(I609="""","""",unique(query('tbl driver 2'!$K$2:$L1508,""SELECT L WHERE K = '""&amp;I609&amp;""'""))),"""")"),"")</f>
        <v/>
      </c>
      <c r="K609" s="31"/>
      <c r="L609" s="39"/>
      <c r="M609" s="39"/>
      <c r="N609" s="28" t="str">
        <f>IFERROR(__xludf.DUMMYFUNCTION("IF(OR(C609="""",M609=""""),"""",IFERROR(IF(M609="""","""",query('tbl user'!$A$2:$D1508,""SELECT A WHERE D = '""&amp;M609&amp;""'"")),""USER TIDAK DIKETAHUI""))"),"")</f>
        <v/>
      </c>
    </row>
    <row r="610">
      <c r="A610" s="23" t="str">
        <f t="shared" si="3"/>
        <v/>
      </c>
      <c r="B610" s="24" t="str">
        <f t="shared" si="4"/>
        <v/>
      </c>
      <c r="C610" s="28"/>
      <c r="D610" s="28"/>
      <c r="E610" s="34"/>
      <c r="F610" s="34"/>
      <c r="G610" s="34"/>
      <c r="H610" s="34"/>
      <c r="I610" s="34"/>
      <c r="J610" s="28" t="str">
        <f>IFERROR(__xludf.DUMMYFUNCTION("iferror(if(I610="""","""",unique(query('tbl driver 2'!$K$2:$L1508,""SELECT L WHERE K = '""&amp;I610&amp;""'""))),"""")"),"")</f>
        <v/>
      </c>
      <c r="K610" s="31"/>
      <c r="L610" s="39"/>
      <c r="M610" s="39"/>
      <c r="N610" s="28" t="str">
        <f>IFERROR(__xludf.DUMMYFUNCTION("IF(OR(C610="""",M610=""""),"""",IFERROR(IF(M610="""","""",query('tbl user'!$A$2:$D1508,""SELECT A WHERE D = '""&amp;M610&amp;""'"")),""USER TIDAK DIKETAHUI""))"),"")</f>
        <v/>
      </c>
    </row>
    <row r="611">
      <c r="A611" s="23" t="str">
        <f t="shared" si="3"/>
        <v/>
      </c>
      <c r="B611" s="24" t="str">
        <f t="shared" si="4"/>
        <v/>
      </c>
      <c r="C611" s="28"/>
      <c r="D611" s="28"/>
      <c r="E611" s="34"/>
      <c r="F611" s="34"/>
      <c r="G611" s="34"/>
      <c r="H611" s="34"/>
      <c r="I611" s="34"/>
      <c r="J611" s="28" t="str">
        <f>IFERROR(__xludf.DUMMYFUNCTION("iferror(if(I611="""","""",unique(query('tbl driver 2'!$K$2:$L1508,""SELECT L WHERE K = '""&amp;I611&amp;""'""))),"""")"),"")</f>
        <v/>
      </c>
      <c r="K611" s="31"/>
      <c r="L611" s="39"/>
      <c r="M611" s="39"/>
      <c r="N611" s="28" t="str">
        <f>IFERROR(__xludf.DUMMYFUNCTION("IF(OR(C611="""",M611=""""),"""",IFERROR(IF(M611="""","""",query('tbl user'!$A$2:$D1508,""SELECT A WHERE D = '""&amp;M611&amp;""'"")),""USER TIDAK DIKETAHUI""))"),"")</f>
        <v/>
      </c>
    </row>
    <row r="612">
      <c r="A612" s="23" t="str">
        <f t="shared" si="3"/>
        <v/>
      </c>
      <c r="B612" s="24" t="str">
        <f t="shared" si="4"/>
        <v/>
      </c>
      <c r="C612" s="28"/>
      <c r="D612" s="28"/>
      <c r="E612" s="34"/>
      <c r="F612" s="34"/>
      <c r="G612" s="34"/>
      <c r="H612" s="34"/>
      <c r="I612" s="34"/>
      <c r="J612" s="28" t="str">
        <f>IFERROR(__xludf.DUMMYFUNCTION("iferror(if(I612="""","""",unique(query('tbl driver 2'!$K$2:$L1508,""SELECT L WHERE K = '""&amp;I612&amp;""'""))),"""")"),"")</f>
        <v/>
      </c>
      <c r="K612" s="31"/>
      <c r="L612" s="39"/>
      <c r="M612" s="39"/>
      <c r="N612" s="28" t="str">
        <f>IFERROR(__xludf.DUMMYFUNCTION("IF(OR(C612="""",M612=""""),"""",IFERROR(IF(M612="""","""",query('tbl user'!$A$2:$D1508,""SELECT A WHERE D = '""&amp;M612&amp;""'"")),""USER TIDAK DIKETAHUI""))"),"")</f>
        <v/>
      </c>
    </row>
    <row r="613">
      <c r="A613" s="23" t="str">
        <f t="shared" si="3"/>
        <v/>
      </c>
      <c r="B613" s="24" t="str">
        <f t="shared" si="4"/>
        <v/>
      </c>
      <c r="C613" s="28"/>
      <c r="D613" s="28"/>
      <c r="E613" s="34"/>
      <c r="F613" s="34"/>
      <c r="G613" s="34"/>
      <c r="H613" s="34"/>
      <c r="I613" s="34"/>
      <c r="J613" s="28" t="str">
        <f>IFERROR(__xludf.DUMMYFUNCTION("iferror(if(I613="""","""",unique(query('tbl driver 2'!$K$2:$L1508,""SELECT L WHERE K = '""&amp;I613&amp;""'""))),"""")"),"")</f>
        <v/>
      </c>
      <c r="K613" s="31"/>
      <c r="L613" s="39"/>
      <c r="M613" s="39"/>
      <c r="N613" s="28" t="str">
        <f>IFERROR(__xludf.DUMMYFUNCTION("IF(OR(C613="""",M613=""""),"""",IFERROR(IF(M613="""","""",query('tbl user'!$A$2:$D1508,""SELECT A WHERE D = '""&amp;M613&amp;""'"")),""USER TIDAK DIKETAHUI""))"),"")</f>
        <v/>
      </c>
    </row>
    <row r="614">
      <c r="A614" s="23" t="str">
        <f t="shared" si="3"/>
        <v/>
      </c>
      <c r="B614" s="24" t="str">
        <f t="shared" si="4"/>
        <v/>
      </c>
      <c r="C614" s="28"/>
      <c r="D614" s="28"/>
      <c r="E614" s="34"/>
      <c r="F614" s="34"/>
      <c r="G614" s="34"/>
      <c r="H614" s="34"/>
      <c r="I614" s="34"/>
      <c r="J614" s="28" t="str">
        <f>IFERROR(__xludf.DUMMYFUNCTION("iferror(if(I614="""","""",unique(query('tbl driver 2'!$K$2:$L1508,""SELECT L WHERE K = '""&amp;I614&amp;""'""))),"""")"),"")</f>
        <v/>
      </c>
      <c r="K614" s="31"/>
      <c r="L614" s="39"/>
      <c r="M614" s="39"/>
      <c r="N614" s="28" t="str">
        <f>IFERROR(__xludf.DUMMYFUNCTION("IF(OR(C614="""",M614=""""),"""",IFERROR(IF(M614="""","""",query('tbl user'!$A$2:$D1508,""SELECT A WHERE D = '""&amp;M614&amp;""'"")),""USER TIDAK DIKETAHUI""))"),"")</f>
        <v/>
      </c>
    </row>
    <row r="615">
      <c r="A615" s="23" t="str">
        <f t="shared" si="3"/>
        <v/>
      </c>
      <c r="B615" s="24" t="str">
        <f t="shared" si="4"/>
        <v/>
      </c>
      <c r="C615" s="28"/>
      <c r="D615" s="28"/>
      <c r="E615" s="34"/>
      <c r="F615" s="34"/>
      <c r="G615" s="34"/>
      <c r="H615" s="34"/>
      <c r="I615" s="34"/>
      <c r="J615" s="28" t="str">
        <f>IFERROR(__xludf.DUMMYFUNCTION("iferror(if(I615="""","""",unique(query('tbl driver 2'!$K$2:$L1508,""SELECT L WHERE K = '""&amp;I615&amp;""'""))),"""")"),"")</f>
        <v/>
      </c>
      <c r="K615" s="31"/>
      <c r="L615" s="39"/>
      <c r="M615" s="39"/>
      <c r="N615" s="28" t="str">
        <f>IFERROR(__xludf.DUMMYFUNCTION("IF(OR(C615="""",M615=""""),"""",IFERROR(IF(M615="""","""",query('tbl user'!$A$2:$D1508,""SELECT A WHERE D = '""&amp;M615&amp;""'"")),""USER TIDAK DIKETAHUI""))"),"")</f>
        <v/>
      </c>
    </row>
    <row r="616">
      <c r="A616" s="23" t="str">
        <f t="shared" si="3"/>
        <v/>
      </c>
      <c r="B616" s="24" t="str">
        <f t="shared" si="4"/>
        <v/>
      </c>
      <c r="C616" s="28"/>
      <c r="D616" s="28"/>
      <c r="E616" s="34"/>
      <c r="F616" s="34"/>
      <c r="G616" s="34"/>
      <c r="H616" s="34"/>
      <c r="I616" s="34"/>
      <c r="J616" s="28" t="str">
        <f>IFERROR(__xludf.DUMMYFUNCTION("iferror(if(I616="""","""",unique(query('tbl driver 2'!$K$2:$L1508,""SELECT L WHERE K = '""&amp;I616&amp;""'""))),"""")"),"")</f>
        <v/>
      </c>
      <c r="K616" s="31"/>
      <c r="L616" s="39"/>
      <c r="M616" s="39"/>
      <c r="N616" s="28" t="str">
        <f>IFERROR(__xludf.DUMMYFUNCTION("IF(OR(C616="""",M616=""""),"""",IFERROR(IF(M616="""","""",query('tbl user'!$A$2:$D1508,""SELECT A WHERE D = '""&amp;M616&amp;""'"")),""USER TIDAK DIKETAHUI""))"),"")</f>
        <v/>
      </c>
    </row>
    <row r="617">
      <c r="A617" s="23" t="str">
        <f t="shared" si="3"/>
        <v/>
      </c>
      <c r="B617" s="24" t="str">
        <f t="shared" si="4"/>
        <v/>
      </c>
      <c r="C617" s="28"/>
      <c r="D617" s="28"/>
      <c r="E617" s="34"/>
      <c r="F617" s="34"/>
      <c r="G617" s="34"/>
      <c r="H617" s="34"/>
      <c r="I617" s="34"/>
      <c r="J617" s="28" t="str">
        <f>IFERROR(__xludf.DUMMYFUNCTION("iferror(if(I617="""","""",unique(query('tbl driver 2'!$K$2:$L1508,""SELECT L WHERE K = '""&amp;I617&amp;""'""))),"""")"),"")</f>
        <v/>
      </c>
      <c r="K617" s="31"/>
      <c r="L617" s="39"/>
      <c r="M617" s="39"/>
      <c r="N617" s="28" t="str">
        <f>IFERROR(__xludf.DUMMYFUNCTION("IF(OR(C617="""",M617=""""),"""",IFERROR(IF(M617="""","""",query('tbl user'!$A$2:$D1508,""SELECT A WHERE D = '""&amp;M617&amp;""'"")),""USER TIDAK DIKETAHUI""))"),"")</f>
        <v/>
      </c>
    </row>
    <row r="618">
      <c r="A618" s="23" t="str">
        <f t="shared" si="3"/>
        <v/>
      </c>
      <c r="B618" s="24" t="str">
        <f t="shared" si="4"/>
        <v/>
      </c>
      <c r="C618" s="28"/>
      <c r="D618" s="28"/>
      <c r="E618" s="34"/>
      <c r="F618" s="34"/>
      <c r="G618" s="34"/>
      <c r="H618" s="34"/>
      <c r="I618" s="34"/>
      <c r="J618" s="28" t="str">
        <f>IFERROR(__xludf.DUMMYFUNCTION("iferror(if(I618="""","""",unique(query('tbl driver 2'!$K$2:$L1508,""SELECT L WHERE K = '""&amp;I618&amp;""'""))),"""")"),"")</f>
        <v/>
      </c>
      <c r="K618" s="31"/>
      <c r="L618" s="39"/>
      <c r="M618" s="39"/>
      <c r="N618" s="28" t="str">
        <f>IFERROR(__xludf.DUMMYFUNCTION("IF(OR(C618="""",M618=""""),"""",IFERROR(IF(M618="""","""",query('tbl user'!$A$2:$D1508,""SELECT A WHERE D = '""&amp;M618&amp;""'"")),""USER TIDAK DIKETAHUI""))"),"")</f>
        <v/>
      </c>
    </row>
    <row r="619">
      <c r="A619" s="23" t="str">
        <f t="shared" si="3"/>
        <v/>
      </c>
      <c r="B619" s="24" t="str">
        <f t="shared" si="4"/>
        <v/>
      </c>
      <c r="C619" s="28"/>
      <c r="D619" s="28"/>
      <c r="E619" s="34"/>
      <c r="F619" s="34"/>
      <c r="G619" s="34"/>
      <c r="H619" s="34"/>
      <c r="I619" s="34"/>
      <c r="J619" s="28" t="str">
        <f>IFERROR(__xludf.DUMMYFUNCTION("iferror(if(I619="""","""",unique(query('tbl driver 2'!$K$2:$L1508,""SELECT L WHERE K = '""&amp;I619&amp;""'""))),"""")"),"")</f>
        <v/>
      </c>
      <c r="K619" s="31"/>
      <c r="L619" s="39"/>
      <c r="M619" s="39"/>
      <c r="N619" s="28" t="str">
        <f>IFERROR(__xludf.DUMMYFUNCTION("IF(OR(C619="""",M619=""""),"""",IFERROR(IF(M619="""","""",query('tbl user'!$A$2:$D1508,""SELECT A WHERE D = '""&amp;M619&amp;""'"")),""USER TIDAK DIKETAHUI""))"),"")</f>
        <v/>
      </c>
    </row>
    <row r="620">
      <c r="A620" s="23" t="str">
        <f t="shared" si="3"/>
        <v/>
      </c>
      <c r="B620" s="24" t="str">
        <f t="shared" si="4"/>
        <v/>
      </c>
      <c r="C620" s="28"/>
      <c r="D620" s="28"/>
      <c r="E620" s="34"/>
      <c r="F620" s="34"/>
      <c r="G620" s="34"/>
      <c r="H620" s="34"/>
      <c r="I620" s="34"/>
      <c r="J620" s="28" t="str">
        <f>IFERROR(__xludf.DUMMYFUNCTION("iferror(if(I620="""","""",unique(query('tbl driver 2'!$K$2:$L1508,""SELECT L WHERE K = '""&amp;I620&amp;""'""))),"""")"),"")</f>
        <v/>
      </c>
      <c r="K620" s="31"/>
      <c r="L620" s="39"/>
      <c r="M620" s="39"/>
      <c r="N620" s="28" t="str">
        <f>IFERROR(__xludf.DUMMYFUNCTION("IF(OR(C620="""",M620=""""),"""",IFERROR(IF(M620="""","""",query('tbl user'!$A$2:$D1508,""SELECT A WHERE D = '""&amp;M620&amp;""'"")),""USER TIDAK DIKETAHUI""))"),"")</f>
        <v/>
      </c>
    </row>
    <row r="621">
      <c r="A621" s="23" t="str">
        <f t="shared" si="3"/>
        <v/>
      </c>
      <c r="B621" s="24" t="str">
        <f t="shared" si="4"/>
        <v/>
      </c>
      <c r="C621" s="28"/>
      <c r="D621" s="28"/>
      <c r="E621" s="34"/>
      <c r="F621" s="34"/>
      <c r="G621" s="34"/>
      <c r="H621" s="34"/>
      <c r="I621" s="34"/>
      <c r="J621" s="28" t="str">
        <f>IFERROR(__xludf.DUMMYFUNCTION("iferror(if(I621="""","""",unique(query('tbl driver 2'!$K$2:$L1508,""SELECT L WHERE K = '""&amp;I621&amp;""'""))),"""")"),"")</f>
        <v/>
      </c>
      <c r="K621" s="31"/>
      <c r="L621" s="39"/>
      <c r="M621" s="39"/>
      <c r="N621" s="28" t="str">
        <f>IFERROR(__xludf.DUMMYFUNCTION("IF(OR(C621="""",M621=""""),"""",IFERROR(IF(M621="""","""",query('tbl user'!$A$2:$D1508,""SELECT A WHERE D = '""&amp;M621&amp;""'"")),""USER TIDAK DIKETAHUI""))"),"")</f>
        <v/>
      </c>
    </row>
    <row r="622">
      <c r="A622" s="23" t="str">
        <f t="shared" si="3"/>
        <v/>
      </c>
      <c r="B622" s="24" t="str">
        <f t="shared" si="4"/>
        <v/>
      </c>
      <c r="C622" s="28"/>
      <c r="D622" s="28"/>
      <c r="E622" s="34"/>
      <c r="F622" s="34"/>
      <c r="G622" s="34"/>
      <c r="H622" s="34"/>
      <c r="I622" s="34"/>
      <c r="J622" s="28" t="str">
        <f>IFERROR(__xludf.DUMMYFUNCTION("iferror(if(I622="""","""",unique(query('tbl driver 2'!$K$2:$L1508,""SELECT L WHERE K = '""&amp;I622&amp;""'""))),"""")"),"")</f>
        <v/>
      </c>
      <c r="K622" s="31"/>
      <c r="L622" s="39"/>
      <c r="M622" s="39"/>
      <c r="N622" s="28" t="str">
        <f>IFERROR(__xludf.DUMMYFUNCTION("IF(OR(C622="""",M622=""""),"""",IFERROR(IF(M622="""","""",query('tbl user'!$A$2:$D1508,""SELECT A WHERE D = '""&amp;M622&amp;""'"")),""USER TIDAK DIKETAHUI""))"),"")</f>
        <v/>
      </c>
    </row>
    <row r="623">
      <c r="A623" s="23" t="str">
        <f t="shared" si="3"/>
        <v/>
      </c>
      <c r="B623" s="24" t="str">
        <f t="shared" si="4"/>
        <v/>
      </c>
      <c r="C623" s="28"/>
      <c r="D623" s="28"/>
      <c r="E623" s="34"/>
      <c r="F623" s="34"/>
      <c r="G623" s="34"/>
      <c r="H623" s="34"/>
      <c r="I623" s="34"/>
      <c r="J623" s="28" t="str">
        <f>IFERROR(__xludf.DUMMYFUNCTION("iferror(if(I623="""","""",unique(query('tbl driver 2'!$K$2:$L1508,""SELECT L WHERE K = '""&amp;I623&amp;""'""))),"""")"),"")</f>
        <v/>
      </c>
      <c r="K623" s="31"/>
      <c r="L623" s="39"/>
      <c r="M623" s="39"/>
      <c r="N623" s="28" t="str">
        <f>IFERROR(__xludf.DUMMYFUNCTION("IF(OR(C623="""",M623=""""),"""",IFERROR(IF(M623="""","""",query('tbl user'!$A$2:$D1508,""SELECT A WHERE D = '""&amp;M623&amp;""'"")),""USER TIDAK DIKETAHUI""))"),"")</f>
        <v/>
      </c>
    </row>
    <row r="624">
      <c r="A624" s="23" t="str">
        <f t="shared" si="3"/>
        <v/>
      </c>
      <c r="B624" s="24" t="str">
        <f t="shared" si="4"/>
        <v/>
      </c>
      <c r="C624" s="28"/>
      <c r="D624" s="28"/>
      <c r="E624" s="34"/>
      <c r="F624" s="34"/>
      <c r="G624" s="34"/>
      <c r="H624" s="34"/>
      <c r="I624" s="34"/>
      <c r="J624" s="28" t="str">
        <f>IFERROR(__xludf.DUMMYFUNCTION("iferror(if(I624="""","""",unique(query('tbl driver 2'!$K$2:$L1508,""SELECT L WHERE K = '""&amp;I624&amp;""'""))),"""")"),"")</f>
        <v/>
      </c>
      <c r="K624" s="31"/>
      <c r="L624" s="39"/>
      <c r="M624" s="39"/>
      <c r="N624" s="28" t="str">
        <f>IFERROR(__xludf.DUMMYFUNCTION("IF(OR(C624="""",M624=""""),"""",IFERROR(IF(M624="""","""",query('tbl user'!$A$2:$D1508,""SELECT A WHERE D = '""&amp;M624&amp;""'"")),""USER TIDAK DIKETAHUI""))"),"")</f>
        <v/>
      </c>
    </row>
    <row r="625">
      <c r="A625" s="23" t="str">
        <f t="shared" si="3"/>
        <v/>
      </c>
      <c r="B625" s="24" t="str">
        <f t="shared" si="4"/>
        <v/>
      </c>
      <c r="C625" s="28"/>
      <c r="D625" s="28"/>
      <c r="E625" s="34"/>
      <c r="F625" s="34"/>
      <c r="G625" s="34"/>
      <c r="H625" s="34"/>
      <c r="I625" s="34"/>
      <c r="J625" s="28" t="str">
        <f>IFERROR(__xludf.DUMMYFUNCTION("iferror(if(I625="""","""",unique(query('tbl driver 2'!$K$2:$L1508,""SELECT L WHERE K = '""&amp;I625&amp;""'""))),"""")"),"")</f>
        <v/>
      </c>
      <c r="K625" s="31"/>
      <c r="L625" s="39"/>
      <c r="M625" s="39"/>
      <c r="N625" s="28" t="str">
        <f>IFERROR(__xludf.DUMMYFUNCTION("IF(OR(C625="""",M625=""""),"""",IFERROR(IF(M625="""","""",query('tbl user'!$A$2:$D1508,""SELECT A WHERE D = '""&amp;M625&amp;""'"")),""USER TIDAK DIKETAHUI""))"),"")</f>
        <v/>
      </c>
    </row>
    <row r="626">
      <c r="A626" s="23" t="str">
        <f t="shared" si="3"/>
        <v/>
      </c>
      <c r="B626" s="24" t="str">
        <f t="shared" si="4"/>
        <v/>
      </c>
      <c r="C626" s="28"/>
      <c r="D626" s="28"/>
      <c r="E626" s="34"/>
      <c r="F626" s="34"/>
      <c r="G626" s="34"/>
      <c r="H626" s="34"/>
      <c r="I626" s="34"/>
      <c r="J626" s="28" t="str">
        <f>IFERROR(__xludf.DUMMYFUNCTION("iferror(if(I626="""","""",unique(query('tbl driver 2'!$K$2:$L1508,""SELECT L WHERE K = '""&amp;I626&amp;""'""))),"""")"),"")</f>
        <v/>
      </c>
      <c r="K626" s="31"/>
      <c r="L626" s="39"/>
      <c r="M626" s="39"/>
      <c r="N626" s="28" t="str">
        <f>IFERROR(__xludf.DUMMYFUNCTION("IF(OR(C626="""",M626=""""),"""",IFERROR(IF(M626="""","""",query('tbl user'!$A$2:$D1508,""SELECT A WHERE D = '""&amp;M626&amp;""'"")),""USER TIDAK DIKETAHUI""))"),"")</f>
        <v/>
      </c>
    </row>
    <row r="627">
      <c r="A627" s="23" t="str">
        <f t="shared" si="3"/>
        <v/>
      </c>
      <c r="B627" s="24" t="str">
        <f t="shared" si="4"/>
        <v/>
      </c>
      <c r="C627" s="28"/>
      <c r="D627" s="28"/>
      <c r="E627" s="34"/>
      <c r="F627" s="34"/>
      <c r="G627" s="34"/>
      <c r="H627" s="34"/>
      <c r="I627" s="34"/>
      <c r="J627" s="28" t="str">
        <f>IFERROR(__xludf.DUMMYFUNCTION("iferror(if(I627="""","""",unique(query('tbl driver 2'!$K$2:$L1508,""SELECT L WHERE K = '""&amp;I627&amp;""'""))),"""")"),"")</f>
        <v/>
      </c>
      <c r="K627" s="31"/>
      <c r="L627" s="39"/>
      <c r="M627" s="39"/>
      <c r="N627" s="28" t="str">
        <f>IFERROR(__xludf.DUMMYFUNCTION("IF(OR(C627="""",M627=""""),"""",IFERROR(IF(M627="""","""",query('tbl user'!$A$2:$D1508,""SELECT A WHERE D = '""&amp;M627&amp;""'"")),""USER TIDAK DIKETAHUI""))"),"")</f>
        <v/>
      </c>
    </row>
    <row r="628">
      <c r="A628" s="23" t="str">
        <f t="shared" si="3"/>
        <v/>
      </c>
      <c r="B628" s="24" t="str">
        <f t="shared" si="4"/>
        <v/>
      </c>
      <c r="C628" s="28"/>
      <c r="D628" s="28"/>
      <c r="E628" s="34"/>
      <c r="F628" s="34"/>
      <c r="G628" s="34"/>
      <c r="H628" s="34"/>
      <c r="I628" s="34"/>
      <c r="J628" s="28" t="str">
        <f>IFERROR(__xludf.DUMMYFUNCTION("iferror(if(I628="""","""",unique(query('tbl driver 2'!$K$2:$L1508,""SELECT L WHERE K = '""&amp;I628&amp;""'""))),"""")"),"")</f>
        <v/>
      </c>
      <c r="K628" s="31"/>
      <c r="L628" s="39"/>
      <c r="M628" s="39"/>
      <c r="N628" s="28" t="str">
        <f>IFERROR(__xludf.DUMMYFUNCTION("IF(OR(C628="""",M628=""""),"""",IFERROR(IF(M628="""","""",query('tbl user'!$A$2:$D1508,""SELECT A WHERE D = '""&amp;M628&amp;""'"")),""USER TIDAK DIKETAHUI""))"),"")</f>
        <v/>
      </c>
    </row>
    <row r="629">
      <c r="A629" s="23" t="str">
        <f t="shared" si="3"/>
        <v/>
      </c>
      <c r="B629" s="24" t="str">
        <f t="shared" si="4"/>
        <v/>
      </c>
      <c r="C629" s="28"/>
      <c r="D629" s="28"/>
      <c r="E629" s="34"/>
      <c r="F629" s="34"/>
      <c r="G629" s="34"/>
      <c r="H629" s="34"/>
      <c r="I629" s="34"/>
      <c r="J629" s="28" t="str">
        <f>IFERROR(__xludf.DUMMYFUNCTION("iferror(if(I629="""","""",unique(query('tbl driver 2'!$K$2:$L1508,""SELECT L WHERE K = '""&amp;I629&amp;""'""))),"""")"),"")</f>
        <v/>
      </c>
      <c r="K629" s="31"/>
      <c r="L629" s="39"/>
      <c r="M629" s="39"/>
      <c r="N629" s="28" t="str">
        <f>IFERROR(__xludf.DUMMYFUNCTION("IF(OR(C629="""",M629=""""),"""",IFERROR(IF(M629="""","""",query('tbl user'!$A$2:$D1508,""SELECT A WHERE D = '""&amp;M629&amp;""'"")),""USER TIDAK DIKETAHUI""))"),"")</f>
        <v/>
      </c>
    </row>
    <row r="630">
      <c r="A630" s="23" t="str">
        <f t="shared" si="3"/>
        <v/>
      </c>
      <c r="B630" s="24" t="str">
        <f t="shared" si="4"/>
        <v/>
      </c>
      <c r="C630" s="28"/>
      <c r="D630" s="28"/>
      <c r="E630" s="34"/>
      <c r="F630" s="34"/>
      <c r="G630" s="34"/>
      <c r="H630" s="34"/>
      <c r="I630" s="34"/>
      <c r="J630" s="28" t="str">
        <f>IFERROR(__xludf.DUMMYFUNCTION("iferror(if(I630="""","""",unique(query('tbl driver 2'!$K$2:$L1508,""SELECT L WHERE K = '""&amp;I630&amp;""'""))),"""")"),"")</f>
        <v/>
      </c>
      <c r="K630" s="31"/>
      <c r="L630" s="39"/>
      <c r="M630" s="39"/>
      <c r="N630" s="28" t="str">
        <f>IFERROR(__xludf.DUMMYFUNCTION("IF(OR(C630="""",M630=""""),"""",IFERROR(IF(M630="""","""",query('tbl user'!$A$2:$D1508,""SELECT A WHERE D = '""&amp;M630&amp;""'"")),""USER TIDAK DIKETAHUI""))"),"")</f>
        <v/>
      </c>
    </row>
    <row r="631">
      <c r="A631" s="23" t="str">
        <f t="shared" si="3"/>
        <v/>
      </c>
      <c r="B631" s="24" t="str">
        <f t="shared" si="4"/>
        <v/>
      </c>
      <c r="C631" s="28"/>
      <c r="D631" s="28"/>
      <c r="E631" s="34"/>
      <c r="F631" s="34"/>
      <c r="G631" s="34"/>
      <c r="H631" s="34"/>
      <c r="I631" s="34"/>
      <c r="J631" s="28" t="str">
        <f>IFERROR(__xludf.DUMMYFUNCTION("iferror(if(I631="""","""",unique(query('tbl driver 2'!$K$2:$L1508,""SELECT L WHERE K = '""&amp;I631&amp;""'""))),"""")"),"")</f>
        <v/>
      </c>
      <c r="K631" s="31"/>
      <c r="L631" s="39"/>
      <c r="M631" s="39"/>
      <c r="N631" s="28" t="str">
        <f>IFERROR(__xludf.DUMMYFUNCTION("IF(OR(C631="""",M631=""""),"""",IFERROR(IF(M631="""","""",query('tbl user'!$A$2:$D1508,""SELECT A WHERE D = '""&amp;M631&amp;""'"")),""USER TIDAK DIKETAHUI""))"),"")</f>
        <v/>
      </c>
    </row>
    <row r="632">
      <c r="A632" s="23" t="str">
        <f t="shared" si="3"/>
        <v/>
      </c>
      <c r="B632" s="24" t="str">
        <f t="shared" si="4"/>
        <v/>
      </c>
      <c r="C632" s="28"/>
      <c r="D632" s="28"/>
      <c r="E632" s="34"/>
      <c r="F632" s="34"/>
      <c r="G632" s="34"/>
      <c r="H632" s="34"/>
      <c r="I632" s="34"/>
      <c r="J632" s="28" t="str">
        <f>IFERROR(__xludf.DUMMYFUNCTION("iferror(if(I632="""","""",unique(query('tbl driver 2'!$K$2:$L1508,""SELECT L WHERE K = '""&amp;I632&amp;""'""))),"""")"),"")</f>
        <v/>
      </c>
      <c r="K632" s="31"/>
      <c r="L632" s="39"/>
      <c r="M632" s="39"/>
      <c r="N632" s="28" t="str">
        <f>IFERROR(__xludf.DUMMYFUNCTION("IF(OR(C632="""",M632=""""),"""",IFERROR(IF(M632="""","""",query('tbl user'!$A$2:$D1508,""SELECT A WHERE D = '""&amp;M632&amp;""'"")),""USER TIDAK DIKETAHUI""))"),"")</f>
        <v/>
      </c>
    </row>
    <row r="633">
      <c r="A633" s="23" t="str">
        <f t="shared" si="3"/>
        <v/>
      </c>
      <c r="B633" s="24" t="str">
        <f t="shared" si="4"/>
        <v/>
      </c>
      <c r="C633" s="28"/>
      <c r="D633" s="28"/>
      <c r="E633" s="34"/>
      <c r="F633" s="34"/>
      <c r="G633" s="34"/>
      <c r="H633" s="34"/>
      <c r="I633" s="34"/>
      <c r="J633" s="28" t="str">
        <f>IFERROR(__xludf.DUMMYFUNCTION("iferror(if(I633="""","""",unique(query('tbl driver 2'!$K$2:$L1508,""SELECT L WHERE K = '""&amp;I633&amp;""'""))),"""")"),"")</f>
        <v/>
      </c>
      <c r="K633" s="31"/>
      <c r="L633" s="39"/>
      <c r="M633" s="39"/>
      <c r="N633" s="28" t="str">
        <f>IFERROR(__xludf.DUMMYFUNCTION("IF(OR(C633="""",M633=""""),"""",IFERROR(IF(M633="""","""",query('tbl user'!$A$2:$D1508,""SELECT A WHERE D = '""&amp;M633&amp;""'"")),""USER TIDAK DIKETAHUI""))"),"")</f>
        <v/>
      </c>
    </row>
    <row r="634">
      <c r="A634" s="23" t="str">
        <f t="shared" si="3"/>
        <v/>
      </c>
      <c r="B634" s="24" t="str">
        <f t="shared" si="4"/>
        <v/>
      </c>
      <c r="C634" s="28"/>
      <c r="D634" s="28"/>
      <c r="E634" s="34"/>
      <c r="F634" s="34"/>
      <c r="G634" s="34"/>
      <c r="H634" s="34"/>
      <c r="I634" s="34"/>
      <c r="J634" s="28" t="str">
        <f>IFERROR(__xludf.DUMMYFUNCTION("iferror(if(I634="""","""",unique(query('tbl driver 2'!$K$2:$L1508,""SELECT L WHERE K = '""&amp;I634&amp;""'""))),"""")"),"")</f>
        <v/>
      </c>
      <c r="K634" s="31"/>
      <c r="L634" s="39"/>
      <c r="M634" s="39"/>
      <c r="N634" s="28" t="str">
        <f>IFERROR(__xludf.DUMMYFUNCTION("IF(OR(C634="""",M634=""""),"""",IFERROR(IF(M634="""","""",query('tbl user'!$A$2:$D1508,""SELECT A WHERE D = '""&amp;M634&amp;""'"")),""USER TIDAK DIKETAHUI""))"),"")</f>
        <v/>
      </c>
    </row>
    <row r="635">
      <c r="A635" s="23" t="str">
        <f t="shared" si="3"/>
        <v/>
      </c>
      <c r="B635" s="24" t="str">
        <f t="shared" si="4"/>
        <v/>
      </c>
      <c r="C635" s="28"/>
      <c r="D635" s="28"/>
      <c r="E635" s="34"/>
      <c r="F635" s="34"/>
      <c r="G635" s="34"/>
      <c r="H635" s="34"/>
      <c r="I635" s="34"/>
      <c r="J635" s="28" t="str">
        <f>IFERROR(__xludf.DUMMYFUNCTION("iferror(if(I635="""","""",unique(query('tbl driver 2'!$K$2:$L1508,""SELECT L WHERE K = '""&amp;I635&amp;""'""))),"""")"),"")</f>
        <v/>
      </c>
      <c r="K635" s="31"/>
      <c r="L635" s="39"/>
      <c r="M635" s="39"/>
      <c r="N635" s="28" t="str">
        <f>IFERROR(__xludf.DUMMYFUNCTION("IF(OR(C635="""",M635=""""),"""",IFERROR(IF(M635="""","""",query('tbl user'!$A$2:$D1508,""SELECT A WHERE D = '""&amp;M635&amp;""'"")),""USER TIDAK DIKETAHUI""))"),"")</f>
        <v/>
      </c>
    </row>
    <row r="636">
      <c r="A636" s="23" t="str">
        <f t="shared" si="3"/>
        <v/>
      </c>
      <c r="B636" s="24" t="str">
        <f t="shared" si="4"/>
        <v/>
      </c>
      <c r="C636" s="28"/>
      <c r="D636" s="28"/>
      <c r="E636" s="34"/>
      <c r="F636" s="34"/>
      <c r="G636" s="34"/>
      <c r="H636" s="34"/>
      <c r="I636" s="34"/>
      <c r="J636" s="28" t="str">
        <f>IFERROR(__xludf.DUMMYFUNCTION("iferror(if(I636="""","""",unique(query('tbl driver 2'!$K$2:$L1508,""SELECT L WHERE K = '""&amp;I636&amp;""'""))),"""")"),"")</f>
        <v/>
      </c>
      <c r="K636" s="31"/>
      <c r="L636" s="39"/>
      <c r="M636" s="39"/>
      <c r="N636" s="28" t="str">
        <f>IFERROR(__xludf.DUMMYFUNCTION("IF(OR(C636="""",M636=""""),"""",IFERROR(IF(M636="""","""",query('tbl user'!$A$2:$D1508,""SELECT A WHERE D = '""&amp;M636&amp;""'"")),""USER TIDAK DIKETAHUI""))"),"")</f>
        <v/>
      </c>
    </row>
    <row r="637">
      <c r="A637" s="23" t="str">
        <f t="shared" si="3"/>
        <v/>
      </c>
      <c r="B637" s="24" t="str">
        <f t="shared" si="4"/>
        <v/>
      </c>
      <c r="C637" s="28"/>
      <c r="D637" s="28"/>
      <c r="E637" s="34"/>
      <c r="F637" s="34"/>
      <c r="G637" s="34"/>
      <c r="H637" s="34"/>
      <c r="I637" s="34"/>
      <c r="J637" s="28" t="str">
        <f>IFERROR(__xludf.DUMMYFUNCTION("iferror(if(I637="""","""",unique(query('tbl driver 2'!$K$2:$L1508,""SELECT L WHERE K = '""&amp;I637&amp;""'""))),"""")"),"")</f>
        <v/>
      </c>
      <c r="K637" s="31"/>
      <c r="L637" s="39"/>
      <c r="M637" s="39"/>
      <c r="N637" s="28" t="str">
        <f>IFERROR(__xludf.DUMMYFUNCTION("IF(OR(C637="""",M637=""""),"""",IFERROR(IF(M637="""","""",query('tbl user'!$A$2:$D1508,""SELECT A WHERE D = '""&amp;M637&amp;""'"")),""USER TIDAK DIKETAHUI""))"),"")</f>
        <v/>
      </c>
    </row>
    <row r="638">
      <c r="A638" s="23" t="str">
        <f t="shared" si="3"/>
        <v/>
      </c>
      <c r="B638" s="24" t="str">
        <f t="shared" si="4"/>
        <v/>
      </c>
      <c r="C638" s="28"/>
      <c r="D638" s="28"/>
      <c r="E638" s="34"/>
      <c r="F638" s="34"/>
      <c r="G638" s="34"/>
      <c r="H638" s="34"/>
      <c r="I638" s="34"/>
      <c r="J638" s="28" t="str">
        <f>IFERROR(__xludf.DUMMYFUNCTION("iferror(if(I638="""","""",unique(query('tbl driver 2'!$K$2:$L1508,""SELECT L WHERE K = '""&amp;I638&amp;""'""))),"""")"),"")</f>
        <v/>
      </c>
      <c r="K638" s="31"/>
      <c r="L638" s="39"/>
      <c r="M638" s="39"/>
      <c r="N638" s="28" t="str">
        <f>IFERROR(__xludf.DUMMYFUNCTION("IF(OR(C638="""",M638=""""),"""",IFERROR(IF(M638="""","""",query('tbl user'!$A$2:$D1508,""SELECT A WHERE D = '""&amp;M638&amp;""'"")),""USER TIDAK DIKETAHUI""))"),"")</f>
        <v/>
      </c>
    </row>
    <row r="639">
      <c r="A639" s="23" t="str">
        <f t="shared" si="3"/>
        <v/>
      </c>
      <c r="B639" s="24" t="str">
        <f t="shared" si="4"/>
        <v/>
      </c>
      <c r="C639" s="28"/>
      <c r="D639" s="28"/>
      <c r="E639" s="34"/>
      <c r="F639" s="34"/>
      <c r="G639" s="34"/>
      <c r="H639" s="34"/>
      <c r="I639" s="34"/>
      <c r="J639" s="28" t="str">
        <f>IFERROR(__xludf.DUMMYFUNCTION("iferror(if(I639="""","""",unique(query('tbl driver 2'!$K$2:$L1508,""SELECT L WHERE K = '""&amp;I639&amp;""'""))),"""")"),"")</f>
        <v/>
      </c>
      <c r="K639" s="31"/>
      <c r="L639" s="39"/>
      <c r="M639" s="39"/>
      <c r="N639" s="28" t="str">
        <f>IFERROR(__xludf.DUMMYFUNCTION("IF(OR(C639="""",M639=""""),"""",IFERROR(IF(M639="""","""",query('tbl user'!$A$2:$D1508,""SELECT A WHERE D = '""&amp;M639&amp;""'"")),""USER TIDAK DIKETAHUI""))"),"")</f>
        <v/>
      </c>
    </row>
    <row r="640">
      <c r="A640" s="23" t="str">
        <f t="shared" si="3"/>
        <v/>
      </c>
      <c r="B640" s="24" t="str">
        <f t="shared" si="4"/>
        <v/>
      </c>
      <c r="C640" s="28"/>
      <c r="D640" s="28"/>
      <c r="E640" s="34"/>
      <c r="F640" s="34"/>
      <c r="G640" s="34"/>
      <c r="H640" s="34"/>
      <c r="I640" s="34"/>
      <c r="J640" s="28" t="str">
        <f>IFERROR(__xludf.DUMMYFUNCTION("iferror(if(I640="""","""",unique(query('tbl driver 2'!$K$2:$L1508,""SELECT L WHERE K = '""&amp;I640&amp;""'""))),"""")"),"")</f>
        <v/>
      </c>
      <c r="K640" s="31"/>
      <c r="L640" s="39"/>
      <c r="M640" s="39"/>
      <c r="N640" s="28" t="str">
        <f>IFERROR(__xludf.DUMMYFUNCTION("IF(OR(C640="""",M640=""""),"""",IFERROR(IF(M640="""","""",query('tbl user'!$A$2:$D1508,""SELECT A WHERE D = '""&amp;M640&amp;""'"")),""USER TIDAK DIKETAHUI""))"),"")</f>
        <v/>
      </c>
    </row>
    <row r="641">
      <c r="A641" s="23" t="str">
        <f t="shared" si="3"/>
        <v/>
      </c>
      <c r="B641" s="24" t="str">
        <f t="shared" si="4"/>
        <v/>
      </c>
      <c r="C641" s="28"/>
      <c r="D641" s="28"/>
      <c r="E641" s="34"/>
      <c r="F641" s="34"/>
      <c r="G641" s="34"/>
      <c r="H641" s="34"/>
      <c r="I641" s="34"/>
      <c r="J641" s="28" t="str">
        <f>IFERROR(__xludf.DUMMYFUNCTION("iferror(if(I641="""","""",unique(query('tbl driver 2'!$K$2:$L1508,""SELECT L WHERE K = '""&amp;I641&amp;""'""))),"""")"),"")</f>
        <v/>
      </c>
      <c r="K641" s="31"/>
      <c r="L641" s="39"/>
      <c r="M641" s="39"/>
      <c r="N641" s="28" t="str">
        <f>IFERROR(__xludf.DUMMYFUNCTION("IF(OR(C641="""",M641=""""),"""",IFERROR(IF(M641="""","""",query('tbl user'!$A$2:$D1508,""SELECT A WHERE D = '""&amp;M641&amp;""'"")),""USER TIDAK DIKETAHUI""))"),"")</f>
        <v/>
      </c>
    </row>
    <row r="642">
      <c r="A642" s="23" t="str">
        <f t="shared" si="3"/>
        <v/>
      </c>
      <c r="B642" s="24" t="str">
        <f t="shared" si="4"/>
        <v/>
      </c>
      <c r="C642" s="28"/>
      <c r="D642" s="28"/>
      <c r="E642" s="34"/>
      <c r="F642" s="34"/>
      <c r="G642" s="34"/>
      <c r="H642" s="34"/>
      <c r="I642" s="34"/>
      <c r="J642" s="28" t="str">
        <f>IFERROR(__xludf.DUMMYFUNCTION("iferror(if(I642="""","""",unique(query('tbl driver 2'!$K$2:$L1508,""SELECT L WHERE K = '""&amp;I642&amp;""'""))),"""")"),"")</f>
        <v/>
      </c>
      <c r="K642" s="31"/>
      <c r="L642" s="39"/>
      <c r="M642" s="39"/>
      <c r="N642" s="28" t="str">
        <f>IFERROR(__xludf.DUMMYFUNCTION("IF(OR(C642="""",M642=""""),"""",IFERROR(IF(M642="""","""",query('tbl user'!$A$2:$D1508,""SELECT A WHERE D = '""&amp;M642&amp;""'"")),""USER TIDAK DIKETAHUI""))"),"")</f>
        <v/>
      </c>
    </row>
    <row r="643">
      <c r="A643" s="23" t="str">
        <f t="shared" si="3"/>
        <v/>
      </c>
      <c r="B643" s="24" t="str">
        <f t="shared" si="4"/>
        <v/>
      </c>
      <c r="C643" s="28"/>
      <c r="D643" s="28"/>
      <c r="E643" s="34"/>
      <c r="F643" s="34"/>
      <c r="G643" s="34"/>
      <c r="H643" s="34"/>
      <c r="I643" s="34"/>
      <c r="J643" s="28" t="str">
        <f>IFERROR(__xludf.DUMMYFUNCTION("iferror(if(I643="""","""",unique(query('tbl driver 2'!$K$2:$L1508,""SELECT L WHERE K = '""&amp;I643&amp;""'""))),"""")"),"")</f>
        <v/>
      </c>
      <c r="K643" s="31"/>
      <c r="L643" s="39"/>
      <c r="M643" s="39"/>
      <c r="N643" s="28" t="str">
        <f>IFERROR(__xludf.DUMMYFUNCTION("IF(OR(C643="""",M643=""""),"""",IFERROR(IF(M643="""","""",query('tbl user'!$A$2:$D1508,""SELECT A WHERE D = '""&amp;M643&amp;""'"")),""USER TIDAK DIKETAHUI""))"),"")</f>
        <v/>
      </c>
    </row>
    <row r="644">
      <c r="A644" s="23" t="str">
        <f t="shared" si="3"/>
        <v/>
      </c>
      <c r="B644" s="24" t="str">
        <f t="shared" si="4"/>
        <v/>
      </c>
      <c r="C644" s="28"/>
      <c r="D644" s="28"/>
      <c r="E644" s="34"/>
      <c r="F644" s="34"/>
      <c r="G644" s="34"/>
      <c r="H644" s="34"/>
      <c r="I644" s="34"/>
      <c r="J644" s="28" t="str">
        <f>IFERROR(__xludf.DUMMYFUNCTION("iferror(if(I644="""","""",unique(query('tbl driver 2'!$K$2:$L1508,""SELECT L WHERE K = '""&amp;I644&amp;""'""))),"""")"),"")</f>
        <v/>
      </c>
      <c r="K644" s="31"/>
      <c r="L644" s="39"/>
      <c r="M644" s="39"/>
      <c r="N644" s="28" t="str">
        <f>IFERROR(__xludf.DUMMYFUNCTION("IF(OR(C644="""",M644=""""),"""",IFERROR(IF(M644="""","""",query('tbl user'!$A$2:$D1508,""SELECT A WHERE D = '""&amp;M644&amp;""'"")),""USER TIDAK DIKETAHUI""))"),"")</f>
        <v/>
      </c>
    </row>
    <row r="645">
      <c r="A645" s="23" t="str">
        <f t="shared" si="3"/>
        <v/>
      </c>
      <c r="B645" s="24" t="str">
        <f t="shared" si="4"/>
        <v/>
      </c>
      <c r="C645" s="28"/>
      <c r="D645" s="28"/>
      <c r="E645" s="34"/>
      <c r="F645" s="34"/>
      <c r="G645" s="34"/>
      <c r="H645" s="34"/>
      <c r="I645" s="34"/>
      <c r="J645" s="28" t="str">
        <f>IFERROR(__xludf.DUMMYFUNCTION("iferror(if(I645="""","""",unique(query('tbl driver 2'!$K$2:$L1508,""SELECT L WHERE K = '""&amp;I645&amp;""'""))),"""")"),"")</f>
        <v/>
      </c>
      <c r="K645" s="31"/>
      <c r="L645" s="39"/>
      <c r="M645" s="39"/>
      <c r="N645" s="28" t="str">
        <f>IFERROR(__xludf.DUMMYFUNCTION("IF(OR(C645="""",M645=""""),"""",IFERROR(IF(M645="""","""",query('tbl user'!$A$2:$D1508,""SELECT A WHERE D = '""&amp;M645&amp;""'"")),""USER TIDAK DIKETAHUI""))"),"")</f>
        <v/>
      </c>
    </row>
    <row r="646">
      <c r="A646" s="23" t="str">
        <f t="shared" si="3"/>
        <v/>
      </c>
      <c r="B646" s="24" t="str">
        <f t="shared" si="4"/>
        <v/>
      </c>
      <c r="C646" s="28"/>
      <c r="D646" s="28"/>
      <c r="E646" s="34"/>
      <c r="F646" s="34"/>
      <c r="G646" s="34"/>
      <c r="H646" s="34"/>
      <c r="I646" s="34"/>
      <c r="J646" s="28" t="str">
        <f>IFERROR(__xludf.DUMMYFUNCTION("iferror(if(I646="""","""",unique(query('tbl driver 2'!$K$2:$L1508,""SELECT L WHERE K = '""&amp;I646&amp;""'""))),"""")"),"")</f>
        <v/>
      </c>
      <c r="K646" s="31"/>
      <c r="L646" s="39"/>
      <c r="M646" s="39"/>
      <c r="N646" s="28" t="str">
        <f>IFERROR(__xludf.DUMMYFUNCTION("IF(OR(C646="""",M646=""""),"""",IFERROR(IF(M646="""","""",query('tbl user'!$A$2:$D1508,""SELECT A WHERE D = '""&amp;M646&amp;""'"")),""USER TIDAK DIKETAHUI""))"),"")</f>
        <v/>
      </c>
    </row>
    <row r="647">
      <c r="A647" s="23" t="str">
        <f t="shared" si="3"/>
        <v/>
      </c>
      <c r="B647" s="24" t="str">
        <f t="shared" si="4"/>
        <v/>
      </c>
      <c r="C647" s="28"/>
      <c r="D647" s="28"/>
      <c r="E647" s="34"/>
      <c r="F647" s="34"/>
      <c r="G647" s="34"/>
      <c r="H647" s="34"/>
      <c r="I647" s="34"/>
      <c r="J647" s="28" t="str">
        <f>IFERROR(__xludf.DUMMYFUNCTION("iferror(if(I647="""","""",unique(query('tbl driver 2'!$K$2:$L1508,""SELECT L WHERE K = '""&amp;I647&amp;""'""))),"""")"),"")</f>
        <v/>
      </c>
      <c r="K647" s="31"/>
      <c r="L647" s="39"/>
      <c r="M647" s="39"/>
      <c r="N647" s="28" t="str">
        <f>IFERROR(__xludf.DUMMYFUNCTION("IF(OR(C647="""",M647=""""),"""",IFERROR(IF(M647="""","""",query('tbl user'!$A$2:$D1508,""SELECT A WHERE D = '""&amp;M647&amp;""'"")),""USER TIDAK DIKETAHUI""))"),"")</f>
        <v/>
      </c>
    </row>
    <row r="648">
      <c r="A648" s="23" t="str">
        <f t="shared" si="3"/>
        <v/>
      </c>
      <c r="B648" s="24" t="str">
        <f t="shared" si="4"/>
        <v/>
      </c>
      <c r="C648" s="28"/>
      <c r="D648" s="28"/>
      <c r="E648" s="34"/>
      <c r="F648" s="34"/>
      <c r="G648" s="34"/>
      <c r="H648" s="34"/>
      <c r="I648" s="34"/>
      <c r="J648" s="28" t="str">
        <f>IFERROR(__xludf.DUMMYFUNCTION("iferror(if(I648="""","""",unique(query('tbl driver 2'!$K$2:$L1508,""SELECT L WHERE K = '""&amp;I648&amp;""'""))),"""")"),"")</f>
        <v/>
      </c>
      <c r="K648" s="31"/>
      <c r="L648" s="39"/>
      <c r="M648" s="39"/>
      <c r="N648" s="28" t="str">
        <f>IFERROR(__xludf.DUMMYFUNCTION("IF(OR(C648="""",M648=""""),"""",IFERROR(IF(M648="""","""",query('tbl user'!$A$2:$D1508,""SELECT A WHERE D = '""&amp;M648&amp;""'"")),""USER TIDAK DIKETAHUI""))"),"")</f>
        <v/>
      </c>
    </row>
    <row r="649">
      <c r="A649" s="23" t="str">
        <f t="shared" si="3"/>
        <v/>
      </c>
      <c r="B649" s="24" t="str">
        <f t="shared" si="4"/>
        <v/>
      </c>
      <c r="C649" s="28"/>
      <c r="D649" s="28"/>
      <c r="E649" s="34"/>
      <c r="F649" s="34"/>
      <c r="G649" s="34"/>
      <c r="H649" s="34"/>
      <c r="I649" s="34"/>
      <c r="J649" s="28" t="str">
        <f>IFERROR(__xludf.DUMMYFUNCTION("iferror(if(I649="""","""",unique(query('tbl driver 2'!$K$2:$L1508,""SELECT L WHERE K = '""&amp;I649&amp;""'""))),"""")"),"")</f>
        <v/>
      </c>
      <c r="K649" s="31"/>
      <c r="L649" s="39"/>
      <c r="M649" s="39"/>
      <c r="N649" s="28" t="str">
        <f>IFERROR(__xludf.DUMMYFUNCTION("IF(OR(C649="""",M649=""""),"""",IFERROR(IF(M649="""","""",query('tbl user'!$A$2:$D1508,""SELECT A WHERE D = '""&amp;M649&amp;""'"")),""USER TIDAK DIKETAHUI""))"),"")</f>
        <v/>
      </c>
    </row>
    <row r="650">
      <c r="A650" s="23" t="str">
        <f t="shared" si="3"/>
        <v/>
      </c>
      <c r="B650" s="24" t="str">
        <f t="shared" si="4"/>
        <v/>
      </c>
      <c r="C650" s="28"/>
      <c r="D650" s="28"/>
      <c r="E650" s="34"/>
      <c r="F650" s="34"/>
      <c r="G650" s="34"/>
      <c r="H650" s="34"/>
      <c r="I650" s="34"/>
      <c r="J650" s="28" t="str">
        <f>IFERROR(__xludf.DUMMYFUNCTION("iferror(if(I650="""","""",unique(query('tbl driver 2'!$K$2:$L1508,""SELECT L WHERE K = '""&amp;I650&amp;""'""))),"""")"),"")</f>
        <v/>
      </c>
      <c r="K650" s="31"/>
      <c r="L650" s="39"/>
      <c r="M650" s="39"/>
      <c r="N650" s="28" t="str">
        <f>IFERROR(__xludf.DUMMYFUNCTION("IF(OR(C650="""",M650=""""),"""",IFERROR(IF(M650="""","""",query('tbl user'!$A$2:$D1508,""SELECT A WHERE D = '""&amp;M650&amp;""'"")),""USER TIDAK DIKETAHUI""))"),"")</f>
        <v/>
      </c>
    </row>
    <row r="651">
      <c r="A651" s="23" t="str">
        <f t="shared" si="3"/>
        <v/>
      </c>
      <c r="B651" s="24" t="str">
        <f t="shared" si="4"/>
        <v/>
      </c>
      <c r="C651" s="28"/>
      <c r="D651" s="28"/>
      <c r="E651" s="34"/>
      <c r="F651" s="34"/>
      <c r="G651" s="34"/>
      <c r="H651" s="34"/>
      <c r="I651" s="34"/>
      <c r="J651" s="28" t="str">
        <f>IFERROR(__xludf.DUMMYFUNCTION("iferror(if(I651="""","""",unique(query('tbl driver 2'!$K$2:$L1508,""SELECT L WHERE K = '""&amp;I651&amp;""'""))),"""")"),"")</f>
        <v/>
      </c>
      <c r="K651" s="31"/>
      <c r="L651" s="39"/>
      <c r="M651" s="39"/>
      <c r="N651" s="28" t="str">
        <f>IFERROR(__xludf.DUMMYFUNCTION("IF(OR(C651="""",M651=""""),"""",IFERROR(IF(M651="""","""",query('tbl user'!$A$2:$D1508,""SELECT A WHERE D = '""&amp;M651&amp;""'"")),""USER TIDAK DIKETAHUI""))"),"")</f>
        <v/>
      </c>
    </row>
    <row r="652">
      <c r="A652" s="23" t="str">
        <f t="shared" si="3"/>
        <v/>
      </c>
      <c r="B652" s="24" t="str">
        <f t="shared" si="4"/>
        <v/>
      </c>
      <c r="C652" s="28"/>
      <c r="D652" s="28"/>
      <c r="E652" s="34"/>
      <c r="F652" s="34"/>
      <c r="G652" s="34"/>
      <c r="H652" s="34"/>
      <c r="I652" s="34"/>
      <c r="J652" s="28" t="str">
        <f>IFERROR(__xludf.DUMMYFUNCTION("iferror(if(I652="""","""",unique(query('tbl driver 2'!$K$2:$L1508,""SELECT L WHERE K = '""&amp;I652&amp;""'""))),"""")"),"")</f>
        <v/>
      </c>
      <c r="K652" s="31"/>
      <c r="L652" s="39"/>
      <c r="M652" s="39"/>
      <c r="N652" s="28" t="str">
        <f>IFERROR(__xludf.DUMMYFUNCTION("IF(OR(C652="""",M652=""""),"""",IFERROR(IF(M652="""","""",query('tbl user'!$A$2:$D1508,""SELECT A WHERE D = '""&amp;M652&amp;""'"")),""USER TIDAK DIKETAHUI""))"),"")</f>
        <v/>
      </c>
    </row>
    <row r="653">
      <c r="A653" s="23" t="str">
        <f t="shared" si="3"/>
        <v/>
      </c>
      <c r="B653" s="24" t="str">
        <f t="shared" si="4"/>
        <v/>
      </c>
      <c r="C653" s="28"/>
      <c r="D653" s="28"/>
      <c r="E653" s="34"/>
      <c r="F653" s="34"/>
      <c r="G653" s="34"/>
      <c r="H653" s="34"/>
      <c r="I653" s="34"/>
      <c r="J653" s="28" t="str">
        <f>IFERROR(__xludf.DUMMYFUNCTION("iferror(if(I653="""","""",unique(query('tbl driver 2'!$K$2:$L1508,""SELECT L WHERE K = '""&amp;I653&amp;""'""))),"""")"),"")</f>
        <v/>
      </c>
      <c r="K653" s="31"/>
      <c r="L653" s="39"/>
      <c r="M653" s="39"/>
      <c r="N653" s="28" t="str">
        <f>IFERROR(__xludf.DUMMYFUNCTION("IF(OR(C653="""",M653=""""),"""",IFERROR(IF(M653="""","""",query('tbl user'!$A$2:$D1508,""SELECT A WHERE D = '""&amp;M653&amp;""'"")),""USER TIDAK DIKETAHUI""))"),"")</f>
        <v/>
      </c>
    </row>
    <row r="654">
      <c r="A654" s="23" t="str">
        <f t="shared" si="3"/>
        <v/>
      </c>
      <c r="B654" s="24" t="str">
        <f t="shared" si="4"/>
        <v/>
      </c>
      <c r="C654" s="28"/>
      <c r="D654" s="28"/>
      <c r="E654" s="34"/>
      <c r="F654" s="34"/>
      <c r="G654" s="34"/>
      <c r="H654" s="34"/>
      <c r="I654" s="34"/>
      <c r="J654" s="28" t="str">
        <f>IFERROR(__xludf.DUMMYFUNCTION("iferror(if(I654="""","""",unique(query('tbl driver 2'!$K$2:$L1508,""SELECT L WHERE K = '""&amp;I654&amp;""'""))),"""")"),"")</f>
        <v/>
      </c>
      <c r="K654" s="31"/>
      <c r="L654" s="39"/>
      <c r="M654" s="39"/>
      <c r="N654" s="28" t="str">
        <f>IFERROR(__xludf.DUMMYFUNCTION("IF(OR(C654="""",M654=""""),"""",IFERROR(IF(M654="""","""",query('tbl user'!$A$2:$D1508,""SELECT A WHERE D = '""&amp;M654&amp;""'"")),""USER TIDAK DIKETAHUI""))"),"")</f>
        <v/>
      </c>
    </row>
    <row r="655">
      <c r="A655" s="23" t="str">
        <f t="shared" si="3"/>
        <v/>
      </c>
      <c r="B655" s="24" t="str">
        <f t="shared" si="4"/>
        <v/>
      </c>
      <c r="C655" s="28"/>
      <c r="D655" s="28"/>
      <c r="E655" s="34"/>
      <c r="F655" s="34"/>
      <c r="G655" s="34"/>
      <c r="H655" s="34"/>
      <c r="I655" s="34"/>
      <c r="J655" s="28" t="str">
        <f>IFERROR(__xludf.DUMMYFUNCTION("iferror(if(I655="""","""",unique(query('tbl driver 2'!$K$2:$L1508,""SELECT L WHERE K = '""&amp;I655&amp;""'""))),"""")"),"")</f>
        <v/>
      </c>
      <c r="K655" s="31"/>
      <c r="L655" s="39"/>
      <c r="M655" s="39"/>
      <c r="N655" s="28" t="str">
        <f>IFERROR(__xludf.DUMMYFUNCTION("IF(OR(C655="""",M655=""""),"""",IFERROR(IF(M655="""","""",query('tbl user'!$A$2:$D1508,""SELECT A WHERE D = '""&amp;M655&amp;""'"")),""USER TIDAK DIKETAHUI""))"),"")</f>
        <v/>
      </c>
    </row>
    <row r="656">
      <c r="A656" s="23" t="str">
        <f t="shared" si="3"/>
        <v/>
      </c>
      <c r="B656" s="24" t="str">
        <f t="shared" si="4"/>
        <v/>
      </c>
      <c r="C656" s="28"/>
      <c r="D656" s="28"/>
      <c r="E656" s="34"/>
      <c r="F656" s="34"/>
      <c r="G656" s="34"/>
      <c r="H656" s="34"/>
      <c r="I656" s="34"/>
      <c r="J656" s="28" t="str">
        <f>IFERROR(__xludf.DUMMYFUNCTION("iferror(if(I656="""","""",unique(query('tbl driver 2'!$K$2:$L1508,""SELECT L WHERE K = '""&amp;I656&amp;""'""))),"""")"),"")</f>
        <v/>
      </c>
      <c r="K656" s="31"/>
      <c r="L656" s="39"/>
      <c r="M656" s="39"/>
      <c r="N656" s="28" t="str">
        <f>IFERROR(__xludf.DUMMYFUNCTION("IF(OR(C656="""",M656=""""),"""",IFERROR(IF(M656="""","""",query('tbl user'!$A$2:$D1508,""SELECT A WHERE D = '""&amp;M656&amp;""'"")),""USER TIDAK DIKETAHUI""))"),"")</f>
        <v/>
      </c>
    </row>
    <row r="657">
      <c r="A657" s="23" t="str">
        <f t="shared" si="3"/>
        <v/>
      </c>
      <c r="B657" s="24" t="str">
        <f t="shared" si="4"/>
        <v/>
      </c>
      <c r="C657" s="28"/>
      <c r="D657" s="28"/>
      <c r="E657" s="34"/>
      <c r="F657" s="34"/>
      <c r="G657" s="34"/>
      <c r="H657" s="34"/>
      <c r="I657" s="34"/>
      <c r="J657" s="28" t="str">
        <f>IFERROR(__xludf.DUMMYFUNCTION("iferror(if(I657="""","""",unique(query('tbl driver 2'!$K$2:$L1508,""SELECT L WHERE K = '""&amp;I657&amp;""'""))),"""")"),"")</f>
        <v/>
      </c>
      <c r="K657" s="31"/>
      <c r="L657" s="39"/>
      <c r="M657" s="39"/>
      <c r="N657" s="28" t="str">
        <f>IFERROR(__xludf.DUMMYFUNCTION("IF(OR(C657="""",M657=""""),"""",IFERROR(IF(M657="""","""",query('tbl user'!$A$2:$D1508,""SELECT A WHERE D = '""&amp;M657&amp;""'"")),""USER TIDAK DIKETAHUI""))"),"")</f>
        <v/>
      </c>
    </row>
    <row r="658">
      <c r="A658" s="23" t="str">
        <f t="shared" si="3"/>
        <v/>
      </c>
      <c r="B658" s="24" t="str">
        <f t="shared" si="4"/>
        <v/>
      </c>
      <c r="C658" s="28"/>
      <c r="D658" s="28"/>
      <c r="E658" s="34"/>
      <c r="F658" s="34"/>
      <c r="G658" s="34"/>
      <c r="H658" s="34"/>
      <c r="I658" s="34"/>
      <c r="J658" s="28" t="str">
        <f>IFERROR(__xludf.DUMMYFUNCTION("iferror(if(I658="""","""",unique(query('tbl driver 2'!$K$2:$L1508,""SELECT L WHERE K = '""&amp;I658&amp;""'""))),"""")"),"")</f>
        <v/>
      </c>
      <c r="K658" s="31"/>
      <c r="L658" s="39"/>
      <c r="M658" s="39"/>
      <c r="N658" s="28" t="str">
        <f>IFERROR(__xludf.DUMMYFUNCTION("IF(OR(C658="""",M658=""""),"""",IFERROR(IF(M658="""","""",query('tbl user'!$A$2:$D1508,""SELECT A WHERE D = '""&amp;M658&amp;""'"")),""USER TIDAK DIKETAHUI""))"),"")</f>
        <v/>
      </c>
    </row>
    <row r="659">
      <c r="A659" s="23" t="str">
        <f t="shared" si="3"/>
        <v/>
      </c>
      <c r="B659" s="24" t="str">
        <f t="shared" si="4"/>
        <v/>
      </c>
      <c r="C659" s="28"/>
      <c r="D659" s="28"/>
      <c r="E659" s="34"/>
      <c r="F659" s="34"/>
      <c r="G659" s="34"/>
      <c r="H659" s="34"/>
      <c r="I659" s="34"/>
      <c r="J659" s="28" t="str">
        <f>IFERROR(__xludf.DUMMYFUNCTION("iferror(if(I659="""","""",unique(query('tbl driver 2'!$K$2:$L1508,""SELECT L WHERE K = '""&amp;I659&amp;""'""))),"""")"),"")</f>
        <v/>
      </c>
      <c r="K659" s="31"/>
      <c r="L659" s="39"/>
      <c r="M659" s="39"/>
      <c r="N659" s="28" t="str">
        <f>IFERROR(__xludf.DUMMYFUNCTION("IF(OR(C659="""",M659=""""),"""",IFERROR(IF(M659="""","""",query('tbl user'!$A$2:$D1508,""SELECT A WHERE D = '""&amp;M659&amp;""'"")),""USER TIDAK DIKETAHUI""))"),"")</f>
        <v/>
      </c>
    </row>
    <row r="660">
      <c r="A660" s="23" t="str">
        <f t="shared" si="3"/>
        <v/>
      </c>
      <c r="B660" s="24" t="str">
        <f t="shared" si="4"/>
        <v/>
      </c>
      <c r="C660" s="28"/>
      <c r="D660" s="28"/>
      <c r="E660" s="34"/>
      <c r="F660" s="34"/>
      <c r="G660" s="34"/>
      <c r="H660" s="34"/>
      <c r="I660" s="34"/>
      <c r="J660" s="28" t="str">
        <f>IFERROR(__xludf.DUMMYFUNCTION("iferror(if(I660="""","""",unique(query('tbl driver 2'!$K$2:$L1508,""SELECT L WHERE K = '""&amp;I660&amp;""'""))),"""")"),"")</f>
        <v/>
      </c>
      <c r="K660" s="31"/>
      <c r="L660" s="39"/>
      <c r="M660" s="39"/>
      <c r="N660" s="28" t="str">
        <f>IFERROR(__xludf.DUMMYFUNCTION("IF(OR(C660="""",M660=""""),"""",IFERROR(IF(M660="""","""",query('tbl user'!$A$2:$D1508,""SELECT A WHERE D = '""&amp;M660&amp;""'"")),""USER TIDAK DIKETAHUI""))"),"")</f>
        <v/>
      </c>
    </row>
    <row r="661">
      <c r="A661" s="23" t="str">
        <f t="shared" si="3"/>
        <v/>
      </c>
      <c r="B661" s="24" t="str">
        <f t="shared" si="4"/>
        <v/>
      </c>
      <c r="C661" s="28"/>
      <c r="D661" s="28"/>
      <c r="E661" s="34"/>
      <c r="F661" s="34"/>
      <c r="G661" s="34"/>
      <c r="H661" s="34"/>
      <c r="I661" s="34"/>
      <c r="J661" s="28" t="str">
        <f>IFERROR(__xludf.DUMMYFUNCTION("iferror(if(I661="""","""",unique(query('tbl driver 2'!$K$2:$L1508,""SELECT L WHERE K = '""&amp;I661&amp;""'""))),"""")"),"")</f>
        <v/>
      </c>
      <c r="K661" s="31"/>
      <c r="L661" s="39"/>
      <c r="M661" s="39"/>
      <c r="N661" s="28" t="str">
        <f>IFERROR(__xludf.DUMMYFUNCTION("IF(OR(C661="""",M661=""""),"""",IFERROR(IF(M661="""","""",query('tbl user'!$A$2:$D1508,""SELECT A WHERE D = '""&amp;M661&amp;""'"")),""USER TIDAK DIKETAHUI""))"),"")</f>
        <v/>
      </c>
    </row>
    <row r="662">
      <c r="A662" s="23" t="str">
        <f t="shared" si="3"/>
        <v/>
      </c>
      <c r="B662" s="24" t="str">
        <f t="shared" si="4"/>
        <v/>
      </c>
      <c r="C662" s="28"/>
      <c r="D662" s="28"/>
      <c r="E662" s="34"/>
      <c r="F662" s="34"/>
      <c r="G662" s="34"/>
      <c r="H662" s="34"/>
      <c r="I662" s="34"/>
      <c r="J662" s="28" t="str">
        <f>IFERROR(__xludf.DUMMYFUNCTION("iferror(if(I662="""","""",unique(query('tbl driver 2'!$K$2:$L1508,""SELECT L WHERE K = '""&amp;I662&amp;""'""))),"""")"),"")</f>
        <v/>
      </c>
      <c r="K662" s="31"/>
      <c r="L662" s="39"/>
      <c r="M662" s="39"/>
      <c r="N662" s="28" t="str">
        <f>IFERROR(__xludf.DUMMYFUNCTION("IF(OR(C662="""",M662=""""),"""",IFERROR(IF(M662="""","""",query('tbl user'!$A$2:$D1508,""SELECT A WHERE D = '""&amp;M662&amp;""'"")),""USER TIDAK DIKETAHUI""))"),"")</f>
        <v/>
      </c>
    </row>
    <row r="663">
      <c r="A663" s="23" t="str">
        <f t="shared" si="3"/>
        <v/>
      </c>
      <c r="B663" s="24" t="str">
        <f t="shared" si="4"/>
        <v/>
      </c>
      <c r="C663" s="28"/>
      <c r="D663" s="28"/>
      <c r="E663" s="34"/>
      <c r="F663" s="34"/>
      <c r="G663" s="34"/>
      <c r="H663" s="34"/>
      <c r="I663" s="34"/>
      <c r="J663" s="28" t="str">
        <f>IFERROR(__xludf.DUMMYFUNCTION("iferror(if(I663="""","""",unique(query('tbl driver 2'!$K$2:$L1508,""SELECT L WHERE K = '""&amp;I663&amp;""'""))),"""")"),"")</f>
        <v/>
      </c>
      <c r="K663" s="31"/>
      <c r="L663" s="39"/>
      <c r="M663" s="39"/>
      <c r="N663" s="28" t="str">
        <f>IFERROR(__xludf.DUMMYFUNCTION("IF(OR(C663="""",M663=""""),"""",IFERROR(IF(M663="""","""",query('tbl user'!$A$2:$D1508,""SELECT A WHERE D = '""&amp;M663&amp;""'"")),""USER TIDAK DIKETAHUI""))"),"")</f>
        <v/>
      </c>
    </row>
    <row r="664">
      <c r="A664" s="23" t="str">
        <f t="shared" si="3"/>
        <v/>
      </c>
      <c r="B664" s="24" t="str">
        <f t="shared" si="4"/>
        <v/>
      </c>
      <c r="C664" s="28"/>
      <c r="D664" s="28"/>
      <c r="E664" s="34"/>
      <c r="F664" s="34"/>
      <c r="G664" s="34"/>
      <c r="H664" s="34"/>
      <c r="I664" s="34"/>
      <c r="J664" s="28" t="str">
        <f>IFERROR(__xludf.DUMMYFUNCTION("iferror(if(I664="""","""",unique(query('tbl driver 2'!$K$2:$L1508,""SELECT L WHERE K = '""&amp;I664&amp;""'""))),"""")"),"")</f>
        <v/>
      </c>
      <c r="K664" s="31"/>
      <c r="L664" s="39"/>
      <c r="M664" s="39"/>
      <c r="N664" s="28" t="str">
        <f>IFERROR(__xludf.DUMMYFUNCTION("IF(OR(C664="""",M664=""""),"""",IFERROR(IF(M664="""","""",query('tbl user'!$A$2:$D1508,""SELECT A WHERE D = '""&amp;M664&amp;""'"")),""USER TIDAK DIKETAHUI""))"),"")</f>
        <v/>
      </c>
    </row>
    <row r="665">
      <c r="A665" s="23" t="str">
        <f t="shared" si="3"/>
        <v/>
      </c>
      <c r="B665" s="24" t="str">
        <f t="shared" si="4"/>
        <v/>
      </c>
      <c r="C665" s="28"/>
      <c r="D665" s="28"/>
      <c r="E665" s="34"/>
      <c r="F665" s="34"/>
      <c r="G665" s="34"/>
      <c r="H665" s="34"/>
      <c r="I665" s="34"/>
      <c r="J665" s="28" t="str">
        <f>IFERROR(__xludf.DUMMYFUNCTION("iferror(if(I665="""","""",unique(query('tbl driver 2'!$K$2:$L1508,""SELECT L WHERE K = '""&amp;I665&amp;""'""))),"""")"),"")</f>
        <v/>
      </c>
      <c r="K665" s="31"/>
      <c r="L665" s="39"/>
      <c r="M665" s="39"/>
      <c r="N665" s="28" t="str">
        <f>IFERROR(__xludf.DUMMYFUNCTION("IF(OR(C665="""",M665=""""),"""",IFERROR(IF(M665="""","""",query('tbl user'!$A$2:$D1508,""SELECT A WHERE D = '""&amp;M665&amp;""'"")),""USER TIDAK DIKETAHUI""))"),"")</f>
        <v/>
      </c>
    </row>
    <row r="666">
      <c r="A666" s="23" t="str">
        <f t="shared" si="3"/>
        <v/>
      </c>
      <c r="B666" s="24" t="str">
        <f t="shared" si="4"/>
        <v/>
      </c>
      <c r="C666" s="28"/>
      <c r="D666" s="28"/>
      <c r="E666" s="34"/>
      <c r="F666" s="34"/>
      <c r="G666" s="34"/>
      <c r="H666" s="34"/>
      <c r="I666" s="34"/>
      <c r="J666" s="28" t="str">
        <f>IFERROR(__xludf.DUMMYFUNCTION("iferror(if(I666="""","""",unique(query('tbl driver 2'!$K$2:$L1508,""SELECT L WHERE K = '""&amp;I666&amp;""'""))),"""")"),"")</f>
        <v/>
      </c>
      <c r="K666" s="31"/>
      <c r="L666" s="39"/>
      <c r="M666" s="39"/>
      <c r="N666" s="28" t="str">
        <f>IFERROR(__xludf.DUMMYFUNCTION("IF(OR(C666="""",M666=""""),"""",IFERROR(IF(M666="""","""",query('tbl user'!$A$2:$D1508,""SELECT A WHERE D = '""&amp;M666&amp;""'"")),""USER TIDAK DIKETAHUI""))"),"")</f>
        <v/>
      </c>
    </row>
    <row r="667">
      <c r="A667" s="23" t="str">
        <f t="shared" si="3"/>
        <v/>
      </c>
      <c r="B667" s="24" t="str">
        <f t="shared" si="4"/>
        <v/>
      </c>
      <c r="C667" s="28"/>
      <c r="D667" s="28"/>
      <c r="E667" s="34"/>
      <c r="F667" s="34"/>
      <c r="G667" s="34"/>
      <c r="H667" s="34"/>
      <c r="I667" s="34"/>
      <c r="J667" s="28" t="str">
        <f>IFERROR(__xludf.DUMMYFUNCTION("iferror(if(I667="""","""",unique(query('tbl driver 2'!$K$2:$L1508,""SELECT L WHERE K = '""&amp;I667&amp;""'""))),"""")"),"")</f>
        <v/>
      </c>
      <c r="K667" s="31"/>
      <c r="L667" s="39"/>
      <c r="M667" s="39"/>
      <c r="N667" s="28" t="str">
        <f>IFERROR(__xludf.DUMMYFUNCTION("IF(OR(C667="""",M667=""""),"""",IFERROR(IF(M667="""","""",query('tbl user'!$A$2:$D1508,""SELECT A WHERE D = '""&amp;M667&amp;""'"")),""USER TIDAK DIKETAHUI""))"),"")</f>
        <v/>
      </c>
    </row>
    <row r="668">
      <c r="A668" s="23" t="str">
        <f t="shared" si="3"/>
        <v/>
      </c>
      <c r="B668" s="24" t="str">
        <f t="shared" si="4"/>
        <v/>
      </c>
      <c r="C668" s="28"/>
      <c r="D668" s="28"/>
      <c r="E668" s="34"/>
      <c r="F668" s="34"/>
      <c r="G668" s="34"/>
      <c r="H668" s="34"/>
      <c r="I668" s="34"/>
      <c r="J668" s="28" t="str">
        <f>IFERROR(__xludf.DUMMYFUNCTION("iferror(if(I668="""","""",unique(query('tbl driver 2'!$K$2:$L1508,""SELECT L WHERE K = '""&amp;I668&amp;""'""))),"""")"),"")</f>
        <v/>
      </c>
      <c r="K668" s="31"/>
      <c r="L668" s="39"/>
      <c r="M668" s="39"/>
      <c r="N668" s="28" t="str">
        <f>IFERROR(__xludf.DUMMYFUNCTION("IF(OR(C668="""",M668=""""),"""",IFERROR(IF(M668="""","""",query('tbl user'!$A$2:$D1508,""SELECT A WHERE D = '""&amp;M668&amp;""'"")),""USER TIDAK DIKETAHUI""))"),"")</f>
        <v/>
      </c>
    </row>
    <row r="669">
      <c r="A669" s="23" t="str">
        <f t="shared" si="3"/>
        <v/>
      </c>
      <c r="B669" s="24" t="str">
        <f t="shared" si="4"/>
        <v/>
      </c>
      <c r="C669" s="28"/>
      <c r="D669" s="28"/>
      <c r="E669" s="34"/>
      <c r="F669" s="34"/>
      <c r="G669" s="34"/>
      <c r="H669" s="34"/>
      <c r="I669" s="34"/>
      <c r="J669" s="28" t="str">
        <f>IFERROR(__xludf.DUMMYFUNCTION("iferror(if(I669="""","""",unique(query('tbl driver 2'!$K$2:$L1508,""SELECT L WHERE K = '""&amp;I669&amp;""'""))),"""")"),"")</f>
        <v/>
      </c>
      <c r="K669" s="31"/>
      <c r="L669" s="39"/>
      <c r="M669" s="39"/>
      <c r="N669" s="28" t="str">
        <f>IFERROR(__xludf.DUMMYFUNCTION("IF(OR(C669="""",M669=""""),"""",IFERROR(IF(M669="""","""",query('tbl user'!$A$2:$D1508,""SELECT A WHERE D = '""&amp;M669&amp;""'"")),""USER TIDAK DIKETAHUI""))"),"")</f>
        <v/>
      </c>
    </row>
    <row r="670">
      <c r="A670" s="23" t="str">
        <f t="shared" si="3"/>
        <v/>
      </c>
      <c r="B670" s="24" t="str">
        <f t="shared" si="4"/>
        <v/>
      </c>
      <c r="C670" s="28"/>
      <c r="D670" s="28"/>
      <c r="E670" s="34"/>
      <c r="F670" s="34"/>
      <c r="G670" s="34"/>
      <c r="H670" s="34"/>
      <c r="I670" s="34"/>
      <c r="J670" s="28" t="str">
        <f>IFERROR(__xludf.DUMMYFUNCTION("iferror(if(I670="""","""",unique(query('tbl driver 2'!$K$2:$L1508,""SELECT L WHERE K = '""&amp;I670&amp;""'""))),"""")"),"")</f>
        <v/>
      </c>
      <c r="K670" s="31"/>
      <c r="L670" s="39"/>
      <c r="M670" s="39"/>
      <c r="N670" s="28" t="str">
        <f>IFERROR(__xludf.DUMMYFUNCTION("IF(OR(C670="""",M670=""""),"""",IFERROR(IF(M670="""","""",query('tbl user'!$A$2:$D1508,""SELECT A WHERE D = '""&amp;M670&amp;""'"")),""USER TIDAK DIKETAHUI""))"),"")</f>
        <v/>
      </c>
    </row>
    <row r="671">
      <c r="A671" s="23" t="str">
        <f t="shared" si="3"/>
        <v/>
      </c>
      <c r="B671" s="24" t="str">
        <f t="shared" si="4"/>
        <v/>
      </c>
      <c r="C671" s="28"/>
      <c r="D671" s="28"/>
      <c r="E671" s="34"/>
      <c r="F671" s="34"/>
      <c r="G671" s="34"/>
      <c r="H671" s="34"/>
      <c r="I671" s="34"/>
      <c r="J671" s="28" t="str">
        <f>IFERROR(__xludf.DUMMYFUNCTION("iferror(if(I671="""","""",unique(query('tbl driver 2'!$K$2:$L1508,""SELECT L WHERE K = '""&amp;I671&amp;""'""))),"""")"),"")</f>
        <v/>
      </c>
      <c r="K671" s="31"/>
      <c r="L671" s="39"/>
      <c r="M671" s="39"/>
      <c r="N671" s="28" t="str">
        <f>IFERROR(__xludf.DUMMYFUNCTION("IF(OR(C671="""",M671=""""),"""",IFERROR(IF(M671="""","""",query('tbl user'!$A$2:$D1508,""SELECT A WHERE D = '""&amp;M671&amp;""'"")),""USER TIDAK DIKETAHUI""))"),"")</f>
        <v/>
      </c>
    </row>
    <row r="672">
      <c r="A672" s="23" t="str">
        <f t="shared" si="3"/>
        <v/>
      </c>
      <c r="B672" s="24" t="str">
        <f t="shared" si="4"/>
        <v/>
      </c>
      <c r="C672" s="28"/>
      <c r="D672" s="28"/>
      <c r="E672" s="34"/>
      <c r="F672" s="34"/>
      <c r="G672" s="34"/>
      <c r="H672" s="34"/>
      <c r="I672" s="34"/>
      <c r="J672" s="28" t="str">
        <f>IFERROR(__xludf.DUMMYFUNCTION("iferror(if(I672="""","""",unique(query('tbl driver 2'!$K$2:$L1508,""SELECT L WHERE K = '""&amp;I672&amp;""'""))),"""")"),"")</f>
        <v/>
      </c>
      <c r="K672" s="31"/>
      <c r="L672" s="39"/>
      <c r="M672" s="39"/>
      <c r="N672" s="28" t="str">
        <f>IFERROR(__xludf.DUMMYFUNCTION("IF(OR(C672="""",M672=""""),"""",IFERROR(IF(M672="""","""",query('tbl user'!$A$2:$D1508,""SELECT A WHERE D = '""&amp;M672&amp;""'"")),""USER TIDAK DIKETAHUI""))"),"")</f>
        <v/>
      </c>
    </row>
    <row r="673">
      <c r="A673" s="23" t="str">
        <f t="shared" si="3"/>
        <v/>
      </c>
      <c r="B673" s="24" t="str">
        <f t="shared" si="4"/>
        <v/>
      </c>
      <c r="C673" s="28"/>
      <c r="D673" s="28"/>
      <c r="E673" s="34"/>
      <c r="F673" s="34"/>
      <c r="G673" s="34"/>
      <c r="H673" s="34"/>
      <c r="I673" s="34"/>
      <c r="J673" s="28" t="str">
        <f>IFERROR(__xludf.DUMMYFUNCTION("iferror(if(I673="""","""",unique(query('tbl driver 2'!$K$2:$L1508,""SELECT L WHERE K = '""&amp;I673&amp;""'""))),"""")"),"")</f>
        <v/>
      </c>
      <c r="K673" s="31"/>
      <c r="L673" s="39"/>
      <c r="M673" s="39"/>
      <c r="N673" s="28" t="str">
        <f>IFERROR(__xludf.DUMMYFUNCTION("IF(OR(C673="""",M673=""""),"""",IFERROR(IF(M673="""","""",query('tbl user'!$A$2:$D1508,""SELECT A WHERE D = '""&amp;M673&amp;""'"")),""USER TIDAK DIKETAHUI""))"),"")</f>
        <v/>
      </c>
    </row>
    <row r="674">
      <c r="A674" s="23" t="str">
        <f t="shared" si="3"/>
        <v/>
      </c>
      <c r="B674" s="24" t="str">
        <f t="shared" si="4"/>
        <v/>
      </c>
      <c r="C674" s="28"/>
      <c r="D674" s="28"/>
      <c r="E674" s="34"/>
      <c r="F674" s="34"/>
      <c r="G674" s="34"/>
      <c r="H674" s="34"/>
      <c r="I674" s="34"/>
      <c r="J674" s="28" t="str">
        <f>IFERROR(__xludf.DUMMYFUNCTION("iferror(if(I674="""","""",unique(query('tbl driver 2'!$K$2:$L1508,""SELECT L WHERE K = '""&amp;I674&amp;""'""))),"""")"),"")</f>
        <v/>
      </c>
      <c r="K674" s="31"/>
      <c r="L674" s="39"/>
      <c r="M674" s="39"/>
      <c r="N674" s="28" t="str">
        <f>IFERROR(__xludf.DUMMYFUNCTION("IF(OR(C674="""",M674=""""),"""",IFERROR(IF(M674="""","""",query('tbl user'!$A$2:$D1508,""SELECT A WHERE D = '""&amp;M674&amp;""'"")),""USER TIDAK DIKETAHUI""))"),"")</f>
        <v/>
      </c>
    </row>
    <row r="675">
      <c r="A675" s="23" t="str">
        <f t="shared" si="3"/>
        <v/>
      </c>
      <c r="B675" s="24" t="str">
        <f t="shared" si="4"/>
        <v/>
      </c>
      <c r="C675" s="28"/>
      <c r="D675" s="28"/>
      <c r="E675" s="34"/>
      <c r="F675" s="34"/>
      <c r="G675" s="34"/>
      <c r="H675" s="34"/>
      <c r="I675" s="34"/>
      <c r="J675" s="28" t="str">
        <f>IFERROR(__xludf.DUMMYFUNCTION("iferror(if(I675="""","""",unique(query('tbl driver 2'!$K$2:$L1508,""SELECT L WHERE K = '""&amp;I675&amp;""'""))),"""")"),"")</f>
        <v/>
      </c>
      <c r="K675" s="31"/>
      <c r="L675" s="39"/>
      <c r="M675" s="39"/>
      <c r="N675" s="28" t="str">
        <f>IFERROR(__xludf.DUMMYFUNCTION("IF(OR(C675="""",M675=""""),"""",IFERROR(IF(M675="""","""",query('tbl user'!$A$2:$D1508,""SELECT A WHERE D = '""&amp;M675&amp;""'"")),""USER TIDAK DIKETAHUI""))"),"")</f>
        <v/>
      </c>
    </row>
    <row r="676">
      <c r="A676" s="23" t="str">
        <f t="shared" si="3"/>
        <v/>
      </c>
      <c r="B676" s="24" t="str">
        <f t="shared" si="4"/>
        <v/>
      </c>
      <c r="C676" s="28"/>
      <c r="D676" s="28"/>
      <c r="E676" s="34"/>
      <c r="F676" s="34"/>
      <c r="G676" s="34"/>
      <c r="H676" s="34"/>
      <c r="I676" s="34"/>
      <c r="J676" s="28" t="str">
        <f>IFERROR(__xludf.DUMMYFUNCTION("iferror(if(I676="""","""",unique(query('tbl driver 2'!$K$2:$L1508,""SELECT L WHERE K = '""&amp;I676&amp;""'""))),"""")"),"")</f>
        <v/>
      </c>
      <c r="K676" s="31"/>
      <c r="L676" s="39"/>
      <c r="M676" s="39"/>
      <c r="N676" s="28" t="str">
        <f>IFERROR(__xludf.DUMMYFUNCTION("IF(OR(C676="""",M676=""""),"""",IFERROR(IF(M676="""","""",query('tbl user'!$A$2:$D1508,""SELECT A WHERE D = '""&amp;M676&amp;""'"")),""USER TIDAK DIKETAHUI""))"),"")</f>
        <v/>
      </c>
    </row>
    <row r="677">
      <c r="A677" s="23" t="str">
        <f t="shared" si="3"/>
        <v/>
      </c>
      <c r="B677" s="24" t="str">
        <f t="shared" si="4"/>
        <v/>
      </c>
      <c r="C677" s="28"/>
      <c r="D677" s="28"/>
      <c r="E677" s="34"/>
      <c r="F677" s="34"/>
      <c r="G677" s="34"/>
      <c r="H677" s="34"/>
      <c r="I677" s="34"/>
      <c r="J677" s="28" t="str">
        <f>IFERROR(__xludf.DUMMYFUNCTION("iferror(if(I677="""","""",unique(query('tbl driver 2'!$K$2:$L1508,""SELECT L WHERE K = '""&amp;I677&amp;""'""))),"""")"),"")</f>
        <v/>
      </c>
      <c r="K677" s="31"/>
      <c r="L677" s="39"/>
      <c r="M677" s="39"/>
      <c r="N677" s="28" t="str">
        <f>IFERROR(__xludf.DUMMYFUNCTION("IF(OR(C677="""",M677=""""),"""",IFERROR(IF(M677="""","""",query('tbl user'!$A$2:$D1508,""SELECT A WHERE D = '""&amp;M677&amp;""'"")),""USER TIDAK DIKETAHUI""))"),"")</f>
        <v/>
      </c>
    </row>
    <row r="678">
      <c r="A678" s="23" t="str">
        <f t="shared" si="3"/>
        <v/>
      </c>
      <c r="B678" s="24" t="str">
        <f t="shared" si="4"/>
        <v/>
      </c>
      <c r="C678" s="28"/>
      <c r="D678" s="28"/>
      <c r="E678" s="34"/>
      <c r="F678" s="34"/>
      <c r="G678" s="34"/>
      <c r="H678" s="34"/>
      <c r="I678" s="34"/>
      <c r="J678" s="28" t="str">
        <f>IFERROR(__xludf.DUMMYFUNCTION("iferror(if(I678="""","""",unique(query('tbl driver 2'!$K$2:$L1508,""SELECT L WHERE K = '""&amp;I678&amp;""'""))),"""")"),"")</f>
        <v/>
      </c>
      <c r="K678" s="31"/>
      <c r="L678" s="39"/>
      <c r="M678" s="39"/>
      <c r="N678" s="28" t="str">
        <f>IFERROR(__xludf.DUMMYFUNCTION("IF(OR(C678="""",M678=""""),"""",IFERROR(IF(M678="""","""",query('tbl user'!$A$2:$D1508,""SELECT A WHERE D = '""&amp;M678&amp;""'"")),""USER TIDAK DIKETAHUI""))"),"")</f>
        <v/>
      </c>
    </row>
    <row r="679">
      <c r="A679" s="23" t="str">
        <f t="shared" si="3"/>
        <v/>
      </c>
      <c r="B679" s="24" t="str">
        <f t="shared" si="4"/>
        <v/>
      </c>
      <c r="C679" s="28"/>
      <c r="D679" s="28"/>
      <c r="E679" s="34"/>
      <c r="F679" s="34"/>
      <c r="G679" s="34"/>
      <c r="H679" s="34"/>
      <c r="I679" s="34"/>
      <c r="J679" s="28" t="str">
        <f>IFERROR(__xludf.DUMMYFUNCTION("iferror(if(I679="""","""",unique(query('tbl driver 2'!$K$2:$L1508,""SELECT L WHERE K = '""&amp;I679&amp;""'""))),"""")"),"")</f>
        <v/>
      </c>
      <c r="K679" s="31"/>
      <c r="L679" s="39"/>
      <c r="M679" s="39"/>
      <c r="N679" s="28" t="str">
        <f>IFERROR(__xludf.DUMMYFUNCTION("IF(OR(C679="""",M679=""""),"""",IFERROR(IF(M679="""","""",query('tbl user'!$A$2:$D1508,""SELECT A WHERE D = '""&amp;M679&amp;""'"")),""USER TIDAK DIKETAHUI""))"),"")</f>
        <v/>
      </c>
    </row>
    <row r="680">
      <c r="A680" s="23" t="str">
        <f t="shared" si="3"/>
        <v/>
      </c>
      <c r="B680" s="24" t="str">
        <f t="shared" si="4"/>
        <v/>
      </c>
      <c r="C680" s="28"/>
      <c r="D680" s="28"/>
      <c r="E680" s="34"/>
      <c r="F680" s="34"/>
      <c r="G680" s="34"/>
      <c r="H680" s="34"/>
      <c r="I680" s="34"/>
      <c r="J680" s="28" t="str">
        <f>IFERROR(__xludf.DUMMYFUNCTION("iferror(if(I680="""","""",unique(query('tbl driver 2'!$K$2:$L1508,""SELECT L WHERE K = '""&amp;I680&amp;""'""))),"""")"),"")</f>
        <v/>
      </c>
      <c r="K680" s="31"/>
      <c r="L680" s="39"/>
      <c r="M680" s="39"/>
      <c r="N680" s="28" t="str">
        <f>IFERROR(__xludf.DUMMYFUNCTION("IF(OR(C680="""",M680=""""),"""",IFERROR(IF(M680="""","""",query('tbl user'!$A$2:$D1508,""SELECT A WHERE D = '""&amp;M680&amp;""'"")),""USER TIDAK DIKETAHUI""))"),"")</f>
        <v/>
      </c>
    </row>
    <row r="681">
      <c r="A681" s="23" t="str">
        <f t="shared" si="3"/>
        <v/>
      </c>
      <c r="B681" s="24" t="str">
        <f t="shared" si="4"/>
        <v/>
      </c>
      <c r="C681" s="28"/>
      <c r="D681" s="28"/>
      <c r="E681" s="34"/>
      <c r="F681" s="34"/>
      <c r="G681" s="34"/>
      <c r="H681" s="34"/>
      <c r="I681" s="34"/>
      <c r="J681" s="28" t="str">
        <f>IFERROR(__xludf.DUMMYFUNCTION("iferror(if(I681="""","""",unique(query('tbl driver 2'!$K$2:$L1508,""SELECT L WHERE K = '""&amp;I681&amp;""'""))),"""")"),"")</f>
        <v/>
      </c>
      <c r="K681" s="31"/>
      <c r="L681" s="39"/>
      <c r="M681" s="39"/>
      <c r="N681" s="28" t="str">
        <f>IFERROR(__xludf.DUMMYFUNCTION("IF(OR(C681="""",M681=""""),"""",IFERROR(IF(M681="""","""",query('tbl user'!$A$2:$D1508,""SELECT A WHERE D = '""&amp;M681&amp;""'"")),""USER TIDAK DIKETAHUI""))"),"")</f>
        <v/>
      </c>
    </row>
    <row r="682">
      <c r="A682" s="23" t="str">
        <f t="shared" si="3"/>
        <v/>
      </c>
      <c r="B682" s="24" t="str">
        <f t="shared" si="4"/>
        <v/>
      </c>
      <c r="C682" s="28"/>
      <c r="D682" s="28"/>
      <c r="E682" s="34"/>
      <c r="F682" s="34"/>
      <c r="G682" s="34"/>
      <c r="H682" s="34"/>
      <c r="I682" s="34"/>
      <c r="J682" s="28" t="str">
        <f>IFERROR(__xludf.DUMMYFUNCTION("iferror(if(I682="""","""",unique(query('tbl driver 2'!$K$2:$L1508,""SELECT L WHERE K = '""&amp;I682&amp;""'""))),"""")"),"")</f>
        <v/>
      </c>
      <c r="K682" s="31"/>
      <c r="L682" s="39"/>
      <c r="M682" s="39"/>
      <c r="N682" s="28" t="str">
        <f>IFERROR(__xludf.DUMMYFUNCTION("IF(OR(C682="""",M682=""""),"""",IFERROR(IF(M682="""","""",query('tbl user'!$A$2:$D1508,""SELECT A WHERE D = '""&amp;M682&amp;""'"")),""USER TIDAK DIKETAHUI""))"),"")</f>
        <v/>
      </c>
    </row>
    <row r="683">
      <c r="A683" s="23" t="str">
        <f t="shared" si="3"/>
        <v/>
      </c>
      <c r="B683" s="24" t="str">
        <f t="shared" si="4"/>
        <v/>
      </c>
      <c r="C683" s="28"/>
      <c r="D683" s="28"/>
      <c r="E683" s="34"/>
      <c r="F683" s="34"/>
      <c r="G683" s="34"/>
      <c r="H683" s="34"/>
      <c r="I683" s="34"/>
      <c r="J683" s="28" t="str">
        <f>IFERROR(__xludf.DUMMYFUNCTION("iferror(if(I683="""","""",unique(query('tbl driver 2'!$K$2:$L1508,""SELECT L WHERE K = '""&amp;I683&amp;""'""))),"""")"),"")</f>
        <v/>
      </c>
      <c r="K683" s="31"/>
      <c r="L683" s="39"/>
      <c r="M683" s="39"/>
      <c r="N683" s="28" t="str">
        <f>IFERROR(__xludf.DUMMYFUNCTION("IF(OR(C683="""",M683=""""),"""",IFERROR(IF(M683="""","""",query('tbl user'!$A$2:$D1508,""SELECT A WHERE D = '""&amp;M683&amp;""'"")),""USER TIDAK DIKETAHUI""))"),"")</f>
        <v/>
      </c>
    </row>
    <row r="684">
      <c r="A684" s="23" t="str">
        <f t="shared" si="3"/>
        <v/>
      </c>
      <c r="B684" s="24" t="str">
        <f t="shared" si="4"/>
        <v/>
      </c>
      <c r="C684" s="28"/>
      <c r="D684" s="28"/>
      <c r="E684" s="34"/>
      <c r="F684" s="34"/>
      <c r="G684" s="34"/>
      <c r="H684" s="34"/>
      <c r="I684" s="34"/>
      <c r="J684" s="28" t="str">
        <f>IFERROR(__xludf.DUMMYFUNCTION("iferror(if(I684="""","""",unique(query('tbl driver 2'!$K$2:$L1508,""SELECT L WHERE K = '""&amp;I684&amp;""'""))),"""")"),"")</f>
        <v/>
      </c>
      <c r="K684" s="31"/>
      <c r="L684" s="39"/>
      <c r="M684" s="39"/>
      <c r="N684" s="28" t="str">
        <f>IFERROR(__xludf.DUMMYFUNCTION("IF(OR(C684="""",M684=""""),"""",IFERROR(IF(M684="""","""",query('tbl user'!$A$2:$D1508,""SELECT A WHERE D = '""&amp;M684&amp;""'"")),""USER TIDAK DIKETAHUI""))"),"")</f>
        <v/>
      </c>
    </row>
    <row r="685">
      <c r="A685" s="23" t="str">
        <f t="shared" si="3"/>
        <v/>
      </c>
      <c r="B685" s="24" t="str">
        <f t="shared" si="4"/>
        <v/>
      </c>
      <c r="C685" s="28"/>
      <c r="D685" s="28"/>
      <c r="E685" s="34"/>
      <c r="F685" s="34"/>
      <c r="G685" s="34"/>
      <c r="H685" s="34"/>
      <c r="I685" s="34"/>
      <c r="J685" s="28" t="str">
        <f>IFERROR(__xludf.DUMMYFUNCTION("iferror(if(I685="""","""",unique(query('tbl driver 2'!$K$2:$L1508,""SELECT L WHERE K = '""&amp;I685&amp;""'""))),"""")"),"")</f>
        <v/>
      </c>
      <c r="K685" s="31"/>
      <c r="L685" s="39"/>
      <c r="M685" s="39"/>
      <c r="N685" s="28" t="str">
        <f>IFERROR(__xludf.DUMMYFUNCTION("IF(OR(C685="""",M685=""""),"""",IFERROR(IF(M685="""","""",query('tbl user'!$A$2:$D1508,""SELECT A WHERE D = '""&amp;M685&amp;""'"")),""USER TIDAK DIKETAHUI""))"),"")</f>
        <v/>
      </c>
    </row>
    <row r="686">
      <c r="A686" s="23" t="str">
        <f t="shared" si="3"/>
        <v/>
      </c>
      <c r="B686" s="24" t="str">
        <f t="shared" si="4"/>
        <v/>
      </c>
      <c r="C686" s="28"/>
      <c r="D686" s="28"/>
      <c r="E686" s="34"/>
      <c r="F686" s="34"/>
      <c r="G686" s="34"/>
      <c r="H686" s="34"/>
      <c r="I686" s="34"/>
      <c r="J686" s="28" t="str">
        <f>IFERROR(__xludf.DUMMYFUNCTION("iferror(if(I686="""","""",unique(query('tbl driver 2'!$K$2:$L1508,""SELECT L WHERE K = '""&amp;I686&amp;""'""))),"""")"),"")</f>
        <v/>
      </c>
      <c r="K686" s="31"/>
      <c r="L686" s="39"/>
      <c r="M686" s="39"/>
      <c r="N686" s="28" t="str">
        <f>IFERROR(__xludf.DUMMYFUNCTION("IF(OR(C686="""",M686=""""),"""",IFERROR(IF(M686="""","""",query('tbl user'!$A$2:$D1508,""SELECT A WHERE D = '""&amp;M686&amp;""'"")),""USER TIDAK DIKETAHUI""))"),"")</f>
        <v/>
      </c>
    </row>
    <row r="687">
      <c r="A687" s="23" t="str">
        <f t="shared" si="3"/>
        <v/>
      </c>
      <c r="B687" s="24" t="str">
        <f t="shared" si="4"/>
        <v/>
      </c>
      <c r="C687" s="28"/>
      <c r="D687" s="28"/>
      <c r="E687" s="34"/>
      <c r="F687" s="34"/>
      <c r="G687" s="34"/>
      <c r="H687" s="34"/>
      <c r="I687" s="34"/>
      <c r="J687" s="28" t="str">
        <f>IFERROR(__xludf.DUMMYFUNCTION("iferror(if(I687="""","""",unique(query('tbl driver 2'!$K$2:$L1508,""SELECT L WHERE K = '""&amp;I687&amp;""'""))),"""")"),"")</f>
        <v/>
      </c>
      <c r="K687" s="31"/>
      <c r="L687" s="39"/>
      <c r="M687" s="39"/>
      <c r="N687" s="28" t="str">
        <f>IFERROR(__xludf.DUMMYFUNCTION("IF(OR(C687="""",M687=""""),"""",IFERROR(IF(M687="""","""",query('tbl user'!$A$2:$D1508,""SELECT A WHERE D = '""&amp;M687&amp;""'"")),""USER TIDAK DIKETAHUI""))"),"")</f>
        <v/>
      </c>
    </row>
    <row r="688">
      <c r="A688" s="23" t="str">
        <f t="shared" si="3"/>
        <v/>
      </c>
      <c r="B688" s="24" t="str">
        <f t="shared" si="4"/>
        <v/>
      </c>
      <c r="C688" s="28"/>
      <c r="D688" s="28"/>
      <c r="E688" s="34"/>
      <c r="F688" s="34"/>
      <c r="G688" s="34"/>
      <c r="H688" s="34"/>
      <c r="I688" s="34"/>
      <c r="J688" s="28" t="str">
        <f>IFERROR(__xludf.DUMMYFUNCTION("iferror(if(I688="""","""",unique(query('tbl driver 2'!$K$2:$L1508,""SELECT L WHERE K = '""&amp;I688&amp;""'""))),"""")"),"")</f>
        <v/>
      </c>
      <c r="K688" s="31"/>
      <c r="L688" s="39"/>
      <c r="M688" s="39"/>
      <c r="N688" s="28" t="str">
        <f>IFERROR(__xludf.DUMMYFUNCTION("IF(OR(C688="""",M688=""""),"""",IFERROR(IF(M688="""","""",query('tbl user'!$A$2:$D1508,""SELECT A WHERE D = '""&amp;M688&amp;""'"")),""USER TIDAK DIKETAHUI""))"),"")</f>
        <v/>
      </c>
    </row>
    <row r="689">
      <c r="A689" s="23" t="str">
        <f t="shared" si="3"/>
        <v/>
      </c>
      <c r="B689" s="24" t="str">
        <f t="shared" si="4"/>
        <v/>
      </c>
      <c r="C689" s="28"/>
      <c r="D689" s="28"/>
      <c r="E689" s="34"/>
      <c r="F689" s="34"/>
      <c r="G689" s="34"/>
      <c r="H689" s="34"/>
      <c r="I689" s="34"/>
      <c r="J689" s="28" t="str">
        <f>IFERROR(__xludf.DUMMYFUNCTION("iferror(if(I689="""","""",unique(query('tbl driver 2'!$K$2:$L1508,""SELECT L WHERE K = '""&amp;I689&amp;""'""))),"""")"),"")</f>
        <v/>
      </c>
      <c r="K689" s="31"/>
      <c r="L689" s="39"/>
      <c r="M689" s="39"/>
      <c r="N689" s="28" t="str">
        <f>IFERROR(__xludf.DUMMYFUNCTION("IF(OR(C689="""",M689=""""),"""",IFERROR(IF(M689="""","""",query('tbl user'!$A$2:$D1508,""SELECT A WHERE D = '""&amp;M689&amp;""'"")),""USER TIDAK DIKETAHUI""))"),"")</f>
        <v/>
      </c>
    </row>
    <row r="690">
      <c r="A690" s="23" t="str">
        <f t="shared" si="3"/>
        <v/>
      </c>
      <c r="B690" s="24" t="str">
        <f t="shared" si="4"/>
        <v/>
      </c>
      <c r="C690" s="28"/>
      <c r="D690" s="28"/>
      <c r="E690" s="34"/>
      <c r="F690" s="34"/>
      <c r="G690" s="34"/>
      <c r="H690" s="34"/>
      <c r="I690" s="34"/>
      <c r="J690" s="28" t="str">
        <f>IFERROR(__xludf.DUMMYFUNCTION("iferror(if(I690="""","""",unique(query('tbl driver 2'!$K$2:$L1508,""SELECT L WHERE K = '""&amp;I690&amp;""'""))),"""")"),"")</f>
        <v/>
      </c>
      <c r="K690" s="31"/>
      <c r="L690" s="39"/>
      <c r="M690" s="39"/>
      <c r="N690" s="28" t="str">
        <f>IFERROR(__xludf.DUMMYFUNCTION("IF(OR(C690="""",M690=""""),"""",IFERROR(IF(M690="""","""",query('tbl user'!$A$2:$D1508,""SELECT A WHERE D = '""&amp;M690&amp;""'"")),""USER TIDAK DIKETAHUI""))"),"")</f>
        <v/>
      </c>
    </row>
    <row r="691">
      <c r="A691" s="23" t="str">
        <f t="shared" si="3"/>
        <v/>
      </c>
      <c r="B691" s="24" t="str">
        <f t="shared" si="4"/>
        <v/>
      </c>
      <c r="C691" s="28"/>
      <c r="D691" s="28"/>
      <c r="E691" s="34"/>
      <c r="F691" s="34"/>
      <c r="G691" s="34"/>
      <c r="H691" s="34"/>
      <c r="I691" s="34"/>
      <c r="J691" s="28" t="str">
        <f>IFERROR(__xludf.DUMMYFUNCTION("iferror(if(I691="""","""",unique(query('tbl driver 2'!$K$2:$L1508,""SELECT L WHERE K = '""&amp;I691&amp;""'""))),"""")"),"")</f>
        <v/>
      </c>
      <c r="K691" s="31"/>
      <c r="L691" s="39"/>
      <c r="M691" s="39"/>
      <c r="N691" s="28" t="str">
        <f>IFERROR(__xludf.DUMMYFUNCTION("IF(OR(C691="""",M691=""""),"""",IFERROR(IF(M691="""","""",query('tbl user'!$A$2:$D1508,""SELECT A WHERE D = '""&amp;M691&amp;""'"")),""USER TIDAK DIKETAHUI""))"),"")</f>
        <v/>
      </c>
    </row>
    <row r="692">
      <c r="A692" s="23" t="str">
        <f t="shared" si="3"/>
        <v/>
      </c>
      <c r="B692" s="24" t="str">
        <f t="shared" si="4"/>
        <v/>
      </c>
      <c r="C692" s="28"/>
      <c r="D692" s="28"/>
      <c r="E692" s="34"/>
      <c r="F692" s="34"/>
      <c r="G692" s="34"/>
      <c r="H692" s="34"/>
      <c r="I692" s="34"/>
      <c r="J692" s="28" t="str">
        <f>IFERROR(__xludf.DUMMYFUNCTION("iferror(if(I692="""","""",unique(query('tbl driver 2'!$K$2:$L1508,""SELECT L WHERE K = '""&amp;I692&amp;""'""))),"""")"),"")</f>
        <v/>
      </c>
      <c r="K692" s="31"/>
      <c r="L692" s="39"/>
      <c r="M692" s="39"/>
      <c r="N692" s="28" t="str">
        <f>IFERROR(__xludf.DUMMYFUNCTION("IF(OR(C692="""",M692=""""),"""",IFERROR(IF(M692="""","""",query('tbl user'!$A$2:$D1508,""SELECT A WHERE D = '""&amp;M692&amp;""'"")),""USER TIDAK DIKETAHUI""))"),"")</f>
        <v/>
      </c>
    </row>
    <row r="693">
      <c r="A693" s="23" t="str">
        <f t="shared" si="3"/>
        <v/>
      </c>
      <c r="B693" s="24" t="str">
        <f t="shared" si="4"/>
        <v/>
      </c>
      <c r="C693" s="28"/>
      <c r="D693" s="28"/>
      <c r="E693" s="34"/>
      <c r="F693" s="34"/>
      <c r="G693" s="34"/>
      <c r="H693" s="34"/>
      <c r="I693" s="34"/>
      <c r="J693" s="28" t="str">
        <f>IFERROR(__xludf.DUMMYFUNCTION("iferror(if(I693="""","""",unique(query('tbl driver 2'!$K$2:$L1508,""SELECT L WHERE K = '""&amp;I693&amp;""'""))),"""")"),"")</f>
        <v/>
      </c>
      <c r="K693" s="31"/>
      <c r="L693" s="39"/>
      <c r="M693" s="39"/>
      <c r="N693" s="28" t="str">
        <f>IFERROR(__xludf.DUMMYFUNCTION("IF(OR(C693="""",M693=""""),"""",IFERROR(IF(M693="""","""",query('tbl user'!$A$2:$D1508,""SELECT A WHERE D = '""&amp;M693&amp;""'"")),""USER TIDAK DIKETAHUI""))"),"")</f>
        <v/>
      </c>
    </row>
    <row r="694">
      <c r="A694" s="23" t="str">
        <f t="shared" si="3"/>
        <v/>
      </c>
      <c r="B694" s="24" t="str">
        <f t="shared" si="4"/>
        <v/>
      </c>
      <c r="C694" s="28"/>
      <c r="D694" s="28"/>
      <c r="E694" s="34"/>
      <c r="F694" s="34"/>
      <c r="G694" s="34"/>
      <c r="H694" s="34"/>
      <c r="I694" s="34"/>
      <c r="J694" s="28" t="str">
        <f>IFERROR(__xludf.DUMMYFUNCTION("iferror(if(I694="""","""",unique(query('tbl driver 2'!$K$2:$L1508,""SELECT L WHERE K = '""&amp;I694&amp;""'""))),"""")"),"")</f>
        <v/>
      </c>
      <c r="K694" s="31"/>
      <c r="L694" s="39"/>
      <c r="M694" s="39"/>
      <c r="N694" s="28" t="str">
        <f>IFERROR(__xludf.DUMMYFUNCTION("IF(OR(C694="""",M694=""""),"""",IFERROR(IF(M694="""","""",query('tbl user'!$A$2:$D1508,""SELECT A WHERE D = '""&amp;M694&amp;""'"")),""USER TIDAK DIKETAHUI""))"),"")</f>
        <v/>
      </c>
    </row>
    <row r="695">
      <c r="A695" s="23" t="str">
        <f t="shared" si="3"/>
        <v/>
      </c>
      <c r="B695" s="24" t="str">
        <f t="shared" si="4"/>
        <v/>
      </c>
      <c r="C695" s="28"/>
      <c r="D695" s="28"/>
      <c r="E695" s="34"/>
      <c r="F695" s="34"/>
      <c r="G695" s="34"/>
      <c r="H695" s="34"/>
      <c r="I695" s="34"/>
      <c r="J695" s="28" t="str">
        <f>IFERROR(__xludf.DUMMYFUNCTION("iferror(if(I695="""","""",unique(query('tbl driver 2'!$K$2:$L1508,""SELECT L WHERE K = '""&amp;I695&amp;""'""))),"""")"),"")</f>
        <v/>
      </c>
      <c r="K695" s="31"/>
      <c r="L695" s="39"/>
      <c r="M695" s="39"/>
      <c r="N695" s="28" t="str">
        <f>IFERROR(__xludf.DUMMYFUNCTION("IF(OR(C695="""",M695=""""),"""",IFERROR(IF(M695="""","""",query('tbl user'!$A$2:$D1508,""SELECT A WHERE D = '""&amp;M695&amp;""'"")),""USER TIDAK DIKETAHUI""))"),"")</f>
        <v/>
      </c>
    </row>
    <row r="696">
      <c r="A696" s="23" t="str">
        <f t="shared" si="3"/>
        <v/>
      </c>
      <c r="B696" s="24" t="str">
        <f t="shared" si="4"/>
        <v/>
      </c>
      <c r="C696" s="28"/>
      <c r="D696" s="28"/>
      <c r="E696" s="34"/>
      <c r="F696" s="34"/>
      <c r="G696" s="34"/>
      <c r="H696" s="34"/>
      <c r="I696" s="34"/>
      <c r="J696" s="28" t="str">
        <f>IFERROR(__xludf.DUMMYFUNCTION("iferror(if(I696="""","""",unique(query('tbl driver 2'!$K$2:$L1508,""SELECT L WHERE K = '""&amp;I696&amp;""'""))),"""")"),"")</f>
        <v/>
      </c>
      <c r="K696" s="31"/>
      <c r="L696" s="39"/>
      <c r="M696" s="39"/>
      <c r="N696" s="28" t="str">
        <f>IFERROR(__xludf.DUMMYFUNCTION("IF(OR(C696="""",M696=""""),"""",IFERROR(IF(M696="""","""",query('tbl user'!$A$2:$D1508,""SELECT A WHERE D = '""&amp;M696&amp;""'"")),""USER TIDAK DIKETAHUI""))"),"")</f>
        <v/>
      </c>
    </row>
    <row r="697">
      <c r="A697" s="23" t="str">
        <f t="shared" si="3"/>
        <v/>
      </c>
      <c r="B697" s="24" t="str">
        <f t="shared" si="4"/>
        <v/>
      </c>
      <c r="C697" s="28"/>
      <c r="D697" s="28"/>
      <c r="E697" s="34"/>
      <c r="F697" s="34"/>
      <c r="G697" s="34"/>
      <c r="H697" s="34"/>
      <c r="I697" s="34"/>
      <c r="J697" s="28" t="str">
        <f>IFERROR(__xludf.DUMMYFUNCTION("iferror(if(I697="""","""",unique(query('tbl driver 2'!$K$2:$L1508,""SELECT L WHERE K = '""&amp;I697&amp;""'""))),"""")"),"")</f>
        <v/>
      </c>
      <c r="K697" s="31"/>
      <c r="L697" s="39"/>
      <c r="M697" s="39"/>
      <c r="N697" s="28" t="str">
        <f>IFERROR(__xludf.DUMMYFUNCTION("IF(OR(C697="""",M697=""""),"""",IFERROR(IF(M697="""","""",query('tbl user'!$A$2:$D1508,""SELECT A WHERE D = '""&amp;M697&amp;""'"")),""USER TIDAK DIKETAHUI""))"),"")</f>
        <v/>
      </c>
    </row>
    <row r="698">
      <c r="A698" s="23" t="str">
        <f t="shared" si="3"/>
        <v/>
      </c>
      <c r="B698" s="24" t="str">
        <f t="shared" si="4"/>
        <v/>
      </c>
      <c r="C698" s="28"/>
      <c r="D698" s="28"/>
      <c r="E698" s="34"/>
      <c r="F698" s="34"/>
      <c r="G698" s="34"/>
      <c r="H698" s="34"/>
      <c r="I698" s="34"/>
      <c r="J698" s="28" t="str">
        <f>IFERROR(__xludf.DUMMYFUNCTION("iferror(if(I698="""","""",unique(query('tbl driver 2'!$K$2:$L1508,""SELECT L WHERE K = '""&amp;I698&amp;""'""))),"""")"),"")</f>
        <v/>
      </c>
      <c r="K698" s="31"/>
      <c r="L698" s="39"/>
      <c r="M698" s="39"/>
      <c r="N698" s="28" t="str">
        <f>IFERROR(__xludf.DUMMYFUNCTION("IF(OR(C698="""",M698=""""),"""",IFERROR(IF(M698="""","""",query('tbl user'!$A$2:$D1508,""SELECT A WHERE D = '""&amp;M698&amp;""'"")),""USER TIDAK DIKETAHUI""))"),"")</f>
        <v/>
      </c>
    </row>
    <row r="699">
      <c r="A699" s="23" t="str">
        <f t="shared" si="3"/>
        <v/>
      </c>
      <c r="B699" s="24" t="str">
        <f t="shared" si="4"/>
        <v/>
      </c>
      <c r="C699" s="28"/>
      <c r="D699" s="28"/>
      <c r="E699" s="34"/>
      <c r="F699" s="34"/>
      <c r="G699" s="34"/>
      <c r="H699" s="34"/>
      <c r="I699" s="34"/>
      <c r="J699" s="28" t="str">
        <f>IFERROR(__xludf.DUMMYFUNCTION("iferror(if(I699="""","""",unique(query('tbl driver 2'!$K$2:$L1508,""SELECT L WHERE K = '""&amp;I699&amp;""'""))),"""")"),"")</f>
        <v/>
      </c>
      <c r="K699" s="31"/>
      <c r="L699" s="39"/>
      <c r="M699" s="39"/>
      <c r="N699" s="28" t="str">
        <f>IFERROR(__xludf.DUMMYFUNCTION("IF(OR(C699="""",M699=""""),"""",IFERROR(IF(M699="""","""",query('tbl user'!$A$2:$D1508,""SELECT A WHERE D = '""&amp;M699&amp;""'"")),""USER TIDAK DIKETAHUI""))"),"")</f>
        <v/>
      </c>
    </row>
    <row r="700">
      <c r="A700" s="23" t="str">
        <f t="shared" si="3"/>
        <v/>
      </c>
      <c r="B700" s="24" t="str">
        <f t="shared" si="4"/>
        <v/>
      </c>
      <c r="C700" s="28"/>
      <c r="D700" s="28"/>
      <c r="E700" s="34"/>
      <c r="F700" s="34"/>
      <c r="G700" s="34"/>
      <c r="H700" s="34"/>
      <c r="I700" s="34"/>
      <c r="J700" s="28" t="str">
        <f>IFERROR(__xludf.DUMMYFUNCTION("iferror(if(I700="""","""",unique(query('tbl driver 2'!$K$2:$L1508,""SELECT L WHERE K = '""&amp;I700&amp;""'""))),"""")"),"")</f>
        <v/>
      </c>
      <c r="K700" s="31"/>
      <c r="L700" s="39"/>
      <c r="M700" s="39"/>
      <c r="N700" s="28" t="str">
        <f>IFERROR(__xludf.DUMMYFUNCTION("IF(OR(C700="""",M700=""""),"""",IFERROR(IF(M700="""","""",query('tbl user'!$A$2:$D1508,""SELECT A WHERE D = '""&amp;M700&amp;""'"")),""USER TIDAK DIKETAHUI""))"),"")</f>
        <v/>
      </c>
    </row>
    <row r="701">
      <c r="A701" s="23" t="str">
        <f t="shared" si="3"/>
        <v/>
      </c>
      <c r="B701" s="24" t="str">
        <f t="shared" si="4"/>
        <v/>
      </c>
      <c r="C701" s="28"/>
      <c r="D701" s="28"/>
      <c r="E701" s="34"/>
      <c r="F701" s="34"/>
      <c r="G701" s="34"/>
      <c r="H701" s="34"/>
      <c r="I701" s="34"/>
      <c r="J701" s="28" t="str">
        <f>IFERROR(__xludf.DUMMYFUNCTION("iferror(if(I701="""","""",unique(query('tbl driver 2'!$K$2:$L1508,""SELECT L WHERE K = '""&amp;I701&amp;""'""))),"""")"),"")</f>
        <v/>
      </c>
      <c r="K701" s="31"/>
      <c r="L701" s="39"/>
      <c r="M701" s="39"/>
      <c r="N701" s="28" t="str">
        <f>IFERROR(__xludf.DUMMYFUNCTION("IF(OR(C701="""",M701=""""),"""",IFERROR(IF(M701="""","""",query('tbl user'!$A$2:$D1508,""SELECT A WHERE D = '""&amp;M701&amp;""'"")),""USER TIDAK DIKETAHUI""))"),"")</f>
        <v/>
      </c>
    </row>
    <row r="702">
      <c r="A702" s="23" t="str">
        <f t="shared" si="3"/>
        <v/>
      </c>
      <c r="B702" s="24" t="str">
        <f t="shared" si="4"/>
        <v/>
      </c>
      <c r="C702" s="28"/>
      <c r="D702" s="28"/>
      <c r="E702" s="34"/>
      <c r="F702" s="34"/>
      <c r="G702" s="34"/>
      <c r="H702" s="34"/>
      <c r="I702" s="34"/>
      <c r="J702" s="28" t="str">
        <f>IFERROR(__xludf.DUMMYFUNCTION("iferror(if(I702="""","""",unique(query('tbl driver 2'!$K$2:$L1508,""SELECT L WHERE K = '""&amp;I702&amp;""'""))),"""")"),"")</f>
        <v/>
      </c>
      <c r="K702" s="31"/>
      <c r="L702" s="39"/>
      <c r="M702" s="39"/>
      <c r="N702" s="28" t="str">
        <f>IFERROR(__xludf.DUMMYFUNCTION("IF(OR(C702="""",M702=""""),"""",IFERROR(IF(M702="""","""",query('tbl user'!$A$2:$D1508,""SELECT A WHERE D = '""&amp;M702&amp;""'"")),""USER TIDAK DIKETAHUI""))"),"")</f>
        <v/>
      </c>
    </row>
    <row r="703">
      <c r="A703" s="23" t="str">
        <f t="shared" si="3"/>
        <v/>
      </c>
      <c r="B703" s="24" t="str">
        <f t="shared" si="4"/>
        <v/>
      </c>
      <c r="C703" s="28"/>
      <c r="D703" s="28"/>
      <c r="E703" s="34"/>
      <c r="F703" s="34"/>
      <c r="G703" s="34"/>
      <c r="H703" s="34"/>
      <c r="I703" s="34"/>
      <c r="J703" s="28" t="str">
        <f>IFERROR(__xludf.DUMMYFUNCTION("iferror(if(I703="""","""",unique(query('tbl driver 2'!$K$2:$L1508,""SELECT L WHERE K = '""&amp;I703&amp;""'""))),"""")"),"")</f>
        <v/>
      </c>
      <c r="K703" s="31"/>
      <c r="L703" s="39"/>
      <c r="M703" s="39"/>
      <c r="N703" s="28" t="str">
        <f>IFERROR(__xludf.DUMMYFUNCTION("IF(OR(C703="""",M703=""""),"""",IFERROR(IF(M703="""","""",query('tbl user'!$A$2:$D1508,""SELECT A WHERE D = '""&amp;M703&amp;""'"")),""USER TIDAK DIKETAHUI""))"),"")</f>
        <v/>
      </c>
    </row>
    <row r="704">
      <c r="A704" s="23" t="str">
        <f t="shared" si="3"/>
        <v/>
      </c>
      <c r="B704" s="24" t="str">
        <f t="shared" si="4"/>
        <v/>
      </c>
      <c r="C704" s="28"/>
      <c r="D704" s="28"/>
      <c r="E704" s="34"/>
      <c r="F704" s="34"/>
      <c r="G704" s="34"/>
      <c r="H704" s="34"/>
      <c r="I704" s="34"/>
      <c r="J704" s="28" t="str">
        <f>IFERROR(__xludf.DUMMYFUNCTION("iferror(if(I704="""","""",unique(query('tbl driver 2'!$K$2:$L1508,""SELECT L WHERE K = '""&amp;I704&amp;""'""))),"""")"),"")</f>
        <v/>
      </c>
      <c r="K704" s="31"/>
      <c r="L704" s="39"/>
      <c r="M704" s="39"/>
      <c r="N704" s="28" t="str">
        <f>IFERROR(__xludf.DUMMYFUNCTION("IF(OR(C704="""",M704=""""),"""",IFERROR(IF(M704="""","""",query('tbl user'!$A$2:$D1508,""SELECT A WHERE D = '""&amp;M704&amp;""'"")),""USER TIDAK DIKETAHUI""))"),"")</f>
        <v/>
      </c>
    </row>
    <row r="705">
      <c r="A705" s="23" t="str">
        <f t="shared" si="3"/>
        <v/>
      </c>
      <c r="B705" s="24" t="str">
        <f t="shared" si="4"/>
        <v/>
      </c>
      <c r="C705" s="28"/>
      <c r="D705" s="28"/>
      <c r="E705" s="34"/>
      <c r="F705" s="34"/>
      <c r="G705" s="34"/>
      <c r="H705" s="34"/>
      <c r="I705" s="34"/>
      <c r="J705" s="28" t="str">
        <f>IFERROR(__xludf.DUMMYFUNCTION("iferror(if(I705="""","""",unique(query('tbl driver 2'!$K$2:$L1508,""SELECT L WHERE K = '""&amp;I705&amp;""'""))),"""")"),"")</f>
        <v/>
      </c>
      <c r="K705" s="31"/>
      <c r="L705" s="39"/>
      <c r="M705" s="39"/>
      <c r="N705" s="28" t="str">
        <f>IFERROR(__xludf.DUMMYFUNCTION("IF(OR(C705="""",M705=""""),"""",IFERROR(IF(M705="""","""",query('tbl user'!$A$2:$D1508,""SELECT A WHERE D = '""&amp;M705&amp;""'"")),""USER TIDAK DIKETAHUI""))"),"")</f>
        <v/>
      </c>
    </row>
    <row r="706">
      <c r="A706" s="23" t="str">
        <f t="shared" si="3"/>
        <v/>
      </c>
      <c r="B706" s="24" t="str">
        <f t="shared" si="4"/>
        <v/>
      </c>
      <c r="C706" s="28"/>
      <c r="D706" s="28"/>
      <c r="E706" s="34"/>
      <c r="F706" s="34"/>
      <c r="G706" s="34"/>
      <c r="H706" s="34"/>
      <c r="I706" s="34"/>
      <c r="J706" s="28" t="str">
        <f>IFERROR(__xludf.DUMMYFUNCTION("iferror(if(I706="""","""",unique(query('tbl driver 2'!$K$2:$L1508,""SELECT L WHERE K = '""&amp;I706&amp;""'""))),"""")"),"")</f>
        <v/>
      </c>
      <c r="K706" s="31"/>
      <c r="L706" s="39"/>
      <c r="M706" s="39"/>
      <c r="N706" s="28" t="str">
        <f>IFERROR(__xludf.DUMMYFUNCTION("IF(OR(C706="""",M706=""""),"""",IFERROR(IF(M706="""","""",query('tbl user'!$A$2:$D1508,""SELECT A WHERE D = '""&amp;M706&amp;""'"")),""USER TIDAK DIKETAHUI""))"),"")</f>
        <v/>
      </c>
    </row>
    <row r="707">
      <c r="A707" s="23" t="str">
        <f t="shared" si="3"/>
        <v/>
      </c>
      <c r="B707" s="24" t="str">
        <f t="shared" si="4"/>
        <v/>
      </c>
      <c r="C707" s="28"/>
      <c r="D707" s="28"/>
      <c r="E707" s="34"/>
      <c r="F707" s="34"/>
      <c r="G707" s="34"/>
      <c r="H707" s="34"/>
      <c r="I707" s="34"/>
      <c r="J707" s="28" t="str">
        <f>IFERROR(__xludf.DUMMYFUNCTION("iferror(if(I707="""","""",unique(query('tbl driver 2'!$K$2:$L1508,""SELECT L WHERE K = '""&amp;I707&amp;""'""))),"""")"),"")</f>
        <v/>
      </c>
      <c r="K707" s="31"/>
      <c r="L707" s="39"/>
      <c r="M707" s="39"/>
      <c r="N707" s="28" t="str">
        <f>IFERROR(__xludf.DUMMYFUNCTION("IF(OR(C707="""",M707=""""),"""",IFERROR(IF(M707="""","""",query('tbl user'!$A$2:$D1508,""SELECT A WHERE D = '""&amp;M707&amp;""'"")),""USER TIDAK DIKETAHUI""))"),"")</f>
        <v/>
      </c>
    </row>
    <row r="708">
      <c r="A708" s="23" t="str">
        <f t="shared" si="3"/>
        <v/>
      </c>
      <c r="B708" s="24" t="str">
        <f t="shared" si="4"/>
        <v/>
      </c>
      <c r="C708" s="28"/>
      <c r="D708" s="28"/>
      <c r="E708" s="34"/>
      <c r="F708" s="34"/>
      <c r="G708" s="34"/>
      <c r="H708" s="34"/>
      <c r="I708" s="34"/>
      <c r="J708" s="28" t="str">
        <f>IFERROR(__xludf.DUMMYFUNCTION("iferror(if(I708="""","""",unique(query('tbl driver 2'!$K$2:$L1508,""SELECT L WHERE K = '""&amp;I708&amp;""'""))),"""")"),"")</f>
        <v/>
      </c>
      <c r="K708" s="31"/>
      <c r="L708" s="39"/>
      <c r="M708" s="39"/>
      <c r="N708" s="28" t="str">
        <f>IFERROR(__xludf.DUMMYFUNCTION("IF(OR(C708="""",M708=""""),"""",IFERROR(IF(M708="""","""",query('tbl user'!$A$2:$D1508,""SELECT A WHERE D = '""&amp;M708&amp;""'"")),""USER TIDAK DIKETAHUI""))"),"")</f>
        <v/>
      </c>
    </row>
    <row r="709">
      <c r="A709" s="23" t="str">
        <f t="shared" si="3"/>
        <v/>
      </c>
      <c r="B709" s="24" t="str">
        <f t="shared" si="4"/>
        <v/>
      </c>
      <c r="C709" s="28"/>
      <c r="D709" s="28"/>
      <c r="E709" s="34"/>
      <c r="F709" s="34"/>
      <c r="G709" s="34"/>
      <c r="H709" s="34"/>
      <c r="I709" s="34"/>
      <c r="J709" s="28" t="str">
        <f>IFERROR(__xludf.DUMMYFUNCTION("iferror(if(I709="""","""",unique(query('tbl driver 2'!$K$2:$L1508,""SELECT L WHERE K = '""&amp;I709&amp;""'""))),"""")"),"")</f>
        <v/>
      </c>
      <c r="K709" s="31"/>
      <c r="L709" s="39"/>
      <c r="M709" s="39"/>
      <c r="N709" s="28" t="str">
        <f>IFERROR(__xludf.DUMMYFUNCTION("IF(OR(C709="""",M709=""""),"""",IFERROR(IF(M709="""","""",query('tbl user'!$A$2:$D1508,""SELECT A WHERE D = '""&amp;M709&amp;""'"")),""USER TIDAK DIKETAHUI""))"),"")</f>
        <v/>
      </c>
    </row>
    <row r="710">
      <c r="A710" s="23" t="str">
        <f t="shared" si="3"/>
        <v/>
      </c>
      <c r="B710" s="24" t="str">
        <f t="shared" si="4"/>
        <v/>
      </c>
      <c r="C710" s="28"/>
      <c r="D710" s="28"/>
      <c r="E710" s="34"/>
      <c r="F710" s="34"/>
      <c r="G710" s="34"/>
      <c r="H710" s="34"/>
      <c r="I710" s="34"/>
      <c r="J710" s="28" t="str">
        <f>IFERROR(__xludf.DUMMYFUNCTION("iferror(if(I710="""","""",unique(query('tbl driver 2'!$K$2:$L1508,""SELECT L WHERE K = '""&amp;I710&amp;""'""))),"""")"),"")</f>
        <v/>
      </c>
      <c r="K710" s="31"/>
      <c r="L710" s="39"/>
      <c r="M710" s="39"/>
      <c r="N710" s="28" t="str">
        <f>IFERROR(__xludf.DUMMYFUNCTION("IF(OR(C710="""",M710=""""),"""",IFERROR(IF(M710="""","""",query('tbl user'!$A$2:$D1508,""SELECT A WHERE D = '""&amp;M710&amp;""'"")),""USER TIDAK DIKETAHUI""))"),"")</f>
        <v/>
      </c>
    </row>
    <row r="711">
      <c r="A711" s="23" t="str">
        <f t="shared" si="3"/>
        <v/>
      </c>
      <c r="B711" s="24" t="str">
        <f t="shared" si="4"/>
        <v/>
      </c>
      <c r="C711" s="28"/>
      <c r="D711" s="28"/>
      <c r="E711" s="34"/>
      <c r="F711" s="34"/>
      <c r="G711" s="34"/>
      <c r="H711" s="34"/>
      <c r="I711" s="34"/>
      <c r="J711" s="28" t="str">
        <f>IFERROR(__xludf.DUMMYFUNCTION("iferror(if(I711="""","""",unique(query('tbl driver 2'!$K$2:$L1508,""SELECT L WHERE K = '""&amp;I711&amp;""'""))),"""")"),"")</f>
        <v/>
      </c>
      <c r="K711" s="31"/>
      <c r="L711" s="39"/>
      <c r="M711" s="39"/>
      <c r="N711" s="28" t="str">
        <f>IFERROR(__xludf.DUMMYFUNCTION("IF(OR(C711="""",M711=""""),"""",IFERROR(IF(M711="""","""",query('tbl user'!$A$2:$D1508,""SELECT A WHERE D = '""&amp;M711&amp;""'"")),""USER TIDAK DIKETAHUI""))"),"")</f>
        <v/>
      </c>
    </row>
    <row r="712">
      <c r="A712" s="23" t="str">
        <f t="shared" si="3"/>
        <v/>
      </c>
      <c r="B712" s="24" t="str">
        <f t="shared" si="4"/>
        <v/>
      </c>
      <c r="C712" s="28"/>
      <c r="D712" s="28"/>
      <c r="E712" s="34"/>
      <c r="F712" s="34"/>
      <c r="G712" s="34"/>
      <c r="H712" s="34"/>
      <c r="I712" s="34"/>
      <c r="J712" s="28" t="str">
        <f>IFERROR(__xludf.DUMMYFUNCTION("iferror(if(I712="""","""",unique(query('tbl driver 2'!$K$2:$L1508,""SELECT L WHERE K = '""&amp;I712&amp;""'""))),"""")"),"")</f>
        <v/>
      </c>
      <c r="K712" s="31"/>
      <c r="L712" s="39"/>
      <c r="M712" s="39"/>
      <c r="N712" s="28" t="str">
        <f>IFERROR(__xludf.DUMMYFUNCTION("IF(OR(C712="""",M712=""""),"""",IFERROR(IF(M712="""","""",query('tbl user'!$A$2:$D1508,""SELECT A WHERE D = '""&amp;M712&amp;""'"")),""USER TIDAK DIKETAHUI""))"),"")</f>
        <v/>
      </c>
    </row>
    <row r="713">
      <c r="A713" s="23" t="str">
        <f t="shared" si="3"/>
        <v/>
      </c>
      <c r="B713" s="24" t="str">
        <f t="shared" si="4"/>
        <v/>
      </c>
      <c r="C713" s="28"/>
      <c r="D713" s="28"/>
      <c r="E713" s="34"/>
      <c r="F713" s="34"/>
      <c r="G713" s="34"/>
      <c r="H713" s="34"/>
      <c r="I713" s="34"/>
      <c r="J713" s="28" t="str">
        <f>IFERROR(__xludf.DUMMYFUNCTION("iferror(if(I713="""","""",unique(query('tbl driver 2'!$K$2:$L1508,""SELECT L WHERE K = '""&amp;I713&amp;""'""))),"""")"),"")</f>
        <v/>
      </c>
      <c r="K713" s="31"/>
      <c r="L713" s="39"/>
      <c r="M713" s="39"/>
      <c r="N713" s="28" t="str">
        <f>IFERROR(__xludf.DUMMYFUNCTION("IF(OR(C713="""",M713=""""),"""",IFERROR(IF(M713="""","""",query('tbl user'!$A$2:$D1508,""SELECT A WHERE D = '""&amp;M713&amp;""'"")),""USER TIDAK DIKETAHUI""))"),"")</f>
        <v/>
      </c>
    </row>
    <row r="714">
      <c r="A714" s="23" t="str">
        <f t="shared" si="3"/>
        <v/>
      </c>
      <c r="B714" s="24" t="str">
        <f t="shared" si="4"/>
        <v/>
      </c>
      <c r="C714" s="28"/>
      <c r="D714" s="28"/>
      <c r="E714" s="34"/>
      <c r="F714" s="34"/>
      <c r="G714" s="34"/>
      <c r="H714" s="34"/>
      <c r="I714" s="34"/>
      <c r="J714" s="28" t="str">
        <f>IFERROR(__xludf.DUMMYFUNCTION("iferror(if(I714="""","""",unique(query('tbl driver 2'!$K$2:$L1508,""SELECT L WHERE K = '""&amp;I714&amp;""'""))),"""")"),"")</f>
        <v/>
      </c>
      <c r="K714" s="31"/>
      <c r="L714" s="39"/>
      <c r="M714" s="39"/>
      <c r="N714" s="28" t="str">
        <f>IFERROR(__xludf.DUMMYFUNCTION("IF(OR(C714="""",M714=""""),"""",IFERROR(IF(M714="""","""",query('tbl user'!$A$2:$D1508,""SELECT A WHERE D = '""&amp;M714&amp;""'"")),""USER TIDAK DIKETAHUI""))"),"")</f>
        <v/>
      </c>
    </row>
    <row r="715">
      <c r="A715" s="23" t="str">
        <f t="shared" si="3"/>
        <v/>
      </c>
      <c r="B715" s="24" t="str">
        <f t="shared" si="4"/>
        <v/>
      </c>
      <c r="C715" s="28"/>
      <c r="D715" s="28"/>
      <c r="E715" s="34"/>
      <c r="F715" s="34"/>
      <c r="G715" s="34"/>
      <c r="H715" s="34"/>
      <c r="I715" s="34"/>
      <c r="J715" s="28" t="str">
        <f>IFERROR(__xludf.DUMMYFUNCTION("iferror(if(I715="""","""",unique(query('tbl driver 2'!$K$2:$L1508,""SELECT L WHERE K = '""&amp;I715&amp;""'""))),"""")"),"")</f>
        <v/>
      </c>
      <c r="K715" s="31"/>
      <c r="L715" s="39"/>
      <c r="M715" s="39"/>
      <c r="N715" s="28" t="str">
        <f>IFERROR(__xludf.DUMMYFUNCTION("IF(OR(C715="""",M715=""""),"""",IFERROR(IF(M715="""","""",query('tbl user'!$A$2:$D1508,""SELECT A WHERE D = '""&amp;M715&amp;""'"")),""USER TIDAK DIKETAHUI""))"),"")</f>
        <v/>
      </c>
    </row>
    <row r="716">
      <c r="A716" s="23" t="str">
        <f t="shared" si="3"/>
        <v/>
      </c>
      <c r="B716" s="24" t="str">
        <f t="shared" si="4"/>
        <v/>
      </c>
      <c r="C716" s="28"/>
      <c r="D716" s="28"/>
      <c r="E716" s="34"/>
      <c r="F716" s="34"/>
      <c r="G716" s="34"/>
      <c r="H716" s="34"/>
      <c r="I716" s="34"/>
      <c r="J716" s="28" t="str">
        <f>IFERROR(__xludf.DUMMYFUNCTION("iferror(if(I716="""","""",unique(query('tbl driver 2'!$K$2:$L1508,""SELECT L WHERE K = '""&amp;I716&amp;""'""))),"""")"),"")</f>
        <v/>
      </c>
      <c r="K716" s="31"/>
      <c r="L716" s="39"/>
      <c r="M716" s="39"/>
      <c r="N716" s="28" t="str">
        <f>IFERROR(__xludf.DUMMYFUNCTION("IF(OR(C716="""",M716=""""),"""",IFERROR(IF(M716="""","""",query('tbl user'!$A$2:$D1508,""SELECT A WHERE D = '""&amp;M716&amp;""'"")),""USER TIDAK DIKETAHUI""))"),"")</f>
        <v/>
      </c>
    </row>
    <row r="717">
      <c r="A717" s="23" t="str">
        <f t="shared" si="3"/>
        <v/>
      </c>
      <c r="B717" s="24" t="str">
        <f t="shared" si="4"/>
        <v/>
      </c>
      <c r="C717" s="28"/>
      <c r="D717" s="28"/>
      <c r="E717" s="34"/>
      <c r="F717" s="34"/>
      <c r="G717" s="34"/>
      <c r="H717" s="34"/>
      <c r="I717" s="34"/>
      <c r="J717" s="28" t="str">
        <f>IFERROR(__xludf.DUMMYFUNCTION("iferror(if(I717="""","""",unique(query('tbl driver 2'!$K$2:$L1508,""SELECT L WHERE K = '""&amp;I717&amp;""'""))),"""")"),"")</f>
        <v/>
      </c>
      <c r="K717" s="31"/>
      <c r="L717" s="39"/>
      <c r="M717" s="39"/>
      <c r="N717" s="28" t="str">
        <f>IFERROR(__xludf.DUMMYFUNCTION("IF(OR(C717="""",M717=""""),"""",IFERROR(IF(M717="""","""",query('tbl user'!$A$2:$D1508,""SELECT A WHERE D = '""&amp;M717&amp;""'"")),""USER TIDAK DIKETAHUI""))"),"")</f>
        <v/>
      </c>
    </row>
    <row r="718">
      <c r="A718" s="23" t="str">
        <f t="shared" si="3"/>
        <v/>
      </c>
      <c r="B718" s="24" t="str">
        <f t="shared" si="4"/>
        <v/>
      </c>
      <c r="C718" s="28"/>
      <c r="D718" s="28"/>
      <c r="E718" s="34"/>
      <c r="F718" s="34"/>
      <c r="G718" s="34"/>
      <c r="H718" s="34"/>
      <c r="I718" s="34"/>
      <c r="J718" s="28" t="str">
        <f>IFERROR(__xludf.DUMMYFUNCTION("iferror(if(I718="""","""",unique(query('tbl driver 2'!$K$2:$L1508,""SELECT L WHERE K = '""&amp;I718&amp;""'""))),"""")"),"")</f>
        <v/>
      </c>
      <c r="K718" s="31"/>
      <c r="L718" s="39"/>
      <c r="M718" s="39"/>
      <c r="N718" s="28" t="str">
        <f>IFERROR(__xludf.DUMMYFUNCTION("IF(OR(C718="""",M718=""""),"""",IFERROR(IF(M718="""","""",query('tbl user'!$A$2:$D1508,""SELECT A WHERE D = '""&amp;M718&amp;""'"")),""USER TIDAK DIKETAHUI""))"),"")</f>
        <v/>
      </c>
    </row>
    <row r="719">
      <c r="A719" s="23" t="str">
        <f t="shared" si="3"/>
        <v/>
      </c>
      <c r="B719" s="24" t="str">
        <f t="shared" si="4"/>
        <v/>
      </c>
      <c r="C719" s="28"/>
      <c r="D719" s="28"/>
      <c r="E719" s="34"/>
      <c r="F719" s="34"/>
      <c r="G719" s="34"/>
      <c r="H719" s="34"/>
      <c r="I719" s="34"/>
      <c r="J719" s="28" t="str">
        <f>IFERROR(__xludf.DUMMYFUNCTION("iferror(if(I719="""","""",unique(query('tbl driver 2'!$K$2:$L1508,""SELECT L WHERE K = '""&amp;I719&amp;""'""))),"""")"),"")</f>
        <v/>
      </c>
      <c r="K719" s="31"/>
      <c r="L719" s="39"/>
      <c r="M719" s="39"/>
      <c r="N719" s="28" t="str">
        <f>IFERROR(__xludf.DUMMYFUNCTION("IF(OR(C719="""",M719=""""),"""",IFERROR(IF(M719="""","""",query('tbl user'!$A$2:$D1508,""SELECT A WHERE D = '""&amp;M719&amp;""'"")),""USER TIDAK DIKETAHUI""))"),"")</f>
        <v/>
      </c>
    </row>
    <row r="720">
      <c r="A720" s="23" t="str">
        <f t="shared" si="3"/>
        <v/>
      </c>
      <c r="B720" s="24" t="str">
        <f t="shared" si="4"/>
        <v/>
      </c>
      <c r="C720" s="28"/>
      <c r="D720" s="28"/>
      <c r="E720" s="34"/>
      <c r="F720" s="34"/>
      <c r="G720" s="34"/>
      <c r="H720" s="34"/>
      <c r="I720" s="34"/>
      <c r="J720" s="28" t="str">
        <f>IFERROR(__xludf.DUMMYFUNCTION("iferror(if(I720="""","""",unique(query('tbl driver 2'!$K$2:$L1508,""SELECT L WHERE K = '""&amp;I720&amp;""'""))),"""")"),"")</f>
        <v/>
      </c>
      <c r="K720" s="31"/>
      <c r="L720" s="39"/>
      <c r="M720" s="39"/>
      <c r="N720" s="28" t="str">
        <f>IFERROR(__xludf.DUMMYFUNCTION("IF(OR(C720="""",M720=""""),"""",IFERROR(IF(M720="""","""",query('tbl user'!$A$2:$D1508,""SELECT A WHERE D = '""&amp;M720&amp;""'"")),""USER TIDAK DIKETAHUI""))"),"")</f>
        <v/>
      </c>
    </row>
    <row r="721">
      <c r="A721" s="23" t="str">
        <f t="shared" si="3"/>
        <v/>
      </c>
      <c r="B721" s="24" t="str">
        <f t="shared" si="4"/>
        <v/>
      </c>
      <c r="C721" s="28"/>
      <c r="D721" s="28"/>
      <c r="E721" s="34"/>
      <c r="F721" s="34"/>
      <c r="G721" s="34"/>
      <c r="H721" s="34"/>
      <c r="I721" s="34"/>
      <c r="J721" s="28" t="str">
        <f>IFERROR(__xludf.DUMMYFUNCTION("iferror(if(I721="""","""",unique(query('tbl driver 2'!$K$2:$L1508,""SELECT L WHERE K = '""&amp;I721&amp;""'""))),"""")"),"")</f>
        <v/>
      </c>
      <c r="K721" s="31"/>
      <c r="L721" s="39"/>
      <c r="M721" s="39"/>
      <c r="N721" s="28" t="str">
        <f>IFERROR(__xludf.DUMMYFUNCTION("IF(OR(C721="""",M721=""""),"""",IFERROR(IF(M721="""","""",query('tbl user'!$A$2:$D1508,""SELECT A WHERE D = '""&amp;M721&amp;""'"")),""USER TIDAK DIKETAHUI""))"),"")</f>
        <v/>
      </c>
    </row>
    <row r="722">
      <c r="A722" s="23" t="str">
        <f t="shared" si="3"/>
        <v/>
      </c>
      <c r="B722" s="24" t="str">
        <f t="shared" si="4"/>
        <v/>
      </c>
      <c r="C722" s="28"/>
      <c r="D722" s="28"/>
      <c r="E722" s="34"/>
      <c r="F722" s="34"/>
      <c r="G722" s="34"/>
      <c r="H722" s="34"/>
      <c r="I722" s="34"/>
      <c r="J722" s="28" t="str">
        <f>IFERROR(__xludf.DUMMYFUNCTION("iferror(if(I722="""","""",unique(query('tbl driver 2'!$K$2:$L1508,""SELECT L WHERE K = '""&amp;I722&amp;""'""))),"""")"),"")</f>
        <v/>
      </c>
      <c r="K722" s="31"/>
      <c r="L722" s="39"/>
      <c r="M722" s="39"/>
      <c r="N722" s="28" t="str">
        <f>IFERROR(__xludf.DUMMYFUNCTION("IF(OR(C722="""",M722=""""),"""",IFERROR(IF(M722="""","""",query('tbl user'!$A$2:$D1508,""SELECT A WHERE D = '""&amp;M722&amp;""'"")),""USER TIDAK DIKETAHUI""))"),"")</f>
        <v/>
      </c>
    </row>
    <row r="723">
      <c r="A723" s="23" t="str">
        <f t="shared" si="3"/>
        <v/>
      </c>
      <c r="B723" s="24" t="str">
        <f t="shared" si="4"/>
        <v/>
      </c>
      <c r="C723" s="28"/>
      <c r="D723" s="28"/>
      <c r="E723" s="34"/>
      <c r="F723" s="34"/>
      <c r="G723" s="34"/>
      <c r="H723" s="34"/>
      <c r="I723" s="34"/>
      <c r="J723" s="28" t="str">
        <f>IFERROR(__xludf.DUMMYFUNCTION("iferror(if(I723="""","""",unique(query('tbl driver 2'!$K$2:$L1508,""SELECT L WHERE K = '""&amp;I723&amp;""'""))),"""")"),"")</f>
        <v/>
      </c>
      <c r="K723" s="31"/>
      <c r="L723" s="39"/>
      <c r="M723" s="39"/>
      <c r="N723" s="28" t="str">
        <f>IFERROR(__xludf.DUMMYFUNCTION("IF(OR(C723="""",M723=""""),"""",IFERROR(IF(M723="""","""",query('tbl user'!$A$2:$D1508,""SELECT A WHERE D = '""&amp;M723&amp;""'"")),""USER TIDAK DIKETAHUI""))"),"")</f>
        <v/>
      </c>
    </row>
    <row r="724">
      <c r="A724" s="23" t="str">
        <f t="shared" si="3"/>
        <v/>
      </c>
      <c r="B724" s="24" t="str">
        <f t="shared" si="4"/>
        <v/>
      </c>
      <c r="C724" s="28"/>
      <c r="D724" s="28"/>
      <c r="E724" s="34"/>
      <c r="F724" s="34"/>
      <c r="G724" s="34"/>
      <c r="H724" s="34"/>
      <c r="I724" s="34"/>
      <c r="J724" s="28" t="str">
        <f>IFERROR(__xludf.DUMMYFUNCTION("iferror(if(I724="""","""",unique(query('tbl driver 2'!$K$2:$L1508,""SELECT L WHERE K = '""&amp;I724&amp;""'""))),"""")"),"")</f>
        <v/>
      </c>
      <c r="K724" s="31"/>
      <c r="L724" s="39"/>
      <c r="M724" s="39"/>
      <c r="N724" s="28" t="str">
        <f>IFERROR(__xludf.DUMMYFUNCTION("IF(OR(C724="""",M724=""""),"""",IFERROR(IF(M724="""","""",query('tbl user'!$A$2:$D1508,""SELECT A WHERE D = '""&amp;M724&amp;""'"")),""USER TIDAK DIKETAHUI""))"),"")</f>
        <v/>
      </c>
    </row>
    <row r="725">
      <c r="A725" s="23" t="str">
        <f t="shared" si="3"/>
        <v/>
      </c>
      <c r="B725" s="24" t="str">
        <f t="shared" si="4"/>
        <v/>
      </c>
      <c r="C725" s="28"/>
      <c r="D725" s="28"/>
      <c r="E725" s="34"/>
      <c r="F725" s="34"/>
      <c r="G725" s="34"/>
      <c r="H725" s="34"/>
      <c r="I725" s="34"/>
      <c r="J725" s="28" t="str">
        <f>IFERROR(__xludf.DUMMYFUNCTION("iferror(if(I725="""","""",unique(query('tbl driver 2'!$K$2:$L1508,""SELECT L WHERE K = '""&amp;I725&amp;""'""))),"""")"),"")</f>
        <v/>
      </c>
      <c r="K725" s="31"/>
      <c r="L725" s="39"/>
      <c r="M725" s="39"/>
      <c r="N725" s="28" t="str">
        <f>IFERROR(__xludf.DUMMYFUNCTION("IF(OR(C725="""",M725=""""),"""",IFERROR(IF(M725="""","""",query('tbl user'!$A$2:$D1508,""SELECT A WHERE D = '""&amp;M725&amp;""'"")),""USER TIDAK DIKETAHUI""))"),"")</f>
        <v/>
      </c>
    </row>
    <row r="726">
      <c r="A726" s="23" t="str">
        <f t="shared" si="3"/>
        <v/>
      </c>
      <c r="B726" s="24" t="str">
        <f t="shared" si="4"/>
        <v/>
      </c>
      <c r="C726" s="28"/>
      <c r="D726" s="28"/>
      <c r="E726" s="34"/>
      <c r="F726" s="34"/>
      <c r="G726" s="34"/>
      <c r="H726" s="34"/>
      <c r="I726" s="34"/>
      <c r="J726" s="28" t="str">
        <f>IFERROR(__xludf.DUMMYFUNCTION("iferror(if(I726="""","""",unique(query('tbl driver 2'!$K$2:$L1508,""SELECT L WHERE K = '""&amp;I726&amp;""'""))),"""")"),"")</f>
        <v/>
      </c>
      <c r="K726" s="31"/>
      <c r="L726" s="39"/>
      <c r="M726" s="39"/>
      <c r="N726" s="28" t="str">
        <f>IFERROR(__xludf.DUMMYFUNCTION("IF(OR(C726="""",M726=""""),"""",IFERROR(IF(M726="""","""",query('tbl user'!$A$2:$D1508,""SELECT A WHERE D = '""&amp;M726&amp;""'"")),""USER TIDAK DIKETAHUI""))"),"")</f>
        <v/>
      </c>
    </row>
    <row r="727">
      <c r="A727" s="23" t="str">
        <f t="shared" si="3"/>
        <v/>
      </c>
      <c r="B727" s="24" t="str">
        <f t="shared" si="4"/>
        <v/>
      </c>
      <c r="C727" s="28"/>
      <c r="D727" s="28"/>
      <c r="E727" s="34"/>
      <c r="F727" s="34"/>
      <c r="G727" s="34"/>
      <c r="H727" s="34"/>
      <c r="I727" s="34"/>
      <c r="J727" s="28" t="str">
        <f>IFERROR(__xludf.DUMMYFUNCTION("iferror(if(I727="""","""",unique(query('tbl driver 2'!$K$2:$L1508,""SELECT L WHERE K = '""&amp;I727&amp;""'""))),"""")"),"")</f>
        <v/>
      </c>
      <c r="K727" s="31"/>
      <c r="L727" s="39"/>
      <c r="M727" s="39"/>
      <c r="N727" s="28" t="str">
        <f>IFERROR(__xludf.DUMMYFUNCTION("IF(OR(C727="""",M727=""""),"""",IFERROR(IF(M727="""","""",query('tbl user'!$A$2:$D1508,""SELECT A WHERE D = '""&amp;M727&amp;""'"")),""USER TIDAK DIKETAHUI""))"),"")</f>
        <v/>
      </c>
    </row>
    <row r="728">
      <c r="A728" s="23" t="str">
        <f t="shared" si="3"/>
        <v/>
      </c>
      <c r="B728" s="24" t="str">
        <f t="shared" si="4"/>
        <v/>
      </c>
      <c r="C728" s="28"/>
      <c r="D728" s="28"/>
      <c r="E728" s="34"/>
      <c r="F728" s="34"/>
      <c r="G728" s="34"/>
      <c r="H728" s="34"/>
      <c r="I728" s="34"/>
      <c r="J728" s="28" t="str">
        <f>IFERROR(__xludf.DUMMYFUNCTION("iferror(if(I728="""","""",unique(query('tbl driver 2'!$K$2:$L1508,""SELECT L WHERE K = '""&amp;I728&amp;""'""))),"""")"),"")</f>
        <v/>
      </c>
      <c r="K728" s="31"/>
      <c r="L728" s="39"/>
      <c r="M728" s="39"/>
      <c r="N728" s="28" t="str">
        <f>IFERROR(__xludf.DUMMYFUNCTION("IF(OR(C728="""",M728=""""),"""",IFERROR(IF(M728="""","""",query('tbl user'!$A$2:$D1508,""SELECT A WHERE D = '""&amp;M728&amp;""'"")),""USER TIDAK DIKETAHUI""))"),"")</f>
        <v/>
      </c>
    </row>
    <row r="729">
      <c r="A729" s="23" t="str">
        <f t="shared" si="3"/>
        <v/>
      </c>
      <c r="B729" s="24" t="str">
        <f t="shared" si="4"/>
        <v/>
      </c>
      <c r="C729" s="28"/>
      <c r="D729" s="28"/>
      <c r="E729" s="34"/>
      <c r="F729" s="34"/>
      <c r="G729" s="34"/>
      <c r="H729" s="34"/>
      <c r="I729" s="34"/>
      <c r="J729" s="28" t="str">
        <f>IFERROR(__xludf.DUMMYFUNCTION("iferror(if(I729="""","""",unique(query('tbl driver 2'!$K$2:$L1508,""SELECT L WHERE K = '""&amp;I729&amp;""'""))),"""")"),"")</f>
        <v/>
      </c>
      <c r="K729" s="31"/>
      <c r="L729" s="39"/>
      <c r="M729" s="39"/>
      <c r="N729" s="28" t="str">
        <f>IFERROR(__xludf.DUMMYFUNCTION("IF(OR(C729="""",M729=""""),"""",IFERROR(IF(M729="""","""",query('tbl user'!$A$2:$D1508,""SELECT A WHERE D = '""&amp;M729&amp;""'"")),""USER TIDAK DIKETAHUI""))"),"")</f>
        <v/>
      </c>
    </row>
    <row r="730">
      <c r="A730" s="23" t="str">
        <f t="shared" si="3"/>
        <v/>
      </c>
      <c r="B730" s="24" t="str">
        <f t="shared" si="4"/>
        <v/>
      </c>
      <c r="C730" s="28"/>
      <c r="D730" s="28"/>
      <c r="E730" s="34"/>
      <c r="F730" s="34"/>
      <c r="G730" s="34"/>
      <c r="H730" s="34"/>
      <c r="I730" s="34"/>
      <c r="J730" s="28" t="str">
        <f>IFERROR(__xludf.DUMMYFUNCTION("iferror(if(I730="""","""",unique(query('tbl driver 2'!$K$2:$L1508,""SELECT L WHERE K = '""&amp;I730&amp;""'""))),"""")"),"")</f>
        <v/>
      </c>
      <c r="K730" s="31"/>
      <c r="L730" s="39"/>
      <c r="M730" s="39"/>
      <c r="N730" s="28" t="str">
        <f>IFERROR(__xludf.DUMMYFUNCTION("IF(OR(C730="""",M730=""""),"""",IFERROR(IF(M730="""","""",query('tbl user'!$A$2:$D1508,""SELECT A WHERE D = '""&amp;M730&amp;""'"")),""USER TIDAK DIKETAHUI""))"),"")</f>
        <v/>
      </c>
    </row>
    <row r="731">
      <c r="A731" s="23" t="str">
        <f t="shared" si="3"/>
        <v/>
      </c>
      <c r="B731" s="24" t="str">
        <f t="shared" si="4"/>
        <v/>
      </c>
      <c r="C731" s="28"/>
      <c r="D731" s="28"/>
      <c r="E731" s="34"/>
      <c r="F731" s="34"/>
      <c r="G731" s="34"/>
      <c r="H731" s="34"/>
      <c r="I731" s="34"/>
      <c r="J731" s="28" t="str">
        <f>IFERROR(__xludf.DUMMYFUNCTION("iferror(if(I731="""","""",unique(query('tbl driver 2'!$K$2:$L1508,""SELECT L WHERE K = '""&amp;I731&amp;""'""))),"""")"),"")</f>
        <v/>
      </c>
      <c r="K731" s="31"/>
      <c r="L731" s="39"/>
      <c r="M731" s="39"/>
      <c r="N731" s="28" t="str">
        <f>IFERROR(__xludf.DUMMYFUNCTION("IF(OR(C731="""",M731=""""),"""",IFERROR(IF(M731="""","""",query('tbl user'!$A$2:$D1508,""SELECT A WHERE D = '""&amp;M731&amp;""'"")),""USER TIDAK DIKETAHUI""))"),"")</f>
        <v/>
      </c>
    </row>
    <row r="732">
      <c r="A732" s="23" t="str">
        <f t="shared" si="3"/>
        <v/>
      </c>
      <c r="B732" s="24" t="str">
        <f t="shared" si="4"/>
        <v/>
      </c>
      <c r="C732" s="28"/>
      <c r="D732" s="28"/>
      <c r="E732" s="34"/>
      <c r="F732" s="34"/>
      <c r="G732" s="34"/>
      <c r="H732" s="34"/>
      <c r="I732" s="34"/>
      <c r="J732" s="28" t="str">
        <f>IFERROR(__xludf.DUMMYFUNCTION("iferror(if(I732="""","""",unique(query('tbl driver 2'!$K$2:$L1508,""SELECT L WHERE K = '""&amp;I732&amp;""'""))),"""")"),"")</f>
        <v/>
      </c>
      <c r="K732" s="31"/>
      <c r="L732" s="39"/>
      <c r="M732" s="39"/>
      <c r="N732" s="28" t="str">
        <f>IFERROR(__xludf.DUMMYFUNCTION("IF(OR(C732="""",M732=""""),"""",IFERROR(IF(M732="""","""",query('tbl user'!$A$2:$D1508,""SELECT A WHERE D = '""&amp;M732&amp;""'"")),""USER TIDAK DIKETAHUI""))"),"")</f>
        <v/>
      </c>
    </row>
    <row r="733">
      <c r="A733" s="23" t="str">
        <f t="shared" si="3"/>
        <v/>
      </c>
      <c r="B733" s="24" t="str">
        <f t="shared" si="4"/>
        <v/>
      </c>
      <c r="C733" s="28"/>
      <c r="D733" s="28"/>
      <c r="E733" s="34"/>
      <c r="F733" s="34"/>
      <c r="G733" s="34"/>
      <c r="H733" s="34"/>
      <c r="I733" s="34"/>
      <c r="J733" s="28" t="str">
        <f>IFERROR(__xludf.DUMMYFUNCTION("iferror(if(I733="""","""",unique(query('tbl driver 2'!$K$2:$L1508,""SELECT L WHERE K = '""&amp;I733&amp;""'""))),"""")"),"")</f>
        <v/>
      </c>
      <c r="K733" s="31"/>
      <c r="L733" s="39"/>
      <c r="M733" s="39"/>
      <c r="N733" s="28" t="str">
        <f>IFERROR(__xludf.DUMMYFUNCTION("IF(OR(C733="""",M733=""""),"""",IFERROR(IF(M733="""","""",query('tbl user'!$A$2:$D1508,""SELECT A WHERE D = '""&amp;M733&amp;""'"")),""USER TIDAK DIKETAHUI""))"),"")</f>
        <v/>
      </c>
    </row>
    <row r="734">
      <c r="A734" s="23" t="str">
        <f t="shared" si="3"/>
        <v/>
      </c>
      <c r="B734" s="24" t="str">
        <f t="shared" si="4"/>
        <v/>
      </c>
      <c r="C734" s="28"/>
      <c r="D734" s="28"/>
      <c r="E734" s="34"/>
      <c r="F734" s="34"/>
      <c r="G734" s="34"/>
      <c r="H734" s="34"/>
      <c r="I734" s="34"/>
      <c r="J734" s="28" t="str">
        <f>IFERROR(__xludf.DUMMYFUNCTION("iferror(if(I734="""","""",unique(query('tbl driver 2'!$K$2:$L1508,""SELECT L WHERE K = '""&amp;I734&amp;""'""))),"""")"),"")</f>
        <v/>
      </c>
      <c r="K734" s="31"/>
      <c r="L734" s="39"/>
      <c r="M734" s="39"/>
      <c r="N734" s="28" t="str">
        <f>IFERROR(__xludf.DUMMYFUNCTION("IF(OR(C734="""",M734=""""),"""",IFERROR(IF(M734="""","""",query('tbl user'!$A$2:$D1508,""SELECT A WHERE D = '""&amp;M734&amp;""'"")),""USER TIDAK DIKETAHUI""))"),"")</f>
        <v/>
      </c>
    </row>
    <row r="735">
      <c r="A735" s="23" t="str">
        <f t="shared" si="3"/>
        <v/>
      </c>
      <c r="B735" s="24" t="str">
        <f t="shared" si="4"/>
        <v/>
      </c>
      <c r="C735" s="28"/>
      <c r="D735" s="28"/>
      <c r="E735" s="34"/>
      <c r="F735" s="34"/>
      <c r="G735" s="34"/>
      <c r="H735" s="34"/>
      <c r="I735" s="34"/>
      <c r="J735" s="28" t="str">
        <f>IFERROR(__xludf.DUMMYFUNCTION("iferror(if(I735="""","""",unique(query('tbl driver 2'!$K$2:$L1508,""SELECT L WHERE K = '""&amp;I735&amp;""'""))),"""")"),"")</f>
        <v/>
      </c>
      <c r="K735" s="31"/>
      <c r="L735" s="39"/>
      <c r="M735" s="39"/>
      <c r="N735" s="28" t="str">
        <f>IFERROR(__xludf.DUMMYFUNCTION("IF(OR(C735="""",M735=""""),"""",IFERROR(IF(M735="""","""",query('tbl user'!$A$2:$D1508,""SELECT A WHERE D = '""&amp;M735&amp;""'"")),""USER TIDAK DIKETAHUI""))"),"")</f>
        <v/>
      </c>
    </row>
    <row r="736">
      <c r="A736" s="23" t="str">
        <f t="shared" si="3"/>
        <v/>
      </c>
      <c r="B736" s="24" t="str">
        <f t="shared" si="4"/>
        <v/>
      </c>
      <c r="C736" s="28"/>
      <c r="D736" s="28"/>
      <c r="E736" s="34"/>
      <c r="F736" s="34"/>
      <c r="G736" s="34"/>
      <c r="H736" s="34"/>
      <c r="I736" s="34"/>
      <c r="J736" s="28" t="str">
        <f>IFERROR(__xludf.DUMMYFUNCTION("iferror(if(I736="""","""",unique(query('tbl driver 2'!$K$2:$L1508,""SELECT L WHERE K = '""&amp;I736&amp;""'""))),"""")"),"")</f>
        <v/>
      </c>
      <c r="K736" s="31"/>
      <c r="L736" s="39"/>
      <c r="M736" s="39"/>
      <c r="N736" s="28" t="str">
        <f>IFERROR(__xludf.DUMMYFUNCTION("IF(OR(C736="""",M736=""""),"""",IFERROR(IF(M736="""","""",query('tbl user'!$A$2:$D1508,""SELECT A WHERE D = '""&amp;M736&amp;""'"")),""USER TIDAK DIKETAHUI""))"),"")</f>
        <v/>
      </c>
    </row>
    <row r="737">
      <c r="A737" s="23" t="str">
        <f t="shared" si="3"/>
        <v/>
      </c>
      <c r="B737" s="24" t="str">
        <f t="shared" si="4"/>
        <v/>
      </c>
      <c r="C737" s="28"/>
      <c r="D737" s="28"/>
      <c r="E737" s="34"/>
      <c r="F737" s="34"/>
      <c r="G737" s="34"/>
      <c r="H737" s="34"/>
      <c r="I737" s="34"/>
      <c r="J737" s="28" t="str">
        <f>IFERROR(__xludf.DUMMYFUNCTION("iferror(if(I737="""","""",unique(query('tbl driver 2'!$K$2:$L1508,""SELECT L WHERE K = '""&amp;I737&amp;""'""))),"""")"),"")</f>
        <v/>
      </c>
      <c r="K737" s="31"/>
      <c r="L737" s="39"/>
      <c r="M737" s="39"/>
      <c r="N737" s="28" t="str">
        <f>IFERROR(__xludf.DUMMYFUNCTION("IF(OR(C737="""",M737=""""),"""",IFERROR(IF(M737="""","""",query('tbl user'!$A$2:$D1508,""SELECT A WHERE D = '""&amp;M737&amp;""'"")),""USER TIDAK DIKETAHUI""))"),"")</f>
        <v/>
      </c>
    </row>
    <row r="738">
      <c r="A738" s="23" t="str">
        <f t="shared" si="3"/>
        <v/>
      </c>
      <c r="B738" s="24" t="str">
        <f t="shared" si="4"/>
        <v/>
      </c>
      <c r="C738" s="28"/>
      <c r="D738" s="28"/>
      <c r="E738" s="34"/>
      <c r="F738" s="34"/>
      <c r="G738" s="34"/>
      <c r="H738" s="34"/>
      <c r="I738" s="34"/>
      <c r="J738" s="28" t="str">
        <f>IFERROR(__xludf.DUMMYFUNCTION("iferror(if(I738="""","""",unique(query('tbl driver 2'!$K$2:$L1508,""SELECT L WHERE K = '""&amp;I738&amp;""'""))),"""")"),"")</f>
        <v/>
      </c>
      <c r="K738" s="31"/>
      <c r="L738" s="39"/>
      <c r="M738" s="39"/>
      <c r="N738" s="28" t="str">
        <f>IFERROR(__xludf.DUMMYFUNCTION("IF(OR(C738="""",M738=""""),"""",IFERROR(IF(M738="""","""",query('tbl user'!$A$2:$D1508,""SELECT A WHERE D = '""&amp;M738&amp;""'"")),""USER TIDAK DIKETAHUI""))"),"")</f>
        <v/>
      </c>
    </row>
    <row r="739">
      <c r="A739" s="23" t="str">
        <f t="shared" si="3"/>
        <v/>
      </c>
      <c r="B739" s="24" t="str">
        <f t="shared" si="4"/>
        <v/>
      </c>
      <c r="C739" s="28"/>
      <c r="D739" s="28"/>
      <c r="E739" s="34"/>
      <c r="F739" s="34"/>
      <c r="G739" s="34"/>
      <c r="H739" s="34"/>
      <c r="I739" s="34"/>
      <c r="J739" s="28" t="str">
        <f>IFERROR(__xludf.DUMMYFUNCTION("iferror(if(I739="""","""",unique(query('tbl driver 2'!$K$2:$L1508,""SELECT L WHERE K = '""&amp;I739&amp;""'""))),"""")"),"")</f>
        <v/>
      </c>
      <c r="K739" s="31"/>
      <c r="L739" s="39"/>
      <c r="M739" s="39"/>
      <c r="N739" s="28" t="str">
        <f>IFERROR(__xludf.DUMMYFUNCTION("IF(OR(C739="""",M739=""""),"""",IFERROR(IF(M739="""","""",query('tbl user'!$A$2:$D1508,""SELECT A WHERE D = '""&amp;M739&amp;""'"")),""USER TIDAK DIKETAHUI""))"),"")</f>
        <v/>
      </c>
    </row>
    <row r="740">
      <c r="A740" s="23" t="str">
        <f t="shared" si="3"/>
        <v/>
      </c>
      <c r="B740" s="24" t="str">
        <f t="shared" si="4"/>
        <v/>
      </c>
      <c r="C740" s="28"/>
      <c r="D740" s="28"/>
      <c r="E740" s="34"/>
      <c r="F740" s="34"/>
      <c r="G740" s="34"/>
      <c r="H740" s="34"/>
      <c r="I740" s="34"/>
      <c r="J740" s="28" t="str">
        <f>IFERROR(__xludf.DUMMYFUNCTION("iferror(if(I740="""","""",unique(query('tbl driver 2'!$K$2:$L1508,""SELECT L WHERE K = '""&amp;I740&amp;""'""))),"""")"),"")</f>
        <v/>
      </c>
      <c r="K740" s="31"/>
      <c r="L740" s="39"/>
      <c r="M740" s="39"/>
      <c r="N740" s="28" t="str">
        <f>IFERROR(__xludf.DUMMYFUNCTION("IF(OR(C740="""",M740=""""),"""",IFERROR(IF(M740="""","""",query('tbl user'!$A$2:$D1508,""SELECT A WHERE D = '""&amp;M740&amp;""'"")),""USER TIDAK DIKETAHUI""))"),"")</f>
        <v/>
      </c>
    </row>
    <row r="741">
      <c r="A741" s="23" t="str">
        <f t="shared" si="3"/>
        <v/>
      </c>
      <c r="B741" s="24" t="str">
        <f t="shared" si="4"/>
        <v/>
      </c>
      <c r="C741" s="28"/>
      <c r="D741" s="28"/>
      <c r="E741" s="34"/>
      <c r="F741" s="34"/>
      <c r="G741" s="34"/>
      <c r="H741" s="34"/>
      <c r="I741" s="34"/>
      <c r="J741" s="28" t="str">
        <f>IFERROR(__xludf.DUMMYFUNCTION("iferror(if(I741="""","""",unique(query('tbl driver 2'!$K$2:$L1508,""SELECT L WHERE K = '""&amp;I741&amp;""'""))),"""")"),"")</f>
        <v/>
      </c>
      <c r="K741" s="31"/>
      <c r="L741" s="39"/>
      <c r="M741" s="39"/>
      <c r="N741" s="28" t="str">
        <f>IFERROR(__xludf.DUMMYFUNCTION("IF(OR(C741="""",M741=""""),"""",IFERROR(IF(M741="""","""",query('tbl user'!$A$2:$D1508,""SELECT A WHERE D = '""&amp;M741&amp;""'"")),""USER TIDAK DIKETAHUI""))"),"")</f>
        <v/>
      </c>
    </row>
    <row r="742">
      <c r="A742" s="23" t="str">
        <f t="shared" si="3"/>
        <v/>
      </c>
      <c r="B742" s="24" t="str">
        <f t="shared" si="4"/>
        <v/>
      </c>
      <c r="C742" s="28"/>
      <c r="D742" s="28"/>
      <c r="E742" s="34"/>
      <c r="F742" s="34"/>
      <c r="G742" s="34"/>
      <c r="H742" s="34"/>
      <c r="I742" s="34"/>
      <c r="J742" s="28" t="str">
        <f>IFERROR(__xludf.DUMMYFUNCTION("iferror(if(I742="""","""",unique(query('tbl driver 2'!$K$2:$L1508,""SELECT L WHERE K = '""&amp;I742&amp;""'""))),"""")"),"")</f>
        <v/>
      </c>
      <c r="K742" s="31"/>
      <c r="L742" s="39"/>
      <c r="M742" s="39"/>
      <c r="N742" s="28" t="str">
        <f>IFERROR(__xludf.DUMMYFUNCTION("IF(OR(C742="""",M742=""""),"""",IFERROR(IF(M742="""","""",query('tbl user'!$A$2:$D1508,""SELECT A WHERE D = '""&amp;M742&amp;""'"")),""USER TIDAK DIKETAHUI""))"),"")</f>
        <v/>
      </c>
    </row>
    <row r="743">
      <c r="A743" s="23" t="str">
        <f t="shared" si="3"/>
        <v/>
      </c>
      <c r="B743" s="24" t="str">
        <f t="shared" si="4"/>
        <v/>
      </c>
      <c r="C743" s="28"/>
      <c r="D743" s="28"/>
      <c r="E743" s="34"/>
      <c r="F743" s="34"/>
      <c r="G743" s="34"/>
      <c r="H743" s="34"/>
      <c r="I743" s="34"/>
      <c r="J743" s="28" t="str">
        <f>IFERROR(__xludf.DUMMYFUNCTION("iferror(if(I743="""","""",unique(query('tbl driver 2'!$K$2:$L1508,""SELECT L WHERE K = '""&amp;I743&amp;""'""))),"""")"),"")</f>
        <v/>
      </c>
      <c r="K743" s="31"/>
      <c r="L743" s="39"/>
      <c r="M743" s="39"/>
      <c r="N743" s="28" t="str">
        <f>IFERROR(__xludf.DUMMYFUNCTION("IF(OR(C743="""",M743=""""),"""",IFERROR(IF(M743="""","""",query('tbl user'!$A$2:$D1508,""SELECT A WHERE D = '""&amp;M743&amp;""'"")),""USER TIDAK DIKETAHUI""))"),"")</f>
        <v/>
      </c>
    </row>
    <row r="744">
      <c r="A744" s="23" t="str">
        <f t="shared" si="3"/>
        <v/>
      </c>
      <c r="B744" s="24" t="str">
        <f t="shared" si="4"/>
        <v/>
      </c>
      <c r="C744" s="28"/>
      <c r="D744" s="28"/>
      <c r="E744" s="34"/>
      <c r="F744" s="34"/>
      <c r="G744" s="34"/>
      <c r="H744" s="34"/>
      <c r="I744" s="34"/>
      <c r="J744" s="28" t="str">
        <f>IFERROR(__xludf.DUMMYFUNCTION("iferror(if(I744="""","""",unique(query('tbl driver 2'!$K$2:$L1508,""SELECT L WHERE K = '""&amp;I744&amp;""'""))),"""")"),"")</f>
        <v/>
      </c>
      <c r="K744" s="31"/>
      <c r="L744" s="39"/>
      <c r="M744" s="39"/>
      <c r="N744" s="28" t="str">
        <f>IFERROR(__xludf.DUMMYFUNCTION("IF(OR(C744="""",M744=""""),"""",IFERROR(IF(M744="""","""",query('tbl user'!$A$2:$D1508,""SELECT A WHERE D = '""&amp;M744&amp;""'"")),""USER TIDAK DIKETAHUI""))"),"")</f>
        <v/>
      </c>
    </row>
    <row r="745">
      <c r="A745" s="23" t="str">
        <f t="shared" si="3"/>
        <v/>
      </c>
      <c r="B745" s="24" t="str">
        <f t="shared" si="4"/>
        <v/>
      </c>
      <c r="C745" s="28"/>
      <c r="D745" s="28"/>
      <c r="E745" s="34"/>
      <c r="F745" s="34"/>
      <c r="G745" s="34"/>
      <c r="H745" s="34"/>
      <c r="I745" s="34"/>
      <c r="J745" s="28" t="str">
        <f>IFERROR(__xludf.DUMMYFUNCTION("iferror(if(I745="""","""",unique(query('tbl driver 2'!$K$2:$L1508,""SELECT L WHERE K = '""&amp;I745&amp;""'""))),"""")"),"")</f>
        <v/>
      </c>
      <c r="K745" s="31"/>
      <c r="L745" s="39"/>
      <c r="M745" s="39"/>
      <c r="N745" s="28" t="str">
        <f>IFERROR(__xludf.DUMMYFUNCTION("IF(OR(C745="""",M745=""""),"""",IFERROR(IF(M745="""","""",query('tbl user'!$A$2:$D1508,""SELECT A WHERE D = '""&amp;M745&amp;""'"")),""USER TIDAK DIKETAHUI""))"),"")</f>
        <v/>
      </c>
    </row>
    <row r="746">
      <c r="A746" s="23" t="str">
        <f t="shared" si="3"/>
        <v/>
      </c>
      <c r="B746" s="24" t="str">
        <f t="shared" si="4"/>
        <v/>
      </c>
      <c r="C746" s="28"/>
      <c r="D746" s="28"/>
      <c r="E746" s="34"/>
      <c r="F746" s="34"/>
      <c r="G746" s="34"/>
      <c r="H746" s="34"/>
      <c r="I746" s="34"/>
      <c r="J746" s="28" t="str">
        <f>IFERROR(__xludf.DUMMYFUNCTION("iferror(if(I746="""","""",unique(query('tbl driver 2'!$K$2:$L1508,""SELECT L WHERE K = '""&amp;I746&amp;""'""))),"""")"),"")</f>
        <v/>
      </c>
      <c r="K746" s="31"/>
      <c r="L746" s="39"/>
      <c r="M746" s="39"/>
      <c r="N746" s="28" t="str">
        <f>IFERROR(__xludf.DUMMYFUNCTION("IF(OR(C746="""",M746=""""),"""",IFERROR(IF(M746="""","""",query('tbl user'!$A$2:$D1508,""SELECT A WHERE D = '""&amp;M746&amp;""'"")),""USER TIDAK DIKETAHUI""))"),"")</f>
        <v/>
      </c>
    </row>
    <row r="747">
      <c r="A747" s="23" t="str">
        <f t="shared" si="3"/>
        <v/>
      </c>
      <c r="B747" s="24" t="str">
        <f t="shared" si="4"/>
        <v/>
      </c>
      <c r="C747" s="28"/>
      <c r="D747" s="28"/>
      <c r="E747" s="34"/>
      <c r="F747" s="34"/>
      <c r="G747" s="34"/>
      <c r="H747" s="34"/>
      <c r="I747" s="34"/>
      <c r="J747" s="28" t="str">
        <f>IFERROR(__xludf.DUMMYFUNCTION("iferror(if(I747="""","""",unique(query('tbl driver 2'!$K$2:$L1508,""SELECT L WHERE K = '""&amp;I747&amp;""'""))),"""")"),"")</f>
        <v/>
      </c>
      <c r="K747" s="31"/>
      <c r="L747" s="39"/>
      <c r="M747" s="39"/>
      <c r="N747" s="28" t="str">
        <f>IFERROR(__xludf.DUMMYFUNCTION("IF(OR(C747="""",M747=""""),"""",IFERROR(IF(M747="""","""",query('tbl user'!$A$2:$D1508,""SELECT A WHERE D = '""&amp;M747&amp;""'"")),""USER TIDAK DIKETAHUI""))"),"")</f>
        <v/>
      </c>
    </row>
    <row r="748">
      <c r="A748" s="23" t="str">
        <f t="shared" si="3"/>
        <v/>
      </c>
      <c r="B748" s="24" t="str">
        <f t="shared" si="4"/>
        <v/>
      </c>
      <c r="C748" s="28"/>
      <c r="D748" s="28"/>
      <c r="E748" s="34"/>
      <c r="F748" s="34"/>
      <c r="G748" s="34"/>
      <c r="H748" s="34"/>
      <c r="I748" s="34"/>
      <c r="J748" s="28" t="str">
        <f>IFERROR(__xludf.DUMMYFUNCTION("iferror(if(I748="""","""",unique(query('tbl driver 2'!$K$2:$L1508,""SELECT L WHERE K = '""&amp;I748&amp;""'""))),"""")"),"")</f>
        <v/>
      </c>
      <c r="K748" s="31"/>
      <c r="L748" s="39"/>
      <c r="M748" s="39"/>
      <c r="N748" s="28" t="str">
        <f>IFERROR(__xludf.DUMMYFUNCTION("IF(OR(C748="""",M748=""""),"""",IFERROR(IF(M748="""","""",query('tbl user'!$A$2:$D1508,""SELECT A WHERE D = '""&amp;M748&amp;""'"")),""USER TIDAK DIKETAHUI""))"),"")</f>
        <v/>
      </c>
    </row>
    <row r="749">
      <c r="A749" s="23" t="str">
        <f t="shared" si="3"/>
        <v/>
      </c>
      <c r="B749" s="24" t="str">
        <f t="shared" si="4"/>
        <v/>
      </c>
      <c r="C749" s="28"/>
      <c r="D749" s="28"/>
      <c r="E749" s="34"/>
      <c r="F749" s="34"/>
      <c r="G749" s="34"/>
      <c r="H749" s="34"/>
      <c r="I749" s="34"/>
      <c r="J749" s="28" t="str">
        <f>IFERROR(__xludf.DUMMYFUNCTION("iferror(if(I749="""","""",unique(query('tbl driver 2'!$K$2:$L1508,""SELECT L WHERE K = '""&amp;I749&amp;""'""))),"""")"),"")</f>
        <v/>
      </c>
      <c r="K749" s="31"/>
      <c r="L749" s="39"/>
      <c r="M749" s="39"/>
      <c r="N749" s="28" t="str">
        <f>IFERROR(__xludf.DUMMYFUNCTION("IF(OR(C749="""",M749=""""),"""",IFERROR(IF(M749="""","""",query('tbl user'!$A$2:$D1508,""SELECT A WHERE D = '""&amp;M749&amp;""'"")),""USER TIDAK DIKETAHUI""))"),"")</f>
        <v/>
      </c>
    </row>
    <row r="750">
      <c r="A750" s="23" t="str">
        <f t="shared" si="3"/>
        <v/>
      </c>
      <c r="B750" s="24" t="str">
        <f t="shared" si="4"/>
        <v/>
      </c>
      <c r="C750" s="28"/>
      <c r="D750" s="28"/>
      <c r="E750" s="34"/>
      <c r="F750" s="34"/>
      <c r="G750" s="34"/>
      <c r="H750" s="34"/>
      <c r="I750" s="34"/>
      <c r="J750" s="28" t="str">
        <f>IFERROR(__xludf.DUMMYFUNCTION("iferror(if(I750="""","""",unique(query('tbl driver 2'!$K$2:$L1508,""SELECT L WHERE K = '""&amp;I750&amp;""'""))),"""")"),"")</f>
        <v/>
      </c>
      <c r="K750" s="31"/>
      <c r="L750" s="39"/>
      <c r="M750" s="39"/>
      <c r="N750" s="28" t="str">
        <f>IFERROR(__xludf.DUMMYFUNCTION("IF(OR(C750="""",M750=""""),"""",IFERROR(IF(M750="""","""",query('tbl user'!$A$2:$D1508,""SELECT A WHERE D = '""&amp;M750&amp;""'"")),""USER TIDAK DIKETAHUI""))"),"")</f>
        <v/>
      </c>
    </row>
    <row r="751">
      <c r="A751" s="23" t="str">
        <f t="shared" si="3"/>
        <v/>
      </c>
      <c r="B751" s="24" t="str">
        <f t="shared" si="4"/>
        <v/>
      </c>
      <c r="C751" s="28"/>
      <c r="D751" s="28"/>
      <c r="E751" s="34"/>
      <c r="F751" s="34"/>
      <c r="G751" s="34"/>
      <c r="H751" s="34"/>
      <c r="I751" s="34"/>
      <c r="J751" s="28" t="str">
        <f>IFERROR(__xludf.DUMMYFUNCTION("iferror(if(I751="""","""",unique(query('tbl driver 2'!$K$2:$L1508,""SELECT L WHERE K = '""&amp;I751&amp;""'""))),"""")"),"")</f>
        <v/>
      </c>
      <c r="K751" s="31"/>
      <c r="L751" s="39"/>
      <c r="M751" s="39"/>
      <c r="N751" s="28" t="str">
        <f>IFERROR(__xludf.DUMMYFUNCTION("IF(OR(C751="""",M751=""""),"""",IFERROR(IF(M751="""","""",query('tbl user'!$A$2:$D1508,""SELECT A WHERE D = '""&amp;M751&amp;""'"")),""USER TIDAK DIKETAHUI""))"),"")</f>
        <v/>
      </c>
    </row>
    <row r="752">
      <c r="A752" s="23" t="str">
        <f t="shared" si="3"/>
        <v/>
      </c>
      <c r="B752" s="24" t="str">
        <f t="shared" si="4"/>
        <v/>
      </c>
      <c r="C752" s="28"/>
      <c r="D752" s="28"/>
      <c r="E752" s="34"/>
      <c r="F752" s="34"/>
      <c r="G752" s="34"/>
      <c r="H752" s="34"/>
      <c r="I752" s="34"/>
      <c r="J752" s="28" t="str">
        <f>IFERROR(__xludf.DUMMYFUNCTION("iferror(if(I752="""","""",unique(query('tbl driver 2'!$K$2:$L1508,""SELECT L WHERE K = '""&amp;I752&amp;""'""))),"""")"),"")</f>
        <v/>
      </c>
      <c r="K752" s="31"/>
      <c r="L752" s="39"/>
      <c r="M752" s="39"/>
      <c r="N752" s="28" t="str">
        <f>IFERROR(__xludf.DUMMYFUNCTION("IF(OR(C752="""",M752=""""),"""",IFERROR(IF(M752="""","""",query('tbl user'!$A$2:$D1508,""SELECT A WHERE D = '""&amp;M752&amp;""'"")),""USER TIDAK DIKETAHUI""))"),"")</f>
        <v/>
      </c>
    </row>
    <row r="753">
      <c r="A753" s="23" t="str">
        <f t="shared" si="3"/>
        <v/>
      </c>
      <c r="B753" s="24" t="str">
        <f t="shared" si="4"/>
        <v/>
      </c>
      <c r="C753" s="28"/>
      <c r="D753" s="28"/>
      <c r="E753" s="34"/>
      <c r="F753" s="34"/>
      <c r="G753" s="34"/>
      <c r="H753" s="34"/>
      <c r="I753" s="34"/>
      <c r="J753" s="28" t="str">
        <f>IFERROR(__xludf.DUMMYFUNCTION("iferror(if(I753="""","""",unique(query('tbl driver 2'!$K$2:$L1508,""SELECT L WHERE K = '""&amp;I753&amp;""'""))),"""")"),"")</f>
        <v/>
      </c>
      <c r="K753" s="31"/>
      <c r="L753" s="39"/>
      <c r="M753" s="39"/>
      <c r="N753" s="28" t="str">
        <f>IFERROR(__xludf.DUMMYFUNCTION("IF(OR(C753="""",M753=""""),"""",IFERROR(IF(M753="""","""",query('tbl user'!$A$2:$D1508,""SELECT A WHERE D = '""&amp;M753&amp;""'"")),""USER TIDAK DIKETAHUI""))"),"")</f>
        <v/>
      </c>
    </row>
    <row r="754">
      <c r="A754" s="23" t="str">
        <f t="shared" si="3"/>
        <v/>
      </c>
      <c r="B754" s="24" t="str">
        <f t="shared" si="4"/>
        <v/>
      </c>
      <c r="C754" s="28"/>
      <c r="D754" s="28"/>
      <c r="E754" s="34"/>
      <c r="F754" s="34"/>
      <c r="G754" s="34"/>
      <c r="H754" s="34"/>
      <c r="I754" s="34"/>
      <c r="J754" s="28" t="str">
        <f>IFERROR(__xludf.DUMMYFUNCTION("iferror(if(I754="""","""",unique(query('tbl driver 2'!$K$2:$L1508,""SELECT L WHERE K = '""&amp;I754&amp;""'""))),"""")"),"")</f>
        <v/>
      </c>
      <c r="K754" s="31"/>
      <c r="L754" s="39"/>
      <c r="M754" s="39"/>
      <c r="N754" s="28" t="str">
        <f>IFERROR(__xludf.DUMMYFUNCTION("IF(OR(C754="""",M754=""""),"""",IFERROR(IF(M754="""","""",query('tbl user'!$A$2:$D1508,""SELECT A WHERE D = '""&amp;M754&amp;""'"")),""USER TIDAK DIKETAHUI""))"),"")</f>
        <v/>
      </c>
    </row>
    <row r="755">
      <c r="A755" s="23" t="str">
        <f t="shared" si="3"/>
        <v/>
      </c>
      <c r="B755" s="24" t="str">
        <f t="shared" si="4"/>
        <v/>
      </c>
      <c r="C755" s="28"/>
      <c r="D755" s="28"/>
      <c r="E755" s="34"/>
      <c r="F755" s="34"/>
      <c r="G755" s="34"/>
      <c r="H755" s="34"/>
      <c r="I755" s="34"/>
      <c r="J755" s="28" t="str">
        <f>IFERROR(__xludf.DUMMYFUNCTION("iferror(if(I755="""","""",unique(query('tbl driver 2'!$K$2:$L1508,""SELECT L WHERE K = '""&amp;I755&amp;""'""))),"""")"),"")</f>
        <v/>
      </c>
      <c r="K755" s="31"/>
      <c r="L755" s="39"/>
      <c r="M755" s="39"/>
      <c r="N755" s="28" t="str">
        <f>IFERROR(__xludf.DUMMYFUNCTION("IF(OR(C755="""",M755=""""),"""",IFERROR(IF(M755="""","""",query('tbl user'!$A$2:$D1508,""SELECT A WHERE D = '""&amp;M755&amp;""'"")),""USER TIDAK DIKETAHUI""))"),"")</f>
        <v/>
      </c>
    </row>
    <row r="756">
      <c r="A756" s="23" t="str">
        <f t="shared" si="3"/>
        <v/>
      </c>
      <c r="B756" s="24" t="str">
        <f t="shared" si="4"/>
        <v/>
      </c>
      <c r="C756" s="28"/>
      <c r="D756" s="28"/>
      <c r="E756" s="34"/>
      <c r="F756" s="34"/>
      <c r="G756" s="34"/>
      <c r="H756" s="34"/>
      <c r="I756" s="34"/>
      <c r="J756" s="28" t="str">
        <f>IFERROR(__xludf.DUMMYFUNCTION("iferror(if(I756="""","""",unique(query('tbl driver 2'!$K$2:$L1508,""SELECT L WHERE K = '""&amp;I756&amp;""'""))),"""")"),"")</f>
        <v/>
      </c>
      <c r="K756" s="31"/>
      <c r="L756" s="39"/>
      <c r="M756" s="39"/>
      <c r="N756" s="28" t="str">
        <f>IFERROR(__xludf.DUMMYFUNCTION("IF(OR(C756="""",M756=""""),"""",IFERROR(IF(M756="""","""",query('tbl user'!$A$2:$D1508,""SELECT A WHERE D = '""&amp;M756&amp;""'"")),""USER TIDAK DIKETAHUI""))"),"")</f>
        <v/>
      </c>
    </row>
    <row r="757">
      <c r="A757" s="23" t="str">
        <f t="shared" si="3"/>
        <v/>
      </c>
      <c r="B757" s="24" t="str">
        <f t="shared" si="4"/>
        <v/>
      </c>
      <c r="C757" s="28"/>
      <c r="D757" s="28"/>
      <c r="E757" s="34"/>
      <c r="F757" s="34"/>
      <c r="G757" s="34"/>
      <c r="H757" s="34"/>
      <c r="I757" s="34"/>
      <c r="J757" s="28" t="str">
        <f>IFERROR(__xludf.DUMMYFUNCTION("iferror(if(I757="""","""",unique(query('tbl driver 2'!$K$2:$L1508,""SELECT L WHERE K = '""&amp;I757&amp;""'""))),"""")"),"")</f>
        <v/>
      </c>
      <c r="K757" s="31"/>
      <c r="L757" s="39"/>
      <c r="M757" s="39"/>
      <c r="N757" s="28" t="str">
        <f>IFERROR(__xludf.DUMMYFUNCTION("IF(OR(C757="""",M757=""""),"""",IFERROR(IF(M757="""","""",query('tbl user'!$A$2:$D1508,""SELECT A WHERE D = '""&amp;M757&amp;""'"")),""USER TIDAK DIKETAHUI""))"),"")</f>
        <v/>
      </c>
    </row>
    <row r="758">
      <c r="A758" s="23" t="str">
        <f t="shared" si="3"/>
        <v/>
      </c>
      <c r="B758" s="24" t="str">
        <f t="shared" si="4"/>
        <v/>
      </c>
      <c r="C758" s="28"/>
      <c r="D758" s="28"/>
      <c r="E758" s="34"/>
      <c r="F758" s="34"/>
      <c r="G758" s="34"/>
      <c r="H758" s="34"/>
      <c r="I758" s="34"/>
      <c r="J758" s="28" t="str">
        <f>IFERROR(__xludf.DUMMYFUNCTION("iferror(if(I758="""","""",unique(query('tbl driver 2'!$K$2:$L1508,""SELECT L WHERE K = '""&amp;I758&amp;""'""))),"""")"),"")</f>
        <v/>
      </c>
      <c r="K758" s="31"/>
      <c r="L758" s="39"/>
      <c r="M758" s="39"/>
      <c r="N758" s="28" t="str">
        <f>IFERROR(__xludf.DUMMYFUNCTION("IF(OR(C758="""",M758=""""),"""",IFERROR(IF(M758="""","""",query('tbl user'!$A$2:$D1508,""SELECT A WHERE D = '""&amp;M758&amp;""'"")),""USER TIDAK DIKETAHUI""))"),"")</f>
        <v/>
      </c>
    </row>
    <row r="759">
      <c r="A759" s="23" t="str">
        <f t="shared" si="3"/>
        <v/>
      </c>
      <c r="B759" s="24" t="str">
        <f t="shared" si="4"/>
        <v/>
      </c>
      <c r="C759" s="28"/>
      <c r="D759" s="28"/>
      <c r="E759" s="34"/>
      <c r="F759" s="34"/>
      <c r="G759" s="34"/>
      <c r="H759" s="34"/>
      <c r="I759" s="34"/>
      <c r="J759" s="28" t="str">
        <f>IFERROR(__xludf.DUMMYFUNCTION("iferror(if(I759="""","""",unique(query('tbl driver 2'!$K$2:$L1508,""SELECT L WHERE K = '""&amp;I759&amp;""'""))),"""")"),"")</f>
        <v/>
      </c>
      <c r="K759" s="31"/>
      <c r="L759" s="39"/>
      <c r="M759" s="39"/>
      <c r="N759" s="28" t="str">
        <f>IFERROR(__xludf.DUMMYFUNCTION("IF(OR(C759="""",M759=""""),"""",IFERROR(IF(M759="""","""",query('tbl user'!$A$2:$D1508,""SELECT A WHERE D = '""&amp;M759&amp;""'"")),""USER TIDAK DIKETAHUI""))"),"")</f>
        <v/>
      </c>
    </row>
    <row r="760">
      <c r="A760" s="23" t="str">
        <f t="shared" si="3"/>
        <v/>
      </c>
      <c r="B760" s="24" t="str">
        <f t="shared" si="4"/>
        <v/>
      </c>
      <c r="C760" s="28"/>
      <c r="D760" s="28"/>
      <c r="E760" s="34"/>
      <c r="F760" s="34"/>
      <c r="G760" s="34"/>
      <c r="H760" s="34"/>
      <c r="I760" s="34"/>
      <c r="J760" s="28" t="str">
        <f>IFERROR(__xludf.DUMMYFUNCTION("iferror(if(I760="""","""",unique(query('tbl driver 2'!$K$2:$L1508,""SELECT L WHERE K = '""&amp;I760&amp;""'""))),"""")"),"")</f>
        <v/>
      </c>
      <c r="K760" s="31"/>
      <c r="L760" s="39"/>
      <c r="M760" s="39"/>
      <c r="N760" s="28" t="str">
        <f>IFERROR(__xludf.DUMMYFUNCTION("IF(OR(C760="""",M760=""""),"""",IFERROR(IF(M760="""","""",query('tbl user'!$A$2:$D1508,""SELECT A WHERE D = '""&amp;M760&amp;""'"")),""USER TIDAK DIKETAHUI""))"),"")</f>
        <v/>
      </c>
    </row>
    <row r="761">
      <c r="A761" s="23" t="str">
        <f t="shared" si="3"/>
        <v/>
      </c>
      <c r="B761" s="24" t="str">
        <f t="shared" si="4"/>
        <v/>
      </c>
      <c r="C761" s="28"/>
      <c r="D761" s="28"/>
      <c r="E761" s="34"/>
      <c r="F761" s="34"/>
      <c r="G761" s="34"/>
      <c r="H761" s="34"/>
      <c r="I761" s="34"/>
      <c r="J761" s="28" t="str">
        <f>IFERROR(__xludf.DUMMYFUNCTION("iferror(if(I761="""","""",unique(query('tbl driver 2'!$K$2:$L1508,""SELECT L WHERE K = '""&amp;I761&amp;""'""))),"""")"),"")</f>
        <v/>
      </c>
      <c r="K761" s="31"/>
      <c r="L761" s="39"/>
      <c r="M761" s="39"/>
      <c r="N761" s="28" t="str">
        <f>IFERROR(__xludf.DUMMYFUNCTION("IF(OR(C761="""",M761=""""),"""",IFERROR(IF(M761="""","""",query('tbl user'!$A$2:$D1508,""SELECT A WHERE D = '""&amp;M761&amp;""'"")),""USER TIDAK DIKETAHUI""))"),"")</f>
        <v/>
      </c>
    </row>
    <row r="762">
      <c r="A762" s="23" t="str">
        <f t="shared" si="3"/>
        <v/>
      </c>
      <c r="B762" s="24" t="str">
        <f t="shared" si="4"/>
        <v/>
      </c>
      <c r="C762" s="28"/>
      <c r="D762" s="28"/>
      <c r="E762" s="34"/>
      <c r="F762" s="34"/>
      <c r="G762" s="34"/>
      <c r="H762" s="34"/>
      <c r="I762" s="34"/>
      <c r="J762" s="28" t="str">
        <f>IFERROR(__xludf.DUMMYFUNCTION("iferror(if(I762="""","""",unique(query('tbl driver 2'!$K$2:$L1508,""SELECT L WHERE K = '""&amp;I762&amp;""'""))),"""")"),"")</f>
        <v/>
      </c>
      <c r="K762" s="31"/>
      <c r="L762" s="39"/>
      <c r="M762" s="39"/>
      <c r="N762" s="28" t="str">
        <f>IFERROR(__xludf.DUMMYFUNCTION("IF(OR(C762="""",M762=""""),"""",IFERROR(IF(M762="""","""",query('tbl user'!$A$2:$D1508,""SELECT A WHERE D = '""&amp;M762&amp;""'"")),""USER TIDAK DIKETAHUI""))"),"")</f>
        <v/>
      </c>
    </row>
    <row r="763">
      <c r="A763" s="23" t="str">
        <f t="shared" si="3"/>
        <v/>
      </c>
      <c r="B763" s="24" t="str">
        <f t="shared" si="4"/>
        <v/>
      </c>
      <c r="C763" s="28"/>
      <c r="D763" s="28"/>
      <c r="E763" s="34"/>
      <c r="F763" s="34"/>
      <c r="G763" s="34"/>
      <c r="H763" s="34"/>
      <c r="I763" s="34"/>
      <c r="J763" s="28" t="str">
        <f>IFERROR(__xludf.DUMMYFUNCTION("iferror(if(I763="""","""",unique(query('tbl driver 2'!$K$2:$L1508,""SELECT L WHERE K = '""&amp;I763&amp;""'""))),"""")"),"")</f>
        <v/>
      </c>
      <c r="K763" s="31"/>
      <c r="L763" s="39"/>
      <c r="M763" s="39"/>
      <c r="N763" s="28" t="str">
        <f>IFERROR(__xludf.DUMMYFUNCTION("IF(OR(C763="""",M763=""""),"""",IFERROR(IF(M763="""","""",query('tbl user'!$A$2:$D1508,""SELECT A WHERE D = '""&amp;M763&amp;""'"")),""USER TIDAK DIKETAHUI""))"),"")</f>
        <v/>
      </c>
    </row>
    <row r="764">
      <c r="A764" s="23" t="str">
        <f t="shared" si="3"/>
        <v/>
      </c>
      <c r="B764" s="24" t="str">
        <f t="shared" si="4"/>
        <v/>
      </c>
      <c r="C764" s="28"/>
      <c r="D764" s="28"/>
      <c r="E764" s="34"/>
      <c r="F764" s="34"/>
      <c r="G764" s="34"/>
      <c r="H764" s="34"/>
      <c r="I764" s="34"/>
      <c r="J764" s="28" t="str">
        <f>IFERROR(__xludf.DUMMYFUNCTION("iferror(if(I764="""","""",unique(query('tbl driver 2'!$K$2:$L1508,""SELECT L WHERE K = '""&amp;I764&amp;""'""))),"""")"),"")</f>
        <v/>
      </c>
      <c r="K764" s="31"/>
      <c r="L764" s="39"/>
      <c r="M764" s="39"/>
      <c r="N764" s="28" t="str">
        <f>IFERROR(__xludf.DUMMYFUNCTION("IF(OR(C764="""",M764=""""),"""",IFERROR(IF(M764="""","""",query('tbl user'!$A$2:$D1508,""SELECT A WHERE D = '""&amp;M764&amp;""'"")),""USER TIDAK DIKETAHUI""))"),"")</f>
        <v/>
      </c>
    </row>
    <row r="765">
      <c r="A765" s="23" t="str">
        <f t="shared" si="3"/>
        <v/>
      </c>
      <c r="B765" s="24" t="str">
        <f t="shared" si="4"/>
        <v/>
      </c>
      <c r="C765" s="28"/>
      <c r="D765" s="28"/>
      <c r="E765" s="34"/>
      <c r="F765" s="34"/>
      <c r="G765" s="34"/>
      <c r="H765" s="34"/>
      <c r="I765" s="34"/>
      <c r="J765" s="28" t="str">
        <f>IFERROR(__xludf.DUMMYFUNCTION("iferror(if(I765="""","""",unique(query('tbl driver 2'!$K$2:$L1508,""SELECT L WHERE K = '""&amp;I765&amp;""'""))),"""")"),"")</f>
        <v/>
      </c>
      <c r="K765" s="31"/>
      <c r="L765" s="39"/>
      <c r="M765" s="39"/>
      <c r="N765" s="28" t="str">
        <f>IFERROR(__xludf.DUMMYFUNCTION("IF(OR(C765="""",M765=""""),"""",IFERROR(IF(M765="""","""",query('tbl user'!$A$2:$D1508,""SELECT A WHERE D = '""&amp;M765&amp;""'"")),""USER TIDAK DIKETAHUI""))"),"")</f>
        <v/>
      </c>
    </row>
    <row r="766">
      <c r="A766" s="23" t="str">
        <f t="shared" si="3"/>
        <v/>
      </c>
      <c r="B766" s="24" t="str">
        <f t="shared" si="4"/>
        <v/>
      </c>
      <c r="C766" s="28"/>
      <c r="D766" s="28"/>
      <c r="E766" s="34"/>
      <c r="F766" s="34"/>
      <c r="G766" s="34"/>
      <c r="H766" s="34"/>
      <c r="I766" s="34"/>
      <c r="J766" s="28" t="str">
        <f>IFERROR(__xludf.DUMMYFUNCTION("iferror(if(I766="""","""",unique(query('tbl driver 2'!$K$2:$L1508,""SELECT L WHERE K = '""&amp;I766&amp;""'""))),"""")"),"")</f>
        <v/>
      </c>
      <c r="K766" s="31"/>
      <c r="L766" s="39"/>
      <c r="M766" s="39"/>
      <c r="N766" s="28" t="str">
        <f>IFERROR(__xludf.DUMMYFUNCTION("IF(OR(C766="""",M766=""""),"""",IFERROR(IF(M766="""","""",query('tbl user'!$A$2:$D1508,""SELECT A WHERE D = '""&amp;M766&amp;""'"")),""USER TIDAK DIKETAHUI""))"),"")</f>
        <v/>
      </c>
    </row>
    <row r="767">
      <c r="A767" s="23" t="str">
        <f t="shared" si="3"/>
        <v/>
      </c>
      <c r="B767" s="24" t="str">
        <f t="shared" si="4"/>
        <v/>
      </c>
      <c r="C767" s="28"/>
      <c r="D767" s="28"/>
      <c r="E767" s="34"/>
      <c r="F767" s="34"/>
      <c r="G767" s="34"/>
      <c r="H767" s="34"/>
      <c r="I767" s="34"/>
      <c r="J767" s="28" t="str">
        <f>IFERROR(__xludf.DUMMYFUNCTION("iferror(if(I767="""","""",unique(query('tbl driver 2'!$K$2:$L1508,""SELECT L WHERE K = '""&amp;I767&amp;""'""))),"""")"),"")</f>
        <v/>
      </c>
      <c r="K767" s="31"/>
      <c r="L767" s="39"/>
      <c r="M767" s="39"/>
      <c r="N767" s="28" t="str">
        <f>IFERROR(__xludf.DUMMYFUNCTION("IF(OR(C767="""",M767=""""),"""",IFERROR(IF(M767="""","""",query('tbl user'!$A$2:$D1508,""SELECT A WHERE D = '""&amp;M767&amp;""'"")),""USER TIDAK DIKETAHUI""))"),"")</f>
        <v/>
      </c>
    </row>
    <row r="768">
      <c r="A768" s="23" t="str">
        <f t="shared" si="3"/>
        <v/>
      </c>
      <c r="B768" s="24" t="str">
        <f t="shared" si="4"/>
        <v/>
      </c>
      <c r="C768" s="28"/>
      <c r="D768" s="28"/>
      <c r="E768" s="34"/>
      <c r="F768" s="34"/>
      <c r="G768" s="34"/>
      <c r="H768" s="34"/>
      <c r="I768" s="34"/>
      <c r="J768" s="28" t="str">
        <f>IFERROR(__xludf.DUMMYFUNCTION("iferror(if(I768="""","""",unique(query('tbl driver 2'!$K$2:$L1508,""SELECT L WHERE K = '""&amp;I768&amp;""'""))),"""")"),"")</f>
        <v/>
      </c>
      <c r="K768" s="31"/>
      <c r="L768" s="39"/>
      <c r="M768" s="39"/>
      <c r="N768" s="28" t="str">
        <f>IFERROR(__xludf.DUMMYFUNCTION("IF(OR(C768="""",M768=""""),"""",IFERROR(IF(M768="""","""",query('tbl user'!$A$2:$D1508,""SELECT A WHERE D = '""&amp;M768&amp;""'"")),""USER TIDAK DIKETAHUI""))"),"")</f>
        <v/>
      </c>
    </row>
    <row r="769">
      <c r="A769" s="23" t="str">
        <f t="shared" si="3"/>
        <v/>
      </c>
      <c r="B769" s="24" t="str">
        <f t="shared" si="4"/>
        <v/>
      </c>
      <c r="C769" s="28"/>
      <c r="D769" s="28"/>
      <c r="E769" s="34"/>
      <c r="F769" s="34"/>
      <c r="G769" s="34"/>
      <c r="H769" s="34"/>
      <c r="I769" s="34"/>
      <c r="J769" s="28" t="str">
        <f>IFERROR(__xludf.DUMMYFUNCTION("iferror(if(I769="""","""",unique(query('tbl driver 2'!$K$2:$L1508,""SELECT L WHERE K = '""&amp;I769&amp;""'""))),"""")"),"")</f>
        <v/>
      </c>
      <c r="K769" s="31"/>
      <c r="L769" s="39"/>
      <c r="M769" s="39"/>
      <c r="N769" s="28" t="str">
        <f>IFERROR(__xludf.DUMMYFUNCTION("IF(OR(C769="""",M769=""""),"""",IFERROR(IF(M769="""","""",query('tbl user'!$A$2:$D1508,""SELECT A WHERE D = '""&amp;M769&amp;""'"")),""USER TIDAK DIKETAHUI""))"),"")</f>
        <v/>
      </c>
    </row>
    <row r="770">
      <c r="A770" s="23" t="str">
        <f t="shared" si="3"/>
        <v/>
      </c>
      <c r="B770" s="24" t="str">
        <f t="shared" si="4"/>
        <v/>
      </c>
      <c r="C770" s="28"/>
      <c r="D770" s="28"/>
      <c r="E770" s="34"/>
      <c r="F770" s="34"/>
      <c r="G770" s="34"/>
      <c r="H770" s="34"/>
      <c r="I770" s="34"/>
      <c r="J770" s="28" t="str">
        <f>IFERROR(__xludf.DUMMYFUNCTION("iferror(if(I770="""","""",unique(query('tbl driver 2'!$K$2:$L1508,""SELECT L WHERE K = '""&amp;I770&amp;""'""))),"""")"),"")</f>
        <v/>
      </c>
      <c r="K770" s="31"/>
      <c r="L770" s="39"/>
      <c r="M770" s="39"/>
      <c r="N770" s="28" t="str">
        <f>IFERROR(__xludf.DUMMYFUNCTION("IF(OR(C770="""",M770=""""),"""",IFERROR(IF(M770="""","""",query('tbl user'!$A$2:$D1508,""SELECT A WHERE D = '""&amp;M770&amp;""'"")),""USER TIDAK DIKETAHUI""))"),"")</f>
        <v/>
      </c>
    </row>
    <row r="771">
      <c r="A771" s="23" t="str">
        <f t="shared" si="3"/>
        <v/>
      </c>
      <c r="B771" s="24" t="str">
        <f t="shared" si="4"/>
        <v/>
      </c>
      <c r="C771" s="28"/>
      <c r="D771" s="28"/>
      <c r="E771" s="34"/>
      <c r="F771" s="34"/>
      <c r="G771" s="34"/>
      <c r="H771" s="34"/>
      <c r="I771" s="34"/>
      <c r="J771" s="28" t="str">
        <f>IFERROR(__xludf.DUMMYFUNCTION("iferror(if(I771="""","""",unique(query('tbl driver 2'!$K$2:$L1508,""SELECT L WHERE K = '""&amp;I771&amp;""'""))),"""")"),"")</f>
        <v/>
      </c>
      <c r="K771" s="31"/>
      <c r="L771" s="39"/>
      <c r="M771" s="39"/>
      <c r="N771" s="28" t="str">
        <f>IFERROR(__xludf.DUMMYFUNCTION("IF(OR(C771="""",M771=""""),"""",IFERROR(IF(M771="""","""",query('tbl user'!$A$2:$D1508,""SELECT A WHERE D = '""&amp;M771&amp;""'"")),""USER TIDAK DIKETAHUI""))"),"")</f>
        <v/>
      </c>
    </row>
    <row r="772">
      <c r="A772" s="23" t="str">
        <f t="shared" si="3"/>
        <v/>
      </c>
      <c r="B772" s="24" t="str">
        <f t="shared" si="4"/>
        <v/>
      </c>
      <c r="C772" s="28"/>
      <c r="D772" s="28"/>
      <c r="E772" s="34"/>
      <c r="F772" s="34"/>
      <c r="G772" s="34"/>
      <c r="H772" s="34"/>
      <c r="I772" s="34"/>
      <c r="J772" s="28" t="str">
        <f>IFERROR(__xludf.DUMMYFUNCTION("iferror(if(I772="""","""",unique(query('tbl driver 2'!$K$2:$L1508,""SELECT L WHERE K = '""&amp;I772&amp;""'""))),"""")"),"")</f>
        <v/>
      </c>
      <c r="K772" s="31"/>
      <c r="L772" s="39"/>
      <c r="M772" s="39"/>
      <c r="N772" s="28" t="str">
        <f>IFERROR(__xludf.DUMMYFUNCTION("IF(OR(C772="""",M772=""""),"""",IFERROR(IF(M772="""","""",query('tbl user'!$A$2:$D1508,""SELECT A WHERE D = '""&amp;M772&amp;""'"")),""USER TIDAK DIKETAHUI""))"),"")</f>
        <v/>
      </c>
    </row>
    <row r="773">
      <c r="A773" s="23" t="str">
        <f t="shared" si="3"/>
        <v/>
      </c>
      <c r="B773" s="24" t="str">
        <f t="shared" si="4"/>
        <v/>
      </c>
      <c r="C773" s="28"/>
      <c r="D773" s="28"/>
      <c r="E773" s="34"/>
      <c r="F773" s="34"/>
      <c r="G773" s="34"/>
      <c r="H773" s="34"/>
      <c r="I773" s="34"/>
      <c r="J773" s="28" t="str">
        <f>IFERROR(__xludf.DUMMYFUNCTION("iferror(if(I773="""","""",unique(query('tbl driver 2'!$K$2:$L1508,""SELECT L WHERE K = '""&amp;I773&amp;""'""))),"""")"),"")</f>
        <v/>
      </c>
      <c r="K773" s="31"/>
      <c r="L773" s="39"/>
      <c r="M773" s="39"/>
      <c r="N773" s="28" t="str">
        <f>IFERROR(__xludf.DUMMYFUNCTION("IF(OR(C773="""",M773=""""),"""",IFERROR(IF(M773="""","""",query('tbl user'!$A$2:$D1508,""SELECT A WHERE D = '""&amp;M773&amp;""'"")),""USER TIDAK DIKETAHUI""))"),"")</f>
        <v/>
      </c>
    </row>
    <row r="774">
      <c r="A774" s="23" t="str">
        <f t="shared" si="3"/>
        <v/>
      </c>
      <c r="B774" s="24" t="str">
        <f t="shared" si="4"/>
        <v/>
      </c>
      <c r="C774" s="28"/>
      <c r="D774" s="28"/>
      <c r="E774" s="34"/>
      <c r="F774" s="34"/>
      <c r="G774" s="34"/>
      <c r="H774" s="34"/>
      <c r="I774" s="34"/>
      <c r="J774" s="28" t="str">
        <f>IFERROR(__xludf.DUMMYFUNCTION("iferror(if(I774="""","""",unique(query('tbl driver 2'!$K$2:$L1508,""SELECT L WHERE K = '""&amp;I774&amp;""'""))),"""")"),"")</f>
        <v/>
      </c>
      <c r="K774" s="31"/>
      <c r="L774" s="39"/>
      <c r="M774" s="39"/>
      <c r="N774" s="28" t="str">
        <f>IFERROR(__xludf.DUMMYFUNCTION("IF(OR(C774="""",M774=""""),"""",IFERROR(IF(M774="""","""",query('tbl user'!$A$2:$D1508,""SELECT A WHERE D = '""&amp;M774&amp;""'"")),""USER TIDAK DIKETAHUI""))"),"")</f>
        <v/>
      </c>
    </row>
    <row r="775">
      <c r="A775" s="23" t="str">
        <f t="shared" si="3"/>
        <v/>
      </c>
      <c r="B775" s="24" t="str">
        <f t="shared" si="4"/>
        <v/>
      </c>
      <c r="C775" s="28"/>
      <c r="D775" s="28"/>
      <c r="E775" s="34"/>
      <c r="F775" s="34"/>
      <c r="G775" s="34"/>
      <c r="H775" s="34"/>
      <c r="I775" s="34"/>
      <c r="J775" s="28" t="str">
        <f>IFERROR(__xludf.DUMMYFUNCTION("iferror(if(I775="""","""",unique(query('tbl driver 2'!$K$2:$L1508,""SELECT L WHERE K = '""&amp;I775&amp;""'""))),"""")"),"")</f>
        <v/>
      </c>
      <c r="K775" s="31"/>
      <c r="L775" s="39"/>
      <c r="M775" s="39"/>
      <c r="N775" s="28" t="str">
        <f>IFERROR(__xludf.DUMMYFUNCTION("IF(OR(C775="""",M775=""""),"""",IFERROR(IF(M775="""","""",query('tbl user'!$A$2:$D1508,""SELECT A WHERE D = '""&amp;M775&amp;""'"")),""USER TIDAK DIKETAHUI""))"),"")</f>
        <v/>
      </c>
    </row>
    <row r="776">
      <c r="A776" s="23" t="str">
        <f t="shared" si="3"/>
        <v/>
      </c>
      <c r="B776" s="24" t="str">
        <f t="shared" si="4"/>
        <v/>
      </c>
      <c r="C776" s="28"/>
      <c r="D776" s="28"/>
      <c r="E776" s="34"/>
      <c r="F776" s="34"/>
      <c r="G776" s="34"/>
      <c r="H776" s="34"/>
      <c r="I776" s="34"/>
      <c r="J776" s="28" t="str">
        <f>IFERROR(__xludf.DUMMYFUNCTION("iferror(if(I776="""","""",unique(query('tbl driver 2'!$K$2:$L1508,""SELECT L WHERE K = '""&amp;I776&amp;""'""))),"""")"),"")</f>
        <v/>
      </c>
      <c r="K776" s="31"/>
      <c r="L776" s="39"/>
      <c r="M776" s="39"/>
      <c r="N776" s="28" t="str">
        <f>IFERROR(__xludf.DUMMYFUNCTION("IF(OR(C776="""",M776=""""),"""",IFERROR(IF(M776="""","""",query('tbl user'!$A$2:$D1508,""SELECT A WHERE D = '""&amp;M776&amp;""'"")),""USER TIDAK DIKETAHUI""))"),"")</f>
        <v/>
      </c>
    </row>
    <row r="777">
      <c r="A777" s="23" t="str">
        <f t="shared" si="3"/>
        <v/>
      </c>
      <c r="B777" s="24" t="str">
        <f t="shared" si="4"/>
        <v/>
      </c>
      <c r="C777" s="28"/>
      <c r="D777" s="28"/>
      <c r="E777" s="34"/>
      <c r="F777" s="34"/>
      <c r="G777" s="34"/>
      <c r="H777" s="34"/>
      <c r="I777" s="34"/>
      <c r="J777" s="28" t="str">
        <f>IFERROR(__xludf.DUMMYFUNCTION("iferror(if(I777="""","""",unique(query('tbl driver 2'!$K$2:$L1508,""SELECT L WHERE K = '""&amp;I777&amp;""'""))),"""")"),"")</f>
        <v/>
      </c>
      <c r="K777" s="31"/>
      <c r="L777" s="39"/>
      <c r="M777" s="39"/>
      <c r="N777" s="28" t="str">
        <f>IFERROR(__xludf.DUMMYFUNCTION("IF(OR(C777="""",M777=""""),"""",IFERROR(IF(M777="""","""",query('tbl user'!$A$2:$D1508,""SELECT A WHERE D = '""&amp;M777&amp;""'"")),""USER TIDAK DIKETAHUI""))"),"")</f>
        <v/>
      </c>
    </row>
    <row r="778">
      <c r="A778" s="23" t="str">
        <f t="shared" si="3"/>
        <v/>
      </c>
      <c r="B778" s="24" t="str">
        <f t="shared" si="4"/>
        <v/>
      </c>
      <c r="C778" s="28"/>
      <c r="D778" s="28"/>
      <c r="E778" s="34"/>
      <c r="F778" s="34"/>
      <c r="G778" s="34"/>
      <c r="H778" s="34"/>
      <c r="I778" s="34"/>
      <c r="J778" s="28" t="str">
        <f>IFERROR(__xludf.DUMMYFUNCTION("iferror(if(I778="""","""",unique(query('tbl driver 2'!$K$2:$L1508,""SELECT L WHERE K = '""&amp;I778&amp;""'""))),"""")"),"")</f>
        <v/>
      </c>
      <c r="K778" s="31"/>
      <c r="L778" s="39"/>
      <c r="M778" s="39"/>
      <c r="N778" s="28" t="str">
        <f>IFERROR(__xludf.DUMMYFUNCTION("IF(OR(C778="""",M778=""""),"""",IFERROR(IF(M778="""","""",query('tbl user'!$A$2:$D1508,""SELECT A WHERE D = '""&amp;M778&amp;""'"")),""USER TIDAK DIKETAHUI""))"),"")</f>
        <v/>
      </c>
    </row>
    <row r="779">
      <c r="A779" s="23" t="str">
        <f t="shared" si="3"/>
        <v/>
      </c>
      <c r="B779" s="24" t="str">
        <f t="shared" si="4"/>
        <v/>
      </c>
      <c r="C779" s="28"/>
      <c r="D779" s="28"/>
      <c r="E779" s="34"/>
      <c r="F779" s="34"/>
      <c r="G779" s="34"/>
      <c r="H779" s="34"/>
      <c r="I779" s="34"/>
      <c r="J779" s="28" t="str">
        <f>IFERROR(__xludf.DUMMYFUNCTION("iferror(if(I779="""","""",unique(query('tbl driver 2'!$K$2:$L1508,""SELECT L WHERE K = '""&amp;I779&amp;""'""))),"""")"),"")</f>
        <v/>
      </c>
      <c r="K779" s="31"/>
      <c r="L779" s="39"/>
      <c r="M779" s="39"/>
      <c r="N779" s="28" t="str">
        <f>IFERROR(__xludf.DUMMYFUNCTION("IF(OR(C779="""",M779=""""),"""",IFERROR(IF(M779="""","""",query('tbl user'!$A$2:$D1508,""SELECT A WHERE D = '""&amp;M779&amp;""'"")),""USER TIDAK DIKETAHUI""))"),"")</f>
        <v/>
      </c>
    </row>
    <row r="780">
      <c r="A780" s="23" t="str">
        <f t="shared" si="3"/>
        <v/>
      </c>
      <c r="B780" s="24" t="str">
        <f t="shared" si="4"/>
        <v/>
      </c>
      <c r="C780" s="28"/>
      <c r="D780" s="28"/>
      <c r="E780" s="34"/>
      <c r="F780" s="34"/>
      <c r="G780" s="34"/>
      <c r="H780" s="34"/>
      <c r="I780" s="34"/>
      <c r="J780" s="28" t="str">
        <f>IFERROR(__xludf.DUMMYFUNCTION("iferror(if(I780="""","""",unique(query('tbl driver 2'!$K$2:$L1508,""SELECT L WHERE K = '""&amp;I780&amp;""'""))),"""")"),"")</f>
        <v/>
      </c>
      <c r="K780" s="31"/>
      <c r="L780" s="39"/>
      <c r="M780" s="39"/>
      <c r="N780" s="28" t="str">
        <f>IFERROR(__xludf.DUMMYFUNCTION("IF(OR(C780="""",M780=""""),"""",IFERROR(IF(M780="""","""",query('tbl user'!$A$2:$D1508,""SELECT A WHERE D = '""&amp;M780&amp;""'"")),""USER TIDAK DIKETAHUI""))"),"")</f>
        <v/>
      </c>
    </row>
    <row r="781">
      <c r="A781" s="23" t="str">
        <f t="shared" si="3"/>
        <v/>
      </c>
      <c r="B781" s="24" t="str">
        <f t="shared" si="4"/>
        <v/>
      </c>
      <c r="C781" s="28"/>
      <c r="D781" s="28"/>
      <c r="E781" s="34"/>
      <c r="F781" s="34"/>
      <c r="G781" s="34"/>
      <c r="H781" s="34"/>
      <c r="I781" s="34"/>
      <c r="J781" s="28" t="str">
        <f>IFERROR(__xludf.DUMMYFUNCTION("iferror(if(I781="""","""",unique(query('tbl driver 2'!$K$2:$L1508,""SELECT L WHERE K = '""&amp;I781&amp;""'""))),"""")"),"")</f>
        <v/>
      </c>
      <c r="K781" s="31"/>
      <c r="L781" s="39"/>
      <c r="M781" s="39"/>
      <c r="N781" s="28" t="str">
        <f>IFERROR(__xludf.DUMMYFUNCTION("IF(OR(C781="""",M781=""""),"""",IFERROR(IF(M781="""","""",query('tbl user'!$A$2:$D1508,""SELECT A WHERE D = '""&amp;M781&amp;""'"")),""USER TIDAK DIKETAHUI""))"),"")</f>
        <v/>
      </c>
    </row>
    <row r="782">
      <c r="A782" s="23" t="str">
        <f t="shared" si="3"/>
        <v/>
      </c>
      <c r="B782" s="24" t="str">
        <f t="shared" si="4"/>
        <v/>
      </c>
      <c r="C782" s="28"/>
      <c r="D782" s="28"/>
      <c r="E782" s="34"/>
      <c r="F782" s="34"/>
      <c r="G782" s="34"/>
      <c r="H782" s="34"/>
      <c r="I782" s="34"/>
      <c r="J782" s="28" t="str">
        <f>IFERROR(__xludf.DUMMYFUNCTION("iferror(if(I782="""","""",unique(query('tbl driver 2'!$K$2:$L1508,""SELECT L WHERE K = '""&amp;I782&amp;""'""))),"""")"),"")</f>
        <v/>
      </c>
      <c r="K782" s="31"/>
      <c r="L782" s="39"/>
      <c r="M782" s="39"/>
      <c r="N782" s="28" t="str">
        <f>IFERROR(__xludf.DUMMYFUNCTION("IF(OR(C782="""",M782=""""),"""",IFERROR(IF(M782="""","""",query('tbl user'!$A$2:$D1508,""SELECT A WHERE D = '""&amp;M782&amp;""'"")),""USER TIDAK DIKETAHUI""))"),"")</f>
        <v/>
      </c>
    </row>
    <row r="783">
      <c r="A783" s="23" t="str">
        <f t="shared" si="3"/>
        <v/>
      </c>
      <c r="B783" s="24" t="str">
        <f t="shared" si="4"/>
        <v/>
      </c>
      <c r="C783" s="28"/>
      <c r="D783" s="28"/>
      <c r="E783" s="34"/>
      <c r="F783" s="34"/>
      <c r="G783" s="34"/>
      <c r="H783" s="34"/>
      <c r="I783" s="34"/>
      <c r="J783" s="28" t="str">
        <f>IFERROR(__xludf.DUMMYFUNCTION("iferror(if(I783="""","""",unique(query('tbl driver 2'!$K$2:$L1508,""SELECT L WHERE K = '""&amp;I783&amp;""'""))),"""")"),"")</f>
        <v/>
      </c>
      <c r="K783" s="31"/>
      <c r="L783" s="39"/>
      <c r="M783" s="39"/>
      <c r="N783" s="28" t="str">
        <f>IFERROR(__xludf.DUMMYFUNCTION("IF(OR(C783="""",M783=""""),"""",IFERROR(IF(M783="""","""",query('tbl user'!$A$2:$D1508,""SELECT A WHERE D = '""&amp;M783&amp;""'"")),""USER TIDAK DIKETAHUI""))"),"")</f>
        <v/>
      </c>
    </row>
    <row r="784">
      <c r="A784" s="23" t="str">
        <f t="shared" si="3"/>
        <v/>
      </c>
      <c r="B784" s="24" t="str">
        <f t="shared" si="4"/>
        <v/>
      </c>
      <c r="C784" s="28"/>
      <c r="D784" s="28"/>
      <c r="E784" s="34"/>
      <c r="F784" s="34"/>
      <c r="G784" s="34"/>
      <c r="H784" s="34"/>
      <c r="I784" s="34"/>
      <c r="J784" s="28" t="str">
        <f>IFERROR(__xludf.DUMMYFUNCTION("iferror(if(I784="""","""",unique(query('tbl driver 2'!$K$2:$L1508,""SELECT L WHERE K = '""&amp;I784&amp;""'""))),"""")"),"")</f>
        <v/>
      </c>
      <c r="K784" s="31"/>
      <c r="L784" s="39"/>
      <c r="M784" s="39"/>
      <c r="N784" s="28" t="str">
        <f>IFERROR(__xludf.DUMMYFUNCTION("IF(OR(C784="""",M784=""""),"""",IFERROR(IF(M784="""","""",query('tbl user'!$A$2:$D1508,""SELECT A WHERE D = '""&amp;M784&amp;""'"")),""USER TIDAK DIKETAHUI""))"),"")</f>
        <v/>
      </c>
    </row>
    <row r="785">
      <c r="A785" s="23" t="str">
        <f t="shared" si="3"/>
        <v/>
      </c>
      <c r="B785" s="24" t="str">
        <f t="shared" si="4"/>
        <v/>
      </c>
      <c r="C785" s="28"/>
      <c r="D785" s="28"/>
      <c r="E785" s="34"/>
      <c r="F785" s="34"/>
      <c r="G785" s="34"/>
      <c r="H785" s="34"/>
      <c r="I785" s="34"/>
      <c r="J785" s="28" t="str">
        <f>IFERROR(__xludf.DUMMYFUNCTION("iferror(if(I785="""","""",unique(query('tbl driver 2'!$K$2:$L1508,""SELECT L WHERE K = '""&amp;I785&amp;""'""))),"""")"),"")</f>
        <v/>
      </c>
      <c r="K785" s="31"/>
      <c r="L785" s="39"/>
      <c r="M785" s="39"/>
      <c r="N785" s="28" t="str">
        <f>IFERROR(__xludf.DUMMYFUNCTION("IF(OR(C785="""",M785=""""),"""",IFERROR(IF(M785="""","""",query('tbl user'!$A$2:$D1508,""SELECT A WHERE D = '""&amp;M785&amp;""'"")),""USER TIDAK DIKETAHUI""))"),"")</f>
        <v/>
      </c>
    </row>
    <row r="786">
      <c r="A786" s="23" t="str">
        <f t="shared" si="3"/>
        <v/>
      </c>
      <c r="B786" s="24" t="str">
        <f t="shared" si="4"/>
        <v/>
      </c>
      <c r="C786" s="28"/>
      <c r="D786" s="28"/>
      <c r="E786" s="34"/>
      <c r="F786" s="34"/>
      <c r="G786" s="34"/>
      <c r="H786" s="34"/>
      <c r="I786" s="34"/>
      <c r="J786" s="28" t="str">
        <f>IFERROR(__xludf.DUMMYFUNCTION("iferror(if(I786="""","""",unique(query('tbl driver 2'!$K$2:$L1508,""SELECT L WHERE K = '""&amp;I786&amp;""'""))),"""")"),"")</f>
        <v/>
      </c>
      <c r="K786" s="31"/>
      <c r="L786" s="39"/>
      <c r="M786" s="39"/>
      <c r="N786" s="28" t="str">
        <f>IFERROR(__xludf.DUMMYFUNCTION("IF(OR(C786="""",M786=""""),"""",IFERROR(IF(M786="""","""",query('tbl user'!$A$2:$D1508,""SELECT A WHERE D = '""&amp;M786&amp;""'"")),""USER TIDAK DIKETAHUI""))"),"")</f>
        <v/>
      </c>
    </row>
    <row r="787">
      <c r="A787" s="23" t="str">
        <f t="shared" si="3"/>
        <v/>
      </c>
      <c r="B787" s="24" t="str">
        <f t="shared" si="4"/>
        <v/>
      </c>
      <c r="C787" s="28"/>
      <c r="D787" s="28"/>
      <c r="E787" s="34"/>
      <c r="F787" s="34"/>
      <c r="G787" s="34"/>
      <c r="H787" s="34"/>
      <c r="I787" s="34"/>
      <c r="J787" s="28" t="str">
        <f>IFERROR(__xludf.DUMMYFUNCTION("iferror(if(I787="""","""",unique(query('tbl driver 2'!$K$2:$L1508,""SELECT L WHERE K = '""&amp;I787&amp;""'""))),"""")"),"")</f>
        <v/>
      </c>
      <c r="K787" s="31"/>
      <c r="L787" s="39"/>
      <c r="M787" s="39"/>
      <c r="N787" s="28" t="str">
        <f>IFERROR(__xludf.DUMMYFUNCTION("IF(OR(C787="""",M787=""""),"""",IFERROR(IF(M787="""","""",query('tbl user'!$A$2:$D1508,""SELECT A WHERE D = '""&amp;M787&amp;""'"")),""USER TIDAK DIKETAHUI""))"),"")</f>
        <v/>
      </c>
    </row>
    <row r="788">
      <c r="A788" s="23" t="str">
        <f t="shared" si="3"/>
        <v/>
      </c>
      <c r="B788" s="24" t="str">
        <f t="shared" si="4"/>
        <v/>
      </c>
      <c r="C788" s="28"/>
      <c r="D788" s="28"/>
      <c r="E788" s="34"/>
      <c r="F788" s="34"/>
      <c r="G788" s="34"/>
      <c r="H788" s="34"/>
      <c r="I788" s="34"/>
      <c r="J788" s="28" t="str">
        <f>IFERROR(__xludf.DUMMYFUNCTION("iferror(if(I788="""","""",unique(query('tbl driver 2'!$K$2:$L1508,""SELECT L WHERE K = '""&amp;I788&amp;""'""))),"""")"),"")</f>
        <v/>
      </c>
      <c r="K788" s="31"/>
      <c r="L788" s="39"/>
      <c r="M788" s="39"/>
      <c r="N788" s="28" t="str">
        <f>IFERROR(__xludf.DUMMYFUNCTION("IF(OR(C788="""",M788=""""),"""",IFERROR(IF(M788="""","""",query('tbl user'!$A$2:$D1508,""SELECT A WHERE D = '""&amp;M788&amp;""'"")),""USER TIDAK DIKETAHUI""))"),"")</f>
        <v/>
      </c>
    </row>
    <row r="789">
      <c r="A789" s="23" t="str">
        <f t="shared" si="3"/>
        <v/>
      </c>
      <c r="B789" s="24" t="str">
        <f t="shared" si="4"/>
        <v/>
      </c>
      <c r="C789" s="28"/>
      <c r="D789" s="28"/>
      <c r="E789" s="34"/>
      <c r="F789" s="34"/>
      <c r="G789" s="34"/>
      <c r="H789" s="34"/>
      <c r="I789" s="34"/>
      <c r="J789" s="28" t="str">
        <f>IFERROR(__xludf.DUMMYFUNCTION("iferror(if(I789="""","""",unique(query('tbl driver 2'!$K$2:$L1508,""SELECT L WHERE K = '""&amp;I789&amp;""'""))),"""")"),"")</f>
        <v/>
      </c>
      <c r="K789" s="31"/>
      <c r="L789" s="39"/>
      <c r="M789" s="39"/>
      <c r="N789" s="28" t="str">
        <f>IFERROR(__xludf.DUMMYFUNCTION("IF(OR(C789="""",M789=""""),"""",IFERROR(IF(M789="""","""",query('tbl user'!$A$2:$D1508,""SELECT A WHERE D = '""&amp;M789&amp;""'"")),""USER TIDAK DIKETAHUI""))"),"")</f>
        <v/>
      </c>
    </row>
    <row r="790">
      <c r="A790" s="23" t="str">
        <f t="shared" si="3"/>
        <v/>
      </c>
      <c r="B790" s="24" t="str">
        <f t="shared" si="4"/>
        <v/>
      </c>
      <c r="C790" s="28"/>
      <c r="D790" s="28"/>
      <c r="E790" s="34"/>
      <c r="F790" s="34"/>
      <c r="G790" s="34"/>
      <c r="H790" s="34"/>
      <c r="I790" s="34"/>
      <c r="J790" s="28" t="str">
        <f>IFERROR(__xludf.DUMMYFUNCTION("iferror(if(I790="""","""",unique(query('tbl driver 2'!$K$2:$L1508,""SELECT L WHERE K = '""&amp;I790&amp;""'""))),"""")"),"")</f>
        <v/>
      </c>
      <c r="K790" s="31"/>
      <c r="L790" s="39"/>
      <c r="M790" s="39"/>
      <c r="N790" s="28" t="str">
        <f>IFERROR(__xludf.DUMMYFUNCTION("IF(OR(C790="""",M790=""""),"""",IFERROR(IF(M790="""","""",query('tbl user'!$A$2:$D1508,""SELECT A WHERE D = '""&amp;M790&amp;""'"")),""USER TIDAK DIKETAHUI""))"),"")</f>
        <v/>
      </c>
    </row>
    <row r="791">
      <c r="A791" s="23" t="str">
        <f t="shared" si="3"/>
        <v/>
      </c>
      <c r="B791" s="24" t="str">
        <f t="shared" si="4"/>
        <v/>
      </c>
      <c r="C791" s="28"/>
      <c r="D791" s="28"/>
      <c r="E791" s="34"/>
      <c r="F791" s="34"/>
      <c r="G791" s="34"/>
      <c r="H791" s="34"/>
      <c r="I791" s="34"/>
      <c r="J791" s="28" t="str">
        <f>IFERROR(__xludf.DUMMYFUNCTION("iferror(if(I791="""","""",unique(query('tbl driver 2'!$K$2:$L1508,""SELECT L WHERE K = '""&amp;I791&amp;""'""))),"""")"),"")</f>
        <v/>
      </c>
      <c r="K791" s="31"/>
      <c r="L791" s="39"/>
      <c r="M791" s="39"/>
      <c r="N791" s="28" t="str">
        <f>IFERROR(__xludf.DUMMYFUNCTION("IF(OR(C791="""",M791=""""),"""",IFERROR(IF(M791="""","""",query('tbl user'!$A$2:$D1508,""SELECT A WHERE D = '""&amp;M791&amp;""'"")),""USER TIDAK DIKETAHUI""))"),"")</f>
        <v/>
      </c>
    </row>
    <row r="792">
      <c r="A792" s="23" t="str">
        <f t="shared" si="3"/>
        <v/>
      </c>
      <c r="B792" s="24" t="str">
        <f t="shared" si="4"/>
        <v/>
      </c>
      <c r="C792" s="28"/>
      <c r="D792" s="28"/>
      <c r="E792" s="34"/>
      <c r="F792" s="34"/>
      <c r="G792" s="34"/>
      <c r="H792" s="34"/>
      <c r="I792" s="34"/>
      <c r="J792" s="28" t="str">
        <f>IFERROR(__xludf.DUMMYFUNCTION("iferror(if(I792="""","""",unique(query('tbl driver 2'!$K$2:$L1508,""SELECT L WHERE K = '""&amp;I792&amp;""'""))),"""")"),"")</f>
        <v/>
      </c>
      <c r="K792" s="31"/>
      <c r="L792" s="39"/>
      <c r="M792" s="39"/>
      <c r="N792" s="28" t="str">
        <f>IFERROR(__xludf.DUMMYFUNCTION("IF(OR(C792="""",M792=""""),"""",IFERROR(IF(M792="""","""",query('tbl user'!$A$2:$D1508,""SELECT A WHERE D = '""&amp;M792&amp;""'"")),""USER TIDAK DIKETAHUI""))"),"")</f>
        <v/>
      </c>
    </row>
    <row r="793">
      <c r="A793" s="23" t="str">
        <f t="shared" si="3"/>
        <v/>
      </c>
      <c r="B793" s="24" t="str">
        <f t="shared" si="4"/>
        <v/>
      </c>
      <c r="C793" s="28"/>
      <c r="D793" s="28"/>
      <c r="E793" s="34"/>
      <c r="F793" s="34"/>
      <c r="G793" s="34"/>
      <c r="H793" s="34"/>
      <c r="I793" s="34"/>
      <c r="J793" s="28" t="str">
        <f>IFERROR(__xludf.DUMMYFUNCTION("iferror(if(I793="""","""",unique(query('tbl driver 2'!$K$2:$L1508,""SELECT L WHERE K = '""&amp;I793&amp;""'""))),"""")"),"")</f>
        <v/>
      </c>
      <c r="K793" s="31"/>
      <c r="L793" s="39"/>
      <c r="M793" s="39"/>
      <c r="N793" s="28" t="str">
        <f>IFERROR(__xludf.DUMMYFUNCTION("IF(OR(C793="""",M793=""""),"""",IFERROR(IF(M793="""","""",query('tbl user'!$A$2:$D1508,""SELECT A WHERE D = '""&amp;M793&amp;""'"")),""USER TIDAK DIKETAHUI""))"),"")</f>
        <v/>
      </c>
    </row>
    <row r="794">
      <c r="A794" s="23" t="str">
        <f t="shared" si="3"/>
        <v/>
      </c>
      <c r="B794" s="24" t="str">
        <f t="shared" si="4"/>
        <v/>
      </c>
      <c r="C794" s="28"/>
      <c r="D794" s="28"/>
      <c r="E794" s="34"/>
      <c r="F794" s="34"/>
      <c r="G794" s="34"/>
      <c r="H794" s="34"/>
      <c r="I794" s="34"/>
      <c r="J794" s="28" t="str">
        <f>IFERROR(__xludf.DUMMYFUNCTION("iferror(if(I794="""","""",unique(query('tbl driver 2'!$K$2:$L1508,""SELECT L WHERE K = '""&amp;I794&amp;""'""))),"""")"),"")</f>
        <v/>
      </c>
      <c r="K794" s="31"/>
      <c r="L794" s="39"/>
      <c r="M794" s="39"/>
      <c r="N794" s="28" t="str">
        <f>IFERROR(__xludf.DUMMYFUNCTION("IF(OR(C794="""",M794=""""),"""",IFERROR(IF(M794="""","""",query('tbl user'!$A$2:$D1508,""SELECT A WHERE D = '""&amp;M794&amp;""'"")),""USER TIDAK DIKETAHUI""))"),"")</f>
        <v/>
      </c>
    </row>
    <row r="795">
      <c r="A795" s="23" t="str">
        <f t="shared" si="3"/>
        <v/>
      </c>
      <c r="B795" s="24" t="str">
        <f t="shared" si="4"/>
        <v/>
      </c>
      <c r="C795" s="28"/>
      <c r="D795" s="28"/>
      <c r="E795" s="34"/>
      <c r="F795" s="34"/>
      <c r="G795" s="34"/>
      <c r="H795" s="34"/>
      <c r="I795" s="34"/>
      <c r="J795" s="28" t="str">
        <f>IFERROR(__xludf.DUMMYFUNCTION("iferror(if(I795="""","""",unique(query('tbl driver 2'!$K$2:$L1508,""SELECT L WHERE K = '""&amp;I795&amp;""'""))),"""")"),"")</f>
        <v/>
      </c>
      <c r="K795" s="31"/>
      <c r="L795" s="39"/>
      <c r="M795" s="39"/>
      <c r="N795" s="28" t="str">
        <f>IFERROR(__xludf.DUMMYFUNCTION("IF(OR(C795="""",M795=""""),"""",IFERROR(IF(M795="""","""",query('tbl user'!$A$2:$D1508,""SELECT A WHERE D = '""&amp;M795&amp;""'"")),""USER TIDAK DIKETAHUI""))"),"")</f>
        <v/>
      </c>
    </row>
    <row r="796">
      <c r="A796" s="23" t="str">
        <f t="shared" si="3"/>
        <v/>
      </c>
      <c r="B796" s="24" t="str">
        <f t="shared" si="4"/>
        <v/>
      </c>
      <c r="C796" s="28"/>
      <c r="D796" s="28"/>
      <c r="E796" s="34"/>
      <c r="F796" s="34"/>
      <c r="G796" s="34"/>
      <c r="H796" s="34"/>
      <c r="I796" s="34"/>
      <c r="J796" s="28" t="str">
        <f>IFERROR(__xludf.DUMMYFUNCTION("iferror(if(I796="""","""",unique(query('tbl driver 2'!$K$2:$L1508,""SELECT L WHERE K = '""&amp;I796&amp;""'""))),"""")"),"")</f>
        <v/>
      </c>
      <c r="K796" s="31"/>
      <c r="L796" s="39"/>
      <c r="M796" s="39"/>
      <c r="N796" s="28" t="str">
        <f>IFERROR(__xludf.DUMMYFUNCTION("IF(OR(C796="""",M796=""""),"""",IFERROR(IF(M796="""","""",query('tbl user'!$A$2:$D1508,""SELECT A WHERE D = '""&amp;M796&amp;""'"")),""USER TIDAK DIKETAHUI""))"),"")</f>
        <v/>
      </c>
    </row>
    <row r="797">
      <c r="A797" s="23" t="str">
        <f t="shared" si="3"/>
        <v/>
      </c>
      <c r="B797" s="24" t="str">
        <f t="shared" si="4"/>
        <v/>
      </c>
      <c r="C797" s="28"/>
      <c r="D797" s="28"/>
      <c r="E797" s="34"/>
      <c r="F797" s="34"/>
      <c r="G797" s="34"/>
      <c r="H797" s="34"/>
      <c r="I797" s="34"/>
      <c r="J797" s="28" t="str">
        <f>IFERROR(__xludf.DUMMYFUNCTION("iferror(if(I797="""","""",unique(query('tbl driver 2'!$K$2:$L1508,""SELECT L WHERE K = '""&amp;I797&amp;""'""))),"""")"),"")</f>
        <v/>
      </c>
      <c r="K797" s="31"/>
      <c r="L797" s="39"/>
      <c r="M797" s="39"/>
      <c r="N797" s="28" t="str">
        <f>IFERROR(__xludf.DUMMYFUNCTION("IF(OR(C797="""",M797=""""),"""",IFERROR(IF(M797="""","""",query('tbl user'!$A$2:$D1508,""SELECT A WHERE D = '""&amp;M797&amp;""'"")),""USER TIDAK DIKETAHUI""))"),"")</f>
        <v/>
      </c>
    </row>
    <row r="798">
      <c r="A798" s="23" t="str">
        <f t="shared" si="3"/>
        <v/>
      </c>
      <c r="B798" s="24" t="str">
        <f t="shared" si="4"/>
        <v/>
      </c>
      <c r="C798" s="28"/>
      <c r="D798" s="28"/>
      <c r="E798" s="34"/>
      <c r="F798" s="34"/>
      <c r="G798" s="34"/>
      <c r="H798" s="34"/>
      <c r="I798" s="34"/>
      <c r="J798" s="28" t="str">
        <f>IFERROR(__xludf.DUMMYFUNCTION("iferror(if(I798="""","""",unique(query('tbl driver 2'!$K$2:$L1508,""SELECT L WHERE K = '""&amp;I798&amp;""'""))),"""")"),"")</f>
        <v/>
      </c>
      <c r="K798" s="31"/>
      <c r="L798" s="39"/>
      <c r="M798" s="39"/>
      <c r="N798" s="28" t="str">
        <f>IFERROR(__xludf.DUMMYFUNCTION("IF(OR(C798="""",M798=""""),"""",IFERROR(IF(M798="""","""",query('tbl user'!$A$2:$D1508,""SELECT A WHERE D = '""&amp;M798&amp;""'"")),""USER TIDAK DIKETAHUI""))"),"")</f>
        <v/>
      </c>
    </row>
    <row r="799">
      <c r="A799" s="23" t="str">
        <f t="shared" si="3"/>
        <v/>
      </c>
      <c r="B799" s="24" t="str">
        <f t="shared" si="4"/>
        <v/>
      </c>
      <c r="C799" s="28"/>
      <c r="D799" s="28"/>
      <c r="E799" s="34"/>
      <c r="F799" s="34"/>
      <c r="G799" s="34"/>
      <c r="H799" s="34"/>
      <c r="I799" s="34"/>
      <c r="J799" s="28" t="str">
        <f>IFERROR(__xludf.DUMMYFUNCTION("iferror(if(I799="""","""",unique(query('tbl driver 2'!$K$2:$L1508,""SELECT L WHERE K = '""&amp;I799&amp;""'""))),"""")"),"")</f>
        <v/>
      </c>
      <c r="K799" s="31"/>
      <c r="L799" s="39"/>
      <c r="M799" s="39"/>
      <c r="N799" s="28" t="str">
        <f>IFERROR(__xludf.DUMMYFUNCTION("IF(OR(C799="""",M799=""""),"""",IFERROR(IF(M799="""","""",query('tbl user'!$A$2:$D1508,""SELECT A WHERE D = '""&amp;M799&amp;""'"")),""USER TIDAK DIKETAHUI""))"),"")</f>
        <v/>
      </c>
    </row>
    <row r="800">
      <c r="A800" s="23" t="str">
        <f t="shared" si="3"/>
        <v/>
      </c>
      <c r="B800" s="24" t="str">
        <f t="shared" si="4"/>
        <v/>
      </c>
      <c r="C800" s="28"/>
      <c r="D800" s="28"/>
      <c r="E800" s="34"/>
      <c r="F800" s="34"/>
      <c r="G800" s="34"/>
      <c r="H800" s="34"/>
      <c r="I800" s="34"/>
      <c r="J800" s="28" t="str">
        <f>IFERROR(__xludf.DUMMYFUNCTION("iferror(if(I800="""","""",unique(query('tbl driver 2'!$K$2:$L1508,""SELECT L WHERE K = '""&amp;I800&amp;""'""))),"""")"),"")</f>
        <v/>
      </c>
      <c r="K800" s="31"/>
      <c r="L800" s="39"/>
      <c r="M800" s="39"/>
      <c r="N800" s="28" t="str">
        <f>IFERROR(__xludf.DUMMYFUNCTION("IF(OR(C800="""",M800=""""),"""",IFERROR(IF(M800="""","""",query('tbl user'!$A$2:$D1508,""SELECT A WHERE D = '""&amp;M800&amp;""'"")),""USER TIDAK DIKETAHUI""))"),"")</f>
        <v/>
      </c>
    </row>
    <row r="801">
      <c r="A801" s="23" t="str">
        <f t="shared" si="3"/>
        <v/>
      </c>
      <c r="B801" s="24" t="str">
        <f t="shared" si="4"/>
        <v/>
      </c>
      <c r="C801" s="28"/>
      <c r="D801" s="28"/>
      <c r="E801" s="34"/>
      <c r="F801" s="34"/>
      <c r="G801" s="34"/>
      <c r="H801" s="34"/>
      <c r="I801" s="34"/>
      <c r="J801" s="28" t="str">
        <f>IFERROR(__xludf.DUMMYFUNCTION("iferror(if(I801="""","""",unique(query('tbl driver 2'!$K$2:$L1508,""SELECT L WHERE K = '""&amp;I801&amp;""'""))),"""")"),"")</f>
        <v/>
      </c>
      <c r="K801" s="31"/>
      <c r="L801" s="39"/>
      <c r="M801" s="39"/>
      <c r="N801" s="28" t="str">
        <f>IFERROR(__xludf.DUMMYFUNCTION("IF(OR(C801="""",M801=""""),"""",IFERROR(IF(M801="""","""",query('tbl user'!$A$2:$D1508,""SELECT A WHERE D = '""&amp;M801&amp;""'"")),""USER TIDAK DIKETAHUI""))"),"")</f>
        <v/>
      </c>
    </row>
    <row r="802">
      <c r="A802" s="23" t="str">
        <f t="shared" si="3"/>
        <v/>
      </c>
      <c r="B802" s="24" t="str">
        <f t="shared" si="4"/>
        <v/>
      </c>
      <c r="C802" s="28"/>
      <c r="D802" s="28"/>
      <c r="E802" s="34"/>
      <c r="F802" s="34"/>
      <c r="G802" s="34"/>
      <c r="H802" s="34"/>
      <c r="I802" s="34"/>
      <c r="J802" s="28" t="str">
        <f>IFERROR(__xludf.DUMMYFUNCTION("iferror(if(I802="""","""",unique(query('tbl driver 2'!$K$2:$L1508,""SELECT L WHERE K = '""&amp;I802&amp;""'""))),"""")"),"")</f>
        <v/>
      </c>
      <c r="K802" s="31"/>
      <c r="L802" s="39"/>
      <c r="M802" s="39"/>
      <c r="N802" s="28" t="str">
        <f>IFERROR(__xludf.DUMMYFUNCTION("IF(OR(C802="""",M802=""""),"""",IFERROR(IF(M802="""","""",query('tbl user'!$A$2:$D1508,""SELECT A WHERE D = '""&amp;M802&amp;""'"")),""USER TIDAK DIKETAHUI""))"),"")</f>
        <v/>
      </c>
    </row>
    <row r="803">
      <c r="A803" s="23" t="str">
        <f t="shared" si="3"/>
        <v/>
      </c>
      <c r="B803" s="24" t="str">
        <f t="shared" si="4"/>
        <v/>
      </c>
      <c r="C803" s="28"/>
      <c r="D803" s="28"/>
      <c r="E803" s="34"/>
      <c r="F803" s="34"/>
      <c r="G803" s="34"/>
      <c r="H803" s="34"/>
      <c r="I803" s="34"/>
      <c r="J803" s="28" t="str">
        <f>IFERROR(__xludf.DUMMYFUNCTION("iferror(if(I803="""","""",unique(query('tbl driver 2'!$K$2:$L1508,""SELECT L WHERE K = '""&amp;I803&amp;""'""))),"""")"),"")</f>
        <v/>
      </c>
      <c r="K803" s="31"/>
      <c r="L803" s="39"/>
      <c r="M803" s="39"/>
      <c r="N803" s="28" t="str">
        <f>IFERROR(__xludf.DUMMYFUNCTION("IF(OR(C803="""",M803=""""),"""",IFERROR(IF(M803="""","""",query('tbl user'!$A$2:$D1508,""SELECT A WHERE D = '""&amp;M803&amp;""'"")),""USER TIDAK DIKETAHUI""))"),"")</f>
        <v/>
      </c>
    </row>
    <row r="804">
      <c r="A804" s="23" t="str">
        <f t="shared" si="3"/>
        <v/>
      </c>
      <c r="B804" s="24" t="str">
        <f t="shared" si="4"/>
        <v/>
      </c>
      <c r="C804" s="28"/>
      <c r="D804" s="28"/>
      <c r="E804" s="34"/>
      <c r="F804" s="34"/>
      <c r="G804" s="34"/>
      <c r="H804" s="34"/>
      <c r="I804" s="34"/>
      <c r="J804" s="28" t="str">
        <f>IFERROR(__xludf.DUMMYFUNCTION("iferror(if(I804="""","""",unique(query('tbl driver 2'!$K$2:$L1508,""SELECT L WHERE K = '""&amp;I804&amp;""'""))),"""")"),"")</f>
        <v/>
      </c>
      <c r="K804" s="31"/>
      <c r="L804" s="39"/>
      <c r="M804" s="39"/>
      <c r="N804" s="28" t="str">
        <f>IFERROR(__xludf.DUMMYFUNCTION("IF(OR(C804="""",M804=""""),"""",IFERROR(IF(M804="""","""",query('tbl user'!$A$2:$D1508,""SELECT A WHERE D = '""&amp;M804&amp;""'"")),""USER TIDAK DIKETAHUI""))"),"")</f>
        <v/>
      </c>
    </row>
    <row r="805">
      <c r="A805" s="23" t="str">
        <f t="shared" si="3"/>
        <v/>
      </c>
      <c r="B805" s="24" t="str">
        <f t="shared" si="4"/>
        <v/>
      </c>
      <c r="C805" s="28"/>
      <c r="D805" s="28"/>
      <c r="E805" s="34"/>
      <c r="F805" s="34"/>
      <c r="G805" s="34"/>
      <c r="H805" s="34"/>
      <c r="I805" s="34"/>
      <c r="J805" s="28" t="str">
        <f>IFERROR(__xludf.DUMMYFUNCTION("iferror(if(I805="""","""",unique(query('tbl driver 2'!$K$2:$L1508,""SELECT L WHERE K = '""&amp;I805&amp;""'""))),"""")"),"")</f>
        <v/>
      </c>
      <c r="K805" s="31"/>
      <c r="L805" s="39"/>
      <c r="M805" s="39"/>
      <c r="N805" s="28" t="str">
        <f>IFERROR(__xludf.DUMMYFUNCTION("IF(OR(C805="""",M805=""""),"""",IFERROR(IF(M805="""","""",query('tbl user'!$A$2:$D1508,""SELECT A WHERE D = '""&amp;M805&amp;""'"")),""USER TIDAK DIKETAHUI""))"),"")</f>
        <v/>
      </c>
    </row>
    <row r="806">
      <c r="A806" s="23" t="str">
        <f t="shared" si="3"/>
        <v/>
      </c>
      <c r="B806" s="24" t="str">
        <f t="shared" si="4"/>
        <v/>
      </c>
      <c r="C806" s="28"/>
      <c r="D806" s="28"/>
      <c r="E806" s="34"/>
      <c r="F806" s="34"/>
      <c r="G806" s="34"/>
      <c r="H806" s="34"/>
      <c r="I806" s="34"/>
      <c r="J806" s="28" t="str">
        <f>IFERROR(__xludf.DUMMYFUNCTION("iferror(if(I806="""","""",unique(query('tbl driver 2'!$K$2:$L1508,""SELECT L WHERE K = '""&amp;I806&amp;""'""))),"""")"),"")</f>
        <v/>
      </c>
      <c r="K806" s="31"/>
      <c r="L806" s="39"/>
      <c r="M806" s="39"/>
      <c r="N806" s="28" t="str">
        <f>IFERROR(__xludf.DUMMYFUNCTION("IF(OR(C806="""",M806=""""),"""",IFERROR(IF(M806="""","""",query('tbl user'!$A$2:$D1508,""SELECT A WHERE D = '""&amp;M806&amp;""'"")),""USER TIDAK DIKETAHUI""))"),"")</f>
        <v/>
      </c>
    </row>
    <row r="807">
      <c r="A807" s="23" t="str">
        <f t="shared" si="3"/>
        <v/>
      </c>
      <c r="B807" s="24" t="str">
        <f t="shared" si="4"/>
        <v/>
      </c>
      <c r="C807" s="28"/>
      <c r="D807" s="28"/>
      <c r="E807" s="34"/>
      <c r="F807" s="34"/>
      <c r="G807" s="34"/>
      <c r="H807" s="34"/>
      <c r="I807" s="34"/>
      <c r="J807" s="28" t="str">
        <f>IFERROR(__xludf.DUMMYFUNCTION("iferror(if(I807="""","""",unique(query('tbl driver 2'!$K$2:$L1508,""SELECT L WHERE K = '""&amp;I807&amp;""'""))),"""")"),"")</f>
        <v/>
      </c>
      <c r="K807" s="31"/>
      <c r="L807" s="39"/>
      <c r="M807" s="39"/>
      <c r="N807" s="28" t="str">
        <f>IFERROR(__xludf.DUMMYFUNCTION("IF(OR(C807="""",M807=""""),"""",IFERROR(IF(M807="""","""",query('tbl user'!$A$2:$D1508,""SELECT A WHERE D = '""&amp;M807&amp;""'"")),""USER TIDAK DIKETAHUI""))"),"")</f>
        <v/>
      </c>
    </row>
    <row r="808">
      <c r="A808" s="23" t="str">
        <f t="shared" si="3"/>
        <v/>
      </c>
      <c r="B808" s="24" t="str">
        <f t="shared" si="4"/>
        <v/>
      </c>
      <c r="C808" s="28"/>
      <c r="D808" s="28"/>
      <c r="E808" s="34"/>
      <c r="F808" s="34"/>
      <c r="G808" s="34"/>
      <c r="H808" s="34"/>
      <c r="I808" s="34"/>
      <c r="J808" s="28" t="str">
        <f>IFERROR(__xludf.DUMMYFUNCTION("iferror(if(I808="""","""",unique(query('tbl driver 2'!$K$2:$L1508,""SELECT L WHERE K = '""&amp;I808&amp;""'""))),"""")"),"")</f>
        <v/>
      </c>
      <c r="K808" s="31"/>
      <c r="L808" s="39"/>
      <c r="M808" s="39"/>
      <c r="N808" s="28" t="str">
        <f>IFERROR(__xludf.DUMMYFUNCTION("IF(OR(C808="""",M808=""""),"""",IFERROR(IF(M808="""","""",query('tbl user'!$A$2:$D1508,""SELECT A WHERE D = '""&amp;M808&amp;""'"")),""USER TIDAK DIKETAHUI""))"),"")</f>
        <v/>
      </c>
    </row>
    <row r="809">
      <c r="A809" s="23" t="str">
        <f t="shared" si="3"/>
        <v/>
      </c>
      <c r="B809" s="24" t="str">
        <f t="shared" si="4"/>
        <v/>
      </c>
      <c r="C809" s="28"/>
      <c r="D809" s="28"/>
      <c r="E809" s="34"/>
      <c r="F809" s="34"/>
      <c r="G809" s="34"/>
      <c r="H809" s="34"/>
      <c r="I809" s="34"/>
      <c r="J809" s="28" t="str">
        <f>IFERROR(__xludf.DUMMYFUNCTION("iferror(if(I809="""","""",unique(query('tbl driver 2'!$K$2:$L1508,""SELECT L WHERE K = '""&amp;I809&amp;""'""))),"""")"),"")</f>
        <v/>
      </c>
      <c r="K809" s="31"/>
      <c r="L809" s="39"/>
      <c r="M809" s="39"/>
      <c r="N809" s="28" t="str">
        <f>IFERROR(__xludf.DUMMYFUNCTION("IF(OR(C809="""",M809=""""),"""",IFERROR(IF(M809="""","""",query('tbl user'!$A$2:$D1508,""SELECT A WHERE D = '""&amp;M809&amp;""'"")),""USER TIDAK DIKETAHUI""))"),"")</f>
        <v/>
      </c>
    </row>
    <row r="810">
      <c r="A810" s="23" t="str">
        <f t="shared" si="3"/>
        <v/>
      </c>
      <c r="B810" s="24" t="str">
        <f t="shared" si="4"/>
        <v/>
      </c>
      <c r="C810" s="28"/>
      <c r="D810" s="28"/>
      <c r="E810" s="34"/>
      <c r="F810" s="34"/>
      <c r="G810" s="34"/>
      <c r="H810" s="34"/>
      <c r="I810" s="34"/>
      <c r="J810" s="28" t="str">
        <f>IFERROR(__xludf.DUMMYFUNCTION("iferror(if(I810="""","""",unique(query('tbl driver 2'!$K$2:$L1508,""SELECT L WHERE K = '""&amp;I810&amp;""'""))),"""")"),"")</f>
        <v/>
      </c>
      <c r="K810" s="31"/>
      <c r="L810" s="39"/>
      <c r="M810" s="39"/>
      <c r="N810" s="28" t="str">
        <f>IFERROR(__xludf.DUMMYFUNCTION("IF(OR(C810="""",M810=""""),"""",IFERROR(IF(M810="""","""",query('tbl user'!$A$2:$D1508,""SELECT A WHERE D = '""&amp;M810&amp;""'"")),""USER TIDAK DIKETAHUI""))"),"")</f>
        <v/>
      </c>
    </row>
    <row r="811">
      <c r="A811" s="23" t="str">
        <f t="shared" si="3"/>
        <v/>
      </c>
      <c r="B811" s="24" t="str">
        <f t="shared" si="4"/>
        <v/>
      </c>
      <c r="C811" s="28"/>
      <c r="D811" s="28"/>
      <c r="E811" s="34"/>
      <c r="F811" s="34"/>
      <c r="G811" s="34"/>
      <c r="H811" s="34"/>
      <c r="I811" s="34"/>
      <c r="J811" s="28" t="str">
        <f>IFERROR(__xludf.DUMMYFUNCTION("iferror(if(I811="""","""",unique(query('tbl driver 2'!$K$2:$L1508,""SELECT L WHERE K = '""&amp;I811&amp;""'""))),"""")"),"")</f>
        <v/>
      </c>
      <c r="K811" s="31"/>
      <c r="L811" s="39"/>
      <c r="M811" s="39"/>
      <c r="N811" s="28" t="str">
        <f>IFERROR(__xludf.DUMMYFUNCTION("IF(OR(C811="""",M811=""""),"""",IFERROR(IF(M811="""","""",query('tbl user'!$A$2:$D1508,""SELECT A WHERE D = '""&amp;M811&amp;""'"")),""USER TIDAK DIKETAHUI""))"),"")</f>
        <v/>
      </c>
    </row>
    <row r="812">
      <c r="A812" s="23" t="str">
        <f t="shared" si="3"/>
        <v/>
      </c>
      <c r="B812" s="24" t="str">
        <f t="shared" si="4"/>
        <v/>
      </c>
      <c r="C812" s="28"/>
      <c r="D812" s="28"/>
      <c r="E812" s="34"/>
      <c r="F812" s="34"/>
      <c r="G812" s="34"/>
      <c r="H812" s="34"/>
      <c r="I812" s="34"/>
      <c r="J812" s="28" t="str">
        <f>IFERROR(__xludf.DUMMYFUNCTION("iferror(if(I812="""","""",unique(query('tbl driver 2'!$K$2:$L1508,""SELECT L WHERE K = '""&amp;I812&amp;""'""))),"""")"),"")</f>
        <v/>
      </c>
      <c r="K812" s="31"/>
      <c r="L812" s="39"/>
      <c r="M812" s="39"/>
      <c r="N812" s="28" t="str">
        <f>IFERROR(__xludf.DUMMYFUNCTION("IF(OR(C812="""",M812=""""),"""",IFERROR(IF(M812="""","""",query('tbl user'!$A$2:$D1508,""SELECT A WHERE D = '""&amp;M812&amp;""'"")),""USER TIDAK DIKETAHUI""))"),"")</f>
        <v/>
      </c>
    </row>
    <row r="813">
      <c r="A813" s="23" t="str">
        <f t="shared" si="3"/>
        <v/>
      </c>
      <c r="B813" s="24" t="str">
        <f t="shared" si="4"/>
        <v/>
      </c>
      <c r="C813" s="28"/>
      <c r="D813" s="28"/>
      <c r="E813" s="34"/>
      <c r="F813" s="34"/>
      <c r="G813" s="34"/>
      <c r="H813" s="34"/>
      <c r="I813" s="34"/>
      <c r="J813" s="28" t="str">
        <f>IFERROR(__xludf.DUMMYFUNCTION("iferror(if(I813="""","""",unique(query('tbl driver 2'!$K$2:$L1508,""SELECT L WHERE K = '""&amp;I813&amp;""'""))),"""")"),"")</f>
        <v/>
      </c>
      <c r="K813" s="31"/>
      <c r="L813" s="39"/>
      <c r="M813" s="39"/>
      <c r="N813" s="28" t="str">
        <f>IFERROR(__xludf.DUMMYFUNCTION("IF(OR(C813="""",M813=""""),"""",IFERROR(IF(M813="""","""",query('tbl user'!$A$2:$D1508,""SELECT A WHERE D = '""&amp;M813&amp;""'"")),""USER TIDAK DIKETAHUI""))"),"")</f>
        <v/>
      </c>
    </row>
    <row r="814">
      <c r="A814" s="23" t="str">
        <f t="shared" si="3"/>
        <v/>
      </c>
      <c r="B814" s="24" t="str">
        <f t="shared" si="4"/>
        <v/>
      </c>
      <c r="C814" s="28"/>
      <c r="D814" s="28"/>
      <c r="E814" s="34"/>
      <c r="F814" s="34"/>
      <c r="G814" s="34"/>
      <c r="H814" s="34"/>
      <c r="I814" s="34"/>
      <c r="J814" s="28" t="str">
        <f>IFERROR(__xludf.DUMMYFUNCTION("iferror(if(I814="""","""",unique(query('tbl driver 2'!$K$2:$L1508,""SELECT L WHERE K = '""&amp;I814&amp;""'""))),"""")"),"")</f>
        <v/>
      </c>
      <c r="K814" s="31"/>
      <c r="L814" s="39"/>
      <c r="M814" s="39"/>
      <c r="N814" s="28" t="str">
        <f>IFERROR(__xludf.DUMMYFUNCTION("IF(OR(C814="""",M814=""""),"""",IFERROR(IF(M814="""","""",query('tbl user'!$A$2:$D1508,""SELECT A WHERE D = '""&amp;M814&amp;""'"")),""USER TIDAK DIKETAHUI""))"),"")</f>
        <v/>
      </c>
    </row>
    <row r="815">
      <c r="A815" s="23" t="str">
        <f t="shared" si="3"/>
        <v/>
      </c>
      <c r="B815" s="24" t="str">
        <f t="shared" si="4"/>
        <v/>
      </c>
      <c r="C815" s="28"/>
      <c r="D815" s="28"/>
      <c r="E815" s="34"/>
      <c r="F815" s="34"/>
      <c r="G815" s="34"/>
      <c r="H815" s="34"/>
      <c r="I815" s="34"/>
      <c r="J815" s="28" t="str">
        <f>IFERROR(__xludf.DUMMYFUNCTION("iferror(if(I815="""","""",unique(query('tbl driver 2'!$K$2:$L1508,""SELECT L WHERE K = '""&amp;I815&amp;""'""))),"""")"),"")</f>
        <v/>
      </c>
      <c r="K815" s="31"/>
      <c r="L815" s="39"/>
      <c r="M815" s="39"/>
      <c r="N815" s="28" t="str">
        <f>IFERROR(__xludf.DUMMYFUNCTION("IF(OR(C815="""",M815=""""),"""",IFERROR(IF(M815="""","""",query('tbl user'!$A$2:$D1508,""SELECT A WHERE D = '""&amp;M815&amp;""'"")),""USER TIDAK DIKETAHUI""))"),"")</f>
        <v/>
      </c>
    </row>
    <row r="816">
      <c r="A816" s="23" t="str">
        <f t="shared" si="3"/>
        <v/>
      </c>
      <c r="B816" s="24" t="str">
        <f t="shared" si="4"/>
        <v/>
      </c>
      <c r="C816" s="28"/>
      <c r="D816" s="28"/>
      <c r="E816" s="34"/>
      <c r="F816" s="34"/>
      <c r="G816" s="34"/>
      <c r="H816" s="34"/>
      <c r="I816" s="34"/>
      <c r="J816" s="28" t="str">
        <f>IFERROR(__xludf.DUMMYFUNCTION("iferror(if(I816="""","""",unique(query('tbl driver 2'!$K$2:$L1508,""SELECT L WHERE K = '""&amp;I816&amp;""'""))),"""")"),"")</f>
        <v/>
      </c>
      <c r="K816" s="31"/>
      <c r="L816" s="39"/>
      <c r="M816" s="39"/>
      <c r="N816" s="28" t="str">
        <f>IFERROR(__xludf.DUMMYFUNCTION("IF(OR(C816="""",M816=""""),"""",IFERROR(IF(M816="""","""",query('tbl user'!$A$2:$D1508,""SELECT A WHERE D = '""&amp;M816&amp;""'"")),""USER TIDAK DIKETAHUI""))"),"")</f>
        <v/>
      </c>
    </row>
    <row r="817">
      <c r="A817" s="23" t="str">
        <f t="shared" si="3"/>
        <v/>
      </c>
      <c r="B817" s="24" t="str">
        <f t="shared" si="4"/>
        <v/>
      </c>
      <c r="C817" s="28"/>
      <c r="D817" s="28"/>
      <c r="E817" s="34"/>
      <c r="F817" s="34"/>
      <c r="G817" s="34"/>
      <c r="H817" s="34"/>
      <c r="I817" s="34"/>
      <c r="J817" s="28" t="str">
        <f>IFERROR(__xludf.DUMMYFUNCTION("iferror(if(I817="""","""",unique(query('tbl driver 2'!$K$2:$L1508,""SELECT L WHERE K = '""&amp;I817&amp;""'""))),"""")"),"")</f>
        <v/>
      </c>
      <c r="K817" s="31"/>
      <c r="L817" s="39"/>
      <c r="M817" s="39"/>
      <c r="N817" s="28" t="str">
        <f>IFERROR(__xludf.DUMMYFUNCTION("IF(OR(C817="""",M817=""""),"""",IFERROR(IF(M817="""","""",query('tbl user'!$A$2:$D1508,""SELECT A WHERE D = '""&amp;M817&amp;""'"")),""USER TIDAK DIKETAHUI""))"),"")</f>
        <v/>
      </c>
    </row>
    <row r="818">
      <c r="A818" s="23" t="str">
        <f t="shared" si="3"/>
        <v/>
      </c>
      <c r="B818" s="24" t="str">
        <f t="shared" si="4"/>
        <v/>
      </c>
      <c r="C818" s="28"/>
      <c r="D818" s="28"/>
      <c r="E818" s="34"/>
      <c r="F818" s="34"/>
      <c r="G818" s="34"/>
      <c r="H818" s="34"/>
      <c r="I818" s="34"/>
      <c r="J818" s="28" t="str">
        <f>IFERROR(__xludf.DUMMYFUNCTION("iferror(if(I818="""","""",unique(query('tbl driver 2'!$K$2:$L1508,""SELECT L WHERE K = '""&amp;I818&amp;""'""))),"""")"),"")</f>
        <v/>
      </c>
      <c r="K818" s="31"/>
      <c r="L818" s="39"/>
      <c r="M818" s="39"/>
      <c r="N818" s="28" t="str">
        <f>IFERROR(__xludf.DUMMYFUNCTION("IF(OR(C818="""",M818=""""),"""",IFERROR(IF(M818="""","""",query('tbl user'!$A$2:$D1508,""SELECT A WHERE D = '""&amp;M818&amp;""'"")),""USER TIDAK DIKETAHUI""))"),"")</f>
        <v/>
      </c>
    </row>
    <row r="819">
      <c r="A819" s="23" t="str">
        <f t="shared" si="3"/>
        <v/>
      </c>
      <c r="B819" s="24" t="str">
        <f t="shared" si="4"/>
        <v/>
      </c>
      <c r="C819" s="28"/>
      <c r="D819" s="28"/>
      <c r="E819" s="34"/>
      <c r="F819" s="34"/>
      <c r="G819" s="34"/>
      <c r="H819" s="34"/>
      <c r="I819" s="34"/>
      <c r="J819" s="28" t="str">
        <f>IFERROR(__xludf.DUMMYFUNCTION("iferror(if(I819="""","""",unique(query('tbl driver 2'!$K$2:$L1508,""SELECT L WHERE K = '""&amp;I819&amp;""'""))),"""")"),"")</f>
        <v/>
      </c>
      <c r="K819" s="31"/>
      <c r="L819" s="39"/>
      <c r="M819" s="39"/>
      <c r="N819" s="28" t="str">
        <f>IFERROR(__xludf.DUMMYFUNCTION("IF(OR(C819="""",M819=""""),"""",IFERROR(IF(M819="""","""",query('tbl user'!$A$2:$D1508,""SELECT A WHERE D = '""&amp;M819&amp;""'"")),""USER TIDAK DIKETAHUI""))"),"")</f>
        <v/>
      </c>
    </row>
    <row r="820">
      <c r="A820" s="23" t="str">
        <f t="shared" si="3"/>
        <v/>
      </c>
      <c r="B820" s="24" t="str">
        <f t="shared" si="4"/>
        <v/>
      </c>
      <c r="C820" s="28"/>
      <c r="D820" s="28"/>
      <c r="E820" s="34"/>
      <c r="F820" s="34"/>
      <c r="G820" s="34"/>
      <c r="H820" s="34"/>
      <c r="I820" s="34"/>
      <c r="J820" s="28" t="str">
        <f>IFERROR(__xludf.DUMMYFUNCTION("iferror(if(I820="""","""",unique(query('tbl driver 2'!$K$2:$L1508,""SELECT L WHERE K = '""&amp;I820&amp;""'""))),"""")"),"")</f>
        <v/>
      </c>
      <c r="K820" s="31"/>
      <c r="L820" s="39"/>
      <c r="M820" s="39"/>
      <c r="N820" s="28" t="str">
        <f>IFERROR(__xludf.DUMMYFUNCTION("IF(OR(C820="""",M820=""""),"""",IFERROR(IF(M820="""","""",query('tbl user'!$A$2:$D1508,""SELECT A WHERE D = '""&amp;M820&amp;""'"")),""USER TIDAK DIKETAHUI""))"),"")</f>
        <v/>
      </c>
    </row>
    <row r="821">
      <c r="A821" s="23" t="str">
        <f t="shared" si="3"/>
        <v/>
      </c>
      <c r="B821" s="24" t="str">
        <f t="shared" si="4"/>
        <v/>
      </c>
      <c r="C821" s="28"/>
      <c r="D821" s="28"/>
      <c r="E821" s="34"/>
      <c r="F821" s="34"/>
      <c r="G821" s="34"/>
      <c r="H821" s="34"/>
      <c r="I821" s="34"/>
      <c r="J821" s="28" t="str">
        <f>IFERROR(__xludf.DUMMYFUNCTION("iferror(if(I821="""","""",unique(query('tbl driver 2'!$K$2:$L1508,""SELECT L WHERE K = '""&amp;I821&amp;""'""))),"""")"),"")</f>
        <v/>
      </c>
      <c r="K821" s="31"/>
      <c r="L821" s="39"/>
      <c r="M821" s="39"/>
      <c r="N821" s="28" t="str">
        <f>IFERROR(__xludf.DUMMYFUNCTION("IF(OR(C821="""",M821=""""),"""",IFERROR(IF(M821="""","""",query('tbl user'!$A$2:$D1508,""SELECT A WHERE D = '""&amp;M821&amp;""'"")),""USER TIDAK DIKETAHUI""))"),"")</f>
        <v/>
      </c>
    </row>
    <row r="822">
      <c r="A822" s="23" t="str">
        <f t="shared" si="3"/>
        <v/>
      </c>
      <c r="B822" s="24" t="str">
        <f t="shared" si="4"/>
        <v/>
      </c>
      <c r="C822" s="28"/>
      <c r="D822" s="28"/>
      <c r="E822" s="34"/>
      <c r="F822" s="34"/>
      <c r="G822" s="34"/>
      <c r="H822" s="34"/>
      <c r="I822" s="34"/>
      <c r="J822" s="28" t="str">
        <f>IFERROR(__xludf.DUMMYFUNCTION("iferror(if(I822="""","""",unique(query('tbl driver 2'!$K$2:$L1508,""SELECT L WHERE K = '""&amp;I822&amp;""'""))),"""")"),"")</f>
        <v/>
      </c>
      <c r="K822" s="31"/>
      <c r="L822" s="39"/>
      <c r="M822" s="39"/>
      <c r="N822" s="28" t="str">
        <f>IFERROR(__xludf.DUMMYFUNCTION("IF(OR(C822="""",M822=""""),"""",IFERROR(IF(M822="""","""",query('tbl user'!$A$2:$D1508,""SELECT A WHERE D = '""&amp;M822&amp;""'"")),""USER TIDAK DIKETAHUI""))"),"")</f>
        <v/>
      </c>
    </row>
    <row r="823">
      <c r="A823" s="23" t="str">
        <f t="shared" si="3"/>
        <v/>
      </c>
      <c r="B823" s="24" t="str">
        <f t="shared" si="4"/>
        <v/>
      </c>
      <c r="C823" s="28"/>
      <c r="D823" s="28"/>
      <c r="E823" s="34"/>
      <c r="F823" s="34"/>
      <c r="G823" s="34"/>
      <c r="H823" s="34"/>
      <c r="I823" s="34"/>
      <c r="J823" s="28" t="str">
        <f>IFERROR(__xludf.DUMMYFUNCTION("iferror(if(I823="""","""",unique(query('tbl driver 2'!$K$2:$L1508,""SELECT L WHERE K = '""&amp;I823&amp;""'""))),"""")"),"")</f>
        <v/>
      </c>
      <c r="K823" s="31"/>
      <c r="L823" s="39"/>
      <c r="M823" s="39"/>
      <c r="N823" s="28" t="str">
        <f>IFERROR(__xludf.DUMMYFUNCTION("IF(OR(C823="""",M823=""""),"""",IFERROR(IF(M823="""","""",query('tbl user'!$A$2:$D1508,""SELECT A WHERE D = '""&amp;M823&amp;""'"")),""USER TIDAK DIKETAHUI""))"),"")</f>
        <v/>
      </c>
    </row>
    <row r="824">
      <c r="A824" s="23" t="str">
        <f t="shared" si="3"/>
        <v/>
      </c>
      <c r="B824" s="24" t="str">
        <f t="shared" si="4"/>
        <v/>
      </c>
      <c r="C824" s="28"/>
      <c r="D824" s="28"/>
      <c r="E824" s="34"/>
      <c r="F824" s="34"/>
      <c r="G824" s="34"/>
      <c r="H824" s="34"/>
      <c r="I824" s="34"/>
      <c r="J824" s="28" t="str">
        <f>IFERROR(__xludf.DUMMYFUNCTION("iferror(if(I824="""","""",unique(query('tbl driver 2'!$K$2:$L1508,""SELECT L WHERE K = '""&amp;I824&amp;""'""))),"""")"),"")</f>
        <v/>
      </c>
      <c r="K824" s="31"/>
      <c r="L824" s="39"/>
      <c r="M824" s="39"/>
      <c r="N824" s="28" t="str">
        <f>IFERROR(__xludf.DUMMYFUNCTION("IF(OR(C824="""",M824=""""),"""",IFERROR(IF(M824="""","""",query('tbl user'!$A$2:$D1508,""SELECT A WHERE D = '""&amp;M824&amp;""'"")),""USER TIDAK DIKETAHUI""))"),"")</f>
        <v/>
      </c>
    </row>
    <row r="825">
      <c r="A825" s="23" t="str">
        <f t="shared" si="3"/>
        <v/>
      </c>
      <c r="B825" s="24" t="str">
        <f t="shared" si="4"/>
        <v/>
      </c>
      <c r="C825" s="28"/>
      <c r="D825" s="28"/>
      <c r="E825" s="34"/>
      <c r="F825" s="34"/>
      <c r="G825" s="34"/>
      <c r="H825" s="34"/>
      <c r="I825" s="34"/>
      <c r="J825" s="28" t="str">
        <f>IFERROR(__xludf.DUMMYFUNCTION("iferror(if(I825="""","""",unique(query('tbl driver 2'!$K$2:$L1508,""SELECT L WHERE K = '""&amp;I825&amp;""'""))),"""")"),"")</f>
        <v/>
      </c>
      <c r="K825" s="31"/>
      <c r="L825" s="39"/>
      <c r="M825" s="39"/>
      <c r="N825" s="28" t="str">
        <f>IFERROR(__xludf.DUMMYFUNCTION("IF(OR(C825="""",M825=""""),"""",IFERROR(IF(M825="""","""",query('tbl user'!$A$2:$D1508,""SELECT A WHERE D = '""&amp;M825&amp;""'"")),""USER TIDAK DIKETAHUI""))"),"")</f>
        <v/>
      </c>
    </row>
    <row r="826">
      <c r="A826" s="23" t="str">
        <f t="shared" si="3"/>
        <v/>
      </c>
      <c r="B826" s="24" t="str">
        <f t="shared" si="4"/>
        <v/>
      </c>
      <c r="C826" s="28"/>
      <c r="D826" s="28"/>
      <c r="E826" s="34"/>
      <c r="F826" s="34"/>
      <c r="G826" s="34"/>
      <c r="H826" s="34"/>
      <c r="I826" s="34"/>
      <c r="J826" s="28" t="str">
        <f>IFERROR(__xludf.DUMMYFUNCTION("iferror(if(I826="""","""",unique(query('tbl driver 2'!$K$2:$L1508,""SELECT L WHERE K = '""&amp;I826&amp;""'""))),"""")"),"")</f>
        <v/>
      </c>
      <c r="K826" s="31"/>
      <c r="L826" s="39"/>
      <c r="M826" s="39"/>
      <c r="N826" s="28" t="str">
        <f>IFERROR(__xludf.DUMMYFUNCTION("IF(OR(C826="""",M826=""""),"""",IFERROR(IF(M826="""","""",query('tbl user'!$A$2:$D1508,""SELECT A WHERE D = '""&amp;M826&amp;""'"")),""USER TIDAK DIKETAHUI""))"),"")</f>
        <v/>
      </c>
    </row>
    <row r="827">
      <c r="A827" s="23" t="str">
        <f t="shared" si="3"/>
        <v/>
      </c>
      <c r="B827" s="24" t="str">
        <f t="shared" si="4"/>
        <v/>
      </c>
      <c r="C827" s="28"/>
      <c r="D827" s="28"/>
      <c r="E827" s="34"/>
      <c r="F827" s="34"/>
      <c r="G827" s="34"/>
      <c r="H827" s="34"/>
      <c r="I827" s="34"/>
      <c r="J827" s="28" t="str">
        <f>IFERROR(__xludf.DUMMYFUNCTION("iferror(if(I827="""","""",unique(query('tbl driver 2'!$K$2:$L1508,""SELECT L WHERE K = '""&amp;I827&amp;""'""))),"""")"),"")</f>
        <v/>
      </c>
      <c r="K827" s="31"/>
      <c r="L827" s="39"/>
      <c r="M827" s="39"/>
      <c r="N827" s="28" t="str">
        <f>IFERROR(__xludf.DUMMYFUNCTION("IF(OR(C827="""",M827=""""),"""",IFERROR(IF(M827="""","""",query('tbl user'!$A$2:$D1508,""SELECT A WHERE D = '""&amp;M827&amp;""'"")),""USER TIDAK DIKETAHUI""))"),"")</f>
        <v/>
      </c>
    </row>
    <row r="828">
      <c r="A828" s="23" t="str">
        <f t="shared" si="3"/>
        <v/>
      </c>
      <c r="B828" s="24" t="str">
        <f t="shared" si="4"/>
        <v/>
      </c>
      <c r="C828" s="28"/>
      <c r="D828" s="28"/>
      <c r="E828" s="34"/>
      <c r="F828" s="34"/>
      <c r="G828" s="34"/>
      <c r="H828" s="34"/>
      <c r="I828" s="34"/>
      <c r="J828" s="28" t="str">
        <f>IFERROR(__xludf.DUMMYFUNCTION("iferror(if(I828="""","""",unique(query('tbl driver 2'!$K$2:$L1508,""SELECT L WHERE K = '""&amp;I828&amp;""'""))),"""")"),"")</f>
        <v/>
      </c>
      <c r="K828" s="31"/>
      <c r="L828" s="39"/>
      <c r="M828" s="39"/>
      <c r="N828" s="28" t="str">
        <f>IFERROR(__xludf.DUMMYFUNCTION("IF(OR(C828="""",M828=""""),"""",IFERROR(IF(M828="""","""",query('tbl user'!$A$2:$D1508,""SELECT A WHERE D = '""&amp;M828&amp;""'"")),""USER TIDAK DIKETAHUI""))"),"")</f>
        <v/>
      </c>
    </row>
    <row r="829">
      <c r="A829" s="23" t="str">
        <f t="shared" si="3"/>
        <v/>
      </c>
      <c r="B829" s="24" t="str">
        <f t="shared" si="4"/>
        <v/>
      </c>
      <c r="C829" s="28"/>
      <c r="D829" s="28"/>
      <c r="E829" s="34"/>
      <c r="F829" s="34"/>
      <c r="G829" s="34"/>
      <c r="H829" s="34"/>
      <c r="I829" s="34"/>
      <c r="J829" s="28" t="str">
        <f>IFERROR(__xludf.DUMMYFUNCTION("iferror(if(I829="""","""",unique(query('tbl driver 2'!$K$2:$L1508,""SELECT L WHERE K = '""&amp;I829&amp;""'""))),"""")"),"")</f>
        <v/>
      </c>
      <c r="K829" s="31"/>
      <c r="L829" s="39"/>
      <c r="M829" s="39"/>
      <c r="N829" s="28" t="str">
        <f>IFERROR(__xludf.DUMMYFUNCTION("IF(OR(C829="""",M829=""""),"""",IFERROR(IF(M829="""","""",query('tbl user'!$A$2:$D1508,""SELECT A WHERE D = '""&amp;M829&amp;""'"")),""USER TIDAK DIKETAHUI""))"),"")</f>
        <v/>
      </c>
    </row>
    <row r="830">
      <c r="A830" s="23" t="str">
        <f t="shared" si="3"/>
        <v/>
      </c>
      <c r="B830" s="24" t="str">
        <f t="shared" si="4"/>
        <v/>
      </c>
      <c r="C830" s="28"/>
      <c r="D830" s="28"/>
      <c r="E830" s="34"/>
      <c r="F830" s="34"/>
      <c r="G830" s="34"/>
      <c r="H830" s="34"/>
      <c r="I830" s="34"/>
      <c r="J830" s="28" t="str">
        <f>IFERROR(__xludf.DUMMYFUNCTION("iferror(if(I830="""","""",unique(query('tbl driver 2'!$K$2:$L1508,""SELECT L WHERE K = '""&amp;I830&amp;""'""))),"""")"),"")</f>
        <v/>
      </c>
      <c r="K830" s="31"/>
      <c r="L830" s="39"/>
      <c r="M830" s="39"/>
      <c r="N830" s="28" t="str">
        <f>IFERROR(__xludf.DUMMYFUNCTION("IF(OR(C830="""",M830=""""),"""",IFERROR(IF(M830="""","""",query('tbl user'!$A$2:$D1508,""SELECT A WHERE D = '""&amp;M830&amp;""'"")),""USER TIDAK DIKETAHUI""))"),"")</f>
        <v/>
      </c>
    </row>
    <row r="831">
      <c r="A831" s="23" t="str">
        <f t="shared" si="3"/>
        <v/>
      </c>
      <c r="B831" s="24" t="str">
        <f t="shared" si="4"/>
        <v/>
      </c>
      <c r="C831" s="28"/>
      <c r="D831" s="28"/>
      <c r="E831" s="34"/>
      <c r="F831" s="34"/>
      <c r="G831" s="34"/>
      <c r="H831" s="34"/>
      <c r="I831" s="34"/>
      <c r="J831" s="28" t="str">
        <f>IFERROR(__xludf.DUMMYFUNCTION("iferror(if(I831="""","""",unique(query('tbl driver 2'!$K$2:$L1508,""SELECT L WHERE K = '""&amp;I831&amp;""'""))),"""")"),"")</f>
        <v/>
      </c>
      <c r="K831" s="31"/>
      <c r="L831" s="39"/>
      <c r="M831" s="39"/>
      <c r="N831" s="28" t="str">
        <f>IFERROR(__xludf.DUMMYFUNCTION("IF(OR(C831="""",M831=""""),"""",IFERROR(IF(M831="""","""",query('tbl user'!$A$2:$D1508,""SELECT A WHERE D = '""&amp;M831&amp;""'"")),""USER TIDAK DIKETAHUI""))"),"")</f>
        <v/>
      </c>
    </row>
    <row r="832">
      <c r="A832" s="23" t="str">
        <f t="shared" si="3"/>
        <v/>
      </c>
      <c r="B832" s="24" t="str">
        <f t="shared" si="4"/>
        <v/>
      </c>
      <c r="C832" s="28"/>
      <c r="D832" s="28"/>
      <c r="E832" s="34"/>
      <c r="F832" s="34"/>
      <c r="G832" s="34"/>
      <c r="H832" s="34"/>
      <c r="I832" s="34"/>
      <c r="J832" s="28" t="str">
        <f>IFERROR(__xludf.DUMMYFUNCTION("iferror(if(I832="""","""",unique(query('tbl driver 2'!$K$2:$L1508,""SELECT L WHERE K = '""&amp;I832&amp;""'""))),"""")"),"")</f>
        <v/>
      </c>
      <c r="K832" s="31"/>
      <c r="L832" s="39"/>
      <c r="M832" s="39"/>
      <c r="N832" s="28" t="str">
        <f>IFERROR(__xludf.DUMMYFUNCTION("IF(OR(C832="""",M832=""""),"""",IFERROR(IF(M832="""","""",query('tbl user'!$A$2:$D1508,""SELECT A WHERE D = '""&amp;M832&amp;""'"")),""USER TIDAK DIKETAHUI""))"),"")</f>
        <v/>
      </c>
    </row>
    <row r="833">
      <c r="A833" s="23" t="str">
        <f t="shared" si="3"/>
        <v/>
      </c>
      <c r="B833" s="24" t="str">
        <f t="shared" si="4"/>
        <v/>
      </c>
      <c r="C833" s="28"/>
      <c r="D833" s="28"/>
      <c r="E833" s="34"/>
      <c r="F833" s="34"/>
      <c r="G833" s="34"/>
      <c r="H833" s="34"/>
      <c r="I833" s="34"/>
      <c r="J833" s="28" t="str">
        <f>IFERROR(__xludf.DUMMYFUNCTION("iferror(if(I833="""","""",unique(query('tbl driver 2'!$K$2:$L1508,""SELECT L WHERE K = '""&amp;I833&amp;""'""))),"""")"),"")</f>
        <v/>
      </c>
      <c r="K833" s="31"/>
      <c r="L833" s="39"/>
      <c r="M833" s="39"/>
      <c r="N833" s="28" t="str">
        <f>IFERROR(__xludf.DUMMYFUNCTION("IF(OR(C833="""",M833=""""),"""",IFERROR(IF(M833="""","""",query('tbl user'!$A$2:$D1508,""SELECT A WHERE D = '""&amp;M833&amp;""'"")),""USER TIDAK DIKETAHUI""))"),"")</f>
        <v/>
      </c>
    </row>
    <row r="834">
      <c r="A834" s="23" t="str">
        <f t="shared" si="3"/>
        <v/>
      </c>
      <c r="B834" s="24" t="str">
        <f t="shared" si="4"/>
        <v/>
      </c>
      <c r="C834" s="28"/>
      <c r="D834" s="28"/>
      <c r="E834" s="34"/>
      <c r="F834" s="34"/>
      <c r="G834" s="34"/>
      <c r="H834" s="34"/>
      <c r="I834" s="34"/>
      <c r="J834" s="28" t="str">
        <f>IFERROR(__xludf.DUMMYFUNCTION("iferror(if(I834="""","""",unique(query('tbl driver 2'!$K$2:$L1508,""SELECT L WHERE K = '""&amp;I834&amp;""'""))),"""")"),"")</f>
        <v/>
      </c>
      <c r="K834" s="31"/>
      <c r="L834" s="39"/>
      <c r="M834" s="39"/>
      <c r="N834" s="28" t="str">
        <f>IFERROR(__xludf.DUMMYFUNCTION("IF(OR(C834="""",M834=""""),"""",IFERROR(IF(M834="""","""",query('tbl user'!$A$2:$D1508,""SELECT A WHERE D = '""&amp;M834&amp;""'"")),""USER TIDAK DIKETAHUI""))"),"")</f>
        <v/>
      </c>
    </row>
    <row r="835">
      <c r="A835" s="23" t="str">
        <f t="shared" si="3"/>
        <v/>
      </c>
      <c r="B835" s="24" t="str">
        <f t="shared" si="4"/>
        <v/>
      </c>
      <c r="C835" s="28"/>
      <c r="D835" s="28"/>
      <c r="E835" s="34"/>
      <c r="F835" s="34"/>
      <c r="G835" s="34"/>
      <c r="H835" s="34"/>
      <c r="I835" s="34"/>
      <c r="J835" s="28" t="str">
        <f>IFERROR(__xludf.DUMMYFUNCTION("iferror(if(I835="""","""",unique(query('tbl driver 2'!$K$2:$L1508,""SELECT L WHERE K = '""&amp;I835&amp;""'""))),"""")"),"")</f>
        <v/>
      </c>
      <c r="K835" s="31"/>
      <c r="L835" s="39"/>
      <c r="M835" s="39"/>
      <c r="N835" s="28" t="str">
        <f>IFERROR(__xludf.DUMMYFUNCTION("IF(OR(C835="""",M835=""""),"""",IFERROR(IF(M835="""","""",query('tbl user'!$A$2:$D1508,""SELECT A WHERE D = '""&amp;M835&amp;""'"")),""USER TIDAK DIKETAHUI""))"),"")</f>
        <v/>
      </c>
    </row>
    <row r="836">
      <c r="A836" s="23" t="str">
        <f t="shared" si="3"/>
        <v/>
      </c>
      <c r="B836" s="24" t="str">
        <f t="shared" si="4"/>
        <v/>
      </c>
      <c r="C836" s="28"/>
      <c r="D836" s="28"/>
      <c r="E836" s="34"/>
      <c r="F836" s="34"/>
      <c r="G836" s="34"/>
      <c r="H836" s="34"/>
      <c r="I836" s="34"/>
      <c r="J836" s="28" t="str">
        <f>IFERROR(__xludf.DUMMYFUNCTION("iferror(if(I836="""","""",unique(query('tbl driver 2'!$K$2:$L1508,""SELECT L WHERE K = '""&amp;I836&amp;""'""))),"""")"),"")</f>
        <v/>
      </c>
      <c r="K836" s="31"/>
      <c r="L836" s="39"/>
      <c r="M836" s="39"/>
      <c r="N836" s="28" t="str">
        <f>IFERROR(__xludf.DUMMYFUNCTION("IF(OR(C836="""",M836=""""),"""",IFERROR(IF(M836="""","""",query('tbl user'!$A$2:$D1508,""SELECT A WHERE D = '""&amp;M836&amp;""'"")),""USER TIDAK DIKETAHUI""))"),"")</f>
        <v/>
      </c>
    </row>
    <row r="837">
      <c r="A837" s="23" t="str">
        <f t="shared" si="3"/>
        <v/>
      </c>
      <c r="B837" s="24" t="str">
        <f t="shared" si="4"/>
        <v/>
      </c>
      <c r="C837" s="28"/>
      <c r="D837" s="28"/>
      <c r="E837" s="34"/>
      <c r="F837" s="34"/>
      <c r="G837" s="34"/>
      <c r="H837" s="34"/>
      <c r="I837" s="34"/>
      <c r="J837" s="28" t="str">
        <f>IFERROR(__xludf.DUMMYFUNCTION("iferror(if(I837="""","""",unique(query('tbl driver 2'!$K$2:$L1508,""SELECT L WHERE K = '""&amp;I837&amp;""'""))),"""")"),"")</f>
        <v/>
      </c>
      <c r="K837" s="31"/>
      <c r="L837" s="39"/>
      <c r="M837" s="39"/>
      <c r="N837" s="28" t="str">
        <f>IFERROR(__xludf.DUMMYFUNCTION("IF(OR(C837="""",M837=""""),"""",IFERROR(IF(M837="""","""",query('tbl user'!$A$2:$D1508,""SELECT A WHERE D = '""&amp;M837&amp;""'"")),""USER TIDAK DIKETAHUI""))"),"")</f>
        <v/>
      </c>
    </row>
    <row r="838">
      <c r="A838" s="23" t="str">
        <f t="shared" si="3"/>
        <v/>
      </c>
      <c r="B838" s="24" t="str">
        <f t="shared" si="4"/>
        <v/>
      </c>
      <c r="C838" s="28"/>
      <c r="D838" s="28"/>
      <c r="E838" s="34"/>
      <c r="F838" s="34"/>
      <c r="G838" s="34"/>
      <c r="H838" s="34"/>
      <c r="I838" s="34"/>
      <c r="J838" s="28" t="str">
        <f>IFERROR(__xludf.DUMMYFUNCTION("iferror(if(I838="""","""",unique(query('tbl driver 2'!$K$2:$L1508,""SELECT L WHERE K = '""&amp;I838&amp;""'""))),"""")"),"")</f>
        <v/>
      </c>
      <c r="K838" s="31"/>
      <c r="L838" s="39"/>
      <c r="M838" s="39"/>
      <c r="N838" s="28" t="str">
        <f>IFERROR(__xludf.DUMMYFUNCTION("IF(OR(C838="""",M838=""""),"""",IFERROR(IF(M838="""","""",query('tbl user'!$A$2:$D1508,""SELECT A WHERE D = '""&amp;M838&amp;""'"")),""USER TIDAK DIKETAHUI""))"),"")</f>
        <v/>
      </c>
    </row>
    <row r="839">
      <c r="A839" s="23" t="str">
        <f t="shared" si="3"/>
        <v/>
      </c>
      <c r="B839" s="24" t="str">
        <f t="shared" si="4"/>
        <v/>
      </c>
      <c r="C839" s="28"/>
      <c r="D839" s="28"/>
      <c r="E839" s="34"/>
      <c r="F839" s="34"/>
      <c r="G839" s="34"/>
      <c r="H839" s="34"/>
      <c r="I839" s="34"/>
      <c r="J839" s="28" t="str">
        <f>IFERROR(__xludf.DUMMYFUNCTION("iferror(if(I839="""","""",unique(query('tbl driver 2'!$K$2:$L1508,""SELECT L WHERE K = '""&amp;I839&amp;""'""))),"""")"),"")</f>
        <v/>
      </c>
      <c r="K839" s="31"/>
      <c r="L839" s="39"/>
      <c r="M839" s="39"/>
      <c r="N839" s="28" t="str">
        <f>IFERROR(__xludf.DUMMYFUNCTION("IF(OR(C839="""",M839=""""),"""",IFERROR(IF(M839="""","""",query('tbl user'!$A$2:$D1508,""SELECT A WHERE D = '""&amp;M839&amp;""'"")),""USER TIDAK DIKETAHUI""))"),"")</f>
        <v/>
      </c>
    </row>
    <row r="840">
      <c r="A840" s="23" t="str">
        <f t="shared" si="3"/>
        <v/>
      </c>
      <c r="B840" s="24" t="str">
        <f t="shared" si="4"/>
        <v/>
      </c>
      <c r="C840" s="28"/>
      <c r="D840" s="28"/>
      <c r="E840" s="34"/>
      <c r="F840" s="34"/>
      <c r="G840" s="34"/>
      <c r="H840" s="34"/>
      <c r="I840" s="34"/>
      <c r="J840" s="28" t="str">
        <f>IFERROR(__xludf.DUMMYFUNCTION("iferror(if(I840="""","""",unique(query('tbl driver 2'!$K$2:$L1508,""SELECT L WHERE K = '""&amp;I840&amp;""'""))),"""")"),"")</f>
        <v/>
      </c>
      <c r="K840" s="31"/>
      <c r="L840" s="39"/>
      <c r="M840" s="39"/>
      <c r="N840" s="28" t="str">
        <f>IFERROR(__xludf.DUMMYFUNCTION("IF(OR(C840="""",M840=""""),"""",IFERROR(IF(M840="""","""",query('tbl user'!$A$2:$D1508,""SELECT A WHERE D = '""&amp;M840&amp;""'"")),""USER TIDAK DIKETAHUI""))"),"")</f>
        <v/>
      </c>
    </row>
    <row r="841">
      <c r="A841" s="23" t="str">
        <f t="shared" si="3"/>
        <v/>
      </c>
      <c r="B841" s="24" t="str">
        <f t="shared" si="4"/>
        <v/>
      </c>
      <c r="C841" s="28"/>
      <c r="D841" s="28"/>
      <c r="E841" s="34"/>
      <c r="F841" s="34"/>
      <c r="G841" s="34"/>
      <c r="H841" s="34"/>
      <c r="I841" s="34"/>
      <c r="J841" s="28" t="str">
        <f>IFERROR(__xludf.DUMMYFUNCTION("iferror(if(I841="""","""",unique(query('tbl driver 2'!$K$2:$L1508,""SELECT L WHERE K = '""&amp;I841&amp;""'""))),"""")"),"")</f>
        <v/>
      </c>
      <c r="K841" s="31"/>
      <c r="L841" s="39"/>
      <c r="M841" s="39"/>
      <c r="N841" s="28" t="str">
        <f>IFERROR(__xludf.DUMMYFUNCTION("IF(OR(C841="""",M841=""""),"""",IFERROR(IF(M841="""","""",query('tbl user'!$A$2:$D1508,""SELECT A WHERE D = '""&amp;M841&amp;""'"")),""USER TIDAK DIKETAHUI""))"),"")</f>
        <v/>
      </c>
    </row>
    <row r="842">
      <c r="A842" s="23" t="str">
        <f t="shared" si="3"/>
        <v/>
      </c>
      <c r="B842" s="24" t="str">
        <f t="shared" si="4"/>
        <v/>
      </c>
      <c r="C842" s="28"/>
      <c r="D842" s="28"/>
      <c r="E842" s="34"/>
      <c r="F842" s="34"/>
      <c r="G842" s="34"/>
      <c r="H842" s="34"/>
      <c r="I842" s="34"/>
      <c r="J842" s="28" t="str">
        <f>IFERROR(__xludf.DUMMYFUNCTION("iferror(if(I842="""","""",unique(query('tbl driver 2'!$K$2:$L1508,""SELECT L WHERE K = '""&amp;I842&amp;""'""))),"""")"),"")</f>
        <v/>
      </c>
      <c r="K842" s="31"/>
      <c r="L842" s="39"/>
      <c r="M842" s="39"/>
      <c r="N842" s="28" t="str">
        <f>IFERROR(__xludf.DUMMYFUNCTION("IF(OR(C842="""",M842=""""),"""",IFERROR(IF(M842="""","""",query('tbl user'!$A$2:$D1508,""SELECT A WHERE D = '""&amp;M842&amp;""'"")),""USER TIDAK DIKETAHUI""))"),"")</f>
        <v/>
      </c>
    </row>
    <row r="843">
      <c r="A843" s="23" t="str">
        <f t="shared" si="3"/>
        <v/>
      </c>
      <c r="B843" s="24" t="str">
        <f t="shared" si="4"/>
        <v/>
      </c>
      <c r="C843" s="28"/>
      <c r="D843" s="28"/>
      <c r="E843" s="34"/>
      <c r="F843" s="34"/>
      <c r="G843" s="34"/>
      <c r="H843" s="34"/>
      <c r="I843" s="34"/>
      <c r="J843" s="28" t="str">
        <f>IFERROR(__xludf.DUMMYFUNCTION("iferror(if(I843="""","""",unique(query('tbl driver 2'!$K$2:$L1508,""SELECT L WHERE K = '""&amp;I843&amp;""'""))),"""")"),"")</f>
        <v/>
      </c>
      <c r="K843" s="31"/>
      <c r="L843" s="39"/>
      <c r="M843" s="39"/>
      <c r="N843" s="28" t="str">
        <f>IFERROR(__xludf.DUMMYFUNCTION("IF(OR(C843="""",M843=""""),"""",IFERROR(IF(M843="""","""",query('tbl user'!$A$2:$D1508,""SELECT A WHERE D = '""&amp;M843&amp;""'"")),""USER TIDAK DIKETAHUI""))"),"")</f>
        <v/>
      </c>
    </row>
    <row r="844">
      <c r="A844" s="23" t="str">
        <f t="shared" si="3"/>
        <v/>
      </c>
      <c r="B844" s="24" t="str">
        <f t="shared" si="4"/>
        <v/>
      </c>
      <c r="C844" s="28"/>
      <c r="D844" s="28"/>
      <c r="E844" s="34"/>
      <c r="F844" s="34"/>
      <c r="G844" s="34"/>
      <c r="H844" s="34"/>
      <c r="I844" s="34"/>
      <c r="J844" s="28" t="str">
        <f>IFERROR(__xludf.DUMMYFUNCTION("iferror(if(I844="""","""",unique(query('tbl driver 2'!$K$2:$L1508,""SELECT L WHERE K = '""&amp;I844&amp;""'""))),"""")"),"")</f>
        <v/>
      </c>
      <c r="K844" s="31"/>
      <c r="L844" s="39"/>
      <c r="M844" s="39"/>
      <c r="N844" s="28" t="str">
        <f>IFERROR(__xludf.DUMMYFUNCTION("IF(OR(C844="""",M844=""""),"""",IFERROR(IF(M844="""","""",query('tbl user'!$A$2:$D1508,""SELECT A WHERE D = '""&amp;M844&amp;""'"")),""USER TIDAK DIKETAHUI""))"),"")</f>
        <v/>
      </c>
    </row>
    <row r="845">
      <c r="A845" s="23" t="str">
        <f t="shared" si="3"/>
        <v/>
      </c>
      <c r="B845" s="24" t="str">
        <f t="shared" si="4"/>
        <v/>
      </c>
      <c r="C845" s="28"/>
      <c r="D845" s="28"/>
      <c r="E845" s="34"/>
      <c r="F845" s="34"/>
      <c r="G845" s="34"/>
      <c r="H845" s="34"/>
      <c r="I845" s="34"/>
      <c r="J845" s="28" t="str">
        <f>IFERROR(__xludf.DUMMYFUNCTION("iferror(if(I845="""","""",unique(query('tbl driver 2'!$K$2:$L1508,""SELECT L WHERE K = '""&amp;I845&amp;""'""))),"""")"),"")</f>
        <v/>
      </c>
      <c r="K845" s="31"/>
      <c r="L845" s="39"/>
      <c r="M845" s="39"/>
      <c r="N845" s="28" t="str">
        <f>IFERROR(__xludf.DUMMYFUNCTION("IF(OR(C845="""",M845=""""),"""",IFERROR(IF(M845="""","""",query('tbl user'!$A$2:$D1508,""SELECT A WHERE D = '""&amp;M845&amp;""'"")),""USER TIDAK DIKETAHUI""))"),"")</f>
        <v/>
      </c>
    </row>
    <row r="846">
      <c r="A846" s="23" t="str">
        <f t="shared" si="3"/>
        <v/>
      </c>
      <c r="B846" s="24" t="str">
        <f t="shared" si="4"/>
        <v/>
      </c>
      <c r="C846" s="28"/>
      <c r="D846" s="28"/>
      <c r="E846" s="34"/>
      <c r="F846" s="34"/>
      <c r="G846" s="34"/>
      <c r="H846" s="34"/>
      <c r="I846" s="34"/>
      <c r="J846" s="28" t="str">
        <f>IFERROR(__xludf.DUMMYFUNCTION("iferror(if(I846="""","""",unique(query('tbl driver 2'!$K$2:$L1508,""SELECT L WHERE K = '""&amp;I846&amp;""'""))),"""")"),"")</f>
        <v/>
      </c>
      <c r="K846" s="31"/>
      <c r="L846" s="39"/>
      <c r="M846" s="39"/>
      <c r="N846" s="28" t="str">
        <f>IFERROR(__xludf.DUMMYFUNCTION("IF(OR(C846="""",M846=""""),"""",IFERROR(IF(M846="""","""",query('tbl user'!$A$2:$D1508,""SELECT A WHERE D = '""&amp;M846&amp;""'"")),""USER TIDAK DIKETAHUI""))"),"")</f>
        <v/>
      </c>
    </row>
    <row r="847">
      <c r="A847" s="23" t="str">
        <f t="shared" si="3"/>
        <v/>
      </c>
      <c r="B847" s="24" t="str">
        <f t="shared" si="4"/>
        <v/>
      </c>
      <c r="C847" s="28"/>
      <c r="D847" s="28"/>
      <c r="E847" s="34"/>
      <c r="F847" s="34"/>
      <c r="G847" s="34"/>
      <c r="H847" s="34"/>
      <c r="I847" s="34"/>
      <c r="J847" s="28" t="str">
        <f>IFERROR(__xludf.DUMMYFUNCTION("iferror(if(I847="""","""",unique(query('tbl driver 2'!$K$2:$L1508,""SELECT L WHERE K = '""&amp;I847&amp;""'""))),"""")"),"")</f>
        <v/>
      </c>
      <c r="K847" s="31"/>
      <c r="L847" s="39"/>
      <c r="M847" s="39"/>
      <c r="N847" s="28" t="str">
        <f>IFERROR(__xludf.DUMMYFUNCTION("IF(OR(C847="""",M847=""""),"""",IFERROR(IF(M847="""","""",query('tbl user'!$A$2:$D1508,""SELECT A WHERE D = '""&amp;M847&amp;""'"")),""USER TIDAK DIKETAHUI""))"),"")</f>
        <v/>
      </c>
    </row>
    <row r="848">
      <c r="A848" s="23" t="str">
        <f t="shared" si="3"/>
        <v/>
      </c>
      <c r="B848" s="24" t="str">
        <f t="shared" si="4"/>
        <v/>
      </c>
      <c r="C848" s="28"/>
      <c r="D848" s="28"/>
      <c r="E848" s="34"/>
      <c r="F848" s="34"/>
      <c r="G848" s="34"/>
      <c r="H848" s="34"/>
      <c r="I848" s="34"/>
      <c r="J848" s="28" t="str">
        <f>IFERROR(__xludf.DUMMYFUNCTION("iferror(if(I848="""","""",unique(query('tbl driver 2'!$K$2:$L1508,""SELECT L WHERE K = '""&amp;I848&amp;""'""))),"""")"),"")</f>
        <v/>
      </c>
      <c r="K848" s="31"/>
      <c r="L848" s="39"/>
      <c r="M848" s="39"/>
      <c r="N848" s="28" t="str">
        <f>IFERROR(__xludf.DUMMYFUNCTION("IF(OR(C848="""",M848=""""),"""",IFERROR(IF(M848="""","""",query('tbl user'!$A$2:$D1508,""SELECT A WHERE D = '""&amp;M848&amp;""'"")),""USER TIDAK DIKETAHUI""))"),"")</f>
        <v/>
      </c>
    </row>
    <row r="849">
      <c r="A849" s="23" t="str">
        <f t="shared" si="3"/>
        <v/>
      </c>
      <c r="B849" s="24" t="str">
        <f t="shared" si="4"/>
        <v/>
      </c>
      <c r="C849" s="28"/>
      <c r="D849" s="28"/>
      <c r="E849" s="34"/>
      <c r="F849" s="34"/>
      <c r="G849" s="34"/>
      <c r="H849" s="34"/>
      <c r="I849" s="34"/>
      <c r="J849" s="28" t="str">
        <f>IFERROR(__xludf.DUMMYFUNCTION("iferror(if(I849="""","""",unique(query('tbl driver 2'!$K$2:$L1508,""SELECT L WHERE K = '""&amp;I849&amp;""'""))),"""")"),"")</f>
        <v/>
      </c>
      <c r="K849" s="31"/>
      <c r="L849" s="39"/>
      <c r="M849" s="39"/>
      <c r="N849" s="28" t="str">
        <f>IFERROR(__xludf.DUMMYFUNCTION("IF(OR(C849="""",M849=""""),"""",IFERROR(IF(M849="""","""",query('tbl user'!$A$2:$D1508,""SELECT A WHERE D = '""&amp;M849&amp;""'"")),""USER TIDAK DIKETAHUI""))"),"")</f>
        <v/>
      </c>
    </row>
    <row r="850">
      <c r="A850" s="23" t="str">
        <f t="shared" si="3"/>
        <v/>
      </c>
      <c r="B850" s="24" t="str">
        <f t="shared" si="4"/>
        <v/>
      </c>
      <c r="C850" s="28"/>
      <c r="D850" s="28"/>
      <c r="E850" s="34"/>
      <c r="F850" s="34"/>
      <c r="G850" s="34"/>
      <c r="H850" s="34"/>
      <c r="I850" s="34"/>
      <c r="J850" s="28" t="str">
        <f>IFERROR(__xludf.DUMMYFUNCTION("iferror(if(I850="""","""",unique(query('tbl driver 2'!$K$2:$L1508,""SELECT L WHERE K = '""&amp;I850&amp;""'""))),"""")"),"")</f>
        <v/>
      </c>
      <c r="K850" s="31"/>
      <c r="L850" s="39"/>
      <c r="M850" s="39"/>
      <c r="N850" s="28" t="str">
        <f>IFERROR(__xludf.DUMMYFUNCTION("IF(OR(C850="""",M850=""""),"""",IFERROR(IF(M850="""","""",query('tbl user'!$A$2:$D1508,""SELECT A WHERE D = '""&amp;M850&amp;""'"")),""USER TIDAK DIKETAHUI""))"),"")</f>
        <v/>
      </c>
    </row>
    <row r="851">
      <c r="A851" s="23" t="str">
        <f t="shared" si="3"/>
        <v/>
      </c>
      <c r="B851" s="24" t="str">
        <f t="shared" si="4"/>
        <v/>
      </c>
      <c r="C851" s="28"/>
      <c r="D851" s="28"/>
      <c r="E851" s="34"/>
      <c r="F851" s="34"/>
      <c r="G851" s="34"/>
      <c r="H851" s="34"/>
      <c r="I851" s="34"/>
      <c r="J851" s="28" t="str">
        <f>IFERROR(__xludf.DUMMYFUNCTION("iferror(if(I851="""","""",unique(query('tbl driver 2'!$K$2:$L1508,""SELECT L WHERE K = '""&amp;I851&amp;""'""))),"""")"),"")</f>
        <v/>
      </c>
      <c r="K851" s="31"/>
      <c r="L851" s="39"/>
      <c r="M851" s="39"/>
      <c r="N851" s="28" t="str">
        <f>IFERROR(__xludf.DUMMYFUNCTION("IF(OR(C851="""",M851=""""),"""",IFERROR(IF(M851="""","""",query('tbl user'!$A$2:$D1508,""SELECT A WHERE D = '""&amp;M851&amp;""'"")),""USER TIDAK DIKETAHUI""))"),"")</f>
        <v/>
      </c>
    </row>
    <row r="852">
      <c r="A852" s="23" t="str">
        <f t="shared" si="3"/>
        <v/>
      </c>
      <c r="B852" s="24" t="str">
        <f t="shared" si="4"/>
        <v/>
      </c>
      <c r="C852" s="28"/>
      <c r="D852" s="28"/>
      <c r="E852" s="34"/>
      <c r="F852" s="34"/>
      <c r="G852" s="34"/>
      <c r="H852" s="34"/>
      <c r="I852" s="34"/>
      <c r="J852" s="28" t="str">
        <f>IFERROR(__xludf.DUMMYFUNCTION("iferror(if(I852="""","""",unique(query('tbl driver 2'!$K$2:$L1508,""SELECT L WHERE K = '""&amp;I852&amp;""'""))),"""")"),"")</f>
        <v/>
      </c>
      <c r="K852" s="31"/>
      <c r="L852" s="39"/>
      <c r="M852" s="39"/>
      <c r="N852" s="28" t="str">
        <f>IFERROR(__xludf.DUMMYFUNCTION("IF(OR(C852="""",M852=""""),"""",IFERROR(IF(M852="""","""",query('tbl user'!$A$2:$D1508,""SELECT A WHERE D = '""&amp;M852&amp;""'"")),""USER TIDAK DIKETAHUI""))"),"")</f>
        <v/>
      </c>
    </row>
    <row r="853">
      <c r="A853" s="23" t="str">
        <f t="shared" si="3"/>
        <v/>
      </c>
      <c r="B853" s="24" t="str">
        <f t="shared" si="4"/>
        <v/>
      </c>
      <c r="C853" s="28"/>
      <c r="D853" s="28"/>
      <c r="E853" s="34"/>
      <c r="F853" s="34"/>
      <c r="G853" s="34"/>
      <c r="H853" s="34"/>
      <c r="I853" s="34"/>
      <c r="J853" s="28" t="str">
        <f>IFERROR(__xludf.DUMMYFUNCTION("iferror(if(I853="""","""",unique(query('tbl driver 2'!$K$2:$L1508,""SELECT L WHERE K = '""&amp;I853&amp;""'""))),"""")"),"")</f>
        <v/>
      </c>
      <c r="K853" s="31"/>
      <c r="L853" s="39"/>
      <c r="M853" s="39"/>
      <c r="N853" s="28" t="str">
        <f>IFERROR(__xludf.DUMMYFUNCTION("IF(OR(C853="""",M853=""""),"""",IFERROR(IF(M853="""","""",query('tbl user'!$A$2:$D1508,""SELECT A WHERE D = '""&amp;M853&amp;""'"")),""USER TIDAK DIKETAHUI""))"),"")</f>
        <v/>
      </c>
    </row>
    <row r="854">
      <c r="A854" s="23" t="str">
        <f t="shared" si="3"/>
        <v/>
      </c>
      <c r="B854" s="24" t="str">
        <f t="shared" si="4"/>
        <v/>
      </c>
      <c r="C854" s="28"/>
      <c r="D854" s="28"/>
      <c r="E854" s="34"/>
      <c r="F854" s="34"/>
      <c r="G854" s="34"/>
      <c r="H854" s="34"/>
      <c r="I854" s="34"/>
      <c r="J854" s="28" t="str">
        <f>IFERROR(__xludf.DUMMYFUNCTION("iferror(if(I854="""","""",unique(query('tbl driver 2'!$K$2:$L1508,""SELECT L WHERE K = '""&amp;I854&amp;""'""))),"""")"),"")</f>
        <v/>
      </c>
      <c r="K854" s="31"/>
      <c r="L854" s="39"/>
      <c r="M854" s="39"/>
      <c r="N854" s="28" t="str">
        <f>IFERROR(__xludf.DUMMYFUNCTION("IF(OR(C854="""",M854=""""),"""",IFERROR(IF(M854="""","""",query('tbl user'!$A$2:$D1508,""SELECT A WHERE D = '""&amp;M854&amp;""'"")),""USER TIDAK DIKETAHUI""))"),"")</f>
        <v/>
      </c>
    </row>
    <row r="855">
      <c r="A855" s="23" t="str">
        <f t="shared" si="3"/>
        <v/>
      </c>
      <c r="B855" s="24" t="str">
        <f t="shared" si="4"/>
        <v/>
      </c>
      <c r="C855" s="28"/>
      <c r="D855" s="28"/>
      <c r="E855" s="34"/>
      <c r="F855" s="34"/>
      <c r="G855" s="34"/>
      <c r="H855" s="34"/>
      <c r="I855" s="34"/>
      <c r="J855" s="28" t="str">
        <f>IFERROR(__xludf.DUMMYFUNCTION("iferror(if(I855="""","""",unique(query('tbl driver 2'!$K$2:$L1508,""SELECT L WHERE K = '""&amp;I855&amp;""'""))),"""")"),"")</f>
        <v/>
      </c>
      <c r="K855" s="31"/>
      <c r="L855" s="39"/>
      <c r="M855" s="39"/>
      <c r="N855" s="28" t="str">
        <f>IFERROR(__xludf.DUMMYFUNCTION("IF(OR(C855="""",M855=""""),"""",IFERROR(IF(M855="""","""",query('tbl user'!$A$2:$D1508,""SELECT A WHERE D = '""&amp;M855&amp;""'"")),""USER TIDAK DIKETAHUI""))"),"")</f>
        <v/>
      </c>
    </row>
    <row r="856">
      <c r="A856" s="23" t="str">
        <f t="shared" si="3"/>
        <v/>
      </c>
      <c r="B856" s="24" t="str">
        <f t="shared" si="4"/>
        <v/>
      </c>
      <c r="C856" s="28"/>
      <c r="D856" s="28"/>
      <c r="E856" s="34"/>
      <c r="F856" s="34"/>
      <c r="G856" s="34"/>
      <c r="H856" s="34"/>
      <c r="I856" s="34"/>
      <c r="J856" s="28" t="str">
        <f>IFERROR(__xludf.DUMMYFUNCTION("iferror(if(I856="""","""",unique(query('tbl driver 2'!$K$2:$L1508,""SELECT L WHERE K = '""&amp;I856&amp;""'""))),"""")"),"")</f>
        <v/>
      </c>
      <c r="K856" s="31"/>
      <c r="L856" s="39"/>
      <c r="M856" s="39"/>
      <c r="N856" s="28" t="str">
        <f>IFERROR(__xludf.DUMMYFUNCTION("IF(OR(C856="""",M856=""""),"""",IFERROR(IF(M856="""","""",query('tbl user'!$A$2:$D1508,""SELECT A WHERE D = '""&amp;M856&amp;""'"")),""USER TIDAK DIKETAHUI""))"),"")</f>
        <v/>
      </c>
    </row>
    <row r="857">
      <c r="A857" s="23" t="str">
        <f t="shared" si="3"/>
        <v/>
      </c>
      <c r="B857" s="24" t="str">
        <f t="shared" si="4"/>
        <v/>
      </c>
      <c r="C857" s="28"/>
      <c r="D857" s="28"/>
      <c r="E857" s="34"/>
      <c r="F857" s="34"/>
      <c r="G857" s="34"/>
      <c r="H857" s="34"/>
      <c r="I857" s="34"/>
      <c r="J857" s="28" t="str">
        <f>IFERROR(__xludf.DUMMYFUNCTION("iferror(if(I857="""","""",unique(query('tbl driver 2'!$K$2:$L1508,""SELECT L WHERE K = '""&amp;I857&amp;""'""))),"""")"),"")</f>
        <v/>
      </c>
      <c r="K857" s="31"/>
      <c r="L857" s="39"/>
      <c r="M857" s="39"/>
      <c r="N857" s="28" t="str">
        <f>IFERROR(__xludf.DUMMYFUNCTION("IF(OR(C857="""",M857=""""),"""",IFERROR(IF(M857="""","""",query('tbl user'!$A$2:$D1508,""SELECT A WHERE D = '""&amp;M857&amp;""'"")),""USER TIDAK DIKETAHUI""))"),"")</f>
        <v/>
      </c>
    </row>
    <row r="858">
      <c r="A858" s="23" t="str">
        <f t="shared" si="3"/>
        <v/>
      </c>
      <c r="B858" s="24" t="str">
        <f t="shared" si="4"/>
        <v/>
      </c>
      <c r="C858" s="28"/>
      <c r="D858" s="28"/>
      <c r="E858" s="34"/>
      <c r="F858" s="34"/>
      <c r="G858" s="34"/>
      <c r="H858" s="34"/>
      <c r="I858" s="34"/>
      <c r="J858" s="28" t="str">
        <f>IFERROR(__xludf.DUMMYFUNCTION("iferror(if(I858="""","""",unique(query('tbl driver 2'!$K$2:$L1508,""SELECT L WHERE K = '""&amp;I858&amp;""'""))),"""")"),"")</f>
        <v/>
      </c>
      <c r="K858" s="31"/>
      <c r="L858" s="39"/>
      <c r="M858" s="39"/>
      <c r="N858" s="28" t="str">
        <f>IFERROR(__xludf.DUMMYFUNCTION("IF(OR(C858="""",M858=""""),"""",IFERROR(IF(M858="""","""",query('tbl user'!$A$2:$D1508,""SELECT A WHERE D = '""&amp;M858&amp;""'"")),""USER TIDAK DIKETAHUI""))"),"")</f>
        <v/>
      </c>
    </row>
    <row r="859">
      <c r="A859" s="23" t="str">
        <f t="shared" si="3"/>
        <v/>
      </c>
      <c r="B859" s="24" t="str">
        <f t="shared" si="4"/>
        <v/>
      </c>
      <c r="C859" s="28"/>
      <c r="D859" s="28"/>
      <c r="E859" s="34"/>
      <c r="F859" s="34"/>
      <c r="G859" s="34"/>
      <c r="H859" s="34"/>
      <c r="I859" s="34"/>
      <c r="J859" s="28" t="str">
        <f>IFERROR(__xludf.DUMMYFUNCTION("iferror(if(I859="""","""",unique(query('tbl driver 2'!$K$2:$L1508,""SELECT L WHERE K = '""&amp;I859&amp;""'""))),"""")"),"")</f>
        <v/>
      </c>
      <c r="K859" s="31"/>
      <c r="L859" s="39"/>
      <c r="M859" s="39"/>
      <c r="N859" s="28" t="str">
        <f>IFERROR(__xludf.DUMMYFUNCTION("IF(OR(C859="""",M859=""""),"""",IFERROR(IF(M859="""","""",query('tbl user'!$A$2:$D1508,""SELECT A WHERE D = '""&amp;M859&amp;""'"")),""USER TIDAK DIKETAHUI""))"),"")</f>
        <v/>
      </c>
    </row>
    <row r="860">
      <c r="A860" s="23" t="str">
        <f t="shared" si="3"/>
        <v/>
      </c>
      <c r="B860" s="24" t="str">
        <f t="shared" si="4"/>
        <v/>
      </c>
      <c r="C860" s="28"/>
      <c r="D860" s="28"/>
      <c r="E860" s="34"/>
      <c r="F860" s="34"/>
      <c r="G860" s="34"/>
      <c r="H860" s="34"/>
      <c r="I860" s="34"/>
      <c r="J860" s="28" t="str">
        <f>IFERROR(__xludf.DUMMYFUNCTION("iferror(if(I860="""","""",unique(query('tbl driver 2'!$K$2:$L1508,""SELECT L WHERE K = '""&amp;I860&amp;""'""))),"""")"),"")</f>
        <v/>
      </c>
      <c r="K860" s="31"/>
      <c r="L860" s="39"/>
      <c r="M860" s="39"/>
      <c r="N860" s="28" t="str">
        <f>IFERROR(__xludf.DUMMYFUNCTION("IF(OR(C860="""",M860=""""),"""",IFERROR(IF(M860="""","""",query('tbl user'!$A$2:$D1508,""SELECT A WHERE D = '""&amp;M860&amp;""'"")),""USER TIDAK DIKETAHUI""))"),"")</f>
        <v/>
      </c>
    </row>
    <row r="861">
      <c r="A861" s="23" t="str">
        <f t="shared" si="3"/>
        <v/>
      </c>
      <c r="B861" s="24" t="str">
        <f t="shared" si="4"/>
        <v/>
      </c>
      <c r="C861" s="28"/>
      <c r="D861" s="28"/>
      <c r="E861" s="34"/>
      <c r="F861" s="34"/>
      <c r="G861" s="34"/>
      <c r="H861" s="34"/>
      <c r="I861" s="34"/>
      <c r="J861" s="28" t="str">
        <f>IFERROR(__xludf.DUMMYFUNCTION("iferror(if(I861="""","""",unique(query('tbl driver 2'!$K$2:$L1508,""SELECT L WHERE K = '""&amp;I861&amp;""'""))),"""")"),"")</f>
        <v/>
      </c>
      <c r="K861" s="31"/>
      <c r="L861" s="39"/>
      <c r="M861" s="39"/>
      <c r="N861" s="28" t="str">
        <f>IFERROR(__xludf.DUMMYFUNCTION("IF(OR(C861="""",M861=""""),"""",IFERROR(IF(M861="""","""",query('tbl user'!$A$2:$D1508,""SELECT A WHERE D = '""&amp;M861&amp;""'"")),""USER TIDAK DIKETAHUI""))"),"")</f>
        <v/>
      </c>
    </row>
    <row r="862">
      <c r="A862" s="23" t="str">
        <f t="shared" si="3"/>
        <v/>
      </c>
      <c r="B862" s="24" t="str">
        <f t="shared" si="4"/>
        <v/>
      </c>
      <c r="C862" s="28"/>
      <c r="D862" s="28"/>
      <c r="E862" s="34"/>
      <c r="F862" s="34"/>
      <c r="G862" s="34"/>
      <c r="H862" s="34"/>
      <c r="I862" s="34"/>
      <c r="J862" s="28" t="str">
        <f>IFERROR(__xludf.DUMMYFUNCTION("iferror(if(I862="""","""",unique(query('tbl driver 2'!$K$2:$L1508,""SELECT L WHERE K = '""&amp;I862&amp;""'""))),"""")"),"")</f>
        <v/>
      </c>
      <c r="K862" s="31"/>
      <c r="L862" s="39"/>
      <c r="M862" s="39"/>
      <c r="N862" s="28" t="str">
        <f>IFERROR(__xludf.DUMMYFUNCTION("IF(OR(C862="""",M862=""""),"""",IFERROR(IF(M862="""","""",query('tbl user'!$A$2:$D1508,""SELECT A WHERE D = '""&amp;M862&amp;""'"")),""USER TIDAK DIKETAHUI""))"),"")</f>
        <v/>
      </c>
    </row>
    <row r="863">
      <c r="A863" s="23" t="str">
        <f t="shared" si="3"/>
        <v/>
      </c>
      <c r="B863" s="24" t="str">
        <f t="shared" si="4"/>
        <v/>
      </c>
      <c r="C863" s="28"/>
      <c r="D863" s="28"/>
      <c r="E863" s="34"/>
      <c r="F863" s="34"/>
      <c r="G863" s="34"/>
      <c r="H863" s="34"/>
      <c r="I863" s="34"/>
      <c r="J863" s="28" t="str">
        <f>IFERROR(__xludf.DUMMYFUNCTION("iferror(if(I863="""","""",unique(query('tbl driver 2'!$K$2:$L1508,""SELECT L WHERE K = '""&amp;I863&amp;""'""))),"""")"),"")</f>
        <v/>
      </c>
      <c r="K863" s="31"/>
      <c r="L863" s="39"/>
      <c r="M863" s="39"/>
      <c r="N863" s="28" t="str">
        <f>IFERROR(__xludf.DUMMYFUNCTION("IF(OR(C863="""",M863=""""),"""",IFERROR(IF(M863="""","""",query('tbl user'!$A$2:$D1508,""SELECT A WHERE D = '""&amp;M863&amp;""'"")),""USER TIDAK DIKETAHUI""))"),"")</f>
        <v/>
      </c>
    </row>
    <row r="864">
      <c r="A864" s="23" t="str">
        <f t="shared" si="3"/>
        <v/>
      </c>
      <c r="B864" s="24" t="str">
        <f t="shared" si="4"/>
        <v/>
      </c>
      <c r="C864" s="28"/>
      <c r="D864" s="28"/>
      <c r="E864" s="34"/>
      <c r="F864" s="34"/>
      <c r="G864" s="34"/>
      <c r="H864" s="34"/>
      <c r="I864" s="34"/>
      <c r="J864" s="28" t="str">
        <f>IFERROR(__xludf.DUMMYFUNCTION("iferror(if(I864="""","""",unique(query('tbl driver 2'!$K$2:$L1508,""SELECT L WHERE K = '""&amp;I864&amp;""'""))),"""")"),"")</f>
        <v/>
      </c>
      <c r="K864" s="31"/>
      <c r="L864" s="39"/>
      <c r="M864" s="39"/>
      <c r="N864" s="28" t="str">
        <f>IFERROR(__xludf.DUMMYFUNCTION("IF(OR(C864="""",M864=""""),"""",IFERROR(IF(M864="""","""",query('tbl user'!$A$2:$D1508,""SELECT A WHERE D = '""&amp;M864&amp;""'"")),""USER TIDAK DIKETAHUI""))"),"")</f>
        <v/>
      </c>
    </row>
    <row r="865">
      <c r="A865" s="23" t="str">
        <f t="shared" si="3"/>
        <v/>
      </c>
      <c r="B865" s="24" t="str">
        <f t="shared" si="4"/>
        <v/>
      </c>
      <c r="C865" s="28"/>
      <c r="D865" s="28"/>
      <c r="E865" s="34"/>
      <c r="F865" s="34"/>
      <c r="G865" s="34"/>
      <c r="H865" s="34"/>
      <c r="I865" s="34"/>
      <c r="J865" s="28" t="str">
        <f>IFERROR(__xludf.DUMMYFUNCTION("iferror(if(I865="""","""",unique(query('tbl driver 2'!$K$2:$L1508,""SELECT L WHERE K = '""&amp;I865&amp;""'""))),"""")"),"")</f>
        <v/>
      </c>
      <c r="K865" s="31"/>
      <c r="L865" s="39"/>
      <c r="M865" s="39"/>
      <c r="N865" s="28" t="str">
        <f>IFERROR(__xludf.DUMMYFUNCTION("IF(OR(C865="""",M865=""""),"""",IFERROR(IF(M865="""","""",query('tbl user'!$A$2:$D1508,""SELECT A WHERE D = '""&amp;M865&amp;""'"")),""USER TIDAK DIKETAHUI""))"),"")</f>
        <v/>
      </c>
    </row>
    <row r="866">
      <c r="A866" s="23" t="str">
        <f t="shared" si="3"/>
        <v/>
      </c>
      <c r="B866" s="24" t="str">
        <f t="shared" si="4"/>
        <v/>
      </c>
      <c r="C866" s="28"/>
      <c r="D866" s="28"/>
      <c r="E866" s="34"/>
      <c r="F866" s="34"/>
      <c r="G866" s="34"/>
      <c r="H866" s="34"/>
      <c r="I866" s="34"/>
      <c r="J866" s="28" t="str">
        <f>IFERROR(__xludf.DUMMYFUNCTION("iferror(if(I866="""","""",unique(query('tbl driver 2'!$K$2:$L1508,""SELECT L WHERE K = '""&amp;I866&amp;""'""))),"""")"),"")</f>
        <v/>
      </c>
      <c r="K866" s="31"/>
      <c r="L866" s="39"/>
      <c r="M866" s="39"/>
      <c r="N866" s="28" t="str">
        <f>IFERROR(__xludf.DUMMYFUNCTION("IF(OR(C866="""",M866=""""),"""",IFERROR(IF(M866="""","""",query('tbl user'!$A$2:$D1508,""SELECT A WHERE D = '""&amp;M866&amp;""'"")),""USER TIDAK DIKETAHUI""))"),"")</f>
        <v/>
      </c>
    </row>
    <row r="867">
      <c r="A867" s="23" t="str">
        <f t="shared" si="3"/>
        <v/>
      </c>
      <c r="B867" s="24" t="str">
        <f t="shared" si="4"/>
        <v/>
      </c>
      <c r="C867" s="28"/>
      <c r="D867" s="28"/>
      <c r="E867" s="34"/>
      <c r="F867" s="34"/>
      <c r="G867" s="34"/>
      <c r="H867" s="34"/>
      <c r="I867" s="34"/>
      <c r="J867" s="28" t="str">
        <f>IFERROR(__xludf.DUMMYFUNCTION("iferror(if(I867="""","""",unique(query('tbl driver 2'!$K$2:$L1508,""SELECT L WHERE K = '""&amp;I867&amp;""'""))),"""")"),"")</f>
        <v/>
      </c>
      <c r="K867" s="31"/>
      <c r="L867" s="39"/>
      <c r="M867" s="39"/>
      <c r="N867" s="28" t="str">
        <f>IFERROR(__xludf.DUMMYFUNCTION("IF(OR(C867="""",M867=""""),"""",IFERROR(IF(M867="""","""",query('tbl user'!$A$2:$D1508,""SELECT A WHERE D = '""&amp;M867&amp;""'"")),""USER TIDAK DIKETAHUI""))"),"")</f>
        <v/>
      </c>
    </row>
    <row r="868">
      <c r="A868" s="23" t="str">
        <f t="shared" si="3"/>
        <v/>
      </c>
      <c r="B868" s="24" t="str">
        <f t="shared" si="4"/>
        <v/>
      </c>
      <c r="C868" s="28"/>
      <c r="D868" s="28"/>
      <c r="E868" s="34"/>
      <c r="F868" s="34"/>
      <c r="G868" s="34"/>
      <c r="H868" s="34"/>
      <c r="I868" s="34"/>
      <c r="J868" s="28" t="str">
        <f>IFERROR(__xludf.DUMMYFUNCTION("iferror(if(I868="""","""",unique(query('tbl driver 2'!$K$2:$L1508,""SELECT L WHERE K = '""&amp;I868&amp;""'""))),"""")"),"")</f>
        <v/>
      </c>
      <c r="K868" s="31"/>
      <c r="L868" s="39"/>
      <c r="M868" s="39"/>
      <c r="N868" s="28" t="str">
        <f>IFERROR(__xludf.DUMMYFUNCTION("IF(OR(C868="""",M868=""""),"""",IFERROR(IF(M868="""","""",query('tbl user'!$A$2:$D1508,""SELECT A WHERE D = '""&amp;M868&amp;""'"")),""USER TIDAK DIKETAHUI""))"),"")</f>
        <v/>
      </c>
    </row>
    <row r="869">
      <c r="A869" s="23" t="str">
        <f t="shared" si="3"/>
        <v/>
      </c>
      <c r="B869" s="24" t="str">
        <f t="shared" si="4"/>
        <v/>
      </c>
      <c r="C869" s="28"/>
      <c r="D869" s="28"/>
      <c r="E869" s="34"/>
      <c r="F869" s="34"/>
      <c r="G869" s="34"/>
      <c r="H869" s="34"/>
      <c r="I869" s="34"/>
      <c r="J869" s="28" t="str">
        <f>IFERROR(__xludf.DUMMYFUNCTION("iferror(if(I869="""","""",unique(query('tbl driver 2'!$K$2:$L1508,""SELECT L WHERE K = '""&amp;I869&amp;""'""))),"""")"),"")</f>
        <v/>
      </c>
      <c r="K869" s="31"/>
      <c r="L869" s="39"/>
      <c r="M869" s="39"/>
      <c r="N869" s="28" t="str">
        <f>IFERROR(__xludf.DUMMYFUNCTION("IF(OR(C869="""",M869=""""),"""",IFERROR(IF(M869="""","""",query('tbl user'!$A$2:$D1508,""SELECT A WHERE D = '""&amp;M869&amp;""'"")),""USER TIDAK DIKETAHUI""))"),"")</f>
        <v/>
      </c>
    </row>
    <row r="870">
      <c r="A870" s="23" t="str">
        <f t="shared" si="3"/>
        <v/>
      </c>
      <c r="B870" s="24" t="str">
        <f t="shared" si="4"/>
        <v/>
      </c>
      <c r="C870" s="28"/>
      <c r="D870" s="28"/>
      <c r="E870" s="34"/>
      <c r="F870" s="34"/>
      <c r="G870" s="34"/>
      <c r="H870" s="34"/>
      <c r="I870" s="34"/>
      <c r="J870" s="28" t="str">
        <f>IFERROR(__xludf.DUMMYFUNCTION("iferror(if(I870="""","""",unique(query('tbl driver 2'!$K$2:$L1508,""SELECT L WHERE K = '""&amp;I870&amp;""'""))),"""")"),"")</f>
        <v/>
      </c>
      <c r="K870" s="31"/>
      <c r="L870" s="39"/>
      <c r="M870" s="39"/>
      <c r="N870" s="28" t="str">
        <f>IFERROR(__xludf.DUMMYFUNCTION("IF(OR(C870="""",M870=""""),"""",IFERROR(IF(M870="""","""",query('tbl user'!$A$2:$D1508,""SELECT A WHERE D = '""&amp;M870&amp;""'"")),""USER TIDAK DIKETAHUI""))"),"")</f>
        <v/>
      </c>
    </row>
    <row r="871">
      <c r="A871" s="23" t="str">
        <f t="shared" si="3"/>
        <v/>
      </c>
      <c r="B871" s="24" t="str">
        <f t="shared" si="4"/>
        <v/>
      </c>
      <c r="C871" s="28"/>
      <c r="D871" s="28"/>
      <c r="E871" s="34"/>
      <c r="F871" s="34"/>
      <c r="G871" s="34"/>
      <c r="H871" s="34"/>
      <c r="I871" s="34"/>
      <c r="J871" s="28" t="str">
        <f>IFERROR(__xludf.DUMMYFUNCTION("iferror(if(I871="""","""",unique(query('tbl driver 2'!$K$2:$L1508,""SELECT L WHERE K = '""&amp;I871&amp;""'""))),"""")"),"")</f>
        <v/>
      </c>
      <c r="K871" s="31"/>
      <c r="L871" s="39"/>
      <c r="M871" s="39"/>
      <c r="N871" s="28" t="str">
        <f>IFERROR(__xludf.DUMMYFUNCTION("IF(OR(C871="""",M871=""""),"""",IFERROR(IF(M871="""","""",query('tbl user'!$A$2:$D1508,""SELECT A WHERE D = '""&amp;M871&amp;""'"")),""USER TIDAK DIKETAHUI""))"),"")</f>
        <v/>
      </c>
    </row>
    <row r="872">
      <c r="A872" s="23" t="str">
        <f t="shared" si="3"/>
        <v/>
      </c>
      <c r="B872" s="24" t="str">
        <f t="shared" si="4"/>
        <v/>
      </c>
      <c r="C872" s="28"/>
      <c r="D872" s="28"/>
      <c r="E872" s="34"/>
      <c r="F872" s="34"/>
      <c r="G872" s="34"/>
      <c r="H872" s="34"/>
      <c r="I872" s="34"/>
      <c r="J872" s="28" t="str">
        <f>IFERROR(__xludf.DUMMYFUNCTION("iferror(if(I872="""","""",unique(query('tbl driver 2'!$K$2:$L1508,""SELECT L WHERE K = '""&amp;I872&amp;""'""))),"""")"),"")</f>
        <v/>
      </c>
      <c r="K872" s="31"/>
      <c r="L872" s="39"/>
      <c r="M872" s="39"/>
      <c r="N872" s="28" t="str">
        <f>IFERROR(__xludf.DUMMYFUNCTION("IF(OR(C872="""",M872=""""),"""",IFERROR(IF(M872="""","""",query('tbl user'!$A$2:$D1508,""SELECT A WHERE D = '""&amp;M872&amp;""'"")),""USER TIDAK DIKETAHUI""))"),"")</f>
        <v/>
      </c>
    </row>
    <row r="873">
      <c r="A873" s="23" t="str">
        <f t="shared" si="3"/>
        <v/>
      </c>
      <c r="B873" s="24" t="str">
        <f t="shared" si="4"/>
        <v/>
      </c>
      <c r="C873" s="28"/>
      <c r="D873" s="28"/>
      <c r="E873" s="34"/>
      <c r="F873" s="34"/>
      <c r="G873" s="34"/>
      <c r="H873" s="34"/>
      <c r="I873" s="34"/>
      <c r="J873" s="28" t="str">
        <f>IFERROR(__xludf.DUMMYFUNCTION("iferror(if(I873="""","""",unique(query('tbl driver 2'!$K$2:$L1508,""SELECT L WHERE K = '""&amp;I873&amp;""'""))),"""")"),"")</f>
        <v/>
      </c>
      <c r="K873" s="31"/>
      <c r="L873" s="39"/>
      <c r="M873" s="39"/>
      <c r="N873" s="28" t="str">
        <f>IFERROR(__xludf.DUMMYFUNCTION("IF(OR(C873="""",M873=""""),"""",IFERROR(IF(M873="""","""",query('tbl user'!$A$2:$D1508,""SELECT A WHERE D = '""&amp;M873&amp;""'"")),""USER TIDAK DIKETAHUI""))"),"")</f>
        <v/>
      </c>
    </row>
    <row r="874">
      <c r="A874" s="23" t="str">
        <f t="shared" si="3"/>
        <v/>
      </c>
      <c r="B874" s="24" t="str">
        <f t="shared" si="4"/>
        <v/>
      </c>
      <c r="C874" s="28"/>
      <c r="D874" s="28"/>
      <c r="E874" s="34"/>
      <c r="F874" s="34"/>
      <c r="G874" s="34"/>
      <c r="H874" s="34"/>
      <c r="I874" s="34"/>
      <c r="J874" s="28" t="str">
        <f>IFERROR(__xludf.DUMMYFUNCTION("iferror(if(I874="""","""",unique(query('tbl driver 2'!$K$2:$L1508,""SELECT L WHERE K = '""&amp;I874&amp;""'""))),"""")"),"")</f>
        <v/>
      </c>
      <c r="K874" s="31"/>
      <c r="L874" s="39"/>
      <c r="M874" s="39"/>
      <c r="N874" s="28" t="str">
        <f>IFERROR(__xludf.DUMMYFUNCTION("IF(OR(C874="""",M874=""""),"""",IFERROR(IF(M874="""","""",query('tbl user'!$A$2:$D1508,""SELECT A WHERE D = '""&amp;M874&amp;""'"")),""USER TIDAK DIKETAHUI""))"),"")</f>
        <v/>
      </c>
    </row>
    <row r="875">
      <c r="A875" s="23" t="str">
        <f t="shared" si="3"/>
        <v/>
      </c>
      <c r="B875" s="24" t="str">
        <f t="shared" si="4"/>
        <v/>
      </c>
      <c r="C875" s="28"/>
      <c r="D875" s="28"/>
      <c r="E875" s="34"/>
      <c r="F875" s="34"/>
      <c r="G875" s="34"/>
      <c r="H875" s="34"/>
      <c r="I875" s="34"/>
      <c r="J875" s="28" t="str">
        <f>IFERROR(__xludf.DUMMYFUNCTION("iferror(if(I875="""","""",unique(query('tbl driver 2'!$K$2:$L1508,""SELECT L WHERE K = '""&amp;I875&amp;""'""))),"""")"),"")</f>
        <v/>
      </c>
      <c r="K875" s="31"/>
      <c r="L875" s="39"/>
      <c r="M875" s="39"/>
      <c r="N875" s="28" t="str">
        <f>IFERROR(__xludf.DUMMYFUNCTION("IF(OR(C875="""",M875=""""),"""",IFERROR(IF(M875="""","""",query('tbl user'!$A$2:$D1508,""SELECT A WHERE D = '""&amp;M875&amp;""'"")),""USER TIDAK DIKETAHUI""))"),"")</f>
        <v/>
      </c>
    </row>
    <row r="876">
      <c r="A876" s="23" t="str">
        <f t="shared" si="3"/>
        <v/>
      </c>
      <c r="B876" s="24" t="str">
        <f t="shared" si="4"/>
        <v/>
      </c>
      <c r="C876" s="28"/>
      <c r="D876" s="28"/>
      <c r="E876" s="34"/>
      <c r="F876" s="34"/>
      <c r="G876" s="34"/>
      <c r="H876" s="34"/>
      <c r="I876" s="34"/>
      <c r="J876" s="28" t="str">
        <f>IFERROR(__xludf.DUMMYFUNCTION("iferror(if(I876="""","""",unique(query('tbl driver 2'!$K$2:$L1508,""SELECT L WHERE K = '""&amp;I876&amp;""'""))),"""")"),"")</f>
        <v/>
      </c>
      <c r="K876" s="31"/>
      <c r="L876" s="39"/>
      <c r="M876" s="39"/>
      <c r="N876" s="28" t="str">
        <f>IFERROR(__xludf.DUMMYFUNCTION("IF(OR(C876="""",M876=""""),"""",IFERROR(IF(M876="""","""",query('tbl user'!$A$2:$D1508,""SELECT A WHERE D = '""&amp;M876&amp;""'"")),""USER TIDAK DIKETAHUI""))"),"")</f>
        <v/>
      </c>
    </row>
    <row r="877">
      <c r="A877" s="23" t="str">
        <f t="shared" si="3"/>
        <v/>
      </c>
      <c r="B877" s="24" t="str">
        <f t="shared" si="4"/>
        <v/>
      </c>
      <c r="C877" s="28"/>
      <c r="D877" s="28"/>
      <c r="E877" s="34"/>
      <c r="F877" s="34"/>
      <c r="G877" s="34"/>
      <c r="H877" s="34"/>
      <c r="I877" s="34"/>
      <c r="J877" s="28" t="str">
        <f>IFERROR(__xludf.DUMMYFUNCTION("iferror(if(I877="""","""",unique(query('tbl driver 2'!$K$2:$L1508,""SELECT L WHERE K = '""&amp;I877&amp;""'""))),"""")"),"")</f>
        <v/>
      </c>
      <c r="K877" s="31"/>
      <c r="L877" s="39"/>
      <c r="M877" s="39"/>
      <c r="N877" s="28" t="str">
        <f>IFERROR(__xludf.DUMMYFUNCTION("IF(OR(C877="""",M877=""""),"""",IFERROR(IF(M877="""","""",query('tbl user'!$A$2:$D1508,""SELECT A WHERE D = '""&amp;M877&amp;""'"")),""USER TIDAK DIKETAHUI""))"),"")</f>
        <v/>
      </c>
    </row>
    <row r="878">
      <c r="A878" s="23" t="str">
        <f t="shared" si="3"/>
        <v/>
      </c>
      <c r="B878" s="24" t="str">
        <f t="shared" si="4"/>
        <v/>
      </c>
      <c r="C878" s="28"/>
      <c r="D878" s="28"/>
      <c r="E878" s="34"/>
      <c r="F878" s="34"/>
      <c r="G878" s="34"/>
      <c r="H878" s="34"/>
      <c r="I878" s="34"/>
      <c r="J878" s="28" t="str">
        <f>IFERROR(__xludf.DUMMYFUNCTION("iferror(if(I878="""","""",unique(query('tbl driver 2'!$K$2:$L1508,""SELECT L WHERE K = '""&amp;I878&amp;""'""))),"""")"),"")</f>
        <v/>
      </c>
      <c r="K878" s="31"/>
      <c r="L878" s="39"/>
      <c r="M878" s="39"/>
      <c r="N878" s="28" t="str">
        <f>IFERROR(__xludf.DUMMYFUNCTION("IF(OR(C878="""",M878=""""),"""",IFERROR(IF(M878="""","""",query('tbl user'!$A$2:$D1508,""SELECT A WHERE D = '""&amp;M878&amp;""'"")),""USER TIDAK DIKETAHUI""))"),"")</f>
        <v/>
      </c>
    </row>
    <row r="879">
      <c r="A879" s="23" t="str">
        <f t="shared" si="3"/>
        <v/>
      </c>
      <c r="B879" s="24" t="str">
        <f t="shared" si="4"/>
        <v/>
      </c>
      <c r="C879" s="28"/>
      <c r="D879" s="28"/>
      <c r="E879" s="34"/>
      <c r="F879" s="34"/>
      <c r="G879" s="34"/>
      <c r="H879" s="34"/>
      <c r="I879" s="34"/>
      <c r="J879" s="28" t="str">
        <f>IFERROR(__xludf.DUMMYFUNCTION("iferror(if(I879="""","""",unique(query('tbl driver 2'!$K$2:$L1508,""SELECT L WHERE K = '""&amp;I879&amp;""'""))),"""")"),"")</f>
        <v/>
      </c>
      <c r="K879" s="31"/>
      <c r="L879" s="39"/>
      <c r="M879" s="39"/>
      <c r="N879" s="28" t="str">
        <f>IFERROR(__xludf.DUMMYFUNCTION("IF(OR(C879="""",M879=""""),"""",IFERROR(IF(M879="""","""",query('tbl user'!$A$2:$D1508,""SELECT A WHERE D = '""&amp;M879&amp;""'"")),""USER TIDAK DIKETAHUI""))"),"")</f>
        <v/>
      </c>
    </row>
    <row r="880">
      <c r="A880" s="23" t="str">
        <f t="shared" si="3"/>
        <v/>
      </c>
      <c r="B880" s="24" t="str">
        <f t="shared" si="4"/>
        <v/>
      </c>
      <c r="C880" s="28"/>
      <c r="D880" s="28"/>
      <c r="E880" s="34"/>
      <c r="F880" s="34"/>
      <c r="G880" s="34"/>
      <c r="H880" s="34"/>
      <c r="I880" s="34"/>
      <c r="J880" s="28" t="str">
        <f>IFERROR(__xludf.DUMMYFUNCTION("iferror(if(I880="""","""",unique(query('tbl driver 2'!$K$2:$L1508,""SELECT L WHERE K = '""&amp;I880&amp;""'""))),"""")"),"")</f>
        <v/>
      </c>
      <c r="K880" s="31"/>
      <c r="L880" s="39"/>
      <c r="M880" s="39"/>
      <c r="N880" s="28" t="str">
        <f>IFERROR(__xludf.DUMMYFUNCTION("IF(OR(C880="""",M880=""""),"""",IFERROR(IF(M880="""","""",query('tbl user'!$A$2:$D1508,""SELECT A WHERE D = '""&amp;M880&amp;""'"")),""USER TIDAK DIKETAHUI""))"),"")</f>
        <v/>
      </c>
    </row>
    <row r="881">
      <c r="A881" s="23" t="str">
        <f t="shared" si="3"/>
        <v/>
      </c>
      <c r="B881" s="24" t="str">
        <f t="shared" si="4"/>
        <v/>
      </c>
      <c r="C881" s="28"/>
      <c r="D881" s="28"/>
      <c r="E881" s="34"/>
      <c r="F881" s="34"/>
      <c r="G881" s="34"/>
      <c r="H881" s="34"/>
      <c r="I881" s="34"/>
      <c r="J881" s="28" t="str">
        <f>IFERROR(__xludf.DUMMYFUNCTION("iferror(if(I881="""","""",unique(query('tbl driver 2'!$K$2:$L1508,""SELECT L WHERE K = '""&amp;I881&amp;""'""))),"""")"),"")</f>
        <v/>
      </c>
      <c r="K881" s="31"/>
      <c r="L881" s="39"/>
      <c r="M881" s="39"/>
      <c r="N881" s="28" t="str">
        <f>IFERROR(__xludf.DUMMYFUNCTION("IF(OR(C881="""",M881=""""),"""",IFERROR(IF(M881="""","""",query('tbl user'!$A$2:$D1508,""SELECT A WHERE D = '""&amp;M881&amp;""'"")),""USER TIDAK DIKETAHUI""))"),"")</f>
        <v/>
      </c>
    </row>
    <row r="882">
      <c r="A882" s="23" t="str">
        <f t="shared" si="3"/>
        <v/>
      </c>
      <c r="B882" s="24" t="str">
        <f t="shared" si="4"/>
        <v/>
      </c>
      <c r="C882" s="28"/>
      <c r="D882" s="28"/>
      <c r="E882" s="34"/>
      <c r="F882" s="34"/>
      <c r="G882" s="34"/>
      <c r="H882" s="34"/>
      <c r="I882" s="34"/>
      <c r="J882" s="28" t="str">
        <f>IFERROR(__xludf.DUMMYFUNCTION("iferror(if(I882="""","""",unique(query('tbl driver 2'!$K$2:$L1508,""SELECT L WHERE K = '""&amp;I882&amp;""'""))),"""")"),"")</f>
        <v/>
      </c>
      <c r="K882" s="31"/>
      <c r="L882" s="39"/>
      <c r="M882" s="39"/>
      <c r="N882" s="28" t="str">
        <f>IFERROR(__xludf.DUMMYFUNCTION("IF(OR(C882="""",M882=""""),"""",IFERROR(IF(M882="""","""",query('tbl user'!$A$2:$D1508,""SELECT A WHERE D = '""&amp;M882&amp;""'"")),""USER TIDAK DIKETAHUI""))"),"")</f>
        <v/>
      </c>
    </row>
    <row r="883">
      <c r="A883" s="23" t="str">
        <f t="shared" si="3"/>
        <v/>
      </c>
      <c r="B883" s="24" t="str">
        <f t="shared" si="4"/>
        <v/>
      </c>
      <c r="C883" s="28"/>
      <c r="D883" s="28"/>
      <c r="E883" s="34"/>
      <c r="F883" s="34"/>
      <c r="G883" s="34"/>
      <c r="H883" s="34"/>
      <c r="I883" s="34"/>
      <c r="J883" s="28" t="str">
        <f>IFERROR(__xludf.DUMMYFUNCTION("iferror(if(I883="""","""",unique(query('tbl driver 2'!$K$2:$L1508,""SELECT L WHERE K = '""&amp;I883&amp;""'""))),"""")"),"")</f>
        <v/>
      </c>
      <c r="K883" s="31"/>
      <c r="L883" s="39"/>
      <c r="M883" s="39"/>
      <c r="N883" s="28" t="str">
        <f>IFERROR(__xludf.DUMMYFUNCTION("IF(OR(C883="""",M883=""""),"""",IFERROR(IF(M883="""","""",query('tbl user'!$A$2:$D1508,""SELECT A WHERE D = '""&amp;M883&amp;""'"")),""USER TIDAK DIKETAHUI""))"),"")</f>
        <v/>
      </c>
    </row>
    <row r="884">
      <c r="A884" s="23" t="str">
        <f t="shared" si="3"/>
        <v/>
      </c>
      <c r="B884" s="24" t="str">
        <f t="shared" si="4"/>
        <v/>
      </c>
      <c r="C884" s="28"/>
      <c r="D884" s="28"/>
      <c r="E884" s="34"/>
      <c r="F884" s="34"/>
      <c r="G884" s="34"/>
      <c r="H884" s="34"/>
      <c r="I884" s="34"/>
      <c r="J884" s="28" t="str">
        <f>IFERROR(__xludf.DUMMYFUNCTION("iferror(if(I884="""","""",unique(query('tbl driver 2'!$K$2:$L1508,""SELECT L WHERE K = '""&amp;I884&amp;""'""))),"""")"),"")</f>
        <v/>
      </c>
      <c r="K884" s="31"/>
      <c r="L884" s="39"/>
      <c r="M884" s="39"/>
      <c r="N884" s="28" t="str">
        <f>IFERROR(__xludf.DUMMYFUNCTION("IF(OR(C884="""",M884=""""),"""",IFERROR(IF(M884="""","""",query('tbl user'!$A$2:$D1508,""SELECT A WHERE D = '""&amp;M884&amp;""'"")),""USER TIDAK DIKETAHUI""))"),"")</f>
        <v/>
      </c>
    </row>
    <row r="885">
      <c r="A885" s="23" t="str">
        <f t="shared" si="3"/>
        <v/>
      </c>
      <c r="B885" s="24" t="str">
        <f t="shared" si="4"/>
        <v/>
      </c>
      <c r="C885" s="28"/>
      <c r="D885" s="28"/>
      <c r="E885" s="34"/>
      <c r="F885" s="34"/>
      <c r="G885" s="34"/>
      <c r="H885" s="34"/>
      <c r="I885" s="34"/>
      <c r="J885" s="28" t="str">
        <f>IFERROR(__xludf.DUMMYFUNCTION("iferror(if(I885="""","""",unique(query('tbl driver 2'!$K$2:$L1508,""SELECT L WHERE K = '""&amp;I885&amp;""'""))),"""")"),"")</f>
        <v/>
      </c>
      <c r="K885" s="31"/>
      <c r="L885" s="39"/>
      <c r="M885" s="39"/>
      <c r="N885" s="28" t="str">
        <f>IFERROR(__xludf.DUMMYFUNCTION("IF(OR(C885="""",M885=""""),"""",IFERROR(IF(M885="""","""",query('tbl user'!$A$2:$D1508,""SELECT A WHERE D = '""&amp;M885&amp;""'"")),""USER TIDAK DIKETAHUI""))"),"")</f>
        <v/>
      </c>
    </row>
    <row r="886">
      <c r="A886" s="23" t="str">
        <f t="shared" si="3"/>
        <v/>
      </c>
      <c r="B886" s="24" t="str">
        <f t="shared" si="4"/>
        <v/>
      </c>
      <c r="C886" s="28"/>
      <c r="D886" s="28"/>
      <c r="E886" s="34"/>
      <c r="F886" s="34"/>
      <c r="G886" s="34"/>
      <c r="H886" s="34"/>
      <c r="I886" s="34"/>
      <c r="J886" s="28" t="str">
        <f>IFERROR(__xludf.DUMMYFUNCTION("iferror(if(I886="""","""",unique(query('tbl driver 2'!$K$2:$L1508,""SELECT L WHERE K = '""&amp;I886&amp;""'""))),"""")"),"")</f>
        <v/>
      </c>
      <c r="K886" s="31"/>
      <c r="L886" s="39"/>
      <c r="M886" s="39"/>
      <c r="N886" s="28" t="str">
        <f>IFERROR(__xludf.DUMMYFUNCTION("IF(OR(C886="""",M886=""""),"""",IFERROR(IF(M886="""","""",query('tbl user'!$A$2:$D1508,""SELECT A WHERE D = '""&amp;M886&amp;""'"")),""USER TIDAK DIKETAHUI""))"),"")</f>
        <v/>
      </c>
    </row>
    <row r="887">
      <c r="A887" s="23" t="str">
        <f t="shared" si="3"/>
        <v/>
      </c>
      <c r="B887" s="24" t="str">
        <f t="shared" si="4"/>
        <v/>
      </c>
      <c r="C887" s="28"/>
      <c r="D887" s="28"/>
      <c r="E887" s="34"/>
      <c r="F887" s="34"/>
      <c r="G887" s="34"/>
      <c r="H887" s="34"/>
      <c r="I887" s="34"/>
      <c r="J887" s="28" t="str">
        <f>IFERROR(__xludf.DUMMYFUNCTION("iferror(if(I887="""","""",unique(query('tbl driver 2'!$K$2:$L1508,""SELECT L WHERE K = '""&amp;I887&amp;""'""))),"""")"),"")</f>
        <v/>
      </c>
      <c r="K887" s="31"/>
      <c r="L887" s="39"/>
      <c r="M887" s="39"/>
      <c r="N887" s="28" t="str">
        <f>IFERROR(__xludf.DUMMYFUNCTION("IF(OR(C887="""",M887=""""),"""",IFERROR(IF(M887="""","""",query('tbl user'!$A$2:$D1508,""SELECT A WHERE D = '""&amp;M887&amp;""'"")),""USER TIDAK DIKETAHUI""))"),"")</f>
        <v/>
      </c>
    </row>
    <row r="888">
      <c r="A888" s="23" t="str">
        <f t="shared" si="3"/>
        <v/>
      </c>
      <c r="B888" s="24" t="str">
        <f t="shared" si="4"/>
        <v/>
      </c>
      <c r="C888" s="28"/>
      <c r="D888" s="28"/>
      <c r="E888" s="34"/>
      <c r="F888" s="34"/>
      <c r="G888" s="34"/>
      <c r="H888" s="34"/>
      <c r="I888" s="34"/>
      <c r="J888" s="28" t="str">
        <f>IFERROR(__xludf.DUMMYFUNCTION("iferror(if(I888="""","""",unique(query('tbl driver 2'!$K$2:$L1508,""SELECT L WHERE K = '""&amp;I888&amp;""'""))),"""")"),"")</f>
        <v/>
      </c>
      <c r="K888" s="31"/>
      <c r="L888" s="39"/>
      <c r="M888" s="39"/>
      <c r="N888" s="28" t="str">
        <f>IFERROR(__xludf.DUMMYFUNCTION("IF(OR(C888="""",M888=""""),"""",IFERROR(IF(M888="""","""",query('tbl user'!$A$2:$D1508,""SELECT A WHERE D = '""&amp;M888&amp;""'"")),""USER TIDAK DIKETAHUI""))"),"")</f>
        <v/>
      </c>
    </row>
    <row r="889">
      <c r="A889" s="23" t="str">
        <f t="shared" si="3"/>
        <v/>
      </c>
      <c r="B889" s="24" t="str">
        <f t="shared" si="4"/>
        <v/>
      </c>
      <c r="C889" s="28"/>
      <c r="D889" s="28"/>
      <c r="E889" s="34"/>
      <c r="F889" s="34"/>
      <c r="G889" s="34"/>
      <c r="H889" s="34"/>
      <c r="I889" s="34"/>
      <c r="J889" s="28" t="str">
        <f>IFERROR(__xludf.DUMMYFUNCTION("iferror(if(I889="""","""",unique(query('tbl driver 2'!$K$2:$L1508,""SELECT L WHERE K = '""&amp;I889&amp;""'""))),"""")"),"")</f>
        <v/>
      </c>
      <c r="K889" s="31"/>
      <c r="L889" s="39"/>
      <c r="M889" s="39"/>
      <c r="N889" s="28" t="str">
        <f>IFERROR(__xludf.DUMMYFUNCTION("IF(OR(C889="""",M889=""""),"""",IFERROR(IF(M889="""","""",query('tbl user'!$A$2:$D1508,""SELECT A WHERE D = '""&amp;M889&amp;""'"")),""USER TIDAK DIKETAHUI""))"),"")</f>
        <v/>
      </c>
    </row>
    <row r="890">
      <c r="A890" s="23" t="str">
        <f t="shared" si="3"/>
        <v/>
      </c>
      <c r="B890" s="24" t="str">
        <f t="shared" si="4"/>
        <v/>
      </c>
      <c r="C890" s="28"/>
      <c r="D890" s="28"/>
      <c r="E890" s="34"/>
      <c r="F890" s="34"/>
      <c r="G890" s="34"/>
      <c r="H890" s="34"/>
      <c r="I890" s="34"/>
      <c r="J890" s="28" t="str">
        <f>IFERROR(__xludf.DUMMYFUNCTION("iferror(if(I890="""","""",unique(query('tbl driver 2'!$K$2:$L1508,""SELECT L WHERE K = '""&amp;I890&amp;""'""))),"""")"),"")</f>
        <v/>
      </c>
      <c r="K890" s="31"/>
      <c r="L890" s="39"/>
      <c r="M890" s="39"/>
      <c r="N890" s="28" t="str">
        <f>IFERROR(__xludf.DUMMYFUNCTION("IF(OR(C890="""",M890=""""),"""",IFERROR(IF(M890="""","""",query('tbl user'!$A$2:$D1508,""SELECT A WHERE D = '""&amp;M890&amp;""'"")),""USER TIDAK DIKETAHUI""))"),"")</f>
        <v/>
      </c>
    </row>
    <row r="891">
      <c r="A891" s="23" t="str">
        <f t="shared" si="3"/>
        <v/>
      </c>
      <c r="B891" s="24" t="str">
        <f t="shared" si="4"/>
        <v/>
      </c>
      <c r="C891" s="28"/>
      <c r="D891" s="28"/>
      <c r="E891" s="34"/>
      <c r="F891" s="34"/>
      <c r="G891" s="34"/>
      <c r="H891" s="34"/>
      <c r="I891" s="34"/>
      <c r="J891" s="28" t="str">
        <f>IFERROR(__xludf.DUMMYFUNCTION("iferror(if(I891="""","""",unique(query('tbl driver 2'!$K$2:$L1508,""SELECT L WHERE K = '""&amp;I891&amp;""'""))),"""")"),"")</f>
        <v/>
      </c>
      <c r="K891" s="31"/>
      <c r="L891" s="39"/>
      <c r="M891" s="39"/>
      <c r="N891" s="28" t="str">
        <f>IFERROR(__xludf.DUMMYFUNCTION("IF(OR(C891="""",M891=""""),"""",IFERROR(IF(M891="""","""",query('tbl user'!$A$2:$D1508,""SELECT A WHERE D = '""&amp;M891&amp;""'"")),""USER TIDAK DIKETAHUI""))"),"")</f>
        <v/>
      </c>
    </row>
    <row r="892">
      <c r="A892" s="23" t="str">
        <f t="shared" si="3"/>
        <v/>
      </c>
      <c r="B892" s="24" t="str">
        <f t="shared" si="4"/>
        <v/>
      </c>
      <c r="C892" s="28"/>
      <c r="D892" s="28"/>
      <c r="E892" s="34"/>
      <c r="F892" s="34"/>
      <c r="G892" s="34"/>
      <c r="H892" s="34"/>
      <c r="I892" s="34"/>
      <c r="J892" s="28" t="str">
        <f>IFERROR(__xludf.DUMMYFUNCTION("iferror(if(I892="""","""",unique(query('tbl driver 2'!$K$2:$L1508,""SELECT L WHERE K = '""&amp;I892&amp;""'""))),"""")"),"")</f>
        <v/>
      </c>
      <c r="K892" s="31"/>
      <c r="L892" s="39"/>
      <c r="M892" s="39"/>
      <c r="N892" s="28" t="str">
        <f>IFERROR(__xludf.DUMMYFUNCTION("IF(OR(C892="""",M892=""""),"""",IFERROR(IF(M892="""","""",query('tbl user'!$A$2:$D1508,""SELECT A WHERE D = '""&amp;M892&amp;""'"")),""USER TIDAK DIKETAHUI""))"),"")</f>
        <v/>
      </c>
    </row>
    <row r="893">
      <c r="A893" s="23" t="str">
        <f t="shared" si="3"/>
        <v/>
      </c>
      <c r="B893" s="24" t="str">
        <f t="shared" si="4"/>
        <v/>
      </c>
      <c r="C893" s="28"/>
      <c r="D893" s="28"/>
      <c r="E893" s="34"/>
      <c r="F893" s="34"/>
      <c r="G893" s="34"/>
      <c r="H893" s="34"/>
      <c r="I893" s="34"/>
      <c r="J893" s="28" t="str">
        <f>IFERROR(__xludf.DUMMYFUNCTION("iferror(if(I893="""","""",unique(query('tbl driver 2'!$K$2:$L1508,""SELECT L WHERE K = '""&amp;I893&amp;""'""))),"""")"),"")</f>
        <v/>
      </c>
      <c r="K893" s="31"/>
      <c r="L893" s="39"/>
      <c r="M893" s="39"/>
      <c r="N893" s="28" t="str">
        <f>IFERROR(__xludf.DUMMYFUNCTION("IF(OR(C893="""",M893=""""),"""",IFERROR(IF(M893="""","""",query('tbl user'!$A$2:$D1508,""SELECT A WHERE D = '""&amp;M893&amp;""'"")),""USER TIDAK DIKETAHUI""))"),"")</f>
        <v/>
      </c>
    </row>
    <row r="894">
      <c r="A894" s="23" t="str">
        <f t="shared" si="3"/>
        <v/>
      </c>
      <c r="B894" s="24" t="str">
        <f t="shared" si="4"/>
        <v/>
      </c>
      <c r="C894" s="28"/>
      <c r="D894" s="28"/>
      <c r="E894" s="34"/>
      <c r="F894" s="34"/>
      <c r="G894" s="34"/>
      <c r="H894" s="34"/>
      <c r="I894" s="34"/>
      <c r="J894" s="28" t="str">
        <f>IFERROR(__xludf.DUMMYFUNCTION("iferror(if(I894="""","""",unique(query('tbl driver 2'!$K$2:$L1508,""SELECT L WHERE K = '""&amp;I894&amp;""'""))),"""")"),"")</f>
        <v/>
      </c>
      <c r="K894" s="31"/>
      <c r="L894" s="39"/>
      <c r="M894" s="39"/>
      <c r="N894" s="28" t="str">
        <f>IFERROR(__xludf.DUMMYFUNCTION("IF(OR(C894="""",M894=""""),"""",IFERROR(IF(M894="""","""",query('tbl user'!$A$2:$D1508,""SELECT A WHERE D = '""&amp;M894&amp;""'"")),""USER TIDAK DIKETAHUI""))"),"")</f>
        <v/>
      </c>
    </row>
    <row r="895">
      <c r="A895" s="23" t="str">
        <f t="shared" si="3"/>
        <v/>
      </c>
      <c r="B895" s="24" t="str">
        <f t="shared" si="4"/>
        <v/>
      </c>
      <c r="C895" s="28"/>
      <c r="D895" s="28"/>
      <c r="E895" s="34"/>
      <c r="F895" s="34"/>
      <c r="G895" s="34"/>
      <c r="H895" s="34"/>
      <c r="I895" s="34"/>
      <c r="J895" s="28" t="str">
        <f>IFERROR(__xludf.DUMMYFUNCTION("iferror(if(I895="""","""",unique(query('tbl driver 2'!$K$2:$L1508,""SELECT L WHERE K = '""&amp;I895&amp;""'""))),"""")"),"")</f>
        <v/>
      </c>
      <c r="K895" s="31"/>
      <c r="L895" s="39"/>
      <c r="M895" s="39"/>
      <c r="N895" s="28" t="str">
        <f>IFERROR(__xludf.DUMMYFUNCTION("IF(OR(C895="""",M895=""""),"""",IFERROR(IF(M895="""","""",query('tbl user'!$A$2:$D1508,""SELECT A WHERE D = '""&amp;M895&amp;""'"")),""USER TIDAK DIKETAHUI""))"),"")</f>
        <v/>
      </c>
    </row>
    <row r="896">
      <c r="A896" s="23" t="str">
        <f t="shared" si="3"/>
        <v/>
      </c>
      <c r="B896" s="24" t="str">
        <f t="shared" si="4"/>
        <v/>
      </c>
      <c r="C896" s="28"/>
      <c r="D896" s="28"/>
      <c r="E896" s="34"/>
      <c r="F896" s="34"/>
      <c r="G896" s="34"/>
      <c r="H896" s="34"/>
      <c r="I896" s="34"/>
      <c r="J896" s="28" t="str">
        <f>IFERROR(__xludf.DUMMYFUNCTION("iferror(if(I896="""","""",unique(query('tbl driver 2'!$K$2:$L1508,""SELECT L WHERE K = '""&amp;I896&amp;""'""))),"""")"),"")</f>
        <v/>
      </c>
      <c r="K896" s="31"/>
      <c r="L896" s="39"/>
      <c r="M896" s="39"/>
      <c r="N896" s="28" t="str">
        <f>IFERROR(__xludf.DUMMYFUNCTION("IF(OR(C896="""",M896=""""),"""",IFERROR(IF(M896="""","""",query('tbl user'!$A$2:$D1508,""SELECT A WHERE D = '""&amp;M896&amp;""'"")),""USER TIDAK DIKETAHUI""))"),"")</f>
        <v/>
      </c>
    </row>
    <row r="897">
      <c r="A897" s="23" t="str">
        <f t="shared" si="3"/>
        <v/>
      </c>
      <c r="B897" s="24" t="str">
        <f t="shared" si="4"/>
        <v/>
      </c>
      <c r="C897" s="28"/>
      <c r="D897" s="28"/>
      <c r="E897" s="34"/>
      <c r="F897" s="34"/>
      <c r="G897" s="34"/>
      <c r="H897" s="34"/>
      <c r="I897" s="34"/>
      <c r="J897" s="28" t="str">
        <f>IFERROR(__xludf.DUMMYFUNCTION("iferror(if(I897="""","""",unique(query('tbl driver 2'!$K$2:$L1508,""SELECT L WHERE K = '""&amp;I897&amp;""'""))),"""")"),"")</f>
        <v/>
      </c>
      <c r="K897" s="31"/>
      <c r="L897" s="39"/>
      <c r="M897" s="39"/>
      <c r="N897" s="28" t="str">
        <f>IFERROR(__xludf.DUMMYFUNCTION("IF(OR(C897="""",M897=""""),"""",IFERROR(IF(M897="""","""",query('tbl user'!$A$2:$D1508,""SELECT A WHERE D = '""&amp;M897&amp;""'"")),""USER TIDAK DIKETAHUI""))"),"")</f>
        <v/>
      </c>
    </row>
    <row r="898">
      <c r="A898" s="23" t="str">
        <f t="shared" si="3"/>
        <v/>
      </c>
      <c r="B898" s="24" t="str">
        <f t="shared" si="4"/>
        <v/>
      </c>
      <c r="C898" s="28"/>
      <c r="D898" s="28"/>
      <c r="E898" s="34"/>
      <c r="F898" s="34"/>
      <c r="G898" s="34"/>
      <c r="H898" s="34"/>
      <c r="I898" s="34"/>
      <c r="J898" s="28" t="str">
        <f>IFERROR(__xludf.DUMMYFUNCTION("iferror(if(I898="""","""",unique(query('tbl driver 2'!$K$2:$L1508,""SELECT L WHERE K = '""&amp;I898&amp;""'""))),"""")"),"")</f>
        <v/>
      </c>
      <c r="K898" s="31"/>
      <c r="L898" s="39"/>
      <c r="M898" s="39"/>
      <c r="N898" s="28" t="str">
        <f>IFERROR(__xludf.DUMMYFUNCTION("IF(OR(C898="""",M898=""""),"""",IFERROR(IF(M898="""","""",query('tbl user'!$A$2:$D1508,""SELECT A WHERE D = '""&amp;M898&amp;""'"")),""USER TIDAK DIKETAHUI""))"),"")</f>
        <v/>
      </c>
    </row>
    <row r="899">
      <c r="A899" s="23" t="str">
        <f t="shared" si="3"/>
        <v/>
      </c>
      <c r="B899" s="24" t="str">
        <f t="shared" si="4"/>
        <v/>
      </c>
      <c r="C899" s="28"/>
      <c r="D899" s="28"/>
      <c r="E899" s="34"/>
      <c r="F899" s="34"/>
      <c r="G899" s="34"/>
      <c r="H899" s="34"/>
      <c r="I899" s="34"/>
      <c r="J899" s="28" t="str">
        <f>IFERROR(__xludf.DUMMYFUNCTION("iferror(if(I899="""","""",unique(query('tbl driver 2'!$K$2:$L1508,""SELECT L WHERE K = '""&amp;I899&amp;""'""))),"""")"),"")</f>
        <v/>
      </c>
      <c r="K899" s="31"/>
      <c r="L899" s="39"/>
      <c r="M899" s="39"/>
      <c r="N899" s="28" t="str">
        <f>IFERROR(__xludf.DUMMYFUNCTION("IF(OR(C899="""",M899=""""),"""",IFERROR(IF(M899="""","""",query('tbl user'!$A$2:$D1508,""SELECT A WHERE D = '""&amp;M899&amp;""'"")),""USER TIDAK DIKETAHUI""))"),"")</f>
        <v/>
      </c>
    </row>
    <row r="900">
      <c r="A900" s="23" t="str">
        <f t="shared" si="3"/>
        <v/>
      </c>
      <c r="B900" s="24" t="str">
        <f t="shared" si="4"/>
        <v/>
      </c>
      <c r="C900" s="28"/>
      <c r="D900" s="28"/>
      <c r="E900" s="34"/>
      <c r="F900" s="34"/>
      <c r="G900" s="34"/>
      <c r="H900" s="34"/>
      <c r="I900" s="34"/>
      <c r="J900" s="28" t="str">
        <f>IFERROR(__xludf.DUMMYFUNCTION("iferror(if(I900="""","""",unique(query('tbl driver 2'!$K$2:$L1508,""SELECT L WHERE K = '""&amp;I900&amp;""'""))),"""")"),"")</f>
        <v/>
      </c>
      <c r="K900" s="31"/>
      <c r="L900" s="39"/>
      <c r="M900" s="39"/>
      <c r="N900" s="28" t="str">
        <f>IFERROR(__xludf.DUMMYFUNCTION("IF(OR(C900="""",M900=""""),"""",IFERROR(IF(M900="""","""",query('tbl user'!$A$2:$D1508,""SELECT A WHERE D = '""&amp;M900&amp;""'"")),""USER TIDAK DIKETAHUI""))"),"")</f>
        <v/>
      </c>
    </row>
    <row r="901">
      <c r="A901" s="23" t="str">
        <f t="shared" si="3"/>
        <v/>
      </c>
      <c r="B901" s="24" t="str">
        <f t="shared" si="4"/>
        <v/>
      </c>
      <c r="C901" s="28"/>
      <c r="D901" s="28"/>
      <c r="E901" s="34"/>
      <c r="F901" s="34"/>
      <c r="G901" s="34"/>
      <c r="H901" s="34"/>
      <c r="I901" s="34"/>
      <c r="J901" s="28" t="str">
        <f>IFERROR(__xludf.DUMMYFUNCTION("iferror(if(I901="""","""",unique(query('tbl driver 2'!$K$2:$L1508,""SELECT L WHERE K = '""&amp;I901&amp;""'""))),"""")"),"")</f>
        <v/>
      </c>
      <c r="K901" s="31"/>
      <c r="L901" s="39"/>
      <c r="M901" s="39"/>
      <c r="N901" s="28" t="str">
        <f>IFERROR(__xludf.DUMMYFUNCTION("IF(OR(C901="""",M901=""""),"""",IFERROR(IF(M901="""","""",query('tbl user'!$A$2:$D1508,""SELECT A WHERE D = '""&amp;M901&amp;""'"")),""USER TIDAK DIKETAHUI""))"),"")</f>
        <v/>
      </c>
    </row>
    <row r="902">
      <c r="A902" s="23" t="str">
        <f t="shared" si="3"/>
        <v/>
      </c>
      <c r="B902" s="24" t="str">
        <f t="shared" si="4"/>
        <v/>
      </c>
      <c r="C902" s="28"/>
      <c r="D902" s="28"/>
      <c r="E902" s="34"/>
      <c r="F902" s="34"/>
      <c r="G902" s="34"/>
      <c r="H902" s="34"/>
      <c r="I902" s="34"/>
      <c r="J902" s="28" t="str">
        <f>IFERROR(__xludf.DUMMYFUNCTION("iferror(if(I902="""","""",unique(query('tbl driver 2'!$K$2:$L1508,""SELECT L WHERE K = '""&amp;I902&amp;""'""))),"""")"),"")</f>
        <v/>
      </c>
      <c r="K902" s="31"/>
      <c r="L902" s="39"/>
      <c r="M902" s="39"/>
      <c r="N902" s="28" t="str">
        <f>IFERROR(__xludf.DUMMYFUNCTION("IF(OR(C902="""",M902=""""),"""",IFERROR(IF(M902="""","""",query('tbl user'!$A$2:$D1508,""SELECT A WHERE D = '""&amp;M902&amp;""'"")),""USER TIDAK DIKETAHUI""))"),"")</f>
        <v/>
      </c>
    </row>
    <row r="903">
      <c r="A903" s="23" t="str">
        <f t="shared" si="3"/>
        <v/>
      </c>
      <c r="B903" s="24" t="str">
        <f t="shared" si="4"/>
        <v/>
      </c>
      <c r="C903" s="28"/>
      <c r="D903" s="28"/>
      <c r="E903" s="34"/>
      <c r="F903" s="34"/>
      <c r="G903" s="34"/>
      <c r="H903" s="34"/>
      <c r="I903" s="34"/>
      <c r="J903" s="28" t="str">
        <f>IFERROR(__xludf.DUMMYFUNCTION("iferror(if(I903="""","""",unique(query('tbl driver 2'!$K$2:$L1508,""SELECT L WHERE K = '""&amp;I903&amp;""'""))),"""")"),"")</f>
        <v/>
      </c>
      <c r="K903" s="31"/>
      <c r="L903" s="39"/>
      <c r="M903" s="39"/>
      <c r="N903" s="28" t="str">
        <f>IFERROR(__xludf.DUMMYFUNCTION("IF(OR(C903="""",M903=""""),"""",IFERROR(IF(M903="""","""",query('tbl user'!$A$2:$D1508,""SELECT A WHERE D = '""&amp;M903&amp;""'"")),""USER TIDAK DIKETAHUI""))"),"")</f>
        <v/>
      </c>
    </row>
    <row r="904">
      <c r="A904" s="23" t="str">
        <f t="shared" si="3"/>
        <v/>
      </c>
      <c r="B904" s="24" t="str">
        <f t="shared" si="4"/>
        <v/>
      </c>
      <c r="C904" s="28"/>
      <c r="D904" s="28"/>
      <c r="E904" s="34"/>
      <c r="F904" s="34"/>
      <c r="G904" s="34"/>
      <c r="H904" s="34"/>
      <c r="I904" s="34"/>
      <c r="J904" s="28" t="str">
        <f>IFERROR(__xludf.DUMMYFUNCTION("iferror(if(I904="""","""",unique(query('tbl driver 2'!$K$2:$L1508,""SELECT L WHERE K = '""&amp;I904&amp;""'""))),"""")"),"")</f>
        <v/>
      </c>
      <c r="K904" s="31"/>
      <c r="L904" s="39"/>
      <c r="M904" s="39"/>
      <c r="N904" s="28" t="str">
        <f>IFERROR(__xludf.DUMMYFUNCTION("IF(OR(C904="""",M904=""""),"""",IFERROR(IF(M904="""","""",query('tbl user'!$A$2:$D1508,""SELECT A WHERE D = '""&amp;M904&amp;""'"")),""USER TIDAK DIKETAHUI""))"),"")</f>
        <v/>
      </c>
    </row>
    <row r="905">
      <c r="A905" s="23" t="str">
        <f t="shared" si="3"/>
        <v/>
      </c>
      <c r="B905" s="24" t="str">
        <f t="shared" si="4"/>
        <v/>
      </c>
      <c r="C905" s="28"/>
      <c r="D905" s="28"/>
      <c r="E905" s="34"/>
      <c r="F905" s="34"/>
      <c r="G905" s="34"/>
      <c r="H905" s="34"/>
      <c r="I905" s="34"/>
      <c r="J905" s="28" t="str">
        <f>IFERROR(__xludf.DUMMYFUNCTION("iferror(if(I905="""","""",unique(query('tbl driver 2'!$K$2:$L1508,""SELECT L WHERE K = '""&amp;I905&amp;""'""))),"""")"),"")</f>
        <v/>
      </c>
      <c r="K905" s="31"/>
      <c r="L905" s="39"/>
      <c r="M905" s="39"/>
      <c r="N905" s="28" t="str">
        <f>IFERROR(__xludf.DUMMYFUNCTION("IF(OR(C905="""",M905=""""),"""",IFERROR(IF(M905="""","""",query('tbl user'!$A$2:$D1508,""SELECT A WHERE D = '""&amp;M905&amp;""'"")),""USER TIDAK DIKETAHUI""))"),"")</f>
        <v/>
      </c>
    </row>
    <row r="906">
      <c r="A906" s="23" t="str">
        <f t="shared" si="3"/>
        <v/>
      </c>
      <c r="B906" s="24" t="str">
        <f t="shared" si="4"/>
        <v/>
      </c>
      <c r="C906" s="28"/>
      <c r="D906" s="28"/>
      <c r="E906" s="34"/>
      <c r="F906" s="34"/>
      <c r="G906" s="34"/>
      <c r="H906" s="34"/>
      <c r="I906" s="34"/>
      <c r="J906" s="28" t="str">
        <f>IFERROR(__xludf.DUMMYFUNCTION("iferror(if(I906="""","""",unique(query('tbl driver 2'!$K$2:$L1508,""SELECT L WHERE K = '""&amp;I906&amp;""'""))),"""")"),"")</f>
        <v/>
      </c>
      <c r="K906" s="31"/>
      <c r="L906" s="39"/>
      <c r="M906" s="39"/>
      <c r="N906" s="28" t="str">
        <f>IFERROR(__xludf.DUMMYFUNCTION("IF(OR(C906="""",M906=""""),"""",IFERROR(IF(M906="""","""",query('tbl user'!$A$2:$D1508,""SELECT A WHERE D = '""&amp;M906&amp;""'"")),""USER TIDAK DIKETAHUI""))"),"")</f>
        <v/>
      </c>
    </row>
    <row r="907">
      <c r="A907" s="23" t="str">
        <f t="shared" si="3"/>
        <v/>
      </c>
      <c r="B907" s="24" t="str">
        <f t="shared" si="4"/>
        <v/>
      </c>
      <c r="C907" s="28"/>
      <c r="D907" s="28"/>
      <c r="E907" s="34"/>
      <c r="F907" s="34"/>
      <c r="G907" s="34"/>
      <c r="H907" s="34"/>
      <c r="I907" s="34"/>
      <c r="J907" s="28" t="str">
        <f>IFERROR(__xludf.DUMMYFUNCTION("iferror(if(I907="""","""",unique(query('tbl driver 2'!$K$2:$L1508,""SELECT L WHERE K = '""&amp;I907&amp;""'""))),"""")"),"")</f>
        <v/>
      </c>
      <c r="K907" s="31"/>
      <c r="L907" s="39"/>
      <c r="M907" s="39"/>
      <c r="N907" s="28" t="str">
        <f>IFERROR(__xludf.DUMMYFUNCTION("IF(OR(C907="""",M907=""""),"""",IFERROR(IF(M907="""","""",query('tbl user'!$A$2:$D1508,""SELECT A WHERE D = '""&amp;M907&amp;""'"")),""USER TIDAK DIKETAHUI""))"),"")</f>
        <v/>
      </c>
    </row>
    <row r="908">
      <c r="A908" s="23" t="str">
        <f t="shared" si="3"/>
        <v/>
      </c>
      <c r="B908" s="24" t="str">
        <f t="shared" si="4"/>
        <v/>
      </c>
      <c r="C908" s="28"/>
      <c r="D908" s="28"/>
      <c r="E908" s="34"/>
      <c r="F908" s="34"/>
      <c r="G908" s="34"/>
      <c r="H908" s="34"/>
      <c r="I908" s="34"/>
      <c r="J908" s="28" t="str">
        <f>IFERROR(__xludf.DUMMYFUNCTION("iferror(if(I908="""","""",unique(query('tbl driver 2'!$K$2:$L1508,""SELECT L WHERE K = '""&amp;I908&amp;""'""))),"""")"),"")</f>
        <v/>
      </c>
      <c r="K908" s="31"/>
      <c r="L908" s="39"/>
      <c r="M908" s="39"/>
      <c r="N908" s="28" t="str">
        <f>IFERROR(__xludf.DUMMYFUNCTION("IF(OR(C908="""",M908=""""),"""",IFERROR(IF(M908="""","""",query('tbl user'!$A$2:$D1508,""SELECT A WHERE D = '""&amp;M908&amp;""'"")),""USER TIDAK DIKETAHUI""))"),"")</f>
        <v/>
      </c>
    </row>
    <row r="909">
      <c r="A909" s="23" t="str">
        <f t="shared" si="3"/>
        <v/>
      </c>
      <c r="B909" s="24" t="str">
        <f t="shared" si="4"/>
        <v/>
      </c>
      <c r="C909" s="28"/>
      <c r="D909" s="28"/>
      <c r="E909" s="34"/>
      <c r="F909" s="34"/>
      <c r="G909" s="34"/>
      <c r="H909" s="34"/>
      <c r="I909" s="34"/>
      <c r="J909" s="28" t="str">
        <f>IFERROR(__xludf.DUMMYFUNCTION("iferror(if(I909="""","""",unique(query('tbl driver 2'!$K$2:$L1508,""SELECT L WHERE K = '""&amp;I909&amp;""'""))),"""")"),"")</f>
        <v/>
      </c>
      <c r="K909" s="31"/>
      <c r="L909" s="39"/>
      <c r="M909" s="39"/>
      <c r="N909" s="28" t="str">
        <f>IFERROR(__xludf.DUMMYFUNCTION("IF(OR(C909="""",M909=""""),"""",IFERROR(IF(M909="""","""",query('tbl user'!$A$2:$D1508,""SELECT A WHERE D = '""&amp;M909&amp;""'"")),""USER TIDAK DIKETAHUI""))"),"")</f>
        <v/>
      </c>
    </row>
    <row r="910">
      <c r="A910" s="23" t="str">
        <f t="shared" si="3"/>
        <v/>
      </c>
      <c r="B910" s="24" t="str">
        <f t="shared" si="4"/>
        <v/>
      </c>
      <c r="C910" s="28"/>
      <c r="D910" s="28"/>
      <c r="E910" s="34"/>
      <c r="F910" s="34"/>
      <c r="G910" s="34"/>
      <c r="H910" s="34"/>
      <c r="I910" s="34"/>
      <c r="J910" s="28" t="str">
        <f>IFERROR(__xludf.DUMMYFUNCTION("iferror(if(I910="""","""",unique(query('tbl driver 2'!$K$2:$L1508,""SELECT L WHERE K = '""&amp;I910&amp;""'""))),"""")"),"")</f>
        <v/>
      </c>
      <c r="K910" s="31"/>
      <c r="L910" s="39"/>
      <c r="M910" s="39"/>
      <c r="N910" s="28" t="str">
        <f>IFERROR(__xludf.DUMMYFUNCTION("IF(OR(C910="""",M910=""""),"""",IFERROR(IF(M910="""","""",query('tbl user'!$A$2:$D1508,""SELECT A WHERE D = '""&amp;M910&amp;""'"")),""USER TIDAK DIKETAHUI""))"),"")</f>
        <v/>
      </c>
    </row>
    <row r="911">
      <c r="A911" s="23" t="str">
        <f t="shared" si="3"/>
        <v/>
      </c>
      <c r="B911" s="24" t="str">
        <f t="shared" si="4"/>
        <v/>
      </c>
      <c r="C911" s="28"/>
      <c r="D911" s="28"/>
      <c r="E911" s="34"/>
      <c r="F911" s="34"/>
      <c r="G911" s="34"/>
      <c r="H911" s="34"/>
      <c r="I911" s="34"/>
      <c r="J911" s="28" t="str">
        <f>IFERROR(__xludf.DUMMYFUNCTION("iferror(if(I911="""","""",unique(query('tbl driver 2'!$K$2:$L1508,""SELECT L WHERE K = '""&amp;I911&amp;""'""))),"""")"),"")</f>
        <v/>
      </c>
      <c r="K911" s="31"/>
      <c r="L911" s="39"/>
      <c r="M911" s="39"/>
      <c r="N911" s="28" t="str">
        <f>IFERROR(__xludf.DUMMYFUNCTION("IF(OR(C911="""",M911=""""),"""",IFERROR(IF(M911="""","""",query('tbl user'!$A$2:$D1508,""SELECT A WHERE D = '""&amp;M911&amp;""'"")),""USER TIDAK DIKETAHUI""))"),"")</f>
        <v/>
      </c>
    </row>
    <row r="912">
      <c r="A912" s="23" t="str">
        <f t="shared" si="3"/>
        <v/>
      </c>
      <c r="B912" s="24" t="str">
        <f t="shared" si="4"/>
        <v/>
      </c>
      <c r="C912" s="28"/>
      <c r="D912" s="28"/>
      <c r="E912" s="34"/>
      <c r="F912" s="34"/>
      <c r="G912" s="34"/>
      <c r="H912" s="34"/>
      <c r="I912" s="34"/>
      <c r="J912" s="28" t="str">
        <f>IFERROR(__xludf.DUMMYFUNCTION("iferror(if(I912="""","""",unique(query('tbl driver 2'!$K$2:$L1508,""SELECT L WHERE K = '""&amp;I912&amp;""'""))),"""")"),"")</f>
        <v/>
      </c>
      <c r="K912" s="31"/>
      <c r="L912" s="39"/>
      <c r="M912" s="39"/>
      <c r="N912" s="28" t="str">
        <f>IFERROR(__xludf.DUMMYFUNCTION("IF(OR(C912="""",M912=""""),"""",IFERROR(IF(M912="""","""",query('tbl user'!$A$2:$D1508,""SELECT A WHERE D = '""&amp;M912&amp;""'"")),""USER TIDAK DIKETAHUI""))"),"")</f>
        <v/>
      </c>
    </row>
    <row r="913">
      <c r="A913" s="23" t="str">
        <f t="shared" si="3"/>
        <v/>
      </c>
      <c r="B913" s="24" t="str">
        <f t="shared" si="4"/>
        <v/>
      </c>
      <c r="C913" s="28"/>
      <c r="D913" s="28"/>
      <c r="E913" s="34"/>
      <c r="F913" s="34"/>
      <c r="G913" s="34"/>
      <c r="H913" s="34"/>
      <c r="I913" s="34"/>
      <c r="J913" s="28" t="str">
        <f>IFERROR(__xludf.DUMMYFUNCTION("iferror(if(I913="""","""",unique(query('tbl driver 2'!$K$2:$L1508,""SELECT L WHERE K = '""&amp;I913&amp;""'""))),"""")"),"")</f>
        <v/>
      </c>
      <c r="K913" s="31"/>
      <c r="L913" s="39"/>
      <c r="M913" s="39"/>
      <c r="N913" s="28" t="str">
        <f>IFERROR(__xludf.DUMMYFUNCTION("IF(OR(C913="""",M913=""""),"""",IFERROR(IF(M913="""","""",query('tbl user'!$A$2:$D1508,""SELECT A WHERE D = '""&amp;M913&amp;""'"")),""USER TIDAK DIKETAHUI""))"),"")</f>
        <v/>
      </c>
    </row>
    <row r="914">
      <c r="A914" s="23" t="str">
        <f t="shared" si="3"/>
        <v/>
      </c>
      <c r="B914" s="24" t="str">
        <f t="shared" si="4"/>
        <v/>
      </c>
      <c r="C914" s="28"/>
      <c r="D914" s="28"/>
      <c r="E914" s="34"/>
      <c r="F914" s="34"/>
      <c r="G914" s="34"/>
      <c r="H914" s="34"/>
      <c r="I914" s="34"/>
      <c r="J914" s="28" t="str">
        <f>IFERROR(__xludf.DUMMYFUNCTION("iferror(if(I914="""","""",unique(query('tbl driver 2'!$K$2:$L1508,""SELECT L WHERE K = '""&amp;I914&amp;""'""))),"""")"),"")</f>
        <v/>
      </c>
      <c r="K914" s="31"/>
      <c r="L914" s="39"/>
      <c r="M914" s="39"/>
      <c r="N914" s="28" t="str">
        <f>IFERROR(__xludf.DUMMYFUNCTION("IF(OR(C914="""",M914=""""),"""",IFERROR(IF(M914="""","""",query('tbl user'!$A$2:$D1508,""SELECT A WHERE D = '""&amp;M914&amp;""'"")),""USER TIDAK DIKETAHUI""))"),"")</f>
        <v/>
      </c>
    </row>
    <row r="915">
      <c r="A915" s="23" t="str">
        <f t="shared" si="3"/>
        <v/>
      </c>
      <c r="B915" s="24" t="str">
        <f t="shared" si="4"/>
        <v/>
      </c>
      <c r="C915" s="28"/>
      <c r="D915" s="28"/>
      <c r="E915" s="34"/>
      <c r="F915" s="34"/>
      <c r="G915" s="34"/>
      <c r="H915" s="34"/>
      <c r="I915" s="34"/>
      <c r="J915" s="28" t="str">
        <f>IFERROR(__xludf.DUMMYFUNCTION("iferror(if(I915="""","""",unique(query('tbl driver 2'!$K$2:$L1508,""SELECT L WHERE K = '""&amp;I915&amp;""'""))),"""")"),"")</f>
        <v/>
      </c>
      <c r="K915" s="31"/>
      <c r="L915" s="39"/>
      <c r="M915" s="39"/>
      <c r="N915" s="28" t="str">
        <f>IFERROR(__xludf.DUMMYFUNCTION("IF(OR(C915="""",M915=""""),"""",IFERROR(IF(M915="""","""",query('tbl user'!$A$2:$D1508,""SELECT A WHERE D = '""&amp;M915&amp;""'"")),""USER TIDAK DIKETAHUI""))"),"")</f>
        <v/>
      </c>
    </row>
    <row r="916">
      <c r="A916" s="23" t="str">
        <f t="shared" si="3"/>
        <v/>
      </c>
      <c r="B916" s="24" t="str">
        <f t="shared" si="4"/>
        <v/>
      </c>
      <c r="C916" s="28"/>
      <c r="D916" s="28"/>
      <c r="E916" s="34"/>
      <c r="F916" s="34"/>
      <c r="G916" s="34"/>
      <c r="H916" s="34"/>
      <c r="I916" s="34"/>
      <c r="J916" s="28" t="str">
        <f>IFERROR(__xludf.DUMMYFUNCTION("iferror(if(I916="""","""",unique(query('tbl driver 2'!$K$2:$L1508,""SELECT L WHERE K = '""&amp;I916&amp;""'""))),"""")"),"")</f>
        <v/>
      </c>
      <c r="K916" s="31"/>
      <c r="L916" s="39"/>
      <c r="M916" s="39"/>
      <c r="N916" s="28" t="str">
        <f>IFERROR(__xludf.DUMMYFUNCTION("IF(OR(C916="""",M916=""""),"""",IFERROR(IF(M916="""","""",query('tbl user'!$A$2:$D1508,""SELECT A WHERE D = '""&amp;M916&amp;""'"")),""USER TIDAK DIKETAHUI""))"),"")</f>
        <v/>
      </c>
    </row>
    <row r="917">
      <c r="A917" s="23" t="str">
        <f t="shared" si="3"/>
        <v/>
      </c>
      <c r="B917" s="24" t="str">
        <f t="shared" si="4"/>
        <v/>
      </c>
      <c r="C917" s="28"/>
      <c r="D917" s="28"/>
      <c r="E917" s="34"/>
      <c r="F917" s="34"/>
      <c r="G917" s="34"/>
      <c r="H917" s="34"/>
      <c r="I917" s="34"/>
      <c r="J917" s="28" t="str">
        <f>IFERROR(__xludf.DUMMYFUNCTION("iferror(if(I917="""","""",unique(query('tbl driver 2'!$K$2:$L1508,""SELECT L WHERE K = '""&amp;I917&amp;""'""))),"""")"),"")</f>
        <v/>
      </c>
      <c r="K917" s="31"/>
      <c r="L917" s="39"/>
      <c r="M917" s="39"/>
      <c r="N917" s="28" t="str">
        <f>IFERROR(__xludf.DUMMYFUNCTION("IF(OR(C917="""",M917=""""),"""",IFERROR(IF(M917="""","""",query('tbl user'!$A$2:$D1508,""SELECT A WHERE D = '""&amp;M917&amp;""'"")),""USER TIDAK DIKETAHUI""))"),"")</f>
        <v/>
      </c>
    </row>
    <row r="918">
      <c r="A918" s="23" t="str">
        <f t="shared" si="3"/>
        <v/>
      </c>
      <c r="B918" s="24" t="str">
        <f t="shared" si="4"/>
        <v/>
      </c>
      <c r="C918" s="28"/>
      <c r="D918" s="28"/>
      <c r="E918" s="34"/>
      <c r="F918" s="34"/>
      <c r="G918" s="34"/>
      <c r="H918" s="34"/>
      <c r="I918" s="34"/>
      <c r="J918" s="28" t="str">
        <f>IFERROR(__xludf.DUMMYFUNCTION("iferror(if(I918="""","""",unique(query('tbl driver 2'!$K$2:$L1508,""SELECT L WHERE K = '""&amp;I918&amp;""'""))),"""")"),"")</f>
        <v/>
      </c>
      <c r="K918" s="31"/>
      <c r="L918" s="39"/>
      <c r="M918" s="39"/>
      <c r="N918" s="28" t="str">
        <f>IFERROR(__xludf.DUMMYFUNCTION("IF(OR(C918="""",M918=""""),"""",IFERROR(IF(M918="""","""",query('tbl user'!$A$2:$D1508,""SELECT A WHERE D = '""&amp;M918&amp;""'"")),""USER TIDAK DIKETAHUI""))"),"")</f>
        <v/>
      </c>
    </row>
    <row r="919">
      <c r="A919" s="23" t="str">
        <f t="shared" si="3"/>
        <v/>
      </c>
      <c r="B919" s="24" t="str">
        <f t="shared" si="4"/>
        <v/>
      </c>
      <c r="C919" s="28"/>
      <c r="D919" s="28"/>
      <c r="E919" s="34"/>
      <c r="F919" s="34"/>
      <c r="G919" s="34"/>
      <c r="H919" s="34"/>
      <c r="I919" s="34"/>
      <c r="J919" s="28" t="str">
        <f>IFERROR(__xludf.DUMMYFUNCTION("iferror(if(I919="""","""",unique(query('tbl driver 2'!$K$2:$L1508,""SELECT L WHERE K = '""&amp;I919&amp;""'""))),"""")"),"")</f>
        <v/>
      </c>
      <c r="K919" s="31"/>
      <c r="L919" s="39"/>
      <c r="M919" s="39"/>
      <c r="N919" s="28" t="str">
        <f>IFERROR(__xludf.DUMMYFUNCTION("IF(OR(C919="""",M919=""""),"""",IFERROR(IF(M919="""","""",query('tbl user'!$A$2:$D1508,""SELECT A WHERE D = '""&amp;M919&amp;""'"")),""USER TIDAK DIKETAHUI""))"),"")</f>
        <v/>
      </c>
    </row>
    <row r="920">
      <c r="A920" s="23" t="str">
        <f t="shared" si="3"/>
        <v/>
      </c>
      <c r="B920" s="24" t="str">
        <f t="shared" si="4"/>
        <v/>
      </c>
      <c r="C920" s="28"/>
      <c r="D920" s="28"/>
      <c r="E920" s="34"/>
      <c r="F920" s="34"/>
      <c r="G920" s="34"/>
      <c r="H920" s="34"/>
      <c r="I920" s="34"/>
      <c r="J920" s="28" t="str">
        <f>IFERROR(__xludf.DUMMYFUNCTION("iferror(if(I920="""","""",unique(query('tbl driver 2'!$K$2:$L1508,""SELECT L WHERE K = '""&amp;I920&amp;""'""))),"""")"),"")</f>
        <v/>
      </c>
      <c r="K920" s="31"/>
      <c r="L920" s="39"/>
      <c r="M920" s="39"/>
      <c r="N920" s="28" t="str">
        <f>IFERROR(__xludf.DUMMYFUNCTION("IF(OR(C920="""",M920=""""),"""",IFERROR(IF(M920="""","""",query('tbl user'!$A$2:$D1508,""SELECT A WHERE D = '""&amp;M920&amp;""'"")),""USER TIDAK DIKETAHUI""))"),"")</f>
        <v/>
      </c>
    </row>
    <row r="921">
      <c r="A921" s="23" t="str">
        <f t="shared" si="3"/>
        <v/>
      </c>
      <c r="B921" s="24" t="str">
        <f t="shared" si="4"/>
        <v/>
      </c>
      <c r="C921" s="28"/>
      <c r="D921" s="28"/>
      <c r="E921" s="34"/>
      <c r="F921" s="34"/>
      <c r="G921" s="34"/>
      <c r="H921" s="34"/>
      <c r="I921" s="34"/>
      <c r="J921" s="28" t="str">
        <f>IFERROR(__xludf.DUMMYFUNCTION("iferror(if(I921="""","""",unique(query('tbl driver 2'!$K$2:$L1508,""SELECT L WHERE K = '""&amp;I921&amp;""'""))),"""")"),"")</f>
        <v/>
      </c>
      <c r="K921" s="31"/>
      <c r="L921" s="39"/>
      <c r="M921" s="39"/>
      <c r="N921" s="28" t="str">
        <f>IFERROR(__xludf.DUMMYFUNCTION("IF(OR(C921="""",M921=""""),"""",IFERROR(IF(M921="""","""",query('tbl user'!$A$2:$D1508,""SELECT A WHERE D = '""&amp;M921&amp;""'"")),""USER TIDAK DIKETAHUI""))"),"")</f>
        <v/>
      </c>
    </row>
    <row r="922">
      <c r="A922" s="23" t="str">
        <f t="shared" si="3"/>
        <v/>
      </c>
      <c r="B922" s="24" t="str">
        <f t="shared" si="4"/>
        <v/>
      </c>
      <c r="C922" s="28"/>
      <c r="D922" s="28"/>
      <c r="E922" s="34"/>
      <c r="F922" s="34"/>
      <c r="G922" s="34"/>
      <c r="H922" s="34"/>
      <c r="I922" s="34"/>
      <c r="J922" s="28" t="str">
        <f>IFERROR(__xludf.DUMMYFUNCTION("iferror(if(I922="""","""",unique(query('tbl driver 2'!$K$2:$L1508,""SELECT L WHERE K = '""&amp;I922&amp;""'""))),"""")"),"")</f>
        <v/>
      </c>
      <c r="K922" s="31"/>
      <c r="L922" s="39"/>
      <c r="M922" s="39"/>
      <c r="N922" s="28" t="str">
        <f>IFERROR(__xludf.DUMMYFUNCTION("IF(OR(C922="""",M922=""""),"""",IFERROR(IF(M922="""","""",query('tbl user'!$A$2:$D1508,""SELECT A WHERE D = '""&amp;M922&amp;""'"")),""USER TIDAK DIKETAHUI""))"),"")</f>
        <v/>
      </c>
    </row>
    <row r="923">
      <c r="A923" s="23" t="str">
        <f t="shared" si="3"/>
        <v/>
      </c>
      <c r="B923" s="24" t="str">
        <f t="shared" si="4"/>
        <v/>
      </c>
      <c r="C923" s="28"/>
      <c r="D923" s="28"/>
      <c r="E923" s="34"/>
      <c r="F923" s="34"/>
      <c r="G923" s="34"/>
      <c r="H923" s="34"/>
      <c r="I923" s="34"/>
      <c r="J923" s="28" t="str">
        <f>IFERROR(__xludf.DUMMYFUNCTION("iferror(if(I923="""","""",unique(query('tbl driver 2'!$K$2:$L1508,""SELECT L WHERE K = '""&amp;I923&amp;""'""))),"""")"),"")</f>
        <v/>
      </c>
      <c r="K923" s="31"/>
      <c r="L923" s="39"/>
      <c r="M923" s="39"/>
      <c r="N923" s="28" t="str">
        <f>IFERROR(__xludf.DUMMYFUNCTION("IF(OR(C923="""",M923=""""),"""",IFERROR(IF(M923="""","""",query('tbl user'!$A$2:$D1508,""SELECT A WHERE D = '""&amp;M923&amp;""'"")),""USER TIDAK DIKETAHUI""))"),"")</f>
        <v/>
      </c>
    </row>
    <row r="924">
      <c r="A924" s="23" t="str">
        <f t="shared" si="3"/>
        <v/>
      </c>
      <c r="B924" s="24" t="str">
        <f t="shared" si="4"/>
        <v/>
      </c>
      <c r="C924" s="28"/>
      <c r="D924" s="28"/>
      <c r="E924" s="34"/>
      <c r="F924" s="34"/>
      <c r="G924" s="34"/>
      <c r="H924" s="34"/>
      <c r="I924" s="34"/>
      <c r="J924" s="28" t="str">
        <f>IFERROR(__xludf.DUMMYFUNCTION("iferror(if(I924="""","""",unique(query('tbl driver 2'!$K$2:$L1508,""SELECT L WHERE K = '""&amp;I924&amp;""'""))),"""")"),"")</f>
        <v/>
      </c>
      <c r="K924" s="31"/>
      <c r="L924" s="39"/>
      <c r="M924" s="39"/>
      <c r="N924" s="28" t="str">
        <f>IFERROR(__xludf.DUMMYFUNCTION("IF(OR(C924="""",M924=""""),"""",IFERROR(IF(M924="""","""",query('tbl user'!$A$2:$D1508,""SELECT A WHERE D = '""&amp;M924&amp;""'"")),""USER TIDAK DIKETAHUI""))"),"")</f>
        <v/>
      </c>
    </row>
    <row r="925">
      <c r="A925" s="23" t="str">
        <f t="shared" si="3"/>
        <v/>
      </c>
      <c r="B925" s="24" t="str">
        <f t="shared" si="4"/>
        <v/>
      </c>
      <c r="C925" s="28"/>
      <c r="D925" s="28"/>
      <c r="E925" s="34"/>
      <c r="F925" s="34"/>
      <c r="G925" s="34"/>
      <c r="H925" s="34"/>
      <c r="I925" s="34"/>
      <c r="J925" s="28" t="str">
        <f>IFERROR(__xludf.DUMMYFUNCTION("iferror(if(I925="""","""",unique(query('tbl driver 2'!$K$2:$L1508,""SELECT L WHERE K = '""&amp;I925&amp;""'""))),"""")"),"")</f>
        <v/>
      </c>
      <c r="K925" s="31"/>
      <c r="L925" s="39"/>
      <c r="M925" s="39"/>
      <c r="N925" s="28" t="str">
        <f>IFERROR(__xludf.DUMMYFUNCTION("IF(OR(C925="""",M925=""""),"""",IFERROR(IF(M925="""","""",query('tbl user'!$A$2:$D1508,""SELECT A WHERE D = '""&amp;M925&amp;""'"")),""USER TIDAK DIKETAHUI""))"),"")</f>
        <v/>
      </c>
    </row>
    <row r="926">
      <c r="A926" s="23" t="str">
        <f t="shared" si="3"/>
        <v/>
      </c>
      <c r="B926" s="24" t="str">
        <f t="shared" si="4"/>
        <v/>
      </c>
      <c r="C926" s="28"/>
      <c r="D926" s="28"/>
      <c r="E926" s="34"/>
      <c r="F926" s="34"/>
      <c r="G926" s="34"/>
      <c r="H926" s="34"/>
      <c r="I926" s="34"/>
      <c r="J926" s="28" t="str">
        <f>IFERROR(__xludf.DUMMYFUNCTION("iferror(if(I926="""","""",unique(query('tbl driver 2'!$K$2:$L1508,""SELECT L WHERE K = '""&amp;I926&amp;""'""))),"""")"),"")</f>
        <v/>
      </c>
      <c r="K926" s="31"/>
      <c r="L926" s="39"/>
      <c r="M926" s="39"/>
      <c r="N926" s="28" t="str">
        <f>IFERROR(__xludf.DUMMYFUNCTION("IF(OR(C926="""",M926=""""),"""",IFERROR(IF(M926="""","""",query('tbl user'!$A$2:$D1508,""SELECT A WHERE D = '""&amp;M926&amp;""'"")),""USER TIDAK DIKETAHUI""))"),"")</f>
        <v/>
      </c>
    </row>
    <row r="927">
      <c r="A927" s="23" t="str">
        <f t="shared" si="3"/>
        <v/>
      </c>
      <c r="B927" s="24" t="str">
        <f t="shared" si="4"/>
        <v/>
      </c>
      <c r="C927" s="28"/>
      <c r="D927" s="28"/>
      <c r="E927" s="34"/>
      <c r="F927" s="34"/>
      <c r="G927" s="34"/>
      <c r="H927" s="34"/>
      <c r="I927" s="34"/>
      <c r="J927" s="28" t="str">
        <f>IFERROR(__xludf.DUMMYFUNCTION("iferror(if(I927="""","""",unique(query('tbl driver 2'!$K$2:$L1508,""SELECT L WHERE K = '""&amp;I927&amp;""'""))),"""")"),"")</f>
        <v/>
      </c>
      <c r="K927" s="31"/>
      <c r="L927" s="39"/>
      <c r="M927" s="39"/>
      <c r="N927" s="28" t="str">
        <f>IFERROR(__xludf.DUMMYFUNCTION("IF(OR(C927="""",M927=""""),"""",IFERROR(IF(M927="""","""",query('tbl user'!$A$2:$D1508,""SELECT A WHERE D = '""&amp;M927&amp;""'"")),""USER TIDAK DIKETAHUI""))"),"")</f>
        <v/>
      </c>
    </row>
    <row r="928">
      <c r="A928" s="23" t="str">
        <f t="shared" si="3"/>
        <v/>
      </c>
      <c r="B928" s="24" t="str">
        <f t="shared" si="4"/>
        <v/>
      </c>
      <c r="C928" s="28"/>
      <c r="D928" s="28"/>
      <c r="E928" s="34"/>
      <c r="F928" s="34"/>
      <c r="G928" s="34"/>
      <c r="H928" s="34"/>
      <c r="I928" s="34"/>
      <c r="J928" s="28" t="str">
        <f>IFERROR(__xludf.DUMMYFUNCTION("iferror(if(I928="""","""",unique(query('tbl driver 2'!$K$2:$L1508,""SELECT L WHERE K = '""&amp;I928&amp;""'""))),"""")"),"")</f>
        <v/>
      </c>
      <c r="K928" s="31"/>
      <c r="L928" s="39"/>
      <c r="M928" s="39"/>
      <c r="N928" s="28" t="str">
        <f>IFERROR(__xludf.DUMMYFUNCTION("IF(OR(C928="""",M928=""""),"""",IFERROR(IF(M928="""","""",query('tbl user'!$A$2:$D1508,""SELECT A WHERE D = '""&amp;M928&amp;""'"")),""USER TIDAK DIKETAHUI""))"),"")</f>
        <v/>
      </c>
    </row>
    <row r="929">
      <c r="A929" s="23" t="str">
        <f t="shared" si="3"/>
        <v/>
      </c>
      <c r="B929" s="24" t="str">
        <f t="shared" si="4"/>
        <v/>
      </c>
      <c r="C929" s="28"/>
      <c r="D929" s="28"/>
      <c r="E929" s="34"/>
      <c r="F929" s="34"/>
      <c r="G929" s="34"/>
      <c r="H929" s="34"/>
      <c r="I929" s="34"/>
      <c r="J929" s="28" t="str">
        <f>IFERROR(__xludf.DUMMYFUNCTION("iferror(if(I929="""","""",unique(query('tbl driver 2'!$K$2:$L1508,""SELECT L WHERE K = '""&amp;I929&amp;""'""))),"""")"),"")</f>
        <v/>
      </c>
      <c r="K929" s="31"/>
      <c r="L929" s="39"/>
      <c r="M929" s="39"/>
      <c r="N929" s="28" t="str">
        <f>IFERROR(__xludf.DUMMYFUNCTION("IF(OR(C929="""",M929=""""),"""",IFERROR(IF(M929="""","""",query('tbl user'!$A$2:$D1508,""SELECT A WHERE D = '""&amp;M929&amp;""'"")),""USER TIDAK DIKETAHUI""))"),"")</f>
        <v/>
      </c>
    </row>
    <row r="930">
      <c r="A930" s="23" t="str">
        <f t="shared" si="3"/>
        <v/>
      </c>
      <c r="B930" s="24" t="str">
        <f t="shared" si="4"/>
        <v/>
      </c>
      <c r="C930" s="28"/>
      <c r="D930" s="28"/>
      <c r="E930" s="34"/>
      <c r="F930" s="34"/>
      <c r="G930" s="34"/>
      <c r="H930" s="34"/>
      <c r="I930" s="34"/>
      <c r="J930" s="28" t="str">
        <f>IFERROR(__xludf.DUMMYFUNCTION("iferror(if(I930="""","""",unique(query('tbl driver 2'!$K$2:$L1508,""SELECT L WHERE K = '""&amp;I930&amp;""'""))),"""")"),"")</f>
        <v/>
      </c>
      <c r="K930" s="31"/>
      <c r="L930" s="39"/>
      <c r="M930" s="39"/>
      <c r="N930" s="28" t="str">
        <f>IFERROR(__xludf.DUMMYFUNCTION("IF(OR(C930="""",M930=""""),"""",IFERROR(IF(M930="""","""",query('tbl user'!$A$2:$D1508,""SELECT A WHERE D = '""&amp;M930&amp;""'"")),""USER TIDAK DIKETAHUI""))"),"")</f>
        <v/>
      </c>
    </row>
    <row r="931">
      <c r="A931" s="23" t="str">
        <f t="shared" si="3"/>
        <v/>
      </c>
      <c r="B931" s="24" t="str">
        <f t="shared" si="4"/>
        <v/>
      </c>
      <c r="C931" s="28"/>
      <c r="D931" s="28"/>
      <c r="E931" s="34"/>
      <c r="F931" s="34"/>
      <c r="G931" s="34"/>
      <c r="H931" s="34"/>
      <c r="I931" s="34"/>
      <c r="J931" s="28" t="str">
        <f>IFERROR(__xludf.DUMMYFUNCTION("iferror(if(I931="""","""",unique(query('tbl driver 2'!$K$2:$L1508,""SELECT L WHERE K = '""&amp;I931&amp;""'""))),"""")"),"")</f>
        <v/>
      </c>
      <c r="K931" s="31"/>
      <c r="L931" s="39"/>
      <c r="M931" s="39"/>
      <c r="N931" s="28" t="str">
        <f>IFERROR(__xludf.DUMMYFUNCTION("IF(OR(C931="""",M931=""""),"""",IFERROR(IF(M931="""","""",query('tbl user'!$A$2:$D1508,""SELECT A WHERE D = '""&amp;M931&amp;""'"")),""USER TIDAK DIKETAHUI""))"),"")</f>
        <v/>
      </c>
    </row>
    <row r="932">
      <c r="A932" s="23" t="str">
        <f t="shared" si="3"/>
        <v/>
      </c>
      <c r="B932" s="24" t="str">
        <f t="shared" si="4"/>
        <v/>
      </c>
      <c r="C932" s="28"/>
      <c r="D932" s="28"/>
      <c r="E932" s="34"/>
      <c r="F932" s="34"/>
      <c r="G932" s="34"/>
      <c r="H932" s="34"/>
      <c r="I932" s="34"/>
      <c r="J932" s="28" t="str">
        <f>IFERROR(__xludf.DUMMYFUNCTION("iferror(if(I932="""","""",unique(query('tbl driver 2'!$K$2:$L1508,""SELECT L WHERE K = '""&amp;I932&amp;""'""))),"""")"),"")</f>
        <v/>
      </c>
      <c r="K932" s="31"/>
      <c r="L932" s="39"/>
      <c r="M932" s="39"/>
      <c r="N932" s="28" t="str">
        <f>IFERROR(__xludf.DUMMYFUNCTION("IF(OR(C932="""",M932=""""),"""",IFERROR(IF(M932="""","""",query('tbl user'!$A$2:$D1508,""SELECT A WHERE D = '""&amp;M932&amp;""'"")),""USER TIDAK DIKETAHUI""))"),"")</f>
        <v/>
      </c>
    </row>
    <row r="933">
      <c r="A933" s="23" t="str">
        <f t="shared" si="3"/>
        <v/>
      </c>
      <c r="B933" s="24" t="str">
        <f t="shared" si="4"/>
        <v/>
      </c>
      <c r="C933" s="28"/>
      <c r="D933" s="28"/>
      <c r="E933" s="34"/>
      <c r="F933" s="34"/>
      <c r="G933" s="34"/>
      <c r="H933" s="34"/>
      <c r="I933" s="34"/>
      <c r="J933" s="28" t="str">
        <f>IFERROR(__xludf.DUMMYFUNCTION("iferror(if(I933="""","""",unique(query('tbl driver 2'!$K$2:$L1508,""SELECT L WHERE K = '""&amp;I933&amp;""'""))),"""")"),"")</f>
        <v/>
      </c>
      <c r="K933" s="31"/>
      <c r="L933" s="39"/>
      <c r="M933" s="39"/>
      <c r="N933" s="28" t="str">
        <f>IFERROR(__xludf.DUMMYFUNCTION("IF(OR(C933="""",M933=""""),"""",IFERROR(IF(M933="""","""",query('tbl user'!$A$2:$D1508,""SELECT A WHERE D = '""&amp;M933&amp;""'"")),""USER TIDAK DIKETAHUI""))"),"")</f>
        <v/>
      </c>
    </row>
    <row r="934">
      <c r="A934" s="23" t="str">
        <f t="shared" si="3"/>
        <v/>
      </c>
      <c r="B934" s="24" t="str">
        <f t="shared" si="4"/>
        <v/>
      </c>
      <c r="C934" s="28"/>
      <c r="D934" s="28"/>
      <c r="E934" s="34"/>
      <c r="F934" s="34"/>
      <c r="G934" s="34"/>
      <c r="H934" s="34"/>
      <c r="I934" s="34"/>
      <c r="J934" s="28" t="str">
        <f>IFERROR(__xludf.DUMMYFUNCTION("iferror(if(I934="""","""",unique(query('tbl driver 2'!$K$2:$L1508,""SELECT L WHERE K = '""&amp;I934&amp;""'""))),"""")"),"")</f>
        <v/>
      </c>
      <c r="K934" s="31"/>
      <c r="L934" s="39"/>
      <c r="M934" s="39"/>
      <c r="N934" s="28" t="str">
        <f>IFERROR(__xludf.DUMMYFUNCTION("IF(OR(C934="""",M934=""""),"""",IFERROR(IF(M934="""","""",query('tbl user'!$A$2:$D1508,""SELECT A WHERE D = '""&amp;M934&amp;""'"")),""USER TIDAK DIKETAHUI""))"),"")</f>
        <v/>
      </c>
    </row>
    <row r="935">
      <c r="A935" s="23" t="str">
        <f t="shared" si="3"/>
        <v/>
      </c>
      <c r="B935" s="24" t="str">
        <f t="shared" si="4"/>
        <v/>
      </c>
      <c r="C935" s="28"/>
      <c r="D935" s="28"/>
      <c r="E935" s="34"/>
      <c r="F935" s="34"/>
      <c r="G935" s="34"/>
      <c r="H935" s="34"/>
      <c r="I935" s="34"/>
      <c r="J935" s="28" t="str">
        <f>IFERROR(__xludf.DUMMYFUNCTION("iferror(if(I935="""","""",unique(query('tbl driver 2'!$K$2:$L1508,""SELECT L WHERE K = '""&amp;I935&amp;""'""))),"""")"),"")</f>
        <v/>
      </c>
      <c r="K935" s="31"/>
      <c r="L935" s="39"/>
      <c r="M935" s="39"/>
      <c r="N935" s="28" t="str">
        <f>IFERROR(__xludf.DUMMYFUNCTION("IF(OR(C935="""",M935=""""),"""",IFERROR(IF(M935="""","""",query('tbl user'!$A$2:$D1508,""SELECT A WHERE D = '""&amp;M935&amp;""'"")),""USER TIDAK DIKETAHUI""))"),"")</f>
        <v/>
      </c>
    </row>
    <row r="936">
      <c r="A936" s="23" t="str">
        <f t="shared" si="3"/>
        <v/>
      </c>
      <c r="B936" s="24" t="str">
        <f t="shared" si="4"/>
        <v/>
      </c>
      <c r="C936" s="28"/>
      <c r="D936" s="28"/>
      <c r="E936" s="34"/>
      <c r="F936" s="34"/>
      <c r="G936" s="34"/>
      <c r="H936" s="34"/>
      <c r="I936" s="34"/>
      <c r="J936" s="28" t="str">
        <f>IFERROR(__xludf.DUMMYFUNCTION("iferror(if(I936="""","""",unique(query('tbl driver 2'!$K$2:$L1508,""SELECT L WHERE K = '""&amp;I936&amp;""'""))),"""")"),"")</f>
        <v/>
      </c>
      <c r="K936" s="31"/>
      <c r="L936" s="39"/>
      <c r="M936" s="39"/>
      <c r="N936" s="28" t="str">
        <f>IFERROR(__xludf.DUMMYFUNCTION("IF(OR(C936="""",M936=""""),"""",IFERROR(IF(M936="""","""",query('tbl user'!$A$2:$D1508,""SELECT A WHERE D = '""&amp;M936&amp;""'"")),""USER TIDAK DIKETAHUI""))"),"")</f>
        <v/>
      </c>
    </row>
    <row r="937">
      <c r="A937" s="23" t="str">
        <f t="shared" si="3"/>
        <v/>
      </c>
      <c r="B937" s="24" t="str">
        <f t="shared" si="4"/>
        <v/>
      </c>
      <c r="C937" s="28"/>
      <c r="D937" s="28"/>
      <c r="E937" s="34"/>
      <c r="F937" s="34"/>
      <c r="G937" s="34"/>
      <c r="H937" s="34"/>
      <c r="I937" s="34"/>
      <c r="J937" s="28" t="str">
        <f>IFERROR(__xludf.DUMMYFUNCTION("iferror(if(I937="""","""",unique(query('tbl driver 2'!$K$2:$L1508,""SELECT L WHERE K = '""&amp;I937&amp;""'""))),"""")"),"")</f>
        <v/>
      </c>
      <c r="K937" s="31"/>
      <c r="L937" s="39"/>
      <c r="M937" s="39"/>
      <c r="N937" s="28" t="str">
        <f>IFERROR(__xludf.DUMMYFUNCTION("IF(OR(C937="""",M937=""""),"""",IFERROR(IF(M937="""","""",query('tbl user'!$A$2:$D1508,""SELECT A WHERE D = '""&amp;M937&amp;""'"")),""USER TIDAK DIKETAHUI""))"),"")</f>
        <v/>
      </c>
    </row>
    <row r="938">
      <c r="A938" s="23" t="str">
        <f t="shared" si="3"/>
        <v/>
      </c>
      <c r="B938" s="24" t="str">
        <f t="shared" si="4"/>
        <v/>
      </c>
      <c r="C938" s="28"/>
      <c r="D938" s="28"/>
      <c r="E938" s="34"/>
      <c r="F938" s="34"/>
      <c r="G938" s="34"/>
      <c r="H938" s="34"/>
      <c r="I938" s="34"/>
      <c r="J938" s="28" t="str">
        <f>IFERROR(__xludf.DUMMYFUNCTION("iferror(if(I938="""","""",unique(query('tbl driver 2'!$K$2:$L1508,""SELECT L WHERE K = '""&amp;I938&amp;""'""))),"""")"),"")</f>
        <v/>
      </c>
      <c r="K938" s="31"/>
      <c r="L938" s="39"/>
      <c r="M938" s="39"/>
      <c r="N938" s="28" t="str">
        <f>IFERROR(__xludf.DUMMYFUNCTION("IF(OR(C938="""",M938=""""),"""",IFERROR(IF(M938="""","""",query('tbl user'!$A$2:$D1508,""SELECT A WHERE D = '""&amp;M938&amp;""'"")),""USER TIDAK DIKETAHUI""))"),"")</f>
        <v/>
      </c>
    </row>
    <row r="939">
      <c r="A939" s="23" t="str">
        <f t="shared" si="3"/>
        <v/>
      </c>
      <c r="B939" s="24" t="str">
        <f t="shared" si="4"/>
        <v/>
      </c>
      <c r="C939" s="28"/>
      <c r="D939" s="28"/>
      <c r="E939" s="34"/>
      <c r="F939" s="34"/>
      <c r="G939" s="34"/>
      <c r="H939" s="34"/>
      <c r="I939" s="34"/>
      <c r="J939" s="28" t="str">
        <f>IFERROR(__xludf.DUMMYFUNCTION("iferror(if(I939="""","""",unique(query('tbl driver 2'!$K$2:$L1508,""SELECT L WHERE K = '""&amp;I939&amp;""'""))),"""")"),"")</f>
        <v/>
      </c>
      <c r="K939" s="31"/>
      <c r="L939" s="39"/>
      <c r="M939" s="39"/>
      <c r="N939" s="28" t="str">
        <f>IFERROR(__xludf.DUMMYFUNCTION("IF(OR(C939="""",M939=""""),"""",IFERROR(IF(M939="""","""",query('tbl user'!$A$2:$D1508,""SELECT A WHERE D = '""&amp;M939&amp;""'"")),""USER TIDAK DIKETAHUI""))"),"")</f>
        <v/>
      </c>
    </row>
    <row r="940">
      <c r="A940" s="23" t="str">
        <f t="shared" si="3"/>
        <v/>
      </c>
      <c r="B940" s="24" t="str">
        <f t="shared" si="4"/>
        <v/>
      </c>
      <c r="C940" s="28"/>
      <c r="D940" s="28"/>
      <c r="E940" s="34"/>
      <c r="F940" s="34"/>
      <c r="G940" s="34"/>
      <c r="H940" s="34"/>
      <c r="I940" s="34"/>
      <c r="J940" s="28" t="str">
        <f>IFERROR(__xludf.DUMMYFUNCTION("iferror(if(I940="""","""",unique(query('tbl driver 2'!$K$2:$L1508,""SELECT L WHERE K = '""&amp;I940&amp;""'""))),"""")"),"")</f>
        <v/>
      </c>
      <c r="K940" s="31"/>
      <c r="L940" s="39"/>
      <c r="M940" s="39"/>
      <c r="N940" s="28" t="str">
        <f>IFERROR(__xludf.DUMMYFUNCTION("IF(OR(C940="""",M940=""""),"""",IFERROR(IF(M940="""","""",query('tbl user'!$A$2:$D1508,""SELECT A WHERE D = '""&amp;M940&amp;""'"")),""USER TIDAK DIKETAHUI""))"),"")</f>
        <v/>
      </c>
    </row>
    <row r="941">
      <c r="A941" s="23" t="str">
        <f t="shared" si="3"/>
        <v/>
      </c>
      <c r="B941" s="24" t="str">
        <f t="shared" si="4"/>
        <v/>
      </c>
      <c r="C941" s="28"/>
      <c r="D941" s="28"/>
      <c r="E941" s="34"/>
      <c r="F941" s="34"/>
      <c r="G941" s="34"/>
      <c r="H941" s="34"/>
      <c r="I941" s="34"/>
      <c r="J941" s="28" t="str">
        <f>IFERROR(__xludf.DUMMYFUNCTION("iferror(if(I941="""","""",unique(query('tbl driver 2'!$K$2:$L1508,""SELECT L WHERE K = '""&amp;I941&amp;""'""))),"""")"),"")</f>
        <v/>
      </c>
      <c r="K941" s="31"/>
      <c r="L941" s="39"/>
      <c r="M941" s="39"/>
      <c r="N941" s="28" t="str">
        <f>IFERROR(__xludf.DUMMYFUNCTION("IF(OR(C941="""",M941=""""),"""",IFERROR(IF(M941="""","""",query('tbl user'!$A$2:$D1508,""SELECT A WHERE D = '""&amp;M941&amp;""'"")),""USER TIDAK DIKETAHUI""))"),"")</f>
        <v/>
      </c>
    </row>
    <row r="942">
      <c r="A942" s="23" t="str">
        <f t="shared" si="3"/>
        <v/>
      </c>
      <c r="B942" s="24" t="str">
        <f t="shared" si="4"/>
        <v/>
      </c>
      <c r="C942" s="28"/>
      <c r="D942" s="28"/>
      <c r="E942" s="34"/>
      <c r="F942" s="34"/>
      <c r="G942" s="34"/>
      <c r="H942" s="34"/>
      <c r="I942" s="34"/>
      <c r="J942" s="28" t="str">
        <f>IFERROR(__xludf.DUMMYFUNCTION("iferror(if(I942="""","""",unique(query('tbl driver 2'!$K$2:$L1508,""SELECT L WHERE K = '""&amp;I942&amp;""'""))),"""")"),"")</f>
        <v/>
      </c>
      <c r="K942" s="31"/>
      <c r="L942" s="39"/>
      <c r="M942" s="39"/>
      <c r="N942" s="28" t="str">
        <f>IFERROR(__xludf.DUMMYFUNCTION("IF(OR(C942="""",M942=""""),"""",IFERROR(IF(M942="""","""",query('tbl user'!$A$2:$D1508,""SELECT A WHERE D = '""&amp;M942&amp;""'"")),""USER TIDAK DIKETAHUI""))"),"")</f>
        <v/>
      </c>
    </row>
    <row r="943">
      <c r="A943" s="23" t="str">
        <f t="shared" si="3"/>
        <v/>
      </c>
      <c r="B943" s="24" t="str">
        <f t="shared" si="4"/>
        <v/>
      </c>
      <c r="C943" s="28"/>
      <c r="D943" s="28"/>
      <c r="E943" s="34"/>
      <c r="F943" s="34"/>
      <c r="G943" s="34"/>
      <c r="H943" s="34"/>
      <c r="I943" s="34"/>
      <c r="J943" s="28" t="str">
        <f>IFERROR(__xludf.DUMMYFUNCTION("iferror(if(I943="""","""",unique(query('tbl driver 2'!$K$2:$L1508,""SELECT L WHERE K = '""&amp;I943&amp;""'""))),"""")"),"")</f>
        <v/>
      </c>
      <c r="K943" s="31"/>
      <c r="L943" s="39"/>
      <c r="M943" s="39"/>
      <c r="N943" s="28" t="str">
        <f>IFERROR(__xludf.DUMMYFUNCTION("IF(OR(C943="""",M943=""""),"""",IFERROR(IF(M943="""","""",query('tbl user'!$A$2:$D1508,""SELECT A WHERE D = '""&amp;M943&amp;""'"")),""USER TIDAK DIKETAHUI""))"),"")</f>
        <v/>
      </c>
    </row>
    <row r="944">
      <c r="A944" s="23" t="str">
        <f t="shared" si="3"/>
        <v/>
      </c>
      <c r="B944" s="24" t="str">
        <f t="shared" si="4"/>
        <v/>
      </c>
      <c r="C944" s="28"/>
      <c r="D944" s="28"/>
      <c r="E944" s="34"/>
      <c r="F944" s="34"/>
      <c r="G944" s="34"/>
      <c r="H944" s="34"/>
      <c r="I944" s="34"/>
      <c r="J944" s="28" t="str">
        <f>IFERROR(__xludf.DUMMYFUNCTION("iferror(if(I944="""","""",unique(query('tbl driver 2'!$K$2:$L1508,""SELECT L WHERE K = '""&amp;I944&amp;""'""))),"""")"),"")</f>
        <v/>
      </c>
      <c r="K944" s="31"/>
      <c r="L944" s="39"/>
      <c r="M944" s="39"/>
      <c r="N944" s="28" t="str">
        <f>IFERROR(__xludf.DUMMYFUNCTION("IF(OR(C944="""",M944=""""),"""",IFERROR(IF(M944="""","""",query('tbl user'!$A$2:$D1508,""SELECT A WHERE D = '""&amp;M944&amp;""'"")),""USER TIDAK DIKETAHUI""))"),"")</f>
        <v/>
      </c>
    </row>
    <row r="945">
      <c r="A945" s="23" t="str">
        <f t="shared" si="3"/>
        <v/>
      </c>
      <c r="B945" s="24" t="str">
        <f t="shared" si="4"/>
        <v/>
      </c>
      <c r="C945" s="28"/>
      <c r="D945" s="28"/>
      <c r="E945" s="34"/>
      <c r="F945" s="34"/>
      <c r="G945" s="34"/>
      <c r="H945" s="34"/>
      <c r="I945" s="34"/>
      <c r="J945" s="28" t="str">
        <f>IFERROR(__xludf.DUMMYFUNCTION("iferror(if(I945="""","""",unique(query('tbl driver 2'!$K$2:$L1508,""SELECT L WHERE K = '""&amp;I945&amp;""'""))),"""")"),"")</f>
        <v/>
      </c>
      <c r="K945" s="31"/>
      <c r="L945" s="39"/>
      <c r="M945" s="39"/>
      <c r="N945" s="28" t="str">
        <f>IFERROR(__xludf.DUMMYFUNCTION("IF(OR(C945="""",M945=""""),"""",IFERROR(IF(M945="""","""",query('tbl user'!$A$2:$D1508,""SELECT A WHERE D = '""&amp;M945&amp;""'"")),""USER TIDAK DIKETAHUI""))"),"")</f>
        <v/>
      </c>
    </row>
    <row r="946">
      <c r="A946" s="23" t="str">
        <f t="shared" si="3"/>
        <v/>
      </c>
      <c r="B946" s="24" t="str">
        <f t="shared" si="4"/>
        <v/>
      </c>
      <c r="C946" s="28"/>
      <c r="D946" s="28"/>
      <c r="E946" s="34"/>
      <c r="F946" s="34"/>
      <c r="G946" s="34"/>
      <c r="H946" s="34"/>
      <c r="I946" s="34"/>
      <c r="J946" s="28" t="str">
        <f>IFERROR(__xludf.DUMMYFUNCTION("iferror(if(I946="""","""",unique(query('tbl driver 2'!$K$2:$L1508,""SELECT L WHERE K = '""&amp;I946&amp;""'""))),"""")"),"")</f>
        <v/>
      </c>
      <c r="K946" s="31"/>
      <c r="L946" s="39"/>
      <c r="M946" s="39"/>
      <c r="N946" s="28" t="str">
        <f>IFERROR(__xludf.DUMMYFUNCTION("IF(OR(C946="""",M946=""""),"""",IFERROR(IF(M946="""","""",query('tbl user'!$A$2:$D1508,""SELECT A WHERE D = '""&amp;M946&amp;""'"")),""USER TIDAK DIKETAHUI""))"),"")</f>
        <v/>
      </c>
    </row>
    <row r="947">
      <c r="A947" s="23" t="str">
        <f t="shared" si="3"/>
        <v/>
      </c>
      <c r="B947" s="24" t="str">
        <f t="shared" si="4"/>
        <v/>
      </c>
      <c r="C947" s="28"/>
      <c r="D947" s="28"/>
      <c r="E947" s="34"/>
      <c r="F947" s="34"/>
      <c r="G947" s="34"/>
      <c r="H947" s="34"/>
      <c r="I947" s="34"/>
      <c r="J947" s="28" t="str">
        <f>IFERROR(__xludf.DUMMYFUNCTION("iferror(if(I947="""","""",unique(query('tbl driver 2'!$K$2:$L1508,""SELECT L WHERE K = '""&amp;I947&amp;""'""))),"""")"),"")</f>
        <v/>
      </c>
      <c r="K947" s="31"/>
      <c r="L947" s="39"/>
      <c r="M947" s="39"/>
      <c r="N947" s="28" t="str">
        <f>IFERROR(__xludf.DUMMYFUNCTION("IF(OR(C947="""",M947=""""),"""",IFERROR(IF(M947="""","""",query('tbl user'!$A$2:$D1508,""SELECT A WHERE D = '""&amp;M947&amp;""'"")),""USER TIDAK DIKETAHUI""))"),"")</f>
        <v/>
      </c>
    </row>
    <row r="948">
      <c r="A948" s="23" t="str">
        <f t="shared" si="3"/>
        <v/>
      </c>
      <c r="B948" s="24" t="str">
        <f t="shared" si="4"/>
        <v/>
      </c>
      <c r="C948" s="28"/>
      <c r="D948" s="28"/>
      <c r="E948" s="34"/>
      <c r="F948" s="34"/>
      <c r="G948" s="34"/>
      <c r="H948" s="34"/>
      <c r="I948" s="34"/>
      <c r="J948" s="28" t="str">
        <f>IFERROR(__xludf.DUMMYFUNCTION("iferror(if(I948="""","""",unique(query('tbl driver 2'!$K$2:$L1508,""SELECT L WHERE K = '""&amp;I948&amp;""'""))),"""")"),"")</f>
        <v/>
      </c>
      <c r="K948" s="31"/>
      <c r="L948" s="39"/>
      <c r="M948" s="39"/>
      <c r="N948" s="28" t="str">
        <f>IFERROR(__xludf.DUMMYFUNCTION("IF(OR(C948="""",M948=""""),"""",IFERROR(IF(M948="""","""",query('tbl user'!$A$2:$D1508,""SELECT A WHERE D = '""&amp;M948&amp;""'"")),""USER TIDAK DIKETAHUI""))"),"")</f>
        <v/>
      </c>
    </row>
    <row r="949">
      <c r="A949" s="23" t="str">
        <f t="shared" si="3"/>
        <v/>
      </c>
      <c r="B949" s="24" t="str">
        <f t="shared" si="4"/>
        <v/>
      </c>
      <c r="C949" s="28"/>
      <c r="D949" s="28"/>
      <c r="E949" s="34"/>
      <c r="F949" s="34"/>
      <c r="G949" s="34"/>
      <c r="H949" s="34"/>
      <c r="I949" s="34"/>
      <c r="J949" s="28" t="str">
        <f>IFERROR(__xludf.DUMMYFUNCTION("iferror(if(I949="""","""",unique(query('tbl driver 2'!$K$2:$L1508,""SELECT L WHERE K = '""&amp;I949&amp;""'""))),"""")"),"")</f>
        <v/>
      </c>
      <c r="K949" s="31"/>
      <c r="L949" s="39"/>
      <c r="M949" s="39"/>
      <c r="N949" s="28" t="str">
        <f>IFERROR(__xludf.DUMMYFUNCTION("IF(OR(C949="""",M949=""""),"""",IFERROR(IF(M949="""","""",query('tbl user'!$A$2:$D1508,""SELECT A WHERE D = '""&amp;M949&amp;""'"")),""USER TIDAK DIKETAHUI""))"),"")</f>
        <v/>
      </c>
    </row>
    <row r="950">
      <c r="A950" s="23" t="str">
        <f t="shared" si="3"/>
        <v/>
      </c>
      <c r="B950" s="24" t="str">
        <f t="shared" si="4"/>
        <v/>
      </c>
      <c r="C950" s="28"/>
      <c r="D950" s="28"/>
      <c r="E950" s="34"/>
      <c r="F950" s="34"/>
      <c r="G950" s="34"/>
      <c r="H950" s="34"/>
      <c r="I950" s="34"/>
      <c r="J950" s="28" t="str">
        <f>IFERROR(__xludf.DUMMYFUNCTION("iferror(if(I950="""","""",unique(query('tbl driver 2'!$K$2:$L1508,""SELECT L WHERE K = '""&amp;I950&amp;""'""))),"""")"),"")</f>
        <v/>
      </c>
      <c r="K950" s="31"/>
      <c r="L950" s="39"/>
      <c r="M950" s="39"/>
      <c r="N950" s="28" t="str">
        <f>IFERROR(__xludf.DUMMYFUNCTION("IF(OR(C950="""",M950=""""),"""",IFERROR(IF(M950="""","""",query('tbl user'!$A$2:$D1508,""SELECT A WHERE D = '""&amp;M950&amp;""'"")),""USER TIDAK DIKETAHUI""))"),"")</f>
        <v/>
      </c>
    </row>
    <row r="951">
      <c r="A951" s="23" t="str">
        <f t="shared" si="3"/>
        <v/>
      </c>
      <c r="B951" s="24" t="str">
        <f t="shared" si="4"/>
        <v/>
      </c>
      <c r="C951" s="28"/>
      <c r="D951" s="28"/>
      <c r="E951" s="34"/>
      <c r="F951" s="34"/>
      <c r="G951" s="34"/>
      <c r="H951" s="34"/>
      <c r="I951" s="34"/>
      <c r="J951" s="28" t="str">
        <f>IFERROR(__xludf.DUMMYFUNCTION("iferror(if(I951="""","""",unique(query('tbl driver 2'!$K$2:$L1508,""SELECT L WHERE K = '""&amp;I951&amp;""'""))),"""")"),"")</f>
        <v/>
      </c>
      <c r="K951" s="31"/>
      <c r="L951" s="39"/>
      <c r="M951" s="39"/>
      <c r="N951" s="28" t="str">
        <f>IFERROR(__xludf.DUMMYFUNCTION("IF(OR(C951="""",M951=""""),"""",IFERROR(IF(M951="""","""",query('tbl user'!$A$2:$D1508,""SELECT A WHERE D = '""&amp;M951&amp;""'"")),""USER TIDAK DIKETAHUI""))"),"")</f>
        <v/>
      </c>
    </row>
    <row r="952">
      <c r="A952" s="23" t="str">
        <f t="shared" si="3"/>
        <v/>
      </c>
      <c r="B952" s="24" t="str">
        <f t="shared" si="4"/>
        <v/>
      </c>
      <c r="C952" s="28"/>
      <c r="D952" s="28"/>
      <c r="E952" s="34"/>
      <c r="F952" s="34"/>
      <c r="G952" s="34"/>
      <c r="H952" s="34"/>
      <c r="I952" s="34"/>
      <c r="J952" s="28" t="str">
        <f>IFERROR(__xludf.DUMMYFUNCTION("iferror(if(I952="""","""",unique(query('tbl driver 2'!$K$2:$L1508,""SELECT L WHERE K = '""&amp;I952&amp;""'""))),"""")"),"")</f>
        <v/>
      </c>
      <c r="K952" s="31"/>
      <c r="L952" s="39"/>
      <c r="M952" s="39"/>
      <c r="N952" s="28" t="str">
        <f>IFERROR(__xludf.DUMMYFUNCTION("IF(OR(C952="""",M952=""""),"""",IFERROR(IF(M952="""","""",query('tbl user'!$A$2:$D1508,""SELECT A WHERE D = '""&amp;M952&amp;""'"")),""USER TIDAK DIKETAHUI""))"),"")</f>
        <v/>
      </c>
    </row>
    <row r="953">
      <c r="A953" s="23" t="str">
        <f t="shared" si="3"/>
        <v/>
      </c>
      <c r="B953" s="24" t="str">
        <f t="shared" si="4"/>
        <v/>
      </c>
      <c r="C953" s="28"/>
      <c r="D953" s="28"/>
      <c r="E953" s="34"/>
      <c r="F953" s="34"/>
      <c r="G953" s="34"/>
      <c r="H953" s="34"/>
      <c r="I953" s="34"/>
      <c r="J953" s="28" t="str">
        <f>IFERROR(__xludf.DUMMYFUNCTION("iferror(if(I953="""","""",unique(query('tbl driver 2'!$K$2:$L1508,""SELECT L WHERE K = '""&amp;I953&amp;""'""))),"""")"),"")</f>
        <v/>
      </c>
      <c r="K953" s="31"/>
      <c r="L953" s="39"/>
      <c r="M953" s="39"/>
      <c r="N953" s="28" t="str">
        <f>IFERROR(__xludf.DUMMYFUNCTION("IF(OR(C953="""",M953=""""),"""",IFERROR(IF(M953="""","""",query('tbl user'!$A$2:$D1508,""SELECT A WHERE D = '""&amp;M953&amp;""'"")),""USER TIDAK DIKETAHUI""))"),"")</f>
        <v/>
      </c>
    </row>
    <row r="954">
      <c r="A954" s="23" t="str">
        <f t="shared" si="3"/>
        <v/>
      </c>
      <c r="B954" s="24" t="str">
        <f t="shared" si="4"/>
        <v/>
      </c>
      <c r="C954" s="28"/>
      <c r="D954" s="28"/>
      <c r="E954" s="34"/>
      <c r="F954" s="34"/>
      <c r="G954" s="34"/>
      <c r="H954" s="34"/>
      <c r="I954" s="34"/>
      <c r="J954" s="28" t="str">
        <f>IFERROR(__xludf.DUMMYFUNCTION("iferror(if(I954="""","""",unique(query('tbl driver 2'!$K$2:$L1508,""SELECT L WHERE K = '""&amp;I954&amp;""'""))),"""")"),"")</f>
        <v/>
      </c>
      <c r="K954" s="31"/>
      <c r="L954" s="39"/>
      <c r="M954" s="39"/>
      <c r="N954" s="28" t="str">
        <f>IFERROR(__xludf.DUMMYFUNCTION("IF(OR(C954="""",M954=""""),"""",IFERROR(IF(M954="""","""",query('tbl user'!$A$2:$D1508,""SELECT A WHERE D = '""&amp;M954&amp;""'"")),""USER TIDAK DIKETAHUI""))"),"")</f>
        <v/>
      </c>
    </row>
    <row r="955">
      <c r="A955" s="23" t="str">
        <f t="shared" si="3"/>
        <v/>
      </c>
      <c r="B955" s="24" t="str">
        <f t="shared" si="4"/>
        <v/>
      </c>
      <c r="C955" s="28"/>
      <c r="D955" s="28"/>
      <c r="E955" s="34"/>
      <c r="F955" s="34"/>
      <c r="G955" s="34"/>
      <c r="H955" s="34"/>
      <c r="I955" s="34"/>
      <c r="J955" s="28" t="str">
        <f>IFERROR(__xludf.DUMMYFUNCTION("iferror(if(I955="""","""",unique(query('tbl driver 2'!$K$2:$L1508,""SELECT L WHERE K = '""&amp;I955&amp;""'""))),"""")"),"")</f>
        <v/>
      </c>
      <c r="K955" s="31"/>
      <c r="L955" s="39"/>
      <c r="M955" s="39"/>
      <c r="N955" s="28" t="str">
        <f>IFERROR(__xludf.DUMMYFUNCTION("IF(OR(C955="""",M955=""""),"""",IFERROR(IF(M955="""","""",query('tbl user'!$A$2:$D1508,""SELECT A WHERE D = '""&amp;M955&amp;""'"")),""USER TIDAK DIKETAHUI""))"),"")</f>
        <v/>
      </c>
    </row>
    <row r="956">
      <c r="A956" s="23" t="str">
        <f t="shared" si="3"/>
        <v/>
      </c>
      <c r="B956" s="24" t="str">
        <f t="shared" si="4"/>
        <v/>
      </c>
      <c r="C956" s="28"/>
      <c r="D956" s="28"/>
      <c r="E956" s="34"/>
      <c r="F956" s="34"/>
      <c r="G956" s="34"/>
      <c r="H956" s="34"/>
      <c r="I956" s="34"/>
      <c r="J956" s="28" t="str">
        <f>IFERROR(__xludf.DUMMYFUNCTION("iferror(if(I956="""","""",unique(query('tbl driver 2'!$K$2:$L1508,""SELECT L WHERE K = '""&amp;I956&amp;""'""))),"""")"),"")</f>
        <v/>
      </c>
      <c r="K956" s="31"/>
      <c r="L956" s="39"/>
      <c r="M956" s="39"/>
      <c r="N956" s="28" t="str">
        <f>IFERROR(__xludf.DUMMYFUNCTION("IF(OR(C956="""",M956=""""),"""",IFERROR(IF(M956="""","""",query('tbl user'!$A$2:$D1508,""SELECT A WHERE D = '""&amp;M956&amp;""'"")),""USER TIDAK DIKETAHUI""))"),"")</f>
        <v/>
      </c>
    </row>
    <row r="957">
      <c r="A957" s="23" t="str">
        <f t="shared" si="3"/>
        <v/>
      </c>
      <c r="B957" s="24" t="str">
        <f t="shared" si="4"/>
        <v/>
      </c>
      <c r="C957" s="28"/>
      <c r="D957" s="28"/>
      <c r="E957" s="34"/>
      <c r="F957" s="34"/>
      <c r="G957" s="34"/>
      <c r="H957" s="34"/>
      <c r="I957" s="34"/>
      <c r="J957" s="28" t="str">
        <f>IFERROR(__xludf.DUMMYFUNCTION("iferror(if(I957="""","""",unique(query('tbl driver 2'!$K$2:$L1508,""SELECT L WHERE K = '""&amp;I957&amp;""'""))),"""")"),"")</f>
        <v/>
      </c>
      <c r="K957" s="31"/>
      <c r="L957" s="39"/>
      <c r="M957" s="39"/>
      <c r="N957" s="28" t="str">
        <f>IFERROR(__xludf.DUMMYFUNCTION("IF(OR(C957="""",M957=""""),"""",IFERROR(IF(M957="""","""",query('tbl user'!$A$2:$D1508,""SELECT A WHERE D = '""&amp;M957&amp;""'"")),""USER TIDAK DIKETAHUI""))"),"")</f>
        <v/>
      </c>
    </row>
    <row r="958">
      <c r="A958" s="23" t="str">
        <f t="shared" si="3"/>
        <v/>
      </c>
      <c r="B958" s="24" t="str">
        <f t="shared" si="4"/>
        <v/>
      </c>
      <c r="C958" s="28"/>
      <c r="D958" s="28"/>
      <c r="E958" s="34"/>
      <c r="F958" s="34"/>
      <c r="G958" s="34"/>
      <c r="H958" s="34"/>
      <c r="I958" s="34"/>
      <c r="J958" s="28" t="str">
        <f>IFERROR(__xludf.DUMMYFUNCTION("iferror(if(I958="""","""",unique(query('tbl driver 2'!$K$2:$L1508,""SELECT L WHERE K = '""&amp;I958&amp;""'""))),"""")"),"")</f>
        <v/>
      </c>
      <c r="K958" s="31"/>
      <c r="L958" s="39"/>
      <c r="M958" s="39"/>
      <c r="N958" s="28" t="str">
        <f>IFERROR(__xludf.DUMMYFUNCTION("IF(OR(C958="""",M958=""""),"""",IFERROR(IF(M958="""","""",query('tbl user'!$A$2:$D1508,""SELECT A WHERE D = '""&amp;M958&amp;""'"")),""USER TIDAK DIKETAHUI""))"),"")</f>
        <v/>
      </c>
    </row>
    <row r="959">
      <c r="A959" s="23" t="str">
        <f t="shared" si="3"/>
        <v/>
      </c>
      <c r="B959" s="24" t="str">
        <f t="shared" si="4"/>
        <v/>
      </c>
      <c r="C959" s="28"/>
      <c r="D959" s="28"/>
      <c r="E959" s="34"/>
      <c r="F959" s="34"/>
      <c r="G959" s="34"/>
      <c r="H959" s="34"/>
      <c r="I959" s="34"/>
      <c r="J959" s="28" t="str">
        <f>IFERROR(__xludf.DUMMYFUNCTION("iferror(if(I959="""","""",unique(query('tbl driver 2'!$K$2:$L1508,""SELECT L WHERE K = '""&amp;I959&amp;""'""))),"""")"),"")</f>
        <v/>
      </c>
      <c r="K959" s="31"/>
      <c r="L959" s="39"/>
      <c r="M959" s="39"/>
      <c r="N959" s="28" t="str">
        <f>IFERROR(__xludf.DUMMYFUNCTION("IF(OR(C959="""",M959=""""),"""",IFERROR(IF(M959="""","""",query('tbl user'!$A$2:$D1508,""SELECT A WHERE D = '""&amp;M959&amp;""'"")),""USER TIDAK DIKETAHUI""))"),"")</f>
        <v/>
      </c>
    </row>
    <row r="960">
      <c r="A960" s="23" t="str">
        <f t="shared" si="3"/>
        <v/>
      </c>
      <c r="B960" s="24" t="str">
        <f t="shared" si="4"/>
        <v/>
      </c>
      <c r="C960" s="28"/>
      <c r="D960" s="28"/>
      <c r="E960" s="34"/>
      <c r="F960" s="34"/>
      <c r="G960" s="34"/>
      <c r="H960" s="34"/>
      <c r="I960" s="34"/>
      <c r="J960" s="28" t="str">
        <f>IFERROR(__xludf.DUMMYFUNCTION("iferror(if(I960="""","""",unique(query('tbl driver 2'!$K$2:$L1508,""SELECT L WHERE K = '""&amp;I960&amp;""'""))),"""")"),"")</f>
        <v/>
      </c>
      <c r="K960" s="31"/>
      <c r="L960" s="39"/>
      <c r="M960" s="39"/>
      <c r="N960" s="28" t="str">
        <f>IFERROR(__xludf.DUMMYFUNCTION("IF(OR(C960="""",M960=""""),"""",IFERROR(IF(M960="""","""",query('tbl user'!$A$2:$D1508,""SELECT A WHERE D = '""&amp;M960&amp;""'"")),""USER TIDAK DIKETAHUI""))"),"")</f>
        <v/>
      </c>
    </row>
    <row r="961">
      <c r="A961" s="23" t="str">
        <f t="shared" si="3"/>
        <v/>
      </c>
      <c r="B961" s="24" t="str">
        <f t="shared" si="4"/>
        <v/>
      </c>
      <c r="C961" s="28"/>
      <c r="D961" s="28"/>
      <c r="E961" s="34"/>
      <c r="F961" s="34"/>
      <c r="G961" s="34"/>
      <c r="H961" s="34"/>
      <c r="I961" s="34"/>
      <c r="J961" s="28" t="str">
        <f>IFERROR(__xludf.DUMMYFUNCTION("iferror(if(I961="""","""",unique(query('tbl driver 2'!$K$2:$L1508,""SELECT L WHERE K = '""&amp;I961&amp;""'""))),"""")"),"")</f>
        <v/>
      </c>
      <c r="K961" s="31"/>
      <c r="L961" s="39"/>
      <c r="M961" s="39"/>
      <c r="N961" s="28" t="str">
        <f>IFERROR(__xludf.DUMMYFUNCTION("IF(OR(C961="""",M961=""""),"""",IFERROR(IF(M961="""","""",query('tbl user'!$A$2:$D1508,""SELECT A WHERE D = '""&amp;M961&amp;""'"")),""USER TIDAK DIKETAHUI""))"),"")</f>
        <v/>
      </c>
    </row>
    <row r="962">
      <c r="A962" s="23" t="str">
        <f t="shared" si="3"/>
        <v/>
      </c>
      <c r="B962" s="24" t="str">
        <f t="shared" si="4"/>
        <v/>
      </c>
      <c r="C962" s="28"/>
      <c r="D962" s="28"/>
      <c r="E962" s="34"/>
      <c r="F962" s="34"/>
      <c r="G962" s="34"/>
      <c r="H962" s="34"/>
      <c r="I962" s="34"/>
      <c r="J962" s="28" t="str">
        <f>IFERROR(__xludf.DUMMYFUNCTION("iferror(if(I962="""","""",unique(query('tbl driver 2'!$K$2:$L1508,""SELECT L WHERE K = '""&amp;I962&amp;""'""))),"""")"),"")</f>
        <v/>
      </c>
      <c r="K962" s="31"/>
      <c r="L962" s="39"/>
      <c r="M962" s="39"/>
      <c r="N962" s="28" t="str">
        <f>IFERROR(__xludf.DUMMYFUNCTION("IF(OR(C962="""",M962=""""),"""",IFERROR(IF(M962="""","""",query('tbl user'!$A$2:$D1508,""SELECT A WHERE D = '""&amp;M962&amp;""'"")),""USER TIDAK DIKETAHUI""))"),"")</f>
        <v/>
      </c>
    </row>
    <row r="963">
      <c r="A963" s="23" t="str">
        <f t="shared" si="3"/>
        <v/>
      </c>
      <c r="B963" s="24" t="str">
        <f t="shared" si="4"/>
        <v/>
      </c>
      <c r="C963" s="28"/>
      <c r="D963" s="28"/>
      <c r="E963" s="34"/>
      <c r="F963" s="34"/>
      <c r="G963" s="34"/>
      <c r="H963" s="34"/>
      <c r="I963" s="34"/>
      <c r="J963" s="28" t="str">
        <f>IFERROR(__xludf.DUMMYFUNCTION("iferror(if(I963="""","""",unique(query('tbl driver 2'!$K$2:$L1508,""SELECT L WHERE K = '""&amp;I963&amp;""'""))),"""")"),"")</f>
        <v/>
      </c>
      <c r="K963" s="31"/>
      <c r="L963" s="39"/>
      <c r="M963" s="39"/>
      <c r="N963" s="28" t="str">
        <f>IFERROR(__xludf.DUMMYFUNCTION("IF(OR(C963="""",M963=""""),"""",IFERROR(IF(M963="""","""",query('tbl user'!$A$2:$D1508,""SELECT A WHERE D = '""&amp;M963&amp;""'"")),""USER TIDAK DIKETAHUI""))"),"")</f>
        <v/>
      </c>
    </row>
    <row r="964">
      <c r="A964" s="23" t="str">
        <f t="shared" si="3"/>
        <v/>
      </c>
      <c r="B964" s="24" t="str">
        <f t="shared" si="4"/>
        <v/>
      </c>
      <c r="C964" s="28"/>
      <c r="D964" s="28"/>
      <c r="E964" s="34"/>
      <c r="F964" s="34"/>
      <c r="G964" s="34"/>
      <c r="H964" s="34"/>
      <c r="I964" s="34"/>
      <c r="J964" s="28" t="str">
        <f>IFERROR(__xludf.DUMMYFUNCTION("iferror(if(I964="""","""",unique(query('tbl driver 2'!$K$2:$L1508,""SELECT L WHERE K = '""&amp;I964&amp;""'""))),"""")"),"")</f>
        <v/>
      </c>
      <c r="K964" s="31"/>
      <c r="L964" s="39"/>
      <c r="M964" s="39"/>
      <c r="N964" s="28" t="str">
        <f>IFERROR(__xludf.DUMMYFUNCTION("IF(OR(C964="""",M964=""""),"""",IFERROR(IF(M964="""","""",query('tbl user'!$A$2:$D1508,""SELECT A WHERE D = '""&amp;M964&amp;""'"")),""USER TIDAK DIKETAHUI""))"),"")</f>
        <v/>
      </c>
    </row>
    <row r="965">
      <c r="A965" s="23" t="str">
        <f t="shared" si="3"/>
        <v/>
      </c>
      <c r="B965" s="24" t="str">
        <f t="shared" si="4"/>
        <v/>
      </c>
      <c r="C965" s="28"/>
      <c r="D965" s="28"/>
      <c r="E965" s="34"/>
      <c r="F965" s="34"/>
      <c r="G965" s="34"/>
      <c r="H965" s="34"/>
      <c r="I965" s="34"/>
      <c r="J965" s="28" t="str">
        <f>IFERROR(__xludf.DUMMYFUNCTION("iferror(if(I965="""","""",unique(query('tbl driver 2'!$K$2:$L1508,""SELECT L WHERE K = '""&amp;I965&amp;""'""))),"""")"),"")</f>
        <v/>
      </c>
      <c r="K965" s="31"/>
      <c r="L965" s="39"/>
      <c r="M965" s="39"/>
      <c r="N965" s="28" t="str">
        <f>IFERROR(__xludf.DUMMYFUNCTION("IF(OR(C965="""",M965=""""),"""",IFERROR(IF(M965="""","""",query('tbl user'!$A$2:$D1508,""SELECT A WHERE D = '""&amp;M965&amp;""'"")),""USER TIDAK DIKETAHUI""))"),"")</f>
        <v/>
      </c>
    </row>
    <row r="966">
      <c r="A966" s="23" t="str">
        <f t="shared" si="3"/>
        <v/>
      </c>
      <c r="B966" s="24" t="str">
        <f t="shared" si="4"/>
        <v/>
      </c>
      <c r="C966" s="28"/>
      <c r="D966" s="28"/>
      <c r="E966" s="34"/>
      <c r="F966" s="34"/>
      <c r="G966" s="34"/>
      <c r="H966" s="34"/>
      <c r="I966" s="34"/>
      <c r="J966" s="28" t="str">
        <f>IFERROR(__xludf.DUMMYFUNCTION("iferror(if(I966="""","""",unique(query('tbl driver 2'!$K$2:$L1508,""SELECT L WHERE K = '""&amp;I966&amp;""'""))),"""")"),"")</f>
        <v/>
      </c>
      <c r="K966" s="31"/>
      <c r="L966" s="39"/>
      <c r="M966" s="39"/>
      <c r="N966" s="28" t="str">
        <f>IFERROR(__xludf.DUMMYFUNCTION("IF(OR(C966="""",M966=""""),"""",IFERROR(IF(M966="""","""",query('tbl user'!$A$2:$D1508,""SELECT A WHERE D = '""&amp;M966&amp;""'"")),""USER TIDAK DIKETAHUI""))"),"")</f>
        <v/>
      </c>
    </row>
    <row r="967">
      <c r="A967" s="23" t="str">
        <f t="shared" si="3"/>
        <v/>
      </c>
      <c r="B967" s="24" t="str">
        <f t="shared" si="4"/>
        <v/>
      </c>
      <c r="C967" s="28"/>
      <c r="D967" s="28"/>
      <c r="E967" s="34"/>
      <c r="F967" s="34"/>
      <c r="G967" s="34"/>
      <c r="H967" s="34"/>
      <c r="I967" s="34"/>
      <c r="J967" s="28" t="str">
        <f>IFERROR(__xludf.DUMMYFUNCTION("iferror(if(I967="""","""",unique(query('tbl driver 2'!$K$2:$L1508,""SELECT L WHERE K = '""&amp;I967&amp;""'""))),"""")"),"")</f>
        <v/>
      </c>
      <c r="K967" s="31"/>
      <c r="L967" s="39"/>
      <c r="M967" s="39"/>
      <c r="N967" s="28" t="str">
        <f>IFERROR(__xludf.DUMMYFUNCTION("IF(OR(C967="""",M967=""""),"""",IFERROR(IF(M967="""","""",query('tbl user'!$A$2:$D1508,""SELECT A WHERE D = '""&amp;M967&amp;""'"")),""USER TIDAK DIKETAHUI""))"),"")</f>
        <v/>
      </c>
    </row>
    <row r="968">
      <c r="A968" s="23" t="str">
        <f t="shared" si="3"/>
        <v/>
      </c>
      <c r="B968" s="24" t="str">
        <f t="shared" si="4"/>
        <v/>
      </c>
      <c r="C968" s="28"/>
      <c r="D968" s="28"/>
      <c r="E968" s="34"/>
      <c r="F968" s="34"/>
      <c r="G968" s="34"/>
      <c r="H968" s="34"/>
      <c r="I968" s="34"/>
      <c r="J968" s="28" t="str">
        <f>IFERROR(__xludf.DUMMYFUNCTION("iferror(if(I968="""","""",unique(query('tbl driver 2'!$K$2:$L1508,""SELECT L WHERE K = '""&amp;I968&amp;""'""))),"""")"),"")</f>
        <v/>
      </c>
      <c r="K968" s="31"/>
      <c r="L968" s="39"/>
      <c r="M968" s="39"/>
      <c r="N968" s="28" t="str">
        <f>IFERROR(__xludf.DUMMYFUNCTION("IF(OR(C968="""",M968=""""),"""",IFERROR(IF(M968="""","""",query('tbl user'!$A$2:$D1508,""SELECT A WHERE D = '""&amp;M968&amp;""'"")),""USER TIDAK DIKETAHUI""))"),"")</f>
        <v/>
      </c>
    </row>
    <row r="969">
      <c r="A969" s="23" t="str">
        <f t="shared" si="3"/>
        <v/>
      </c>
      <c r="B969" s="24" t="str">
        <f t="shared" si="4"/>
        <v/>
      </c>
      <c r="C969" s="28"/>
      <c r="D969" s="28"/>
      <c r="E969" s="34"/>
      <c r="F969" s="34"/>
      <c r="G969" s="34"/>
      <c r="H969" s="34"/>
      <c r="I969" s="34"/>
      <c r="J969" s="28" t="str">
        <f>IFERROR(__xludf.DUMMYFUNCTION("iferror(if(I969="""","""",unique(query('tbl driver 2'!$K$2:$L1508,""SELECT L WHERE K = '""&amp;I969&amp;""'""))),"""")"),"")</f>
        <v/>
      </c>
      <c r="K969" s="31"/>
      <c r="L969" s="39"/>
      <c r="M969" s="39"/>
      <c r="N969" s="28" t="str">
        <f>IFERROR(__xludf.DUMMYFUNCTION("IF(OR(C969="""",M969=""""),"""",IFERROR(IF(M969="""","""",query('tbl user'!$A$2:$D1508,""SELECT A WHERE D = '""&amp;M969&amp;""'"")),""USER TIDAK DIKETAHUI""))"),"")</f>
        <v/>
      </c>
    </row>
    <row r="970">
      <c r="A970" s="23" t="str">
        <f t="shared" si="3"/>
        <v/>
      </c>
      <c r="B970" s="24" t="str">
        <f t="shared" si="4"/>
        <v/>
      </c>
      <c r="C970" s="28"/>
      <c r="D970" s="28"/>
      <c r="E970" s="34"/>
      <c r="F970" s="34"/>
      <c r="G970" s="34"/>
      <c r="H970" s="34"/>
      <c r="I970" s="34"/>
      <c r="J970" s="28" t="str">
        <f>IFERROR(__xludf.DUMMYFUNCTION("iferror(if(I970="""","""",unique(query('tbl driver 2'!$K$2:$L1508,""SELECT L WHERE K = '""&amp;I970&amp;""'""))),"""")"),"")</f>
        <v/>
      </c>
      <c r="K970" s="31"/>
      <c r="L970" s="39"/>
      <c r="M970" s="39"/>
      <c r="N970" s="28" t="str">
        <f>IFERROR(__xludf.DUMMYFUNCTION("IF(OR(C970="""",M970=""""),"""",IFERROR(IF(M970="""","""",query('tbl user'!$A$2:$D1508,""SELECT A WHERE D = '""&amp;M970&amp;""'"")),""USER TIDAK DIKETAHUI""))"),"")</f>
        <v/>
      </c>
    </row>
    <row r="971">
      <c r="A971" s="23" t="str">
        <f t="shared" si="3"/>
        <v/>
      </c>
      <c r="B971" s="24" t="str">
        <f t="shared" si="4"/>
        <v/>
      </c>
      <c r="C971" s="28"/>
      <c r="D971" s="28"/>
      <c r="E971" s="34"/>
      <c r="F971" s="34"/>
      <c r="G971" s="34"/>
      <c r="H971" s="34"/>
      <c r="I971" s="34"/>
      <c r="J971" s="28" t="str">
        <f>IFERROR(__xludf.DUMMYFUNCTION("iferror(if(I971="""","""",unique(query('tbl driver 2'!$K$2:$L1508,""SELECT L WHERE K = '""&amp;I971&amp;""'""))),"""")"),"")</f>
        <v/>
      </c>
      <c r="K971" s="31"/>
      <c r="L971" s="39"/>
      <c r="M971" s="39"/>
      <c r="N971" s="28" t="str">
        <f>IFERROR(__xludf.DUMMYFUNCTION("IF(OR(C971="""",M971=""""),"""",IFERROR(IF(M971="""","""",query('tbl user'!$A$2:$D1508,""SELECT A WHERE D = '""&amp;M971&amp;""'"")),""USER TIDAK DIKETAHUI""))"),"")</f>
        <v/>
      </c>
    </row>
    <row r="972">
      <c r="A972" s="23" t="str">
        <f t="shared" si="3"/>
        <v/>
      </c>
      <c r="B972" s="24" t="str">
        <f t="shared" si="4"/>
        <v/>
      </c>
      <c r="C972" s="28"/>
      <c r="D972" s="28"/>
      <c r="E972" s="34"/>
      <c r="F972" s="34"/>
      <c r="G972" s="34"/>
      <c r="H972" s="34"/>
      <c r="I972" s="34"/>
      <c r="J972" s="28" t="str">
        <f>IFERROR(__xludf.DUMMYFUNCTION("iferror(if(I972="""","""",unique(query('tbl driver 2'!$K$2:$L1508,""SELECT L WHERE K = '""&amp;I972&amp;""'""))),"""")"),"")</f>
        <v/>
      </c>
      <c r="K972" s="31"/>
      <c r="L972" s="39"/>
      <c r="M972" s="39"/>
      <c r="N972" s="28" t="str">
        <f>IFERROR(__xludf.DUMMYFUNCTION("IF(OR(C972="""",M972=""""),"""",IFERROR(IF(M972="""","""",query('tbl user'!$A$2:$D1508,""SELECT A WHERE D = '""&amp;M972&amp;""'"")),""USER TIDAK DIKETAHUI""))"),"")</f>
        <v/>
      </c>
    </row>
    <row r="973">
      <c r="A973" s="23" t="str">
        <f t="shared" si="3"/>
        <v/>
      </c>
      <c r="B973" s="24" t="str">
        <f t="shared" si="4"/>
        <v/>
      </c>
      <c r="C973" s="28"/>
      <c r="D973" s="28"/>
      <c r="E973" s="34"/>
      <c r="F973" s="34"/>
      <c r="G973" s="34"/>
      <c r="H973" s="34"/>
      <c r="I973" s="34"/>
      <c r="J973" s="28" t="str">
        <f>IFERROR(__xludf.DUMMYFUNCTION("iferror(if(I973="""","""",unique(query('tbl driver 2'!$K$2:$L1508,""SELECT L WHERE K = '""&amp;I973&amp;""'""))),"""")"),"")</f>
        <v/>
      </c>
      <c r="K973" s="31"/>
      <c r="L973" s="39"/>
      <c r="M973" s="39"/>
      <c r="N973" s="28" t="str">
        <f>IFERROR(__xludf.DUMMYFUNCTION("IF(OR(C973="""",M973=""""),"""",IFERROR(IF(M973="""","""",query('tbl user'!$A$2:$D1508,""SELECT A WHERE D = '""&amp;M973&amp;""'"")),""USER TIDAK DIKETAHUI""))"),"")</f>
        <v/>
      </c>
    </row>
    <row r="974">
      <c r="A974" s="23" t="str">
        <f t="shared" si="3"/>
        <v/>
      </c>
      <c r="B974" s="24" t="str">
        <f t="shared" si="4"/>
        <v/>
      </c>
      <c r="C974" s="28"/>
      <c r="D974" s="28"/>
      <c r="E974" s="34"/>
      <c r="F974" s="34"/>
      <c r="G974" s="34"/>
      <c r="H974" s="34"/>
      <c r="I974" s="34"/>
      <c r="J974" s="28" t="str">
        <f>IFERROR(__xludf.DUMMYFUNCTION("iferror(if(I974="""","""",unique(query('tbl driver 2'!$K$2:$L1508,""SELECT L WHERE K = '""&amp;I974&amp;""'""))),"""")"),"")</f>
        <v/>
      </c>
      <c r="K974" s="31"/>
      <c r="L974" s="39"/>
      <c r="M974" s="39"/>
      <c r="N974" s="28" t="str">
        <f>IFERROR(__xludf.DUMMYFUNCTION("IF(OR(C974="""",M974=""""),"""",IFERROR(IF(M974="""","""",query('tbl user'!$A$2:$D1508,""SELECT A WHERE D = '""&amp;M974&amp;""'"")),""USER TIDAK DIKETAHUI""))"),"")</f>
        <v/>
      </c>
    </row>
    <row r="975">
      <c r="A975" s="23" t="str">
        <f t="shared" si="3"/>
        <v/>
      </c>
      <c r="B975" s="24" t="str">
        <f t="shared" si="4"/>
        <v/>
      </c>
      <c r="C975" s="28"/>
      <c r="D975" s="28"/>
      <c r="E975" s="34"/>
      <c r="F975" s="34"/>
      <c r="G975" s="34"/>
      <c r="H975" s="34"/>
      <c r="I975" s="34"/>
      <c r="J975" s="28" t="str">
        <f>IFERROR(__xludf.DUMMYFUNCTION("iferror(if(I975="""","""",unique(query('tbl driver 2'!$K$2:$L1508,""SELECT L WHERE K = '""&amp;I975&amp;""'""))),"""")"),"")</f>
        <v/>
      </c>
      <c r="K975" s="31"/>
      <c r="L975" s="39"/>
      <c r="M975" s="39"/>
      <c r="N975" s="28" t="str">
        <f>IFERROR(__xludf.DUMMYFUNCTION("IF(OR(C975="""",M975=""""),"""",IFERROR(IF(M975="""","""",query('tbl user'!$A$2:$D1508,""SELECT A WHERE D = '""&amp;M975&amp;""'"")),""USER TIDAK DIKETAHUI""))"),"")</f>
        <v/>
      </c>
    </row>
    <row r="976">
      <c r="A976" s="23" t="str">
        <f t="shared" si="3"/>
        <v/>
      </c>
      <c r="B976" s="24" t="str">
        <f t="shared" si="4"/>
        <v/>
      </c>
      <c r="C976" s="28"/>
      <c r="D976" s="28"/>
      <c r="E976" s="34"/>
      <c r="F976" s="34"/>
      <c r="G976" s="34"/>
      <c r="H976" s="34"/>
      <c r="I976" s="34"/>
      <c r="J976" s="28" t="str">
        <f>IFERROR(__xludf.DUMMYFUNCTION("iferror(if(I976="""","""",unique(query('tbl driver 2'!$K$2:$L1508,""SELECT L WHERE K = '""&amp;I976&amp;""'""))),"""")"),"")</f>
        <v/>
      </c>
      <c r="K976" s="31"/>
      <c r="L976" s="39"/>
      <c r="M976" s="39"/>
      <c r="N976" s="28" t="str">
        <f>IFERROR(__xludf.DUMMYFUNCTION("IF(OR(C976="""",M976=""""),"""",IFERROR(IF(M976="""","""",query('tbl user'!$A$2:$D1508,""SELECT A WHERE D = '""&amp;M976&amp;""'"")),""USER TIDAK DIKETAHUI""))"),"")</f>
        <v/>
      </c>
    </row>
    <row r="977">
      <c r="A977" s="23" t="str">
        <f t="shared" si="3"/>
        <v/>
      </c>
      <c r="B977" s="24" t="str">
        <f t="shared" si="4"/>
        <v/>
      </c>
      <c r="C977" s="28"/>
      <c r="D977" s="28"/>
      <c r="E977" s="34"/>
      <c r="F977" s="34"/>
      <c r="G977" s="34"/>
      <c r="H977" s="34"/>
      <c r="I977" s="34"/>
      <c r="J977" s="28" t="str">
        <f>IFERROR(__xludf.DUMMYFUNCTION("iferror(if(I977="""","""",unique(query('tbl driver 2'!$K$2:$L1508,""SELECT L WHERE K = '""&amp;I977&amp;""'""))),"""")"),"")</f>
        <v/>
      </c>
      <c r="K977" s="31"/>
      <c r="L977" s="39"/>
      <c r="M977" s="39"/>
      <c r="N977" s="28" t="str">
        <f>IFERROR(__xludf.DUMMYFUNCTION("IF(OR(C977="""",M977=""""),"""",IFERROR(IF(M977="""","""",query('tbl user'!$A$2:$D1508,""SELECT A WHERE D = '""&amp;M977&amp;""'"")),""USER TIDAK DIKETAHUI""))"),"")</f>
        <v/>
      </c>
    </row>
    <row r="978">
      <c r="A978" s="23" t="str">
        <f t="shared" si="3"/>
        <v/>
      </c>
      <c r="B978" s="24" t="str">
        <f t="shared" si="4"/>
        <v/>
      </c>
      <c r="C978" s="28"/>
      <c r="D978" s="28"/>
      <c r="E978" s="34"/>
      <c r="F978" s="34"/>
      <c r="G978" s="34"/>
      <c r="H978" s="34"/>
      <c r="I978" s="34"/>
      <c r="J978" s="28" t="str">
        <f>IFERROR(__xludf.DUMMYFUNCTION("iferror(if(I978="""","""",unique(query('tbl driver 2'!$K$2:$L1508,""SELECT L WHERE K = '""&amp;I978&amp;""'""))),"""")"),"")</f>
        <v/>
      </c>
      <c r="K978" s="31"/>
      <c r="L978" s="39"/>
      <c r="M978" s="39"/>
      <c r="N978" s="28" t="str">
        <f>IFERROR(__xludf.DUMMYFUNCTION("IF(OR(C978="""",M978=""""),"""",IFERROR(IF(M978="""","""",query('tbl user'!$A$2:$D1508,""SELECT A WHERE D = '""&amp;M978&amp;""'"")),""USER TIDAK DIKETAHUI""))"),"")</f>
        <v/>
      </c>
    </row>
    <row r="979">
      <c r="A979" s="23" t="str">
        <f t="shared" si="3"/>
        <v/>
      </c>
      <c r="B979" s="24" t="str">
        <f t="shared" si="4"/>
        <v/>
      </c>
      <c r="C979" s="28"/>
      <c r="D979" s="28"/>
      <c r="E979" s="34"/>
      <c r="F979" s="34"/>
      <c r="G979" s="34"/>
      <c r="H979" s="34"/>
      <c r="I979" s="34"/>
      <c r="J979" s="28" t="str">
        <f>IFERROR(__xludf.DUMMYFUNCTION("iferror(if(I979="""","""",unique(query('tbl driver 2'!$K$2:$L1508,""SELECT L WHERE K = '""&amp;I979&amp;""'""))),"""")"),"")</f>
        <v/>
      </c>
      <c r="K979" s="31"/>
      <c r="L979" s="39"/>
      <c r="M979" s="39"/>
      <c r="N979" s="28" t="str">
        <f>IFERROR(__xludf.DUMMYFUNCTION("IF(OR(C979="""",M979=""""),"""",IFERROR(IF(M979="""","""",query('tbl user'!$A$2:$D1508,""SELECT A WHERE D = '""&amp;M979&amp;""'"")),""USER TIDAK DIKETAHUI""))"),"")</f>
        <v/>
      </c>
    </row>
    <row r="980">
      <c r="A980" s="23" t="str">
        <f t="shared" si="3"/>
        <v/>
      </c>
      <c r="B980" s="24" t="str">
        <f t="shared" si="4"/>
        <v/>
      </c>
      <c r="C980" s="28"/>
      <c r="D980" s="28"/>
      <c r="E980" s="34"/>
      <c r="F980" s="34"/>
      <c r="G980" s="34"/>
      <c r="H980" s="34"/>
      <c r="I980" s="34"/>
      <c r="J980" s="28" t="str">
        <f>IFERROR(__xludf.DUMMYFUNCTION("iferror(if(I980="""","""",unique(query('tbl driver 2'!$K$2:$L1508,""SELECT L WHERE K = '""&amp;I980&amp;""'""))),"""")"),"")</f>
        <v/>
      </c>
      <c r="K980" s="31"/>
      <c r="L980" s="39"/>
      <c r="M980" s="39"/>
      <c r="N980" s="28" t="str">
        <f>IFERROR(__xludf.DUMMYFUNCTION("IF(OR(C980="""",M980=""""),"""",IFERROR(IF(M980="""","""",query('tbl user'!$A$2:$D1508,""SELECT A WHERE D = '""&amp;M980&amp;""'"")),""USER TIDAK DIKETAHUI""))"),"")</f>
        <v/>
      </c>
    </row>
    <row r="981">
      <c r="A981" s="23" t="str">
        <f t="shared" si="3"/>
        <v/>
      </c>
      <c r="B981" s="24" t="str">
        <f t="shared" si="4"/>
        <v/>
      </c>
      <c r="C981" s="28"/>
      <c r="D981" s="28"/>
      <c r="E981" s="34"/>
      <c r="F981" s="34"/>
      <c r="G981" s="34"/>
      <c r="H981" s="34"/>
      <c r="I981" s="34"/>
      <c r="J981" s="28" t="str">
        <f>IFERROR(__xludf.DUMMYFUNCTION("iferror(if(I981="""","""",unique(query('tbl driver 2'!$K$2:$L1508,""SELECT L WHERE K = '""&amp;I981&amp;""'""))),"""")"),"")</f>
        <v/>
      </c>
      <c r="K981" s="31"/>
      <c r="L981" s="39"/>
      <c r="M981" s="39"/>
      <c r="N981" s="28" t="str">
        <f>IFERROR(__xludf.DUMMYFUNCTION("IF(OR(C981="""",M981=""""),"""",IFERROR(IF(M981="""","""",query('tbl user'!$A$2:$D1508,""SELECT A WHERE D = '""&amp;M981&amp;""'"")),""USER TIDAK DIKETAHUI""))"),"")</f>
        <v/>
      </c>
    </row>
    <row r="982">
      <c r="A982" s="23" t="str">
        <f t="shared" si="3"/>
        <v/>
      </c>
      <c r="B982" s="24" t="str">
        <f t="shared" si="4"/>
        <v/>
      </c>
      <c r="C982" s="28"/>
      <c r="D982" s="28"/>
      <c r="E982" s="34"/>
      <c r="F982" s="34"/>
      <c r="G982" s="34"/>
      <c r="H982" s="34"/>
      <c r="I982" s="34"/>
      <c r="J982" s="28" t="str">
        <f>IFERROR(__xludf.DUMMYFUNCTION("iferror(if(I982="""","""",unique(query('tbl driver 2'!$K$2:$L1508,""SELECT L WHERE K = '""&amp;I982&amp;""'""))),"""")"),"")</f>
        <v/>
      </c>
      <c r="K982" s="31"/>
      <c r="L982" s="39"/>
      <c r="M982" s="39"/>
      <c r="N982" s="28" t="str">
        <f>IFERROR(__xludf.DUMMYFUNCTION("IF(OR(C982="""",M982=""""),"""",IFERROR(IF(M982="""","""",query('tbl user'!$A$2:$D1508,""SELECT A WHERE D = '""&amp;M982&amp;""'"")),""USER TIDAK DIKETAHUI""))"),"")</f>
        <v/>
      </c>
    </row>
    <row r="983">
      <c r="A983" s="23" t="str">
        <f t="shared" si="3"/>
        <v/>
      </c>
      <c r="B983" s="24" t="str">
        <f t="shared" si="4"/>
        <v/>
      </c>
      <c r="C983" s="28"/>
      <c r="D983" s="28"/>
      <c r="E983" s="34"/>
      <c r="F983" s="34"/>
      <c r="G983" s="34"/>
      <c r="H983" s="34"/>
      <c r="I983" s="34"/>
      <c r="J983" s="28" t="str">
        <f>IFERROR(__xludf.DUMMYFUNCTION("iferror(if(I983="""","""",unique(query('tbl driver 2'!$K$2:$L1508,""SELECT L WHERE K = '""&amp;I983&amp;""'""))),"""")"),"")</f>
        <v/>
      </c>
      <c r="K983" s="31"/>
      <c r="L983" s="39"/>
      <c r="M983" s="39"/>
      <c r="N983" s="28" t="str">
        <f>IFERROR(__xludf.DUMMYFUNCTION("IF(OR(C983="""",M983=""""),"""",IFERROR(IF(M983="""","""",query('tbl user'!$A$2:$D1508,""SELECT A WHERE D = '""&amp;M983&amp;""'"")),""USER TIDAK DIKETAHUI""))"),"")</f>
        <v/>
      </c>
    </row>
    <row r="984">
      <c r="A984" s="23" t="str">
        <f t="shared" si="3"/>
        <v/>
      </c>
      <c r="B984" s="24" t="str">
        <f t="shared" si="4"/>
        <v/>
      </c>
      <c r="C984" s="28"/>
      <c r="D984" s="28"/>
      <c r="E984" s="34"/>
      <c r="F984" s="34"/>
      <c r="G984" s="34"/>
      <c r="H984" s="34"/>
      <c r="I984" s="34"/>
      <c r="J984" s="28" t="str">
        <f>IFERROR(__xludf.DUMMYFUNCTION("iferror(if(I984="""","""",unique(query('tbl driver 2'!$K$2:$L1508,""SELECT L WHERE K = '""&amp;I984&amp;""'""))),"""")"),"")</f>
        <v/>
      </c>
      <c r="K984" s="31"/>
      <c r="L984" s="39"/>
      <c r="M984" s="39"/>
      <c r="N984" s="28" t="str">
        <f>IFERROR(__xludf.DUMMYFUNCTION("IF(OR(C984="""",M984=""""),"""",IFERROR(IF(M984="""","""",query('tbl user'!$A$2:$D1508,""SELECT A WHERE D = '""&amp;M984&amp;""'"")),""USER TIDAK DIKETAHUI""))"),"")</f>
        <v/>
      </c>
    </row>
    <row r="985">
      <c r="A985" s="23" t="str">
        <f t="shared" si="3"/>
        <v/>
      </c>
      <c r="B985" s="24" t="str">
        <f t="shared" si="4"/>
        <v/>
      </c>
      <c r="C985" s="28"/>
      <c r="D985" s="28"/>
      <c r="E985" s="34"/>
      <c r="F985" s="34"/>
      <c r="G985" s="34"/>
      <c r="H985" s="34"/>
      <c r="I985" s="34"/>
      <c r="J985" s="28" t="str">
        <f>IFERROR(__xludf.DUMMYFUNCTION("iferror(if(I985="""","""",unique(query('tbl driver 2'!$K$2:$L1508,""SELECT L WHERE K = '""&amp;I985&amp;""'""))),"""")"),"")</f>
        <v/>
      </c>
      <c r="K985" s="31"/>
      <c r="L985" s="39"/>
      <c r="M985" s="39"/>
      <c r="N985" s="28" t="str">
        <f>IFERROR(__xludf.DUMMYFUNCTION("IF(OR(C985="""",M985=""""),"""",IFERROR(IF(M985="""","""",query('tbl user'!$A$2:$D1508,""SELECT A WHERE D = '""&amp;M985&amp;""'"")),""USER TIDAK DIKETAHUI""))"),"")</f>
        <v/>
      </c>
    </row>
    <row r="986">
      <c r="A986" s="23" t="str">
        <f t="shared" si="3"/>
        <v/>
      </c>
      <c r="B986" s="24" t="str">
        <f t="shared" si="4"/>
        <v/>
      </c>
      <c r="C986" s="28"/>
      <c r="D986" s="28"/>
      <c r="E986" s="34"/>
      <c r="F986" s="34"/>
      <c r="G986" s="34"/>
      <c r="H986" s="34"/>
      <c r="I986" s="34"/>
      <c r="J986" s="28" t="str">
        <f>IFERROR(__xludf.DUMMYFUNCTION("iferror(if(I986="""","""",unique(query('tbl driver 2'!$K$2:$L1508,""SELECT L WHERE K = '""&amp;I986&amp;""'""))),"""")"),"")</f>
        <v/>
      </c>
      <c r="K986" s="31"/>
      <c r="L986" s="39"/>
      <c r="M986" s="39"/>
      <c r="N986" s="28" t="str">
        <f>IFERROR(__xludf.DUMMYFUNCTION("IF(OR(C986="""",M986=""""),"""",IFERROR(IF(M986="""","""",query('tbl user'!$A$2:$D1508,""SELECT A WHERE D = '""&amp;M986&amp;""'"")),""USER TIDAK DIKETAHUI""))"),"")</f>
        <v/>
      </c>
    </row>
    <row r="987">
      <c r="A987" s="23" t="str">
        <f t="shared" si="3"/>
        <v/>
      </c>
      <c r="B987" s="24" t="str">
        <f t="shared" si="4"/>
        <v/>
      </c>
      <c r="C987" s="28"/>
      <c r="D987" s="28"/>
      <c r="E987" s="34"/>
      <c r="F987" s="34"/>
      <c r="G987" s="34"/>
      <c r="H987" s="34"/>
      <c r="I987" s="34"/>
      <c r="J987" s="28" t="str">
        <f>IFERROR(__xludf.DUMMYFUNCTION("iferror(if(I987="""","""",unique(query('tbl driver 2'!$K$2:$L1508,""SELECT L WHERE K = '""&amp;I987&amp;""'""))),"""")"),"")</f>
        <v/>
      </c>
      <c r="K987" s="31"/>
      <c r="L987" s="39"/>
      <c r="M987" s="39"/>
      <c r="N987" s="28" t="str">
        <f>IFERROR(__xludf.DUMMYFUNCTION("IF(OR(C987="""",M987=""""),"""",IFERROR(IF(M987="""","""",query('tbl user'!$A$2:$D1508,""SELECT A WHERE D = '""&amp;M987&amp;""'"")),""USER TIDAK DIKETAHUI""))"),"")</f>
        <v/>
      </c>
    </row>
    <row r="988">
      <c r="A988" s="23" t="str">
        <f t="shared" si="3"/>
        <v/>
      </c>
      <c r="B988" s="24" t="str">
        <f t="shared" si="4"/>
        <v/>
      </c>
      <c r="C988" s="28"/>
      <c r="D988" s="28"/>
      <c r="E988" s="34"/>
      <c r="F988" s="34"/>
      <c r="G988" s="34"/>
      <c r="H988" s="34"/>
      <c r="I988" s="34"/>
      <c r="J988" s="28" t="str">
        <f>IFERROR(__xludf.DUMMYFUNCTION("iferror(if(I988="""","""",unique(query('tbl driver 2'!$K$2:$L1508,""SELECT L WHERE K = '""&amp;I988&amp;""'""))),"""")"),"")</f>
        <v/>
      </c>
      <c r="K988" s="31"/>
      <c r="L988" s="39"/>
      <c r="M988" s="39"/>
      <c r="N988" s="28" t="str">
        <f>IFERROR(__xludf.DUMMYFUNCTION("IF(OR(C988="""",M988=""""),"""",IFERROR(IF(M988="""","""",query('tbl user'!$A$2:$D1508,""SELECT A WHERE D = '""&amp;M988&amp;""'"")),""USER TIDAK DIKETAHUI""))"),"")</f>
        <v/>
      </c>
    </row>
    <row r="989">
      <c r="A989" s="23" t="str">
        <f t="shared" si="3"/>
        <v/>
      </c>
      <c r="B989" s="24" t="str">
        <f t="shared" si="4"/>
        <v/>
      </c>
      <c r="C989" s="28"/>
      <c r="D989" s="28"/>
      <c r="E989" s="34"/>
      <c r="F989" s="34"/>
      <c r="G989" s="34"/>
      <c r="H989" s="34"/>
      <c r="I989" s="34"/>
      <c r="J989" s="28" t="str">
        <f>IFERROR(__xludf.DUMMYFUNCTION("iferror(if(I989="""","""",unique(query('tbl driver 2'!$K$2:$L1508,""SELECT L WHERE K = '""&amp;I989&amp;""'""))),"""")"),"")</f>
        <v/>
      </c>
      <c r="K989" s="31"/>
      <c r="L989" s="39"/>
      <c r="M989" s="39"/>
      <c r="N989" s="28" t="str">
        <f>IFERROR(__xludf.DUMMYFUNCTION("IF(OR(C989="""",M989=""""),"""",IFERROR(IF(M989="""","""",query('tbl user'!$A$2:$D1508,""SELECT A WHERE D = '""&amp;M989&amp;""'"")),""USER TIDAK DIKETAHUI""))"),"")</f>
        <v/>
      </c>
    </row>
    <row r="990">
      <c r="A990" s="23" t="str">
        <f t="shared" si="3"/>
        <v/>
      </c>
      <c r="B990" s="24" t="str">
        <f t="shared" si="4"/>
        <v/>
      </c>
      <c r="C990" s="28"/>
      <c r="D990" s="28"/>
      <c r="E990" s="34"/>
      <c r="F990" s="34"/>
      <c r="G990" s="34"/>
      <c r="H990" s="34"/>
      <c r="I990" s="34"/>
      <c r="J990" s="28" t="str">
        <f>IFERROR(__xludf.DUMMYFUNCTION("iferror(if(I990="""","""",unique(query('tbl driver 2'!$K$2:$L1508,""SELECT L WHERE K = '""&amp;I990&amp;""'""))),"""")"),"")</f>
        <v/>
      </c>
      <c r="K990" s="31"/>
      <c r="L990" s="39"/>
      <c r="M990" s="39"/>
      <c r="N990" s="28" t="str">
        <f>IFERROR(__xludf.DUMMYFUNCTION("IF(OR(C990="""",M990=""""),"""",IFERROR(IF(M990="""","""",query('tbl user'!$A$2:$D1508,""SELECT A WHERE D = '""&amp;M990&amp;""'"")),""USER TIDAK DIKETAHUI""))"),"")</f>
        <v/>
      </c>
    </row>
    <row r="991">
      <c r="A991" s="23" t="str">
        <f t="shared" si="3"/>
        <v/>
      </c>
      <c r="B991" s="24" t="str">
        <f t="shared" si="4"/>
        <v/>
      </c>
      <c r="C991" s="28"/>
      <c r="D991" s="28"/>
      <c r="E991" s="34"/>
      <c r="F991" s="34"/>
      <c r="G991" s="34"/>
      <c r="H991" s="34"/>
      <c r="I991" s="34"/>
      <c r="J991" s="28" t="str">
        <f>IFERROR(__xludf.DUMMYFUNCTION("iferror(if(I991="""","""",unique(query('tbl driver 2'!$K$2:$L1508,""SELECT L WHERE K = '""&amp;I991&amp;""'""))),"""")"),"")</f>
        <v/>
      </c>
      <c r="K991" s="31"/>
      <c r="L991" s="39"/>
      <c r="M991" s="39"/>
      <c r="N991" s="28" t="str">
        <f>IFERROR(__xludf.DUMMYFUNCTION("IF(OR(C991="""",M991=""""),"""",IFERROR(IF(M991="""","""",query('tbl user'!$A$2:$D1508,""SELECT A WHERE D = '""&amp;M991&amp;""'"")),""USER TIDAK DIKETAHUI""))"),"")</f>
        <v/>
      </c>
    </row>
    <row r="992">
      <c r="A992" s="23" t="str">
        <f t="shared" si="3"/>
        <v/>
      </c>
      <c r="B992" s="24" t="str">
        <f t="shared" si="4"/>
        <v/>
      </c>
      <c r="C992" s="28"/>
      <c r="D992" s="28"/>
      <c r="E992" s="34"/>
      <c r="F992" s="34"/>
      <c r="G992" s="34"/>
      <c r="H992" s="34"/>
      <c r="I992" s="34"/>
      <c r="J992" s="28" t="str">
        <f>IFERROR(__xludf.DUMMYFUNCTION("iferror(if(I992="""","""",unique(query('tbl driver 2'!$K$2:$L1508,""SELECT L WHERE K = '""&amp;I992&amp;""'""))),"""")"),"")</f>
        <v/>
      </c>
      <c r="K992" s="31"/>
      <c r="L992" s="39"/>
      <c r="M992" s="39"/>
      <c r="N992" s="28" t="str">
        <f>IFERROR(__xludf.DUMMYFUNCTION("IF(OR(C992="""",M992=""""),"""",IFERROR(IF(M992="""","""",query('tbl user'!$A$2:$D1508,""SELECT A WHERE D = '""&amp;M992&amp;""'"")),""USER TIDAK DIKETAHUI""))"),"")</f>
        <v/>
      </c>
    </row>
    <row r="993">
      <c r="A993" s="23" t="str">
        <f t="shared" si="3"/>
        <v/>
      </c>
      <c r="B993" s="24" t="str">
        <f t="shared" si="4"/>
        <v/>
      </c>
      <c r="C993" s="28"/>
      <c r="D993" s="28"/>
      <c r="E993" s="34"/>
      <c r="F993" s="34"/>
      <c r="G993" s="34"/>
      <c r="H993" s="34"/>
      <c r="I993" s="34"/>
      <c r="J993" s="28" t="str">
        <f>IFERROR(__xludf.DUMMYFUNCTION("iferror(if(I993="""","""",unique(query('tbl driver 2'!$K$2:$L1508,""SELECT L WHERE K = '""&amp;I993&amp;""'""))),"""")"),"")</f>
        <v/>
      </c>
      <c r="K993" s="31"/>
      <c r="L993" s="39"/>
      <c r="M993" s="39"/>
      <c r="N993" s="28" t="str">
        <f>IFERROR(__xludf.DUMMYFUNCTION("IF(OR(C993="""",M993=""""),"""",IFERROR(IF(M993="""","""",query('tbl user'!$A$2:$D1508,""SELECT A WHERE D = '""&amp;M993&amp;""'"")),""USER TIDAK DIKETAHUI""))"),"")</f>
        <v/>
      </c>
    </row>
    <row r="994">
      <c r="A994" s="23" t="str">
        <f t="shared" si="3"/>
        <v/>
      </c>
      <c r="B994" s="24" t="str">
        <f t="shared" si="4"/>
        <v/>
      </c>
      <c r="C994" s="28"/>
      <c r="D994" s="28"/>
      <c r="E994" s="34"/>
      <c r="F994" s="34"/>
      <c r="G994" s="34"/>
      <c r="H994" s="34"/>
      <c r="I994" s="34"/>
      <c r="J994" s="28" t="str">
        <f>IFERROR(__xludf.DUMMYFUNCTION("iferror(if(I994="""","""",unique(query('tbl driver 2'!$K$2:$L1508,""SELECT L WHERE K = '""&amp;I994&amp;""'""))),"""")"),"")</f>
        <v/>
      </c>
      <c r="K994" s="31"/>
      <c r="L994" s="39"/>
      <c r="M994" s="39"/>
      <c r="N994" s="28" t="str">
        <f>IFERROR(__xludf.DUMMYFUNCTION("IF(OR(C994="""",M994=""""),"""",IFERROR(IF(M994="""","""",query('tbl user'!$A$2:$D1508,""SELECT A WHERE D = '""&amp;M994&amp;""'"")),""USER TIDAK DIKETAHUI""))"),"")</f>
        <v/>
      </c>
    </row>
    <row r="995">
      <c r="A995" s="23" t="str">
        <f t="shared" si="3"/>
        <v/>
      </c>
      <c r="B995" s="24" t="str">
        <f t="shared" si="4"/>
        <v/>
      </c>
      <c r="C995" s="28"/>
      <c r="D995" s="28"/>
      <c r="E995" s="34"/>
      <c r="F995" s="34"/>
      <c r="G995" s="34"/>
      <c r="H995" s="34"/>
      <c r="I995" s="34"/>
      <c r="J995" s="28" t="str">
        <f>IFERROR(__xludf.DUMMYFUNCTION("iferror(if(I995="""","""",unique(query('tbl driver 2'!$K$2:$L1508,""SELECT L WHERE K = '""&amp;I995&amp;""'""))),"""")"),"")</f>
        <v/>
      </c>
      <c r="K995" s="31"/>
      <c r="L995" s="39"/>
      <c r="M995" s="39"/>
      <c r="N995" s="28" t="str">
        <f>IFERROR(__xludf.DUMMYFUNCTION("IF(OR(C995="""",M995=""""),"""",IFERROR(IF(M995="""","""",query('tbl user'!$A$2:$D1508,""SELECT A WHERE D = '""&amp;M995&amp;""'"")),""USER TIDAK DIKETAHUI""))"),"")</f>
        <v/>
      </c>
    </row>
    <row r="996">
      <c r="A996" s="23" t="str">
        <f t="shared" si="3"/>
        <v/>
      </c>
      <c r="B996" s="24" t="str">
        <f t="shared" si="4"/>
        <v/>
      </c>
      <c r="C996" s="28"/>
      <c r="D996" s="28"/>
      <c r="E996" s="34"/>
      <c r="F996" s="34"/>
      <c r="G996" s="34"/>
      <c r="H996" s="34"/>
      <c r="I996" s="34"/>
      <c r="J996" s="28" t="str">
        <f>IFERROR(__xludf.DUMMYFUNCTION("iferror(if(I996="""","""",unique(query('tbl driver 2'!$K$2:$L1508,""SELECT L WHERE K = '""&amp;I996&amp;""'""))),"""")"),"")</f>
        <v/>
      </c>
      <c r="K996" s="31"/>
      <c r="L996" s="39"/>
      <c r="M996" s="39"/>
      <c r="N996" s="28" t="str">
        <f>IFERROR(__xludf.DUMMYFUNCTION("IF(OR(C996="""",M996=""""),"""",IFERROR(IF(M996="""","""",query('tbl user'!$A$2:$D1508,""SELECT A WHERE D = '""&amp;M996&amp;""'"")),""USER TIDAK DIKETAHUI""))"),"")</f>
        <v/>
      </c>
    </row>
    <row r="997">
      <c r="A997" s="23" t="str">
        <f t="shared" si="3"/>
        <v/>
      </c>
      <c r="B997" s="24" t="str">
        <f t="shared" si="4"/>
        <v/>
      </c>
      <c r="C997" s="28"/>
      <c r="D997" s="28"/>
      <c r="E997" s="34"/>
      <c r="F997" s="34"/>
      <c r="G997" s="34"/>
      <c r="H997" s="34"/>
      <c r="I997" s="34"/>
      <c r="J997" s="28" t="str">
        <f>IFERROR(__xludf.DUMMYFUNCTION("iferror(if(I997="""","""",unique(query('tbl driver 2'!$K$2:$L1508,""SELECT L WHERE K = '""&amp;I997&amp;""'""))),"""")"),"")</f>
        <v/>
      </c>
      <c r="K997" s="31"/>
      <c r="L997" s="39"/>
      <c r="M997" s="39"/>
      <c r="N997" s="28" t="str">
        <f>IFERROR(__xludf.DUMMYFUNCTION("IF(OR(C997="""",M997=""""),"""",IFERROR(IF(M997="""","""",query('tbl user'!$A$2:$D1508,""SELECT A WHERE D = '""&amp;M997&amp;""'"")),""USER TIDAK DIKETAHUI""))"),"")</f>
        <v/>
      </c>
    </row>
    <row r="998">
      <c r="A998" s="23" t="str">
        <f t="shared" si="3"/>
        <v/>
      </c>
      <c r="B998" s="24" t="str">
        <f t="shared" si="4"/>
        <v/>
      </c>
      <c r="C998" s="28"/>
      <c r="D998" s="28"/>
      <c r="E998" s="34"/>
      <c r="F998" s="34"/>
      <c r="G998" s="34"/>
      <c r="H998" s="34"/>
      <c r="I998" s="34"/>
      <c r="J998" s="28" t="str">
        <f>IFERROR(__xludf.DUMMYFUNCTION("iferror(if(I998="""","""",unique(query('tbl driver 2'!$K$2:$L1508,""SELECT L WHERE K = '""&amp;I998&amp;""'""))),"""")"),"")</f>
        <v/>
      </c>
      <c r="K998" s="31"/>
      <c r="L998" s="39"/>
      <c r="M998" s="39"/>
      <c r="N998" s="28" t="str">
        <f>IFERROR(__xludf.DUMMYFUNCTION("IF(OR(C998="""",M998=""""),"""",IFERROR(IF(M998="""","""",query('tbl user'!$A$2:$D1508,""SELECT A WHERE D = '""&amp;M998&amp;""'"")),""USER TIDAK DIKETAHUI""))"),"")</f>
        <v/>
      </c>
    </row>
    <row r="999">
      <c r="A999" s="23" t="str">
        <f t="shared" si="3"/>
        <v/>
      </c>
      <c r="B999" s="24" t="str">
        <f t="shared" si="4"/>
        <v/>
      </c>
      <c r="C999" s="28"/>
      <c r="D999" s="28"/>
      <c r="E999" s="34"/>
      <c r="F999" s="34"/>
      <c r="G999" s="34"/>
      <c r="H999" s="34"/>
      <c r="I999" s="34"/>
      <c r="J999" s="28" t="str">
        <f>IFERROR(__xludf.DUMMYFUNCTION("iferror(if(I999="""","""",unique(query('tbl driver 2'!$K$2:$L1508,""SELECT L WHERE K = '""&amp;I999&amp;""'""))),"""")"),"")</f>
        <v/>
      </c>
      <c r="K999" s="31"/>
      <c r="L999" s="39"/>
      <c r="M999" s="39"/>
      <c r="N999" s="28" t="str">
        <f>IFERROR(__xludf.DUMMYFUNCTION("IF(OR(C999="""",M999=""""),"""",IFERROR(IF(M999="""","""",query('tbl user'!$A$2:$D1508,""SELECT A WHERE D = '""&amp;M999&amp;""'"")),""USER TIDAK DIKETAHUI""))"),"")</f>
        <v/>
      </c>
    </row>
    <row r="1000">
      <c r="A1000" s="23" t="str">
        <f t="shared" si="3"/>
        <v/>
      </c>
      <c r="B1000" s="24" t="str">
        <f t="shared" si="4"/>
        <v/>
      </c>
      <c r="C1000" s="28"/>
      <c r="D1000" s="28"/>
      <c r="E1000" s="34"/>
      <c r="F1000" s="34"/>
      <c r="G1000" s="34"/>
      <c r="H1000" s="34"/>
      <c r="I1000" s="34"/>
      <c r="J1000" s="28" t="str">
        <f>IFERROR(__xludf.DUMMYFUNCTION("iferror(if(I1000="""","""",unique(query('tbl driver 2'!$K$2:$L1508,""SELECT L WHERE K = '""&amp;I1000&amp;""'""))),"""")"),"")</f>
        <v/>
      </c>
      <c r="K1000" s="31"/>
      <c r="L1000" s="39"/>
      <c r="M1000" s="39"/>
      <c r="N1000" s="28" t="str">
        <f>IFERROR(__xludf.DUMMYFUNCTION("IF(OR(C1000="""",M1000=""""),"""",IFERROR(IF(M1000="""","""",query('tbl user'!$A$2:$D1508,""SELECT A WHERE D = '""&amp;M1000&amp;""'"")),""USER TIDAK DIKETAHUI""))"),"")</f>
        <v/>
      </c>
    </row>
    <row r="1001">
      <c r="A1001" s="23" t="str">
        <f t="shared" si="3"/>
        <v/>
      </c>
      <c r="B1001" s="24" t="str">
        <f t="shared" si="4"/>
        <v/>
      </c>
      <c r="C1001" s="28"/>
      <c r="D1001" s="28"/>
      <c r="E1001" s="34"/>
      <c r="F1001" s="34"/>
      <c r="G1001" s="34"/>
      <c r="H1001" s="34"/>
      <c r="I1001" s="34"/>
      <c r="J1001" s="28" t="str">
        <f>IFERROR(__xludf.DUMMYFUNCTION("iferror(if(I1001="""","""",unique(query('tbl driver 2'!$K$2:$L1508,""SELECT L WHERE K = '""&amp;I1001&amp;""'""))),"""")"),"")</f>
        <v/>
      </c>
      <c r="K1001" s="31"/>
      <c r="L1001" s="39"/>
      <c r="M1001" s="39"/>
      <c r="N1001" s="28" t="str">
        <f>IFERROR(__xludf.DUMMYFUNCTION("IF(OR(C1001="""",M1001=""""),"""",IFERROR(IF(M1001="""","""",query('tbl user'!$A$2:$D1508,""SELECT A WHERE D = '""&amp;M1001&amp;""'"")),""USER TIDAK DIKETAHUI""))"),"")</f>
        <v/>
      </c>
    </row>
    <row r="1002">
      <c r="A1002" s="23" t="str">
        <f t="shared" si="3"/>
        <v/>
      </c>
      <c r="B1002" s="24" t="str">
        <f t="shared" si="4"/>
        <v/>
      </c>
      <c r="C1002" s="28"/>
      <c r="D1002" s="28"/>
      <c r="E1002" s="34"/>
      <c r="F1002" s="34"/>
      <c r="G1002" s="34"/>
      <c r="H1002" s="34"/>
      <c r="I1002" s="34"/>
      <c r="J1002" s="28" t="str">
        <f>IFERROR(__xludf.DUMMYFUNCTION("iferror(if(I1002="""","""",unique(query('tbl driver 2'!$K$2:$L1508,""SELECT L WHERE K = '""&amp;I1002&amp;""'""))),"""")"),"")</f>
        <v/>
      </c>
      <c r="K1002" s="31"/>
      <c r="L1002" s="39"/>
      <c r="M1002" s="39"/>
      <c r="N1002" s="28" t="str">
        <f>IFERROR(__xludf.DUMMYFUNCTION("IF(OR(C1002="""",M1002=""""),"""",IFERROR(IF(M1002="""","""",query('tbl user'!$A$2:$D1508,""SELECT A WHERE D = '""&amp;M1002&amp;""'"")),""USER TIDAK DIKETAHUI""))"),"")</f>
        <v/>
      </c>
    </row>
    <row r="1003">
      <c r="A1003" s="23"/>
      <c r="B1003" s="24" t="str">
        <f t="shared" si="4"/>
        <v/>
      </c>
      <c r="C1003" s="28"/>
      <c r="D1003" s="28"/>
      <c r="E1003" s="34"/>
      <c r="F1003" s="34"/>
      <c r="G1003" s="34"/>
      <c r="H1003" s="34"/>
      <c r="I1003" s="34"/>
      <c r="J1003" s="28" t="str">
        <f>IFERROR(__xludf.DUMMYFUNCTION("iferror(if(I1003="""","""",unique(query('tbl driver 2'!$K$2:$L1508,""SELECT L WHERE K = '""&amp;I1003&amp;""'""))),"""")"),"")</f>
        <v/>
      </c>
      <c r="K1003" s="31"/>
      <c r="L1003" s="39"/>
      <c r="M1003" s="39"/>
      <c r="N1003" s="28" t="str">
        <f>IFERROR(__xludf.DUMMYFUNCTION("IF(OR(C1003="""",M1003=""""),"""",IFERROR(IF(M1003="""","""",query('tbl user'!$A$2:$D1508,""SELECT A WHERE D = '""&amp;M1003&amp;""'"")),""USER TIDAK DIKETAHUI""))"),"")</f>
        <v/>
      </c>
    </row>
    <row r="1004">
      <c r="A1004" s="23"/>
      <c r="B1004" s="24" t="str">
        <f t="shared" si="4"/>
        <v/>
      </c>
      <c r="C1004" s="28"/>
      <c r="D1004" s="28"/>
      <c r="E1004" s="34"/>
      <c r="F1004" s="34"/>
      <c r="G1004" s="34"/>
      <c r="H1004" s="34"/>
      <c r="I1004" s="34"/>
      <c r="J1004" s="28" t="str">
        <f>IFERROR(__xludf.DUMMYFUNCTION("iferror(if(I1004="""","""",unique(query('tbl driver 2'!$K$2:$L1508,""SELECT L WHERE K = '""&amp;I1004&amp;""'""))),"""")"),"")</f>
        <v/>
      </c>
      <c r="K1004" s="31"/>
      <c r="L1004" s="39"/>
      <c r="M1004" s="39"/>
      <c r="N1004" s="28" t="str">
        <f>IFERROR(__xludf.DUMMYFUNCTION("IF(OR(C1004="""",M1004=""""),"""",IFERROR(IF(M1004="""","""",query('tbl user'!$A$2:$D1508,""SELECT A WHERE D = '""&amp;M1004&amp;""'"")),""USER TIDAK DIKETAHUI""))"),"")</f>
        <v/>
      </c>
    </row>
    <row r="1005">
      <c r="A1005" s="23"/>
      <c r="B1005" s="24" t="str">
        <f t="shared" si="4"/>
        <v/>
      </c>
      <c r="C1005" s="28"/>
      <c r="D1005" s="28"/>
      <c r="E1005" s="34"/>
      <c r="F1005" s="34"/>
      <c r="G1005" s="34"/>
      <c r="H1005" s="34"/>
      <c r="I1005" s="34"/>
      <c r="J1005" s="28" t="str">
        <f>IFERROR(__xludf.DUMMYFUNCTION("iferror(if(I1005="""","""",unique(query('tbl driver 2'!$K$2:$L1508,""SELECT L WHERE K = '""&amp;I1005&amp;""'""))),"""")"),"")</f>
        <v/>
      </c>
      <c r="K1005" s="31"/>
      <c r="L1005" s="39"/>
      <c r="M1005" s="39"/>
      <c r="N1005" s="28" t="str">
        <f>IFERROR(__xludf.DUMMYFUNCTION("IF(OR(C1005="""",M1005=""""),"""",IFERROR(IF(M1005="""","""",query('tbl user'!$A$2:$D1508,""SELECT A WHERE D = '""&amp;M1005&amp;""'"")),""USER TIDAK DIKETAHUI""))"),"")</f>
        <v/>
      </c>
    </row>
    <row r="1006">
      <c r="A1006" s="23"/>
      <c r="B1006" s="24" t="str">
        <f t="shared" si="4"/>
        <v/>
      </c>
      <c r="C1006" s="28"/>
      <c r="D1006" s="28"/>
      <c r="E1006" s="34"/>
      <c r="F1006" s="34"/>
      <c r="G1006" s="34"/>
      <c r="H1006" s="34"/>
      <c r="I1006" s="34"/>
      <c r="J1006" s="28" t="str">
        <f>IFERROR(__xludf.DUMMYFUNCTION("iferror(if(I1006="""","""",unique(query('tbl driver 2'!$K$2:$L1508,""SELECT L WHERE K = '""&amp;I1006&amp;""'""))),"""")"),"")</f>
        <v/>
      </c>
      <c r="K1006" s="31"/>
      <c r="L1006" s="39"/>
      <c r="M1006" s="39"/>
      <c r="N1006" s="28" t="str">
        <f>IFERROR(__xludf.DUMMYFUNCTION("IF(OR(C1006="""",M1006=""""),"""",IFERROR(IF(M1006="""","""",query('tbl user'!$A$2:$D1508,""SELECT A WHERE D = '""&amp;M1006&amp;""'"")),""USER TIDAK DIKETAHUI""))"),"")</f>
        <v/>
      </c>
    </row>
    <row r="1007">
      <c r="A1007" s="23"/>
      <c r="B1007" s="24" t="str">
        <f t="shared" si="4"/>
        <v/>
      </c>
      <c r="C1007" s="28"/>
      <c r="D1007" s="28"/>
      <c r="E1007" s="34"/>
      <c r="F1007" s="34"/>
      <c r="G1007" s="34"/>
      <c r="H1007" s="34"/>
      <c r="I1007" s="34"/>
      <c r="J1007" s="28" t="str">
        <f>IFERROR(__xludf.DUMMYFUNCTION("iferror(if(I1007="""","""",unique(query('tbl driver 2'!$K$2:$L1508,""SELECT L WHERE K = '""&amp;I1007&amp;""'""))),"""")"),"")</f>
        <v/>
      </c>
      <c r="K1007" s="31"/>
      <c r="L1007" s="39"/>
      <c r="M1007" s="39"/>
      <c r="N1007" s="28" t="str">
        <f>IFERROR(__xludf.DUMMYFUNCTION("IF(OR(C1007="""",M1007=""""),"""",IFERROR(IF(M1007="""","""",query('tbl user'!$A$2:$D1508,""SELECT A WHERE D = '""&amp;M1007&amp;""'"")),""USER TIDAK DIKETAHUI""))"),"")</f>
        <v/>
      </c>
    </row>
    <row r="1008">
      <c r="A1008" s="23"/>
      <c r="B1008" s="24" t="str">
        <f t="shared" si="4"/>
        <v/>
      </c>
      <c r="C1008" s="28"/>
      <c r="D1008" s="28"/>
      <c r="E1008" s="34"/>
      <c r="F1008" s="34"/>
      <c r="G1008" s="34"/>
      <c r="H1008" s="34"/>
      <c r="I1008" s="34"/>
      <c r="J1008" s="28" t="str">
        <f>IFERROR(__xludf.DUMMYFUNCTION("iferror(if(I1008="""","""",unique(query('tbl driver 2'!$K$2:$L1508,""SELECT L WHERE K = '""&amp;I1008&amp;""'""))),"""")"),"")</f>
        <v/>
      </c>
      <c r="K1008" s="31"/>
      <c r="L1008" s="39"/>
      <c r="M1008" s="39"/>
      <c r="N1008" s="28" t="str">
        <f>IFERROR(__xludf.DUMMYFUNCTION("IF(OR(C1008="""",M1008=""""),"""",IFERROR(IF(M1008="""","""",query('tbl user'!$A$2:$D1508,""SELECT A WHERE D = '""&amp;M1008&amp;""'"")),""USER TIDAK DIKETAHUI""))"),"")</f>
        <v/>
      </c>
    </row>
    <row r="1009">
      <c r="A1009" s="23"/>
      <c r="B1009" s="24" t="str">
        <f t="shared" si="4"/>
        <v/>
      </c>
      <c r="C1009" s="28"/>
      <c r="D1009" s="28"/>
      <c r="E1009" s="34"/>
      <c r="F1009" s="34"/>
      <c r="G1009" s="34"/>
      <c r="H1009" s="34"/>
      <c r="I1009" s="34"/>
      <c r="J1009" s="28" t="str">
        <f>IFERROR(__xludf.DUMMYFUNCTION("iferror(if(I1009="""","""",unique(query('tbl driver 2'!$K$2:$L1508,""SELECT L WHERE K = '""&amp;I1009&amp;""'""))),"""")"),"")</f>
        <v/>
      </c>
      <c r="K1009" s="31"/>
      <c r="L1009" s="39"/>
      <c r="M1009" s="39"/>
      <c r="N1009" s="28" t="str">
        <f>IFERROR(__xludf.DUMMYFUNCTION("IF(OR(C1009="""",M1009=""""),"""",IFERROR(IF(M1009="""","""",query('tbl user'!$A$2:$D1508,""SELECT A WHERE D = '""&amp;M1009&amp;""'"")),""USER TIDAK DIKETAHUI""))"),"")</f>
        <v/>
      </c>
    </row>
    <row r="1010">
      <c r="A1010" s="23"/>
      <c r="B1010" s="24" t="str">
        <f t="shared" si="4"/>
        <v/>
      </c>
      <c r="C1010" s="28"/>
      <c r="D1010" s="28"/>
      <c r="E1010" s="34"/>
      <c r="F1010" s="34"/>
      <c r="G1010" s="34"/>
      <c r="H1010" s="34"/>
      <c r="I1010" s="34"/>
      <c r="J1010" s="28" t="str">
        <f>IFERROR(__xludf.DUMMYFUNCTION("iferror(if(I1010="""","""",unique(query('tbl driver 2'!$K$2:$L1508,""SELECT L WHERE K = '""&amp;I1010&amp;""'""))),"""")"),"")</f>
        <v/>
      </c>
      <c r="K1010" s="31"/>
      <c r="L1010" s="39"/>
      <c r="M1010" s="39"/>
      <c r="N1010" s="28" t="str">
        <f>IFERROR(__xludf.DUMMYFUNCTION("IF(OR(C1010="""",M1010=""""),"""",IFERROR(IF(M1010="""","""",query('tbl user'!$A$2:$D1508,""SELECT A WHERE D = '""&amp;M1010&amp;""'"")),""USER TIDAK DIKETAHUI""))"),"")</f>
        <v/>
      </c>
    </row>
    <row r="1011">
      <c r="A1011" s="23"/>
      <c r="B1011" s="24" t="str">
        <f t="shared" si="4"/>
        <v/>
      </c>
      <c r="C1011" s="28"/>
      <c r="D1011" s="28"/>
      <c r="E1011" s="34"/>
      <c r="F1011" s="34"/>
      <c r="G1011" s="34"/>
      <c r="H1011" s="34"/>
      <c r="I1011" s="34"/>
      <c r="J1011" s="28" t="str">
        <f>IFERROR(__xludf.DUMMYFUNCTION("iferror(if(I1011="""","""",unique(query('tbl driver 2'!$K$2:$L1508,""SELECT L WHERE K = '""&amp;I1011&amp;""'""))),"""")"),"")</f>
        <v/>
      </c>
      <c r="K1011" s="31"/>
      <c r="L1011" s="39"/>
      <c r="M1011" s="39"/>
      <c r="N1011" s="28" t="str">
        <f>IFERROR(__xludf.DUMMYFUNCTION("IF(OR(C1011="""",M1011=""""),"""",IFERROR(IF(M1011="""","""",query('tbl user'!$A$2:$D1508,""SELECT A WHERE D = '""&amp;M1011&amp;""'"")),""USER TIDAK DIKETAHUI""))"),"")</f>
        <v/>
      </c>
    </row>
    <row r="1012">
      <c r="A1012" s="23"/>
      <c r="B1012" s="24" t="str">
        <f t="shared" si="4"/>
        <v/>
      </c>
      <c r="C1012" s="28"/>
      <c r="D1012" s="28"/>
      <c r="E1012" s="34"/>
      <c r="F1012" s="34"/>
      <c r="G1012" s="34"/>
      <c r="H1012" s="34"/>
      <c r="I1012" s="34"/>
      <c r="J1012" s="28" t="str">
        <f>IFERROR(__xludf.DUMMYFUNCTION("iferror(if(I1012="""","""",unique(query('tbl driver 2'!$K$2:$L1508,""SELECT L WHERE K = '""&amp;I1012&amp;""'""))),"""")"),"")</f>
        <v/>
      </c>
      <c r="K1012" s="31"/>
      <c r="L1012" s="39"/>
      <c r="M1012" s="39"/>
      <c r="N1012" s="28" t="str">
        <f>IFERROR(__xludf.DUMMYFUNCTION("IF(OR(C1012="""",M1012=""""),"""",IFERROR(IF(M1012="""","""",query('tbl user'!$A$2:$D1508,""SELECT A WHERE D = '""&amp;M1012&amp;""'"")),""USER TIDAK DIKETAHUI""))"),"")</f>
        <v/>
      </c>
    </row>
    <row r="1013">
      <c r="A1013" s="23"/>
      <c r="B1013" s="24" t="str">
        <f t="shared" si="4"/>
        <v/>
      </c>
      <c r="C1013" s="28"/>
      <c r="D1013" s="28"/>
      <c r="E1013" s="34"/>
      <c r="F1013" s="34"/>
      <c r="G1013" s="34"/>
      <c r="H1013" s="34"/>
      <c r="I1013" s="34"/>
      <c r="J1013" s="28" t="str">
        <f>IFERROR(__xludf.DUMMYFUNCTION("iferror(if(I1013="""","""",unique(query('tbl driver 2'!$K$2:$L1508,""SELECT L WHERE K = '""&amp;I1013&amp;""'""))),"""")"),"")</f>
        <v/>
      </c>
      <c r="K1013" s="31"/>
      <c r="L1013" s="39"/>
      <c r="M1013" s="39"/>
      <c r="N1013" s="28" t="str">
        <f>IFERROR(__xludf.DUMMYFUNCTION("IF(OR(C1013="""",M1013=""""),"""",IFERROR(IF(M1013="""","""",query('tbl user'!$A$2:$D1508,""SELECT A WHERE D = '""&amp;M1013&amp;""'"")),""USER TIDAK DIKETAHUI""))"),"")</f>
        <v/>
      </c>
    </row>
    <row r="1014">
      <c r="A1014" s="23"/>
      <c r="B1014" s="24" t="str">
        <f t="shared" si="4"/>
        <v/>
      </c>
      <c r="C1014" s="28"/>
      <c r="D1014" s="28"/>
      <c r="E1014" s="34"/>
      <c r="F1014" s="34"/>
      <c r="G1014" s="34"/>
      <c r="H1014" s="34"/>
      <c r="I1014" s="34"/>
      <c r="J1014" s="28" t="str">
        <f>IFERROR(__xludf.DUMMYFUNCTION("iferror(if(I1014="""","""",unique(query('tbl driver 2'!$K$2:$L1508,""SELECT L WHERE K = '""&amp;I1014&amp;""'""))),"""")"),"")</f>
        <v/>
      </c>
      <c r="K1014" s="31"/>
      <c r="L1014" s="39"/>
      <c r="M1014" s="39"/>
      <c r="N1014" s="28" t="str">
        <f>IFERROR(__xludf.DUMMYFUNCTION("IF(OR(C1014="""",M1014=""""),"""",IFERROR(IF(M1014="""","""",query('tbl user'!$A$2:$D1508,""SELECT A WHERE D = '""&amp;M1014&amp;""'"")),""USER TIDAK DIKETAHUI""))"),"")</f>
        <v/>
      </c>
    </row>
    <row r="1015">
      <c r="A1015" s="23"/>
      <c r="B1015" s="24" t="str">
        <f t="shared" si="4"/>
        <v/>
      </c>
      <c r="C1015" s="28"/>
      <c r="D1015" s="28"/>
      <c r="E1015" s="34"/>
      <c r="F1015" s="34"/>
      <c r="G1015" s="34"/>
      <c r="H1015" s="34"/>
      <c r="I1015" s="34"/>
      <c r="J1015" s="28" t="str">
        <f>IFERROR(__xludf.DUMMYFUNCTION("iferror(if(I1015="""","""",unique(query('tbl driver 2'!$K$2:$L1508,""SELECT L WHERE K = '""&amp;I1015&amp;""'""))),"""")"),"")</f>
        <v/>
      </c>
      <c r="K1015" s="31"/>
      <c r="L1015" s="39"/>
      <c r="M1015" s="39"/>
      <c r="N1015" s="28" t="str">
        <f>IFERROR(__xludf.DUMMYFUNCTION("IF(OR(C1015="""",M1015=""""),"""",IFERROR(IF(M1015="""","""",query('tbl user'!$A$2:$D1508,""SELECT A WHERE D = '""&amp;M1015&amp;""'"")),""USER TIDAK DIKETAHUI""))"),"")</f>
        <v/>
      </c>
    </row>
    <row r="1016">
      <c r="A1016" s="23"/>
      <c r="B1016" s="24" t="str">
        <f t="shared" si="4"/>
        <v/>
      </c>
      <c r="C1016" s="28"/>
      <c r="D1016" s="28"/>
      <c r="E1016" s="34"/>
      <c r="F1016" s="34"/>
      <c r="G1016" s="34"/>
      <c r="H1016" s="34"/>
      <c r="I1016" s="34"/>
      <c r="J1016" s="28" t="str">
        <f>IFERROR(__xludf.DUMMYFUNCTION("iferror(if(I1016="""","""",unique(query('tbl driver 2'!$K$2:$L1508,""SELECT L WHERE K = '""&amp;I1016&amp;""'""))),"""")"),"")</f>
        <v/>
      </c>
      <c r="K1016" s="31"/>
      <c r="L1016" s="39"/>
      <c r="M1016" s="39"/>
      <c r="N1016" s="28" t="str">
        <f>IFERROR(__xludf.DUMMYFUNCTION("IF(OR(C1016="""",M1016=""""),"""",IFERROR(IF(M1016="""","""",query('tbl user'!$A$2:$D1508,""SELECT A WHERE D = '""&amp;M1016&amp;""'"")),""USER TIDAK DIKETAHUI""))"),"")</f>
        <v/>
      </c>
    </row>
    <row r="1017">
      <c r="A1017" s="23"/>
      <c r="B1017" s="24" t="str">
        <f t="shared" si="4"/>
        <v/>
      </c>
      <c r="C1017" s="28"/>
      <c r="D1017" s="28"/>
      <c r="E1017" s="34"/>
      <c r="F1017" s="34"/>
      <c r="G1017" s="34"/>
      <c r="H1017" s="34"/>
      <c r="I1017" s="34"/>
      <c r="J1017" s="28" t="str">
        <f>IFERROR(__xludf.DUMMYFUNCTION("iferror(if(I1017="""","""",unique(query('tbl driver 2'!$K$2:$L1508,""SELECT L WHERE K = '""&amp;I1017&amp;""'""))),"""")"),"")</f>
        <v/>
      </c>
      <c r="K1017" s="31"/>
      <c r="L1017" s="39"/>
      <c r="M1017" s="39"/>
      <c r="N1017" s="28" t="str">
        <f>IFERROR(__xludf.DUMMYFUNCTION("IF(OR(C1017="""",M1017=""""),"""",IFERROR(IF(M1017="""","""",query('tbl user'!$A$2:$D1508,""SELECT A WHERE D = '""&amp;M1017&amp;""'"")),""USER TIDAK DIKETAHUI""))"),"")</f>
        <v/>
      </c>
    </row>
    <row r="1018">
      <c r="A1018" s="23"/>
      <c r="B1018" s="24" t="str">
        <f t="shared" si="4"/>
        <v/>
      </c>
      <c r="C1018" s="28"/>
      <c r="D1018" s="28"/>
      <c r="E1018" s="34"/>
      <c r="F1018" s="34"/>
      <c r="G1018" s="34"/>
      <c r="H1018" s="34"/>
      <c r="I1018" s="34"/>
      <c r="J1018" s="28" t="str">
        <f>IFERROR(__xludf.DUMMYFUNCTION("iferror(if(I1018="""","""",unique(query('tbl driver 2'!$K$2:$L1508,""SELECT L WHERE K = '""&amp;I1018&amp;""'""))),"""")"),"")</f>
        <v/>
      </c>
      <c r="K1018" s="31"/>
      <c r="L1018" s="39"/>
      <c r="M1018" s="39"/>
      <c r="N1018" s="28" t="str">
        <f>IFERROR(__xludf.DUMMYFUNCTION("IF(OR(C1018="""",M1018=""""),"""",IFERROR(IF(M1018="""","""",query('tbl user'!$A$2:$D1508,""SELECT A WHERE D = '""&amp;M1018&amp;""'"")),""USER TIDAK DIKETAHUI""))"),"")</f>
        <v/>
      </c>
    </row>
    <row r="1019">
      <c r="A1019" s="23"/>
      <c r="B1019" s="24" t="str">
        <f t="shared" si="4"/>
        <v/>
      </c>
      <c r="C1019" s="28"/>
      <c r="D1019" s="28"/>
      <c r="E1019" s="34"/>
      <c r="F1019" s="34"/>
      <c r="G1019" s="34"/>
      <c r="H1019" s="34"/>
      <c r="I1019" s="34"/>
      <c r="J1019" s="28" t="str">
        <f>IFERROR(__xludf.DUMMYFUNCTION("iferror(if(I1019="""","""",unique(query('tbl driver 2'!$K$2:$L1508,""SELECT L WHERE K = '""&amp;I1019&amp;""'""))),"""")"),"")</f>
        <v/>
      </c>
      <c r="K1019" s="31"/>
      <c r="L1019" s="39"/>
      <c r="M1019" s="39"/>
      <c r="N1019" s="28" t="str">
        <f>IFERROR(__xludf.DUMMYFUNCTION("IF(OR(C1019="""",M1019=""""),"""",IFERROR(IF(M1019="""","""",query('tbl user'!$A$2:$D1508,""SELECT A WHERE D = '""&amp;M1019&amp;""'"")),""USER TIDAK DIKETAHUI""))"),"")</f>
        <v/>
      </c>
    </row>
    <row r="1020">
      <c r="A1020" s="23"/>
      <c r="B1020" s="24" t="str">
        <f t="shared" si="4"/>
        <v/>
      </c>
      <c r="C1020" s="28"/>
      <c r="D1020" s="28"/>
      <c r="E1020" s="34"/>
      <c r="F1020" s="34"/>
      <c r="G1020" s="34"/>
      <c r="H1020" s="34"/>
      <c r="I1020" s="34"/>
      <c r="J1020" s="28" t="str">
        <f>IFERROR(__xludf.DUMMYFUNCTION("iferror(if(I1020="""","""",unique(query('tbl driver 2'!$K$2:$L1508,""SELECT L WHERE K = '""&amp;I1020&amp;""'""))),"""")"),"")</f>
        <v/>
      </c>
      <c r="K1020" s="31"/>
      <c r="L1020" s="39"/>
      <c r="M1020" s="39"/>
      <c r="N1020" s="28" t="str">
        <f>IFERROR(__xludf.DUMMYFUNCTION("IF(OR(C1020="""",M1020=""""),"""",IFERROR(IF(M1020="""","""",query('tbl user'!$A$2:$D1508,""SELECT A WHERE D = '""&amp;M1020&amp;""'"")),""USER TIDAK DIKETAHUI""))"),"")</f>
        <v/>
      </c>
    </row>
    <row r="1021">
      <c r="A1021" s="23"/>
      <c r="B1021" s="24" t="str">
        <f t="shared" si="4"/>
        <v/>
      </c>
      <c r="C1021" s="28"/>
      <c r="D1021" s="28"/>
      <c r="E1021" s="34"/>
      <c r="F1021" s="34"/>
      <c r="G1021" s="34"/>
      <c r="H1021" s="34"/>
      <c r="I1021" s="34"/>
      <c r="J1021" s="28" t="str">
        <f>IFERROR(__xludf.DUMMYFUNCTION("iferror(if(I1021="""","""",unique(query('tbl driver 2'!$K$2:$L1508,""SELECT L WHERE K = '""&amp;I1021&amp;""'""))),"""")"),"")</f>
        <v/>
      </c>
      <c r="K1021" s="31"/>
      <c r="L1021" s="39"/>
      <c r="M1021" s="39"/>
      <c r="N1021" s="28" t="str">
        <f>IFERROR(__xludf.DUMMYFUNCTION("IF(OR(C1021="""",M1021=""""),"""",IFERROR(IF(M1021="""","""",query('tbl user'!$A$2:$D1508,""SELECT A WHERE D = '""&amp;M1021&amp;""'"")),""USER TIDAK DIKETAHUI""))"),"")</f>
        <v/>
      </c>
    </row>
    <row r="1022">
      <c r="A1022" s="23"/>
      <c r="B1022" s="24" t="str">
        <f t="shared" si="4"/>
        <v/>
      </c>
      <c r="C1022" s="28"/>
      <c r="D1022" s="28"/>
      <c r="E1022" s="34"/>
      <c r="F1022" s="34"/>
      <c r="G1022" s="34"/>
      <c r="H1022" s="34"/>
      <c r="I1022" s="34"/>
      <c r="J1022" s="28" t="str">
        <f>IFERROR(__xludf.DUMMYFUNCTION("iferror(if(I1022="""","""",unique(query('tbl driver 2'!$K$2:$L1508,""SELECT L WHERE K = '""&amp;I1022&amp;""'""))),"""")"),"")</f>
        <v/>
      </c>
      <c r="K1022" s="31"/>
      <c r="L1022" s="39"/>
      <c r="M1022" s="39"/>
      <c r="N1022" s="28" t="str">
        <f>IFERROR(__xludf.DUMMYFUNCTION("IF(OR(C1022="""",M1022=""""),"""",IFERROR(IF(M1022="""","""",query('tbl user'!$A$2:$D1508,""SELECT A WHERE D = '""&amp;M1022&amp;""'"")),""USER TIDAK DIKETAHUI""))"),"")</f>
        <v/>
      </c>
    </row>
    <row r="1023">
      <c r="A1023" s="23"/>
      <c r="B1023" s="24" t="str">
        <f t="shared" si="4"/>
        <v/>
      </c>
      <c r="C1023" s="28"/>
      <c r="D1023" s="28"/>
      <c r="E1023" s="34"/>
      <c r="F1023" s="34"/>
      <c r="G1023" s="34"/>
      <c r="H1023" s="34"/>
      <c r="I1023" s="34"/>
      <c r="J1023" s="28" t="str">
        <f>IFERROR(__xludf.DUMMYFUNCTION("iferror(if(I1023="""","""",unique(query('tbl driver 2'!$K$2:$L1508,""SELECT L WHERE K = '""&amp;I1023&amp;""'""))),"""")"),"")</f>
        <v/>
      </c>
      <c r="K1023" s="31"/>
      <c r="L1023" s="39"/>
      <c r="M1023" s="39"/>
      <c r="N1023" s="28" t="str">
        <f>IFERROR(__xludf.DUMMYFUNCTION("IF(OR(C1023="""",M1023=""""),"""",IFERROR(IF(M1023="""","""",query('tbl user'!$A$2:$D1508,""SELECT A WHERE D = '""&amp;M1023&amp;""'"")),""USER TIDAK DIKETAHUI""))"),"")</f>
        <v/>
      </c>
    </row>
    <row r="1024">
      <c r="A1024" s="23"/>
      <c r="B1024" s="24" t="str">
        <f t="shared" si="4"/>
        <v/>
      </c>
      <c r="C1024" s="28"/>
      <c r="D1024" s="28"/>
      <c r="E1024" s="34"/>
      <c r="F1024" s="34"/>
      <c r="G1024" s="34"/>
      <c r="H1024" s="34"/>
      <c r="I1024" s="34"/>
      <c r="J1024" s="28" t="str">
        <f>IFERROR(__xludf.DUMMYFUNCTION("iferror(if(I1024="""","""",unique(query('tbl driver 2'!$K$2:$L1508,""SELECT L WHERE K = '""&amp;I1024&amp;""'""))),"""")"),"")</f>
        <v/>
      </c>
      <c r="K1024" s="31"/>
      <c r="L1024" s="39"/>
      <c r="M1024" s="39"/>
      <c r="N1024" s="28" t="str">
        <f>IFERROR(__xludf.DUMMYFUNCTION("IF(OR(C1024="""",M1024=""""),"""",IFERROR(IF(M1024="""","""",query('tbl user'!$A$2:$D1508,""SELECT A WHERE D = '""&amp;M1024&amp;""'"")),""USER TIDAK DIKETAHUI""))"),"")</f>
        <v/>
      </c>
    </row>
    <row r="1025">
      <c r="A1025" s="23"/>
      <c r="B1025" s="24" t="str">
        <f t="shared" si="4"/>
        <v/>
      </c>
      <c r="C1025" s="28"/>
      <c r="D1025" s="28"/>
      <c r="E1025" s="34"/>
      <c r="F1025" s="34"/>
      <c r="G1025" s="34"/>
      <c r="H1025" s="34"/>
      <c r="I1025" s="34"/>
      <c r="J1025" s="28" t="str">
        <f>IFERROR(__xludf.DUMMYFUNCTION("iferror(if(I1025="""","""",unique(query('tbl driver 2'!$K$2:$L1508,""SELECT L WHERE K = '""&amp;I1025&amp;""'""))),"""")"),"")</f>
        <v/>
      </c>
      <c r="K1025" s="31"/>
      <c r="L1025" s="39"/>
      <c r="M1025" s="39"/>
      <c r="N1025" s="28" t="str">
        <f>IFERROR(__xludf.DUMMYFUNCTION("IF(OR(C1025="""",M1025=""""),"""",IFERROR(IF(M1025="""","""",query('tbl user'!$A$2:$D1508,""SELECT A WHERE D = '""&amp;M1025&amp;""'"")),""USER TIDAK DIKETAHUI""))"),"")</f>
        <v/>
      </c>
    </row>
    <row r="1026">
      <c r="A1026" s="23"/>
      <c r="B1026" s="24" t="str">
        <f t="shared" si="4"/>
        <v/>
      </c>
      <c r="C1026" s="28"/>
      <c r="D1026" s="28"/>
      <c r="E1026" s="34"/>
      <c r="F1026" s="34"/>
      <c r="G1026" s="34"/>
      <c r="H1026" s="34"/>
      <c r="I1026" s="34"/>
      <c r="J1026" s="28" t="str">
        <f>IFERROR(__xludf.DUMMYFUNCTION("iferror(if(I1026="""","""",unique(query('tbl driver 2'!$K$2:$L1508,""SELECT L WHERE K = '""&amp;I1026&amp;""'""))),"""")"),"")</f>
        <v/>
      </c>
      <c r="K1026" s="31"/>
      <c r="L1026" s="39"/>
      <c r="M1026" s="39"/>
      <c r="N1026" s="28" t="str">
        <f>IFERROR(__xludf.DUMMYFUNCTION("IF(OR(C1026="""",M1026=""""),"""",IFERROR(IF(M1026="""","""",query('tbl user'!$A$2:$D1508,""SELECT A WHERE D = '""&amp;M1026&amp;""'"")),""USER TIDAK DIKETAHUI""))"),"")</f>
        <v/>
      </c>
    </row>
    <row r="1027">
      <c r="A1027" s="23"/>
      <c r="B1027" s="24" t="str">
        <f t="shared" si="4"/>
        <v/>
      </c>
      <c r="C1027" s="28"/>
      <c r="D1027" s="28"/>
      <c r="E1027" s="34"/>
      <c r="F1027" s="34"/>
      <c r="G1027" s="34"/>
      <c r="H1027" s="34"/>
      <c r="I1027" s="34"/>
      <c r="J1027" s="28" t="str">
        <f>IFERROR(__xludf.DUMMYFUNCTION("iferror(if(I1027="""","""",unique(query('tbl driver 2'!$K$2:$L1508,""SELECT L WHERE K = '""&amp;I1027&amp;""'""))),"""")"),"")</f>
        <v/>
      </c>
      <c r="K1027" s="31"/>
      <c r="L1027" s="39"/>
      <c r="M1027" s="39"/>
      <c r="N1027" s="28" t="str">
        <f>IFERROR(__xludf.DUMMYFUNCTION("IF(OR(C1027="""",M1027=""""),"""",IFERROR(IF(M1027="""","""",query('tbl user'!$A$2:$D1508,""SELECT A WHERE D = '""&amp;M1027&amp;""'"")),""USER TIDAK DIKETAHUI""))"),"")</f>
        <v/>
      </c>
    </row>
    <row r="1028">
      <c r="A1028" s="23"/>
      <c r="B1028" s="24" t="str">
        <f t="shared" si="4"/>
        <v/>
      </c>
      <c r="C1028" s="28"/>
      <c r="D1028" s="28"/>
      <c r="E1028" s="34"/>
      <c r="F1028" s="34"/>
      <c r="G1028" s="34"/>
      <c r="H1028" s="34"/>
      <c r="I1028" s="34"/>
      <c r="J1028" s="28" t="str">
        <f>IFERROR(__xludf.DUMMYFUNCTION("iferror(if(I1028="""","""",unique(query('tbl driver 2'!$K$2:$L1508,""SELECT L WHERE K = '""&amp;I1028&amp;""'""))),"""")"),"")</f>
        <v/>
      </c>
      <c r="K1028" s="31"/>
      <c r="L1028" s="39"/>
      <c r="M1028" s="39"/>
      <c r="N1028" s="28" t="str">
        <f>IFERROR(__xludf.DUMMYFUNCTION("IF(OR(C1028="""",M1028=""""),"""",IFERROR(IF(M1028="""","""",query('tbl user'!$A$2:$D1508,""SELECT A WHERE D = '""&amp;M1028&amp;""'"")),""USER TIDAK DIKETAHUI""))"),"")</f>
        <v/>
      </c>
    </row>
    <row r="1029">
      <c r="A1029" s="23"/>
      <c r="B1029" s="24" t="str">
        <f t="shared" si="4"/>
        <v/>
      </c>
      <c r="C1029" s="28"/>
      <c r="D1029" s="28"/>
      <c r="E1029" s="34"/>
      <c r="F1029" s="34"/>
      <c r="G1029" s="34"/>
      <c r="H1029" s="34"/>
      <c r="I1029" s="34"/>
      <c r="J1029" s="28" t="str">
        <f>IFERROR(__xludf.DUMMYFUNCTION("iferror(if(I1029="""","""",unique(query('tbl driver 2'!$K$2:$L1508,""SELECT L WHERE K = '""&amp;I1029&amp;""'""))),"""")"),"")</f>
        <v/>
      </c>
      <c r="K1029" s="31"/>
      <c r="L1029" s="39"/>
      <c r="M1029" s="39"/>
      <c r="N1029" s="28" t="str">
        <f>IFERROR(__xludf.DUMMYFUNCTION("IF(OR(C1029="""",M1029=""""),"""",IFERROR(IF(M1029="""","""",query('tbl user'!$A$2:$D1508,""SELECT A WHERE D = '""&amp;M1029&amp;""'"")),""USER TIDAK DIKETAHUI""))"),"")</f>
        <v/>
      </c>
    </row>
    <row r="1030">
      <c r="A1030" s="23"/>
      <c r="B1030" s="24" t="str">
        <f t="shared" si="4"/>
        <v/>
      </c>
      <c r="C1030" s="28"/>
      <c r="D1030" s="28"/>
      <c r="E1030" s="34"/>
      <c r="F1030" s="34"/>
      <c r="G1030" s="34"/>
      <c r="H1030" s="34"/>
      <c r="I1030" s="34"/>
      <c r="J1030" s="28" t="str">
        <f>IFERROR(__xludf.DUMMYFUNCTION("iferror(if(I1030="""","""",unique(query('tbl driver 2'!$K$2:$L1508,""SELECT L WHERE K = '""&amp;I1030&amp;""'""))),"""")"),"")</f>
        <v/>
      </c>
      <c r="K1030" s="31"/>
      <c r="L1030" s="39"/>
      <c r="M1030" s="39"/>
      <c r="N1030" s="28" t="str">
        <f>IFERROR(__xludf.DUMMYFUNCTION("IF(OR(C1030="""",M1030=""""),"""",IFERROR(IF(M1030="""","""",query('tbl user'!$A$2:$D1508,""SELECT A WHERE D = '""&amp;M1030&amp;""'"")),""USER TIDAK DIKETAHUI""))"),"")</f>
        <v/>
      </c>
    </row>
    <row r="1031">
      <c r="A1031" s="23"/>
      <c r="B1031" s="24" t="str">
        <f t="shared" si="4"/>
        <v/>
      </c>
      <c r="C1031" s="28"/>
      <c r="D1031" s="28"/>
      <c r="E1031" s="34"/>
      <c r="F1031" s="34"/>
      <c r="G1031" s="34"/>
      <c r="H1031" s="34"/>
      <c r="I1031" s="34"/>
      <c r="J1031" s="28" t="str">
        <f>IFERROR(__xludf.DUMMYFUNCTION("iferror(if(I1031="""","""",unique(query('tbl driver 2'!$K$2:$L1508,""SELECT L WHERE K = '""&amp;I1031&amp;""'""))),"""")"),"")</f>
        <v/>
      </c>
      <c r="K1031" s="31"/>
      <c r="L1031" s="39"/>
      <c r="M1031" s="39"/>
      <c r="N1031" s="28" t="str">
        <f>IFERROR(__xludf.DUMMYFUNCTION("IF(OR(C1031="""",M1031=""""),"""",IFERROR(IF(M1031="""","""",query('tbl user'!$A$2:$D1508,""SELECT A WHERE D = '""&amp;M1031&amp;""'"")),""USER TIDAK DIKETAHUI""))"),"")</f>
        <v/>
      </c>
    </row>
    <row r="1032">
      <c r="A1032" s="23"/>
      <c r="B1032" s="24" t="str">
        <f t="shared" si="4"/>
        <v/>
      </c>
      <c r="C1032" s="28"/>
      <c r="D1032" s="28"/>
      <c r="E1032" s="34"/>
      <c r="F1032" s="34"/>
      <c r="G1032" s="34"/>
      <c r="H1032" s="34"/>
      <c r="I1032" s="34"/>
      <c r="J1032" s="28" t="str">
        <f>IFERROR(__xludf.DUMMYFUNCTION("iferror(if(I1032="""","""",unique(query('tbl driver 2'!$K$2:$L1508,""SELECT L WHERE K = '""&amp;I1032&amp;""'""))),"""")"),"")</f>
        <v/>
      </c>
      <c r="K1032" s="31"/>
      <c r="L1032" s="39"/>
      <c r="M1032" s="39"/>
      <c r="N1032" s="28" t="str">
        <f>IFERROR(__xludf.DUMMYFUNCTION("IF(OR(C1032="""",M1032=""""),"""",IFERROR(IF(M1032="""","""",query('tbl user'!$A$2:$D1508,""SELECT A WHERE D = '""&amp;M1032&amp;""'"")),""USER TIDAK DIKETAHUI""))"),"")</f>
        <v/>
      </c>
    </row>
    <row r="1033">
      <c r="A1033" s="23"/>
      <c r="B1033" s="24" t="str">
        <f t="shared" si="4"/>
        <v/>
      </c>
      <c r="C1033" s="28"/>
      <c r="D1033" s="28"/>
      <c r="E1033" s="34"/>
      <c r="F1033" s="34"/>
      <c r="G1033" s="34"/>
      <c r="H1033" s="34"/>
      <c r="I1033" s="34"/>
      <c r="J1033" s="28" t="str">
        <f>IFERROR(__xludf.DUMMYFUNCTION("iferror(if(I1033="""","""",unique(query('tbl driver 2'!$K$2:$L1508,""SELECT L WHERE K = '""&amp;I1033&amp;""'""))),"""")"),"")</f>
        <v/>
      </c>
      <c r="K1033" s="31"/>
      <c r="L1033" s="39"/>
      <c r="M1033" s="39"/>
      <c r="N1033" s="28" t="str">
        <f>IFERROR(__xludf.DUMMYFUNCTION("IF(OR(C1033="""",M1033=""""),"""",IFERROR(IF(M1033="""","""",query('tbl user'!$A$2:$D1508,""SELECT A WHERE D = '""&amp;M1033&amp;""'"")),""USER TIDAK DIKETAHUI""))"),"")</f>
        <v/>
      </c>
    </row>
    <row r="1034">
      <c r="A1034" s="23"/>
      <c r="B1034" s="24" t="str">
        <f t="shared" si="4"/>
        <v/>
      </c>
      <c r="C1034" s="28"/>
      <c r="D1034" s="28"/>
      <c r="E1034" s="34"/>
      <c r="F1034" s="34"/>
      <c r="G1034" s="34"/>
      <c r="H1034" s="34"/>
      <c r="I1034" s="34"/>
      <c r="J1034" s="28" t="str">
        <f>IFERROR(__xludf.DUMMYFUNCTION("iferror(if(I1034="""","""",unique(query('tbl driver 2'!$K$2:$L1508,""SELECT L WHERE K = '""&amp;I1034&amp;""'""))),"""")"),"")</f>
        <v/>
      </c>
      <c r="K1034" s="31"/>
      <c r="L1034" s="39"/>
      <c r="M1034" s="39"/>
      <c r="N1034" s="28" t="str">
        <f>IFERROR(__xludf.DUMMYFUNCTION("IF(OR(C1034="""",M1034=""""),"""",IFERROR(IF(M1034="""","""",query('tbl user'!$A$2:$D1508,""SELECT A WHERE D = '""&amp;M1034&amp;""'"")),""USER TIDAK DIKETAHUI""))"),"")</f>
        <v/>
      </c>
    </row>
    <row r="1035">
      <c r="A1035" s="23"/>
      <c r="B1035" s="24" t="str">
        <f t="shared" si="4"/>
        <v/>
      </c>
      <c r="C1035" s="28"/>
      <c r="D1035" s="28"/>
      <c r="E1035" s="34"/>
      <c r="F1035" s="34"/>
      <c r="G1035" s="34"/>
      <c r="H1035" s="34"/>
      <c r="I1035" s="34"/>
      <c r="J1035" s="28" t="str">
        <f>IFERROR(__xludf.DUMMYFUNCTION("iferror(if(I1035="""","""",unique(query('tbl driver 2'!$K$2:$L1508,""SELECT L WHERE K = '""&amp;I1035&amp;""'""))),"""")"),"")</f>
        <v/>
      </c>
      <c r="K1035" s="31"/>
      <c r="L1035" s="39"/>
      <c r="M1035" s="39"/>
      <c r="N1035" s="28" t="str">
        <f>IFERROR(__xludf.DUMMYFUNCTION("IF(OR(C1035="""",M1035=""""),"""",IFERROR(IF(M1035="""","""",query('tbl user'!$A$2:$D1508,""SELECT A WHERE D = '""&amp;M1035&amp;""'"")),""USER TIDAK DIKETAHUI""))"),"")</f>
        <v/>
      </c>
    </row>
    <row r="1036">
      <c r="A1036" s="23"/>
      <c r="B1036" s="24" t="str">
        <f t="shared" si="4"/>
        <v/>
      </c>
      <c r="C1036" s="28"/>
      <c r="D1036" s="28"/>
      <c r="E1036" s="34"/>
      <c r="F1036" s="34"/>
      <c r="G1036" s="34"/>
      <c r="H1036" s="34"/>
      <c r="I1036" s="34"/>
      <c r="J1036" s="28" t="str">
        <f>IFERROR(__xludf.DUMMYFUNCTION("iferror(if(I1036="""","""",unique(query('tbl driver 2'!$K$2:$L1508,""SELECT L WHERE K = '""&amp;I1036&amp;""'""))),"""")"),"")</f>
        <v/>
      </c>
      <c r="K1036" s="31"/>
      <c r="L1036" s="39"/>
      <c r="M1036" s="39"/>
      <c r="N1036" s="28" t="str">
        <f>IFERROR(__xludf.DUMMYFUNCTION("IF(OR(C1036="""",M1036=""""),"""",IFERROR(IF(M1036="""","""",query('tbl user'!$A$2:$D1508,""SELECT A WHERE D = '""&amp;M1036&amp;""'"")),""USER TIDAK DIKETAHUI""))"),"")</f>
        <v/>
      </c>
    </row>
    <row r="1037">
      <c r="A1037" s="23"/>
      <c r="B1037" s="24" t="str">
        <f t="shared" si="4"/>
        <v/>
      </c>
      <c r="C1037" s="28"/>
      <c r="D1037" s="28"/>
      <c r="E1037" s="34"/>
      <c r="F1037" s="34"/>
      <c r="G1037" s="34"/>
      <c r="H1037" s="34"/>
      <c r="I1037" s="34"/>
      <c r="J1037" s="28" t="str">
        <f>IFERROR(__xludf.DUMMYFUNCTION("iferror(if(I1037="""","""",unique(query('tbl driver 2'!$K$2:$L1508,""SELECT L WHERE K = '""&amp;I1037&amp;""'""))),"""")"),"")</f>
        <v/>
      </c>
      <c r="K1037" s="31"/>
      <c r="L1037" s="39"/>
      <c r="M1037" s="39"/>
      <c r="N1037" s="28" t="str">
        <f>IFERROR(__xludf.DUMMYFUNCTION("IF(OR(C1037="""",M1037=""""),"""",IFERROR(IF(M1037="""","""",query('tbl user'!$A$2:$D1508,""SELECT A WHERE D = '""&amp;M1037&amp;""'"")),""USER TIDAK DIKETAHUI""))"),"")</f>
        <v/>
      </c>
    </row>
    <row r="1038">
      <c r="A1038" s="23"/>
      <c r="B1038" s="24" t="str">
        <f t="shared" si="4"/>
        <v/>
      </c>
      <c r="C1038" s="28"/>
      <c r="D1038" s="28"/>
      <c r="E1038" s="34"/>
      <c r="F1038" s="34"/>
      <c r="G1038" s="34"/>
      <c r="H1038" s="34"/>
      <c r="I1038" s="34"/>
      <c r="J1038" s="28" t="str">
        <f>IFERROR(__xludf.DUMMYFUNCTION("iferror(if(I1038="""","""",unique(query('tbl driver 2'!$K$2:$L1508,""SELECT L WHERE K = '""&amp;I1038&amp;""'""))),"""")"),"")</f>
        <v/>
      </c>
      <c r="K1038" s="31"/>
      <c r="L1038" s="39"/>
      <c r="M1038" s="39"/>
      <c r="N1038" s="28" t="str">
        <f>IFERROR(__xludf.DUMMYFUNCTION("IF(OR(C1038="""",M1038=""""),"""",IFERROR(IF(M1038="""","""",query('tbl user'!$A$2:$D1508,""SELECT A WHERE D = '""&amp;M1038&amp;""'"")),""USER TIDAK DIKETAHUI""))"),"")</f>
        <v/>
      </c>
    </row>
    <row r="1039">
      <c r="A1039" s="23"/>
      <c r="B1039" s="24" t="str">
        <f t="shared" si="4"/>
        <v/>
      </c>
      <c r="C1039" s="28"/>
      <c r="D1039" s="28"/>
      <c r="E1039" s="34"/>
      <c r="F1039" s="34"/>
      <c r="G1039" s="34"/>
      <c r="H1039" s="34"/>
      <c r="I1039" s="34"/>
      <c r="J1039" s="28" t="str">
        <f>IFERROR(__xludf.DUMMYFUNCTION("iferror(if(I1039="""","""",unique(query('tbl driver 2'!$K$2:$L1508,""SELECT L WHERE K = '""&amp;I1039&amp;""'""))),"""")"),"")</f>
        <v/>
      </c>
      <c r="K1039" s="31"/>
      <c r="L1039" s="39"/>
      <c r="M1039" s="39"/>
      <c r="N1039" s="28" t="str">
        <f>IFERROR(__xludf.DUMMYFUNCTION("IF(OR(C1039="""",M1039=""""),"""",IFERROR(IF(M1039="""","""",query('tbl user'!$A$2:$D1508,""SELECT A WHERE D = '""&amp;M1039&amp;""'"")),""USER TIDAK DIKETAHUI""))"),"")</f>
        <v/>
      </c>
    </row>
    <row r="1040">
      <c r="A1040" s="23"/>
      <c r="B1040" s="24" t="str">
        <f t="shared" si="4"/>
        <v/>
      </c>
      <c r="C1040" s="28"/>
      <c r="D1040" s="28"/>
      <c r="E1040" s="34"/>
      <c r="F1040" s="34"/>
      <c r="G1040" s="34"/>
      <c r="H1040" s="34"/>
      <c r="I1040" s="34"/>
      <c r="J1040" s="28" t="str">
        <f>IFERROR(__xludf.DUMMYFUNCTION("iferror(if(I1040="""","""",unique(query('tbl driver 2'!$K$2:$L1508,""SELECT L WHERE K = '""&amp;I1040&amp;""'""))),"""")"),"")</f>
        <v/>
      </c>
      <c r="K1040" s="31"/>
      <c r="L1040" s="39"/>
      <c r="M1040" s="39"/>
      <c r="N1040" s="28" t="str">
        <f>IFERROR(__xludf.DUMMYFUNCTION("IF(OR(C1040="""",M1040=""""),"""",IFERROR(IF(M1040="""","""",query('tbl user'!$A$2:$D1508,""SELECT A WHERE D = '""&amp;M1040&amp;""'"")),""USER TIDAK DIKETAHUI""))"),"")</f>
        <v/>
      </c>
    </row>
    <row r="1041">
      <c r="A1041" s="23"/>
      <c r="B1041" s="24" t="str">
        <f t="shared" si="4"/>
        <v/>
      </c>
      <c r="C1041" s="28"/>
      <c r="D1041" s="28"/>
      <c r="E1041" s="34"/>
      <c r="F1041" s="34"/>
      <c r="G1041" s="34"/>
      <c r="H1041" s="34"/>
      <c r="I1041" s="34"/>
      <c r="J1041" s="28" t="str">
        <f>IFERROR(__xludf.DUMMYFUNCTION("iferror(if(I1041="""","""",unique(query('tbl driver 2'!$K$2:$L1508,""SELECT L WHERE K = '""&amp;I1041&amp;""'""))),"""")"),"")</f>
        <v/>
      </c>
      <c r="K1041" s="31"/>
      <c r="L1041" s="39"/>
      <c r="M1041" s="39"/>
      <c r="N1041" s="28" t="str">
        <f>IFERROR(__xludf.DUMMYFUNCTION("IF(OR(C1041="""",M1041=""""),"""",IFERROR(IF(M1041="""","""",query('tbl user'!$A$2:$D1508,""SELECT A WHERE D = '""&amp;M1041&amp;""'"")),""USER TIDAK DIKETAHUI""))"),"")</f>
        <v/>
      </c>
    </row>
    <row r="1042">
      <c r="A1042" s="23"/>
      <c r="B1042" s="24" t="str">
        <f t="shared" si="4"/>
        <v/>
      </c>
      <c r="C1042" s="28"/>
      <c r="D1042" s="28"/>
      <c r="E1042" s="34"/>
      <c r="F1042" s="34"/>
      <c r="G1042" s="34"/>
      <c r="H1042" s="34"/>
      <c r="I1042" s="34"/>
      <c r="J1042" s="28" t="str">
        <f>IFERROR(__xludf.DUMMYFUNCTION("iferror(if(I1042="""","""",unique(query('tbl driver 2'!$K$2:$L1508,""SELECT L WHERE K = '""&amp;I1042&amp;""'""))),"""")"),"")</f>
        <v/>
      </c>
      <c r="K1042" s="31"/>
      <c r="L1042" s="39"/>
      <c r="M1042" s="39"/>
      <c r="N1042" s="28" t="str">
        <f>IFERROR(__xludf.DUMMYFUNCTION("IF(OR(C1042="""",M1042=""""),"""",IFERROR(IF(M1042="""","""",query('tbl user'!$A$2:$D1508,""SELECT A WHERE D = '""&amp;M1042&amp;""'"")),""USER TIDAK DIKETAHUI""))"),"")</f>
        <v/>
      </c>
    </row>
    <row r="1043">
      <c r="A1043" s="23"/>
      <c r="B1043" s="24" t="str">
        <f t="shared" si="4"/>
        <v/>
      </c>
      <c r="C1043" s="28"/>
      <c r="D1043" s="28"/>
      <c r="E1043" s="34"/>
      <c r="F1043" s="34"/>
      <c r="G1043" s="34"/>
      <c r="H1043" s="34"/>
      <c r="I1043" s="34"/>
      <c r="J1043" s="28" t="str">
        <f>IFERROR(__xludf.DUMMYFUNCTION("iferror(if(I1043="""","""",unique(query('tbl driver 2'!$K$2:$L1508,""SELECT L WHERE K = '""&amp;I1043&amp;""'""))),"""")"),"")</f>
        <v/>
      </c>
      <c r="K1043" s="31"/>
      <c r="L1043" s="39"/>
      <c r="M1043" s="39"/>
      <c r="N1043" s="28" t="str">
        <f>IFERROR(__xludf.DUMMYFUNCTION("IF(OR(C1043="""",M1043=""""),"""",IFERROR(IF(M1043="""","""",query('tbl user'!$A$2:$D1508,""SELECT A WHERE D = '""&amp;M1043&amp;""'"")),""USER TIDAK DIKETAHUI""))"),"")</f>
        <v/>
      </c>
    </row>
    <row r="1044">
      <c r="A1044" s="23"/>
      <c r="B1044" s="24" t="str">
        <f t="shared" si="4"/>
        <v/>
      </c>
      <c r="C1044" s="28"/>
      <c r="D1044" s="28"/>
      <c r="E1044" s="34"/>
      <c r="F1044" s="34"/>
      <c r="G1044" s="34"/>
      <c r="H1044" s="34"/>
      <c r="I1044" s="34"/>
      <c r="J1044" s="28" t="str">
        <f>IFERROR(__xludf.DUMMYFUNCTION("iferror(if(I1044="""","""",unique(query('tbl driver 2'!$K$2:$L1508,""SELECT L WHERE K = '""&amp;I1044&amp;""'""))),"""")"),"")</f>
        <v/>
      </c>
      <c r="K1044" s="31"/>
      <c r="L1044" s="39"/>
      <c r="M1044" s="39"/>
      <c r="N1044" s="28" t="str">
        <f>IFERROR(__xludf.DUMMYFUNCTION("IF(OR(C1044="""",M1044=""""),"""",IFERROR(IF(M1044="""","""",query('tbl user'!$A$2:$D1508,""SELECT A WHERE D = '""&amp;M1044&amp;""'"")),""USER TIDAK DIKETAHUI""))"),"")</f>
        <v/>
      </c>
    </row>
    <row r="1045">
      <c r="A1045" s="23"/>
      <c r="B1045" s="24" t="str">
        <f t="shared" si="4"/>
        <v/>
      </c>
      <c r="C1045" s="28"/>
      <c r="D1045" s="28"/>
      <c r="E1045" s="34"/>
      <c r="F1045" s="34"/>
      <c r="G1045" s="34"/>
      <c r="H1045" s="34"/>
      <c r="I1045" s="34"/>
      <c r="J1045" s="28" t="str">
        <f>IFERROR(__xludf.DUMMYFUNCTION("iferror(if(I1045="""","""",unique(query('tbl driver 2'!$K$2:$L1508,""SELECT L WHERE K = '""&amp;I1045&amp;""'""))),"""")"),"")</f>
        <v/>
      </c>
      <c r="K1045" s="31"/>
      <c r="L1045" s="39"/>
      <c r="M1045" s="39"/>
      <c r="N1045" s="28" t="str">
        <f>IFERROR(__xludf.DUMMYFUNCTION("IF(OR(C1045="""",M1045=""""),"""",IFERROR(IF(M1045="""","""",query('tbl user'!$A$2:$D1508,""SELECT A WHERE D = '""&amp;M1045&amp;""'"")),""USER TIDAK DIKETAHUI""))"),"")</f>
        <v/>
      </c>
    </row>
    <row r="1046">
      <c r="A1046" s="23"/>
      <c r="B1046" s="24" t="str">
        <f t="shared" si="4"/>
        <v/>
      </c>
      <c r="C1046" s="28"/>
      <c r="D1046" s="28"/>
      <c r="E1046" s="34"/>
      <c r="F1046" s="34"/>
      <c r="G1046" s="34"/>
      <c r="H1046" s="34"/>
      <c r="I1046" s="34"/>
      <c r="J1046" s="28" t="str">
        <f>IFERROR(__xludf.DUMMYFUNCTION("iferror(if(I1046="""","""",unique(query('tbl driver 2'!$K$2:$L1508,""SELECT L WHERE K = '""&amp;I1046&amp;""'""))),"""")"),"")</f>
        <v/>
      </c>
      <c r="K1046" s="31"/>
      <c r="L1046" s="39"/>
      <c r="M1046" s="39"/>
      <c r="N1046" s="28" t="str">
        <f>IFERROR(__xludf.DUMMYFUNCTION("IF(OR(C1046="""",M1046=""""),"""",IFERROR(IF(M1046="""","""",query('tbl user'!$A$2:$D1508,""SELECT A WHERE D = '""&amp;M1046&amp;""'"")),""USER TIDAK DIKETAHUI""))"),"")</f>
        <v/>
      </c>
    </row>
    <row r="1047">
      <c r="A1047" s="23"/>
      <c r="B1047" s="24" t="str">
        <f t="shared" si="4"/>
        <v/>
      </c>
      <c r="C1047" s="28"/>
      <c r="D1047" s="28"/>
      <c r="E1047" s="34"/>
      <c r="F1047" s="34"/>
      <c r="G1047" s="34"/>
      <c r="H1047" s="34"/>
      <c r="I1047" s="34"/>
      <c r="J1047" s="28" t="str">
        <f>IFERROR(__xludf.DUMMYFUNCTION("iferror(if(I1047="""","""",unique(query('tbl driver 2'!$K$2:$L1508,""SELECT L WHERE K = '""&amp;I1047&amp;""'""))),"""")"),"")</f>
        <v/>
      </c>
      <c r="K1047" s="31"/>
      <c r="L1047" s="39"/>
      <c r="M1047" s="39"/>
      <c r="N1047" s="28" t="str">
        <f>IFERROR(__xludf.DUMMYFUNCTION("IF(OR(C1047="""",M1047=""""),"""",IFERROR(IF(M1047="""","""",query('tbl user'!$A$2:$D1508,""SELECT A WHERE D = '""&amp;M1047&amp;""'"")),""USER TIDAK DIKETAHUI""))"),"")</f>
        <v/>
      </c>
    </row>
    <row r="1048">
      <c r="A1048" s="23"/>
      <c r="B1048" s="24" t="str">
        <f t="shared" si="4"/>
        <v/>
      </c>
      <c r="C1048" s="28"/>
      <c r="D1048" s="28"/>
      <c r="E1048" s="34"/>
      <c r="F1048" s="34"/>
      <c r="G1048" s="34"/>
      <c r="H1048" s="34"/>
      <c r="I1048" s="34"/>
      <c r="J1048" s="28" t="str">
        <f>IFERROR(__xludf.DUMMYFUNCTION("iferror(if(I1048="""","""",unique(query('tbl driver 2'!$K$2:$L1508,""SELECT L WHERE K = '""&amp;I1048&amp;""'""))),"""")"),"")</f>
        <v/>
      </c>
      <c r="K1048" s="31"/>
      <c r="L1048" s="39"/>
      <c r="M1048" s="39"/>
      <c r="N1048" s="28" t="str">
        <f>IFERROR(__xludf.DUMMYFUNCTION("IF(OR(C1048="""",M1048=""""),"""",IFERROR(IF(M1048="""","""",query('tbl user'!$A$2:$D1508,""SELECT A WHERE D = '""&amp;M1048&amp;""'"")),""USER TIDAK DIKETAHUI""))"),"")</f>
        <v/>
      </c>
    </row>
    <row r="1049">
      <c r="A1049" s="23"/>
      <c r="B1049" s="24" t="str">
        <f t="shared" si="4"/>
        <v/>
      </c>
      <c r="C1049" s="28"/>
      <c r="D1049" s="28"/>
      <c r="E1049" s="34"/>
      <c r="F1049" s="34"/>
      <c r="G1049" s="34"/>
      <c r="H1049" s="34"/>
      <c r="I1049" s="34"/>
      <c r="J1049" s="28" t="str">
        <f>IFERROR(__xludf.DUMMYFUNCTION("iferror(if(I1049="""","""",unique(query('tbl driver 2'!$K$2:$L1508,""SELECT L WHERE K = '""&amp;I1049&amp;""'""))),"""")"),"")</f>
        <v/>
      </c>
      <c r="K1049" s="31"/>
      <c r="L1049" s="39"/>
      <c r="M1049" s="39"/>
      <c r="N1049" s="28" t="str">
        <f>IFERROR(__xludf.DUMMYFUNCTION("IF(OR(C1049="""",M1049=""""),"""",IFERROR(IF(M1049="""","""",query('tbl user'!$A$2:$D1508,""SELECT A WHERE D = '""&amp;M1049&amp;""'"")),""USER TIDAK DIKETAHUI""))"),"")</f>
        <v/>
      </c>
    </row>
    <row r="1050">
      <c r="A1050" s="23"/>
      <c r="B1050" s="24" t="str">
        <f t="shared" si="4"/>
        <v/>
      </c>
      <c r="C1050" s="28"/>
      <c r="D1050" s="28"/>
      <c r="E1050" s="34"/>
      <c r="F1050" s="34"/>
      <c r="G1050" s="34"/>
      <c r="H1050" s="34"/>
      <c r="I1050" s="34"/>
      <c r="J1050" s="28" t="str">
        <f>IFERROR(__xludf.DUMMYFUNCTION("iferror(if(I1050="""","""",unique(query('tbl driver 2'!$K$2:$L1508,""SELECT L WHERE K = '""&amp;I1050&amp;""'""))),"""")"),"")</f>
        <v/>
      </c>
      <c r="K1050" s="31"/>
      <c r="L1050" s="39"/>
      <c r="M1050" s="39"/>
      <c r="N1050" s="28" t="str">
        <f>IFERROR(__xludf.DUMMYFUNCTION("IF(OR(C1050="""",M1050=""""),"""",IFERROR(IF(M1050="""","""",query('tbl user'!$A$2:$D1508,""SELECT A WHERE D = '""&amp;M1050&amp;""'"")),""USER TIDAK DIKETAHUI""))"),"")</f>
        <v/>
      </c>
    </row>
    <row r="1051">
      <c r="A1051" s="23"/>
      <c r="B1051" s="24" t="str">
        <f t="shared" si="4"/>
        <v/>
      </c>
      <c r="C1051" s="28"/>
      <c r="D1051" s="28"/>
      <c r="E1051" s="34"/>
      <c r="F1051" s="34"/>
      <c r="G1051" s="34"/>
      <c r="H1051" s="34"/>
      <c r="I1051" s="34"/>
      <c r="J1051" s="28" t="str">
        <f>IFERROR(__xludf.DUMMYFUNCTION("iferror(if(I1051="""","""",unique(query('tbl driver 2'!$K$2:$L1508,""SELECT L WHERE K = '""&amp;I1051&amp;""'""))),"""")"),"")</f>
        <v/>
      </c>
      <c r="K1051" s="31"/>
      <c r="L1051" s="39"/>
      <c r="M1051" s="39"/>
      <c r="N1051" s="28" t="str">
        <f>IFERROR(__xludf.DUMMYFUNCTION("IF(OR(C1051="""",M1051=""""),"""",IFERROR(IF(M1051="""","""",query('tbl user'!$A$2:$D1508,""SELECT A WHERE D = '""&amp;M1051&amp;""'"")),""USER TIDAK DIKETAHUI""))"),"")</f>
        <v/>
      </c>
    </row>
    <row r="1052">
      <c r="A1052" s="23"/>
      <c r="B1052" s="24" t="str">
        <f t="shared" si="4"/>
        <v/>
      </c>
      <c r="C1052" s="28"/>
      <c r="D1052" s="28"/>
      <c r="E1052" s="34"/>
      <c r="F1052" s="34"/>
      <c r="G1052" s="34"/>
      <c r="H1052" s="34"/>
      <c r="I1052" s="34"/>
      <c r="J1052" s="28" t="str">
        <f>IFERROR(__xludf.DUMMYFUNCTION("iferror(if(I1052="""","""",unique(query('tbl driver 2'!$K$2:$L1508,""SELECT L WHERE K = '""&amp;I1052&amp;""'""))),"""")"),"")</f>
        <v/>
      </c>
      <c r="K1052" s="31"/>
      <c r="L1052" s="39"/>
      <c r="M1052" s="39"/>
      <c r="N1052" s="28" t="str">
        <f>IFERROR(__xludf.DUMMYFUNCTION("IF(OR(C1052="""",M1052=""""),"""",IFERROR(IF(M1052="""","""",query('tbl user'!$A$2:$D1508,""SELECT A WHERE D = '""&amp;M1052&amp;""'"")),""USER TIDAK DIKETAHUI""))"),"")</f>
        <v/>
      </c>
    </row>
    <row r="1053">
      <c r="A1053" s="23"/>
      <c r="B1053" s="24" t="str">
        <f t="shared" si="4"/>
        <v/>
      </c>
      <c r="C1053" s="28"/>
      <c r="D1053" s="28"/>
      <c r="E1053" s="34"/>
      <c r="F1053" s="34"/>
      <c r="G1053" s="34"/>
      <c r="H1053" s="34"/>
      <c r="I1053" s="34"/>
      <c r="J1053" s="28" t="str">
        <f>IFERROR(__xludf.DUMMYFUNCTION("iferror(if(I1053="""","""",unique(query('tbl driver 2'!$K$2:$L1508,""SELECT L WHERE K = '""&amp;I1053&amp;""'""))),"""")"),"")</f>
        <v/>
      </c>
      <c r="K1053" s="31"/>
      <c r="L1053" s="39"/>
      <c r="M1053" s="39"/>
      <c r="N1053" s="28" t="str">
        <f>IFERROR(__xludf.DUMMYFUNCTION("IF(OR(C1053="""",M1053=""""),"""",IFERROR(IF(M1053="""","""",query('tbl user'!$A$2:$D1508,""SELECT A WHERE D = '""&amp;M1053&amp;""'"")),""USER TIDAK DIKETAHUI""))"),"")</f>
        <v/>
      </c>
    </row>
    <row r="1054">
      <c r="A1054" s="23"/>
      <c r="B1054" s="24" t="str">
        <f t="shared" si="4"/>
        <v/>
      </c>
      <c r="C1054" s="28"/>
      <c r="D1054" s="28"/>
      <c r="E1054" s="34"/>
      <c r="F1054" s="34"/>
      <c r="G1054" s="34"/>
      <c r="H1054" s="34"/>
      <c r="I1054" s="34"/>
      <c r="J1054" s="28" t="str">
        <f>IFERROR(__xludf.DUMMYFUNCTION("iferror(if(I1054="""","""",unique(query('tbl driver 2'!$K$2:$L1508,""SELECT L WHERE K = '""&amp;I1054&amp;""'""))),"""")"),"")</f>
        <v/>
      </c>
      <c r="K1054" s="31"/>
      <c r="L1054" s="39"/>
      <c r="M1054" s="39"/>
      <c r="N1054" s="28" t="str">
        <f>IFERROR(__xludf.DUMMYFUNCTION("IF(OR(C1054="""",M1054=""""),"""",IFERROR(IF(M1054="""","""",query('tbl user'!$A$2:$D1508,""SELECT A WHERE D = '""&amp;M1054&amp;""'"")),""USER TIDAK DIKETAHUI""))"),"")</f>
        <v/>
      </c>
    </row>
    <row r="1055">
      <c r="A1055" s="23"/>
      <c r="B1055" s="24" t="str">
        <f t="shared" si="4"/>
        <v/>
      </c>
      <c r="C1055" s="28"/>
      <c r="D1055" s="28"/>
      <c r="E1055" s="34"/>
      <c r="F1055" s="34"/>
      <c r="G1055" s="34"/>
      <c r="H1055" s="34"/>
      <c r="I1055" s="34"/>
      <c r="J1055" s="28" t="str">
        <f>IFERROR(__xludf.DUMMYFUNCTION("iferror(if(I1055="""","""",unique(query('tbl driver 2'!$K$2:$L1508,""SELECT L WHERE K = '""&amp;I1055&amp;""'""))),"""")"),"")</f>
        <v/>
      </c>
      <c r="K1055" s="31"/>
      <c r="L1055" s="39"/>
      <c r="M1055" s="39"/>
      <c r="N1055" s="28" t="str">
        <f>IFERROR(__xludf.DUMMYFUNCTION("IF(OR(C1055="""",M1055=""""),"""",IFERROR(IF(M1055="""","""",query('tbl user'!$A$2:$D1508,""SELECT A WHERE D = '""&amp;M1055&amp;""'"")),""USER TIDAK DIKETAHUI""))"),"")</f>
        <v/>
      </c>
    </row>
    <row r="1056">
      <c r="A1056" s="23"/>
      <c r="B1056" s="24" t="str">
        <f t="shared" si="4"/>
        <v/>
      </c>
      <c r="C1056" s="28"/>
      <c r="D1056" s="28"/>
      <c r="E1056" s="34"/>
      <c r="F1056" s="34"/>
      <c r="G1056" s="34"/>
      <c r="H1056" s="34"/>
      <c r="I1056" s="34"/>
      <c r="J1056" s="28" t="str">
        <f>IFERROR(__xludf.DUMMYFUNCTION("iferror(if(I1056="""","""",unique(query('tbl driver 2'!$K$2:$L1508,""SELECT L WHERE K = '""&amp;I1056&amp;""'""))),"""")"),"")</f>
        <v/>
      </c>
      <c r="K1056" s="31"/>
      <c r="L1056" s="39"/>
      <c r="M1056" s="39"/>
      <c r="N1056" s="28" t="str">
        <f>IFERROR(__xludf.DUMMYFUNCTION("IF(OR(C1056="""",M1056=""""),"""",IFERROR(IF(M1056="""","""",query('tbl user'!$A$2:$D1508,""SELECT A WHERE D = '""&amp;M1056&amp;""'"")),""USER TIDAK DIKETAHUI""))"),"")</f>
        <v/>
      </c>
    </row>
    <row r="1057">
      <c r="A1057" s="23"/>
      <c r="B1057" s="24" t="str">
        <f t="shared" si="4"/>
        <v/>
      </c>
      <c r="C1057" s="28"/>
      <c r="D1057" s="28"/>
      <c r="E1057" s="34"/>
      <c r="F1057" s="34"/>
      <c r="G1057" s="34"/>
      <c r="H1057" s="34"/>
      <c r="I1057" s="34"/>
      <c r="J1057" s="28" t="str">
        <f>IFERROR(__xludf.DUMMYFUNCTION("iferror(if(I1057="""","""",unique(query('tbl driver 2'!$K$2:$L1508,""SELECT L WHERE K = '""&amp;I1057&amp;""'""))),"""")"),"")</f>
        <v/>
      </c>
      <c r="K1057" s="31"/>
      <c r="L1057" s="39"/>
      <c r="M1057" s="39"/>
      <c r="N1057" s="28" t="str">
        <f>IFERROR(__xludf.DUMMYFUNCTION("IF(OR(C1057="""",M1057=""""),"""",IFERROR(IF(M1057="""","""",query('tbl user'!$A$2:$D1508,""SELECT A WHERE D = '""&amp;M1057&amp;""'"")),""USER TIDAK DIKETAHUI""))"),"")</f>
        <v/>
      </c>
    </row>
    <row r="1058">
      <c r="A1058" s="23"/>
      <c r="B1058" s="24" t="str">
        <f t="shared" si="4"/>
        <v/>
      </c>
      <c r="C1058" s="28"/>
      <c r="D1058" s="28"/>
      <c r="E1058" s="34"/>
      <c r="F1058" s="34"/>
      <c r="G1058" s="34"/>
      <c r="H1058" s="34"/>
      <c r="I1058" s="34"/>
      <c r="J1058" s="28" t="str">
        <f>IFERROR(__xludf.DUMMYFUNCTION("iferror(if(I1058="""","""",unique(query('tbl driver 2'!$K$2:$L1508,""SELECT L WHERE K = '""&amp;I1058&amp;""'""))),"""")"),"")</f>
        <v/>
      </c>
      <c r="K1058" s="31"/>
      <c r="L1058" s="39"/>
      <c r="M1058" s="39"/>
      <c r="N1058" s="28" t="str">
        <f>IFERROR(__xludf.DUMMYFUNCTION("IF(OR(C1058="""",M1058=""""),"""",IFERROR(IF(M1058="""","""",query('tbl user'!$A$2:$D1508,""SELECT A WHERE D = '""&amp;M1058&amp;""'"")),""USER TIDAK DIKETAHUI""))"),"")</f>
        <v/>
      </c>
    </row>
    <row r="1059">
      <c r="A1059" s="23"/>
      <c r="B1059" s="24" t="str">
        <f t="shared" si="4"/>
        <v/>
      </c>
      <c r="C1059" s="28"/>
      <c r="D1059" s="28"/>
      <c r="E1059" s="34"/>
      <c r="F1059" s="34"/>
      <c r="G1059" s="34"/>
      <c r="H1059" s="34"/>
      <c r="I1059" s="34"/>
      <c r="J1059" s="28" t="str">
        <f>IFERROR(__xludf.DUMMYFUNCTION("iferror(if(I1059="""","""",unique(query('tbl driver 2'!$K$2:$L1508,""SELECT L WHERE K = '""&amp;I1059&amp;""'""))),"""")"),"")</f>
        <v/>
      </c>
      <c r="K1059" s="31"/>
      <c r="L1059" s="39"/>
      <c r="M1059" s="39"/>
      <c r="N1059" s="28" t="str">
        <f>IFERROR(__xludf.DUMMYFUNCTION("IF(OR(C1059="""",M1059=""""),"""",IFERROR(IF(M1059="""","""",query('tbl user'!$A$2:$D1508,""SELECT A WHERE D = '""&amp;M1059&amp;""'"")),""USER TIDAK DIKETAHUI""))"),"")</f>
        <v/>
      </c>
    </row>
    <row r="1060">
      <c r="A1060" s="23"/>
      <c r="B1060" s="24" t="str">
        <f t="shared" si="4"/>
        <v/>
      </c>
      <c r="C1060" s="28"/>
      <c r="D1060" s="28"/>
      <c r="E1060" s="34"/>
      <c r="F1060" s="34"/>
      <c r="G1060" s="34"/>
      <c r="H1060" s="34"/>
      <c r="I1060" s="34"/>
      <c r="J1060" s="28" t="str">
        <f>IFERROR(__xludf.DUMMYFUNCTION("iferror(if(I1060="""","""",unique(query('tbl driver 2'!$K$2:$L1508,""SELECT L WHERE K = '""&amp;I1060&amp;""'""))),"""")"),"")</f>
        <v/>
      </c>
      <c r="K1060" s="31"/>
      <c r="L1060" s="39"/>
      <c r="M1060" s="39"/>
      <c r="N1060" s="28" t="str">
        <f>IFERROR(__xludf.DUMMYFUNCTION("IF(OR(C1060="""",M1060=""""),"""",IFERROR(IF(M1060="""","""",query('tbl user'!$A$2:$D1508,""SELECT A WHERE D = '""&amp;M1060&amp;""'"")),""USER TIDAK DIKETAHUI""))"),"")</f>
        <v/>
      </c>
    </row>
    <row r="1061">
      <c r="A1061" s="23"/>
      <c r="B1061" s="24" t="str">
        <f t="shared" si="4"/>
        <v/>
      </c>
      <c r="C1061" s="28"/>
      <c r="D1061" s="28"/>
      <c r="E1061" s="34"/>
      <c r="F1061" s="34"/>
      <c r="G1061" s="34"/>
      <c r="H1061" s="34"/>
      <c r="I1061" s="34"/>
      <c r="J1061" s="28" t="str">
        <f>IFERROR(__xludf.DUMMYFUNCTION("iferror(if(I1061="""","""",unique(query('tbl driver 2'!$K$2:$L1508,""SELECT L WHERE K = '""&amp;I1061&amp;""'""))),"""")"),"")</f>
        <v/>
      </c>
      <c r="K1061" s="31"/>
      <c r="L1061" s="39"/>
      <c r="M1061" s="39"/>
      <c r="N1061" s="28" t="str">
        <f>IFERROR(__xludf.DUMMYFUNCTION("IF(OR(C1061="""",M1061=""""),"""",IFERROR(IF(M1061="""","""",query('tbl user'!$A$2:$D1508,""SELECT A WHERE D = '""&amp;M1061&amp;""'"")),""USER TIDAK DIKETAHUI""))"),"")</f>
        <v/>
      </c>
    </row>
    <row r="1062">
      <c r="A1062" s="23"/>
      <c r="B1062" s="24" t="str">
        <f t="shared" si="4"/>
        <v/>
      </c>
      <c r="C1062" s="28"/>
      <c r="D1062" s="28"/>
      <c r="E1062" s="34"/>
      <c r="F1062" s="34"/>
      <c r="G1062" s="34"/>
      <c r="H1062" s="34"/>
      <c r="I1062" s="34"/>
      <c r="J1062" s="28" t="str">
        <f>IFERROR(__xludf.DUMMYFUNCTION("iferror(if(I1062="""","""",unique(query('tbl driver 2'!$K$2:$L1508,""SELECT L WHERE K = '""&amp;I1062&amp;""'""))),"""")"),"")</f>
        <v/>
      </c>
      <c r="K1062" s="31"/>
      <c r="L1062" s="39"/>
      <c r="M1062" s="39"/>
      <c r="N1062" s="28" t="str">
        <f>IFERROR(__xludf.DUMMYFUNCTION("IF(OR(C1062="""",M1062=""""),"""",IFERROR(IF(M1062="""","""",query('tbl user'!$A$2:$D1508,""SELECT A WHERE D = '""&amp;M1062&amp;""'"")),""USER TIDAK DIKETAHUI""))"),"")</f>
        <v/>
      </c>
    </row>
    <row r="1063">
      <c r="A1063" s="23"/>
      <c r="B1063" s="24" t="str">
        <f t="shared" si="4"/>
        <v/>
      </c>
      <c r="C1063" s="28"/>
      <c r="D1063" s="28"/>
      <c r="E1063" s="34"/>
      <c r="F1063" s="34"/>
      <c r="G1063" s="34"/>
      <c r="H1063" s="34"/>
      <c r="I1063" s="34"/>
      <c r="J1063" s="28" t="str">
        <f>IFERROR(__xludf.DUMMYFUNCTION("iferror(if(I1063="""","""",unique(query('tbl driver 2'!$K$2:$L1508,""SELECT L WHERE K = '""&amp;I1063&amp;""'""))),"""")"),"")</f>
        <v/>
      </c>
      <c r="K1063" s="31"/>
      <c r="L1063" s="39"/>
      <c r="M1063" s="39"/>
      <c r="N1063" s="28" t="str">
        <f>IFERROR(__xludf.DUMMYFUNCTION("IF(OR(C1063="""",M1063=""""),"""",IFERROR(IF(M1063="""","""",query('tbl user'!$A$2:$D1508,""SELECT A WHERE D = '""&amp;M1063&amp;""'"")),""USER TIDAK DIKETAHUI""))"),"")</f>
        <v/>
      </c>
    </row>
    <row r="1064">
      <c r="A1064" s="23"/>
      <c r="B1064" s="24" t="str">
        <f t="shared" si="4"/>
        <v/>
      </c>
      <c r="C1064" s="28"/>
      <c r="D1064" s="28"/>
      <c r="E1064" s="34"/>
      <c r="F1064" s="34"/>
      <c r="G1064" s="34"/>
      <c r="H1064" s="34"/>
      <c r="I1064" s="34"/>
      <c r="J1064" s="28" t="str">
        <f>IFERROR(__xludf.DUMMYFUNCTION("iferror(if(I1064="""","""",unique(query('tbl driver 2'!$K$2:$L1508,""SELECT L WHERE K = '""&amp;I1064&amp;""'""))),"""")"),"")</f>
        <v/>
      </c>
      <c r="K1064" s="31"/>
      <c r="L1064" s="39"/>
      <c r="M1064" s="39"/>
      <c r="N1064" s="28" t="str">
        <f>IFERROR(__xludf.DUMMYFUNCTION("IF(OR(C1064="""",M1064=""""),"""",IFERROR(IF(M1064="""","""",query('tbl user'!$A$2:$D1508,""SELECT A WHERE D = '""&amp;M1064&amp;""'"")),""USER TIDAK DIKETAHUI""))"),"")</f>
        <v/>
      </c>
    </row>
    <row r="1065">
      <c r="A1065" s="23"/>
      <c r="B1065" s="24" t="str">
        <f t="shared" si="4"/>
        <v/>
      </c>
      <c r="C1065" s="28"/>
      <c r="D1065" s="28"/>
      <c r="E1065" s="34"/>
      <c r="F1065" s="34"/>
      <c r="G1065" s="34"/>
      <c r="H1065" s="34"/>
      <c r="I1065" s="34"/>
      <c r="J1065" s="28" t="str">
        <f>IFERROR(__xludf.DUMMYFUNCTION("iferror(if(I1065="""","""",unique(query('tbl driver 2'!$K$2:$L1508,""SELECT L WHERE K = '""&amp;I1065&amp;""'""))),"""")"),"")</f>
        <v/>
      </c>
      <c r="K1065" s="31"/>
      <c r="L1065" s="39"/>
      <c r="M1065" s="39"/>
      <c r="N1065" s="28" t="str">
        <f>IFERROR(__xludf.DUMMYFUNCTION("IF(OR(C1065="""",M1065=""""),"""",IFERROR(IF(M1065="""","""",query('tbl user'!$A$2:$D1508,""SELECT A WHERE D = '""&amp;M1065&amp;""'"")),""USER TIDAK DIKETAHUI""))"),"")</f>
        <v/>
      </c>
    </row>
    <row r="1066">
      <c r="A1066" s="23"/>
      <c r="B1066" s="24" t="str">
        <f t="shared" si="4"/>
        <v/>
      </c>
      <c r="C1066" s="28"/>
      <c r="D1066" s="28"/>
      <c r="E1066" s="34"/>
      <c r="F1066" s="34"/>
      <c r="G1066" s="34"/>
      <c r="H1066" s="34"/>
      <c r="I1066" s="34"/>
      <c r="J1066" s="28" t="str">
        <f>IFERROR(__xludf.DUMMYFUNCTION("iferror(if(I1066="""","""",unique(query('tbl driver 2'!$K$2:$L1508,""SELECT L WHERE K = '""&amp;I1066&amp;""'""))),"""")"),"")</f>
        <v/>
      </c>
      <c r="K1066" s="31"/>
      <c r="L1066" s="39"/>
      <c r="M1066" s="39"/>
      <c r="N1066" s="28" t="str">
        <f>IFERROR(__xludf.DUMMYFUNCTION("IF(OR(C1066="""",M1066=""""),"""",IFERROR(IF(M1066="""","""",query('tbl user'!$A$2:$D1508,""SELECT A WHERE D = '""&amp;M1066&amp;""'"")),""USER TIDAK DIKETAHUI""))"),"")</f>
        <v/>
      </c>
    </row>
    <row r="1067">
      <c r="A1067" s="23"/>
      <c r="B1067" s="24" t="str">
        <f t="shared" si="4"/>
        <v/>
      </c>
      <c r="C1067" s="28"/>
      <c r="D1067" s="28"/>
      <c r="E1067" s="34"/>
      <c r="F1067" s="34"/>
      <c r="G1067" s="34"/>
      <c r="H1067" s="34"/>
      <c r="I1067" s="34"/>
      <c r="J1067" s="28" t="str">
        <f>IFERROR(__xludf.DUMMYFUNCTION("iferror(if(I1067="""","""",unique(query('tbl driver 2'!$K$2:$L1508,""SELECT L WHERE K = '""&amp;I1067&amp;""'""))),"""")"),"")</f>
        <v/>
      </c>
      <c r="K1067" s="31"/>
      <c r="L1067" s="39"/>
      <c r="M1067" s="39"/>
      <c r="N1067" s="28" t="str">
        <f>IFERROR(__xludf.DUMMYFUNCTION("IF(OR(C1067="""",M1067=""""),"""",IFERROR(IF(M1067="""","""",query('tbl user'!$A$2:$D1508,""SELECT A WHERE D = '""&amp;M1067&amp;""'"")),""USER TIDAK DIKETAHUI""))"),"")</f>
        <v/>
      </c>
    </row>
    <row r="1068">
      <c r="A1068" s="23"/>
      <c r="B1068" s="24" t="str">
        <f t="shared" si="4"/>
        <v/>
      </c>
      <c r="C1068" s="28"/>
      <c r="D1068" s="28"/>
      <c r="E1068" s="34"/>
      <c r="F1068" s="34"/>
      <c r="G1068" s="34"/>
      <c r="H1068" s="34"/>
      <c r="I1068" s="34"/>
      <c r="J1068" s="28" t="str">
        <f>IFERROR(__xludf.DUMMYFUNCTION("iferror(if(I1068="""","""",unique(query('tbl driver 2'!$K$2:$L1508,""SELECT L WHERE K = '""&amp;I1068&amp;""'""))),"""")"),"")</f>
        <v/>
      </c>
      <c r="K1068" s="31"/>
      <c r="L1068" s="39"/>
      <c r="M1068" s="39"/>
      <c r="N1068" s="28" t="str">
        <f>IFERROR(__xludf.DUMMYFUNCTION("IF(OR(C1068="""",M1068=""""),"""",IFERROR(IF(M1068="""","""",query('tbl user'!$A$2:$D1508,""SELECT A WHERE D = '""&amp;M1068&amp;""'"")),""USER TIDAK DIKETAHUI""))"),"")</f>
        <v/>
      </c>
    </row>
    <row r="1069">
      <c r="A1069" s="23"/>
      <c r="B1069" s="24" t="str">
        <f t="shared" si="4"/>
        <v/>
      </c>
      <c r="C1069" s="28"/>
      <c r="D1069" s="28"/>
      <c r="E1069" s="34"/>
      <c r="F1069" s="34"/>
      <c r="G1069" s="34"/>
      <c r="H1069" s="34"/>
      <c r="I1069" s="34"/>
      <c r="J1069" s="28" t="str">
        <f>IFERROR(__xludf.DUMMYFUNCTION("iferror(if(I1069="""","""",unique(query('tbl driver 2'!$K$2:$L1508,""SELECT L WHERE K = '""&amp;I1069&amp;""'""))),"""")"),"")</f>
        <v/>
      </c>
      <c r="K1069" s="31"/>
      <c r="L1069" s="39"/>
      <c r="M1069" s="39"/>
      <c r="N1069" s="28" t="str">
        <f>IFERROR(__xludf.DUMMYFUNCTION("IF(OR(C1069="""",M1069=""""),"""",IFERROR(IF(M1069="""","""",query('tbl user'!$A$2:$D1508,""SELECT A WHERE D = '""&amp;M1069&amp;""'"")),""USER TIDAK DIKETAHUI""))"),"")</f>
        <v/>
      </c>
    </row>
    <row r="1070">
      <c r="A1070" s="23"/>
      <c r="B1070" s="24" t="str">
        <f t="shared" si="4"/>
        <v/>
      </c>
      <c r="C1070" s="28"/>
      <c r="D1070" s="28"/>
      <c r="E1070" s="34"/>
      <c r="F1070" s="34"/>
      <c r="G1070" s="34"/>
      <c r="H1070" s="34"/>
      <c r="I1070" s="34"/>
      <c r="J1070" s="28" t="str">
        <f>IFERROR(__xludf.DUMMYFUNCTION("iferror(if(I1070="""","""",unique(query('tbl driver 2'!$K$2:$L1508,""SELECT L WHERE K = '""&amp;I1070&amp;""'""))),"""")"),"")</f>
        <v/>
      </c>
      <c r="K1070" s="31"/>
      <c r="L1070" s="39"/>
      <c r="M1070" s="39"/>
      <c r="N1070" s="28" t="str">
        <f>IFERROR(__xludf.DUMMYFUNCTION("IF(OR(C1070="""",M1070=""""),"""",IFERROR(IF(M1070="""","""",query('tbl user'!$A$2:$D1508,""SELECT A WHERE D = '""&amp;M1070&amp;""'"")),""USER TIDAK DIKETAHUI""))"),"")</f>
        <v/>
      </c>
    </row>
    <row r="1071">
      <c r="A1071" s="23"/>
      <c r="B1071" s="24" t="str">
        <f t="shared" si="4"/>
        <v/>
      </c>
      <c r="C1071" s="28"/>
      <c r="D1071" s="28"/>
      <c r="E1071" s="34"/>
      <c r="F1071" s="34"/>
      <c r="G1071" s="34"/>
      <c r="H1071" s="34"/>
      <c r="I1071" s="34"/>
      <c r="J1071" s="28" t="str">
        <f>IFERROR(__xludf.DUMMYFUNCTION("iferror(if(I1071="""","""",unique(query('tbl driver 2'!$K$2:$L1508,""SELECT L WHERE K = '""&amp;I1071&amp;""'""))),"""")"),"")</f>
        <v/>
      </c>
      <c r="K1071" s="31"/>
      <c r="L1071" s="39"/>
      <c r="M1071" s="39"/>
      <c r="N1071" s="28" t="str">
        <f>IFERROR(__xludf.DUMMYFUNCTION("IF(OR(C1071="""",M1071=""""),"""",IFERROR(IF(M1071="""","""",query('tbl user'!$A$2:$D1508,""SELECT A WHERE D = '""&amp;M1071&amp;""'"")),""USER TIDAK DIKETAHUI""))"),"")</f>
        <v/>
      </c>
    </row>
    <row r="1072">
      <c r="A1072" s="23"/>
      <c r="B1072" s="24" t="str">
        <f t="shared" si="4"/>
        <v/>
      </c>
      <c r="C1072" s="28"/>
      <c r="D1072" s="28"/>
      <c r="E1072" s="34"/>
      <c r="F1072" s="34"/>
      <c r="G1072" s="34"/>
      <c r="H1072" s="34"/>
      <c r="I1072" s="34"/>
      <c r="J1072" s="28" t="str">
        <f>IFERROR(__xludf.DUMMYFUNCTION("iferror(if(I1072="""","""",unique(query('tbl driver 2'!$K$2:$L1508,""SELECT L WHERE K = '""&amp;I1072&amp;""'""))),"""")"),"")</f>
        <v/>
      </c>
      <c r="K1072" s="31"/>
      <c r="L1072" s="39"/>
      <c r="M1072" s="39"/>
      <c r="N1072" s="28" t="str">
        <f>IFERROR(__xludf.DUMMYFUNCTION("IF(OR(C1072="""",M1072=""""),"""",IFERROR(IF(M1072="""","""",query('tbl user'!$A$2:$D1508,""SELECT A WHERE D = '""&amp;M1072&amp;""'"")),""USER TIDAK DIKETAHUI""))"),"")</f>
        <v/>
      </c>
    </row>
    <row r="1073">
      <c r="A1073" s="23"/>
      <c r="B1073" s="24" t="str">
        <f t="shared" si="4"/>
        <v/>
      </c>
      <c r="C1073" s="28"/>
      <c r="D1073" s="28"/>
      <c r="E1073" s="34"/>
      <c r="F1073" s="34"/>
      <c r="G1073" s="34"/>
      <c r="H1073" s="34"/>
      <c r="I1073" s="34"/>
      <c r="J1073" s="28" t="str">
        <f>IFERROR(__xludf.DUMMYFUNCTION("iferror(if(I1073="""","""",unique(query('tbl driver 2'!$K$2:$L1508,""SELECT L WHERE K = '""&amp;I1073&amp;""'""))),"""")"),"")</f>
        <v/>
      </c>
      <c r="K1073" s="31"/>
      <c r="L1073" s="39"/>
      <c r="M1073" s="39"/>
      <c r="N1073" s="28" t="str">
        <f>IFERROR(__xludf.DUMMYFUNCTION("IF(OR(C1073="""",M1073=""""),"""",IFERROR(IF(M1073="""","""",query('tbl user'!$A$2:$D1508,""SELECT A WHERE D = '""&amp;M1073&amp;""'"")),""USER TIDAK DIKETAHUI""))"),"")</f>
        <v/>
      </c>
    </row>
    <row r="1074">
      <c r="A1074" s="23"/>
      <c r="B1074" s="24" t="str">
        <f t="shared" si="4"/>
        <v/>
      </c>
      <c r="C1074" s="28"/>
      <c r="D1074" s="28"/>
      <c r="E1074" s="34"/>
      <c r="F1074" s="34"/>
      <c r="G1074" s="34"/>
      <c r="H1074" s="34"/>
      <c r="I1074" s="34"/>
      <c r="J1074" s="28" t="str">
        <f>IFERROR(__xludf.DUMMYFUNCTION("iferror(if(I1074="""","""",unique(query('tbl driver 2'!$K$2:$L1508,""SELECT L WHERE K = '""&amp;I1074&amp;""'""))),"""")"),"")</f>
        <v/>
      </c>
      <c r="K1074" s="31"/>
      <c r="L1074" s="39"/>
      <c r="M1074" s="39"/>
      <c r="N1074" s="28" t="str">
        <f>IFERROR(__xludf.DUMMYFUNCTION("IF(OR(C1074="""",M1074=""""),"""",IFERROR(IF(M1074="""","""",query('tbl user'!$A$2:$D1508,""SELECT A WHERE D = '""&amp;M1074&amp;""'"")),""USER TIDAK DIKETAHUI""))"),"")</f>
        <v/>
      </c>
    </row>
    <row r="1075">
      <c r="A1075" s="23"/>
      <c r="B1075" s="24" t="str">
        <f t="shared" si="4"/>
        <v/>
      </c>
      <c r="C1075" s="28"/>
      <c r="D1075" s="28"/>
      <c r="E1075" s="34"/>
      <c r="F1075" s="34"/>
      <c r="G1075" s="34"/>
      <c r="H1075" s="34"/>
      <c r="I1075" s="34"/>
      <c r="J1075" s="28" t="str">
        <f>IFERROR(__xludf.DUMMYFUNCTION("iferror(if(I1075="""","""",unique(query('tbl driver 2'!$K$2:$L1508,""SELECT L WHERE K = '""&amp;I1075&amp;""'""))),"""")"),"")</f>
        <v/>
      </c>
      <c r="K1075" s="31"/>
      <c r="L1075" s="39"/>
      <c r="M1075" s="39"/>
      <c r="N1075" s="28" t="str">
        <f>IFERROR(__xludf.DUMMYFUNCTION("IF(OR(C1075="""",M1075=""""),"""",IFERROR(IF(M1075="""","""",query('tbl user'!$A$2:$D1508,""SELECT A WHERE D = '""&amp;M1075&amp;""'"")),""USER TIDAK DIKETAHUI""))"),"")</f>
        <v/>
      </c>
    </row>
    <row r="1076">
      <c r="A1076" s="23"/>
      <c r="B1076" s="24" t="str">
        <f t="shared" si="4"/>
        <v/>
      </c>
      <c r="C1076" s="28"/>
      <c r="D1076" s="28"/>
      <c r="E1076" s="34"/>
      <c r="F1076" s="34"/>
      <c r="G1076" s="34"/>
      <c r="H1076" s="34"/>
      <c r="I1076" s="34"/>
      <c r="J1076" s="28" t="str">
        <f>IFERROR(__xludf.DUMMYFUNCTION("iferror(if(I1076="""","""",unique(query('tbl driver 2'!$K$2:$L1508,""SELECT L WHERE K = '""&amp;I1076&amp;""'""))),"""")"),"")</f>
        <v/>
      </c>
      <c r="K1076" s="31"/>
      <c r="L1076" s="39"/>
      <c r="M1076" s="39"/>
      <c r="N1076" s="28" t="str">
        <f>IFERROR(__xludf.DUMMYFUNCTION("IF(OR(C1076="""",M1076=""""),"""",IFERROR(IF(M1076="""","""",query('tbl user'!$A$2:$D1508,""SELECT A WHERE D = '""&amp;M1076&amp;""'"")),""USER TIDAK DIKETAHUI""))"),"")</f>
        <v/>
      </c>
    </row>
    <row r="1077">
      <c r="A1077" s="23"/>
      <c r="B1077" s="24" t="str">
        <f t="shared" si="4"/>
        <v/>
      </c>
      <c r="C1077" s="28"/>
      <c r="D1077" s="28"/>
      <c r="E1077" s="34"/>
      <c r="F1077" s="34"/>
      <c r="G1077" s="34"/>
      <c r="H1077" s="34"/>
      <c r="I1077" s="34"/>
      <c r="J1077" s="28" t="str">
        <f>IFERROR(__xludf.DUMMYFUNCTION("iferror(if(I1077="""","""",unique(query('tbl driver 2'!$K$2:$L1508,""SELECT L WHERE K = '""&amp;I1077&amp;""'""))),"""")"),"")</f>
        <v/>
      </c>
      <c r="K1077" s="31"/>
      <c r="L1077" s="39"/>
      <c r="M1077" s="39"/>
      <c r="N1077" s="28" t="str">
        <f>IFERROR(__xludf.DUMMYFUNCTION("IF(OR(C1077="""",M1077=""""),"""",IFERROR(IF(M1077="""","""",query('tbl user'!$A$2:$D1508,""SELECT A WHERE D = '""&amp;M1077&amp;""'"")),""USER TIDAK DIKETAHUI""))"),"")</f>
        <v/>
      </c>
    </row>
    <row r="1078">
      <c r="A1078" s="23"/>
      <c r="B1078" s="24" t="str">
        <f t="shared" si="4"/>
        <v/>
      </c>
      <c r="C1078" s="28"/>
      <c r="D1078" s="28"/>
      <c r="E1078" s="34"/>
      <c r="F1078" s="34"/>
      <c r="G1078" s="34"/>
      <c r="H1078" s="34"/>
      <c r="I1078" s="34"/>
      <c r="J1078" s="28" t="str">
        <f>IFERROR(__xludf.DUMMYFUNCTION("iferror(if(I1078="""","""",unique(query('tbl driver 2'!$K$2:$L1508,""SELECT L WHERE K = '""&amp;I1078&amp;""'""))),"""")"),"")</f>
        <v/>
      </c>
      <c r="K1078" s="31"/>
      <c r="L1078" s="39"/>
      <c r="M1078" s="39"/>
      <c r="N1078" s="28" t="str">
        <f>IFERROR(__xludf.DUMMYFUNCTION("IF(OR(C1078="""",M1078=""""),"""",IFERROR(IF(M1078="""","""",query('tbl user'!$A$2:$D1508,""SELECT A WHERE D = '""&amp;M1078&amp;""'"")),""USER TIDAK DIKETAHUI""))"),"")</f>
        <v/>
      </c>
    </row>
    <row r="1079">
      <c r="A1079" s="23"/>
      <c r="B1079" s="24" t="str">
        <f t="shared" si="4"/>
        <v/>
      </c>
      <c r="C1079" s="28"/>
      <c r="D1079" s="28"/>
      <c r="E1079" s="34"/>
      <c r="F1079" s="34"/>
      <c r="G1079" s="34"/>
      <c r="H1079" s="34"/>
      <c r="I1079" s="34"/>
      <c r="J1079" s="28" t="str">
        <f>IFERROR(__xludf.DUMMYFUNCTION("iferror(if(I1079="""","""",unique(query('tbl driver 2'!$K$2:$L1508,""SELECT L WHERE K = '""&amp;I1079&amp;""'""))),"""")"),"")</f>
        <v/>
      </c>
      <c r="K1079" s="31"/>
      <c r="L1079" s="39"/>
      <c r="M1079" s="39"/>
      <c r="N1079" s="28" t="str">
        <f>IFERROR(__xludf.DUMMYFUNCTION("IF(OR(C1079="""",M1079=""""),"""",IFERROR(IF(M1079="""","""",query('tbl user'!$A$2:$D1508,""SELECT A WHERE D = '""&amp;M1079&amp;""'"")),""USER TIDAK DIKETAHUI""))"),"")</f>
        <v/>
      </c>
    </row>
    <row r="1080">
      <c r="A1080" s="23"/>
      <c r="B1080" s="24" t="str">
        <f t="shared" si="4"/>
        <v/>
      </c>
      <c r="C1080" s="28"/>
      <c r="D1080" s="28"/>
      <c r="E1080" s="34"/>
      <c r="F1080" s="34"/>
      <c r="G1080" s="34"/>
      <c r="H1080" s="34"/>
      <c r="I1080" s="34"/>
      <c r="J1080" s="28" t="str">
        <f>IFERROR(__xludf.DUMMYFUNCTION("iferror(if(I1080="""","""",unique(query('tbl driver 2'!$K$2:$L1508,""SELECT L WHERE K = '""&amp;I1080&amp;""'""))),"""")"),"")</f>
        <v/>
      </c>
      <c r="K1080" s="31"/>
      <c r="L1080" s="39"/>
      <c r="M1080" s="39"/>
      <c r="N1080" s="28" t="str">
        <f>IFERROR(__xludf.DUMMYFUNCTION("IF(OR(C1080="""",M1080=""""),"""",IFERROR(IF(M1080="""","""",query('tbl user'!$A$2:$D1508,""SELECT A WHERE D = '""&amp;M1080&amp;""'"")),""USER TIDAK DIKETAHUI""))"),"")</f>
        <v/>
      </c>
    </row>
    <row r="1081">
      <c r="A1081" s="23"/>
      <c r="B1081" s="24" t="str">
        <f t="shared" si="4"/>
        <v/>
      </c>
      <c r="C1081" s="28"/>
      <c r="D1081" s="28"/>
      <c r="E1081" s="34"/>
      <c r="F1081" s="34"/>
      <c r="G1081" s="34"/>
      <c r="H1081" s="34"/>
      <c r="I1081" s="34"/>
      <c r="J1081" s="28" t="str">
        <f>IFERROR(__xludf.DUMMYFUNCTION("iferror(if(I1081="""","""",unique(query('tbl driver 2'!$K$2:$L1508,""SELECT L WHERE K = '""&amp;I1081&amp;""'""))),"""")"),"")</f>
        <v/>
      </c>
      <c r="K1081" s="31"/>
      <c r="L1081" s="39"/>
      <c r="M1081" s="39"/>
      <c r="N1081" s="28" t="str">
        <f>IFERROR(__xludf.DUMMYFUNCTION("IF(OR(C1081="""",M1081=""""),"""",IFERROR(IF(M1081="""","""",query('tbl user'!$A$2:$D1508,""SELECT A WHERE D = '""&amp;M1081&amp;""'"")),""USER TIDAK DIKETAHUI""))"),"")</f>
        <v/>
      </c>
    </row>
    <row r="1082">
      <c r="A1082" s="23"/>
      <c r="B1082" s="24" t="str">
        <f t="shared" si="4"/>
        <v/>
      </c>
      <c r="C1082" s="28"/>
      <c r="D1082" s="28"/>
      <c r="E1082" s="34"/>
      <c r="F1082" s="34"/>
      <c r="G1082" s="34"/>
      <c r="H1082" s="34"/>
      <c r="I1082" s="34"/>
      <c r="J1082" s="28" t="str">
        <f>IFERROR(__xludf.DUMMYFUNCTION("iferror(if(I1082="""","""",unique(query('tbl driver 2'!$K$2:$L1508,""SELECT L WHERE K = '""&amp;I1082&amp;""'""))),"""")"),"")</f>
        <v/>
      </c>
      <c r="K1082" s="31"/>
      <c r="L1082" s="39"/>
      <c r="M1082" s="39"/>
      <c r="N1082" s="28" t="str">
        <f>IFERROR(__xludf.DUMMYFUNCTION("IF(OR(C1082="""",M1082=""""),"""",IFERROR(IF(M1082="""","""",query('tbl user'!$A$2:$D1508,""SELECT A WHERE D = '""&amp;M1082&amp;""'"")),""USER TIDAK DIKETAHUI""))"),"")</f>
        <v/>
      </c>
    </row>
    <row r="1083">
      <c r="A1083" s="23"/>
      <c r="B1083" s="24" t="str">
        <f t="shared" si="4"/>
        <v/>
      </c>
      <c r="C1083" s="28"/>
      <c r="D1083" s="28"/>
      <c r="E1083" s="34"/>
      <c r="F1083" s="34"/>
      <c r="G1083" s="34"/>
      <c r="H1083" s="34"/>
      <c r="I1083" s="34"/>
      <c r="J1083" s="28" t="str">
        <f>IFERROR(__xludf.DUMMYFUNCTION("iferror(if(I1083="""","""",unique(query('tbl driver 2'!$K$2:$L1508,""SELECT L WHERE K = '""&amp;I1083&amp;""'""))),"""")"),"")</f>
        <v/>
      </c>
      <c r="K1083" s="31"/>
      <c r="L1083" s="39"/>
      <c r="M1083" s="39"/>
      <c r="N1083" s="28" t="str">
        <f>IFERROR(__xludf.DUMMYFUNCTION("IF(OR(C1083="""",M1083=""""),"""",IFERROR(IF(M1083="""","""",query('tbl user'!$A$2:$D1508,""SELECT A WHERE D = '""&amp;M1083&amp;""'"")),""USER TIDAK DIKETAHUI""))"),"")</f>
        <v/>
      </c>
    </row>
    <row r="1084">
      <c r="A1084" s="23"/>
      <c r="B1084" s="24" t="str">
        <f t="shared" si="4"/>
        <v/>
      </c>
      <c r="C1084" s="28"/>
      <c r="D1084" s="28"/>
      <c r="E1084" s="34"/>
      <c r="F1084" s="34"/>
      <c r="G1084" s="34"/>
      <c r="H1084" s="34"/>
      <c r="I1084" s="34"/>
      <c r="J1084" s="28" t="str">
        <f>IFERROR(__xludf.DUMMYFUNCTION("iferror(if(I1084="""","""",unique(query('tbl driver 2'!$K$2:$L1508,""SELECT L WHERE K = '""&amp;I1084&amp;""'""))),"""")"),"")</f>
        <v/>
      </c>
      <c r="K1084" s="31"/>
      <c r="L1084" s="39"/>
      <c r="M1084" s="39"/>
      <c r="N1084" s="28" t="str">
        <f>IFERROR(__xludf.DUMMYFUNCTION("IF(OR(C1084="""",M1084=""""),"""",IFERROR(IF(M1084="""","""",query('tbl user'!$A$2:$D1508,""SELECT A WHERE D = '""&amp;M1084&amp;""'"")),""USER TIDAK DIKETAHUI""))"),"")</f>
        <v/>
      </c>
    </row>
    <row r="1085">
      <c r="A1085" s="23"/>
      <c r="B1085" s="24" t="str">
        <f t="shared" si="4"/>
        <v/>
      </c>
      <c r="C1085" s="28"/>
      <c r="D1085" s="28"/>
      <c r="E1085" s="34"/>
      <c r="F1085" s="34"/>
      <c r="G1085" s="34"/>
      <c r="H1085" s="34"/>
      <c r="I1085" s="34"/>
      <c r="J1085" s="28" t="str">
        <f>IFERROR(__xludf.DUMMYFUNCTION("iferror(if(I1085="""","""",unique(query('tbl driver 2'!$K$2:$L1508,""SELECT L WHERE K = '""&amp;I1085&amp;""'""))),"""")"),"")</f>
        <v/>
      </c>
      <c r="K1085" s="31"/>
      <c r="L1085" s="39"/>
      <c r="M1085" s="39"/>
      <c r="N1085" s="28" t="str">
        <f>IFERROR(__xludf.DUMMYFUNCTION("IF(OR(C1085="""",M1085=""""),"""",IFERROR(IF(M1085="""","""",query('tbl user'!$A$2:$D1508,""SELECT A WHERE D = '""&amp;M1085&amp;""'"")),""USER TIDAK DIKETAHUI""))"),"")</f>
        <v/>
      </c>
    </row>
    <row r="1086">
      <c r="A1086" s="23"/>
      <c r="B1086" s="24" t="str">
        <f t="shared" si="4"/>
        <v/>
      </c>
      <c r="C1086" s="28"/>
      <c r="D1086" s="28"/>
      <c r="E1086" s="34"/>
      <c r="F1086" s="34"/>
      <c r="G1086" s="34"/>
      <c r="H1086" s="34"/>
      <c r="I1086" s="34"/>
      <c r="J1086" s="28" t="str">
        <f>IFERROR(__xludf.DUMMYFUNCTION("iferror(if(I1086="""","""",unique(query('tbl driver 2'!$K$2:$L1508,""SELECT L WHERE K = '""&amp;I1086&amp;""'""))),"""")"),"")</f>
        <v/>
      </c>
      <c r="K1086" s="31"/>
      <c r="L1086" s="39"/>
      <c r="M1086" s="39"/>
      <c r="N1086" s="28" t="str">
        <f>IFERROR(__xludf.DUMMYFUNCTION("IF(OR(C1086="""",M1086=""""),"""",IFERROR(IF(M1086="""","""",query('tbl user'!$A$2:$D1508,""SELECT A WHERE D = '""&amp;M1086&amp;""'"")),""USER TIDAK DIKETAHUI""))"),"")</f>
        <v/>
      </c>
    </row>
    <row r="1087">
      <c r="A1087" s="23"/>
      <c r="B1087" s="24" t="str">
        <f t="shared" si="4"/>
        <v/>
      </c>
      <c r="C1087" s="28"/>
      <c r="D1087" s="28"/>
      <c r="E1087" s="34"/>
      <c r="F1087" s="34"/>
      <c r="G1087" s="34"/>
      <c r="H1087" s="34"/>
      <c r="I1087" s="34"/>
      <c r="J1087" s="28" t="str">
        <f>IFERROR(__xludf.DUMMYFUNCTION("iferror(if(I1087="""","""",unique(query('tbl driver 2'!$K$2:$L1508,""SELECT L WHERE K = '""&amp;I1087&amp;""'""))),"""")"),"")</f>
        <v/>
      </c>
      <c r="K1087" s="31"/>
      <c r="L1087" s="39"/>
      <c r="M1087" s="39"/>
      <c r="N1087" s="28" t="str">
        <f>IFERROR(__xludf.DUMMYFUNCTION("IF(OR(C1087="""",M1087=""""),"""",IFERROR(IF(M1087="""","""",query('tbl user'!$A$2:$D1508,""SELECT A WHERE D = '""&amp;M1087&amp;""'"")),""USER TIDAK DIKETAHUI""))"),"")</f>
        <v/>
      </c>
    </row>
    <row r="1088">
      <c r="A1088" s="23"/>
      <c r="B1088" s="24" t="str">
        <f t="shared" si="4"/>
        <v/>
      </c>
      <c r="C1088" s="28"/>
      <c r="D1088" s="28"/>
      <c r="E1088" s="34"/>
      <c r="F1088" s="34"/>
      <c r="G1088" s="34"/>
      <c r="H1088" s="34"/>
      <c r="I1088" s="34"/>
      <c r="J1088" s="28" t="str">
        <f>IFERROR(__xludf.DUMMYFUNCTION("iferror(if(I1088="""","""",unique(query('tbl driver 2'!$K$2:$L1508,""SELECT L WHERE K = '""&amp;I1088&amp;""'""))),"""")"),"")</f>
        <v/>
      </c>
      <c r="K1088" s="31"/>
      <c r="L1088" s="39"/>
      <c r="M1088" s="39"/>
      <c r="N1088" s="28" t="str">
        <f>IFERROR(__xludf.DUMMYFUNCTION("IF(OR(C1088="""",M1088=""""),"""",IFERROR(IF(M1088="""","""",query('tbl user'!$A$2:$D1508,""SELECT A WHERE D = '""&amp;M1088&amp;""'"")),""USER TIDAK DIKETAHUI""))"),"")</f>
        <v/>
      </c>
    </row>
    <row r="1089">
      <c r="A1089" s="23"/>
      <c r="B1089" s="24" t="str">
        <f t="shared" si="4"/>
        <v/>
      </c>
      <c r="C1089" s="28"/>
      <c r="D1089" s="28"/>
      <c r="E1089" s="34"/>
      <c r="F1089" s="34"/>
      <c r="G1089" s="34"/>
      <c r="H1089" s="34"/>
      <c r="I1089" s="34"/>
      <c r="J1089" s="28" t="str">
        <f>IFERROR(__xludf.DUMMYFUNCTION("iferror(if(I1089="""","""",unique(query('tbl driver 2'!$K$2:$L1508,""SELECT L WHERE K = '""&amp;I1089&amp;""'""))),"""")"),"")</f>
        <v/>
      </c>
      <c r="K1089" s="31"/>
      <c r="L1089" s="39"/>
      <c r="M1089" s="39"/>
      <c r="N1089" s="28" t="str">
        <f>IFERROR(__xludf.DUMMYFUNCTION("IF(OR(C1089="""",M1089=""""),"""",IFERROR(IF(M1089="""","""",query('tbl user'!$A$2:$D1508,""SELECT A WHERE D = '""&amp;M1089&amp;""'"")),""USER TIDAK DIKETAHUI""))"),"")</f>
        <v/>
      </c>
    </row>
    <row r="1090">
      <c r="A1090" s="23"/>
      <c r="B1090" s="24" t="str">
        <f t="shared" si="4"/>
        <v/>
      </c>
      <c r="C1090" s="28"/>
      <c r="D1090" s="28"/>
      <c r="E1090" s="34"/>
      <c r="F1090" s="34"/>
      <c r="G1090" s="34"/>
      <c r="H1090" s="34"/>
      <c r="I1090" s="34"/>
      <c r="J1090" s="28" t="str">
        <f>IFERROR(__xludf.DUMMYFUNCTION("iferror(if(I1090="""","""",unique(query('tbl driver 2'!$K$2:$L1508,""SELECT L WHERE K = '""&amp;I1090&amp;""'""))),"""")"),"")</f>
        <v/>
      </c>
      <c r="K1090" s="31"/>
      <c r="L1090" s="39"/>
      <c r="M1090" s="39"/>
      <c r="N1090" s="28" t="str">
        <f>IFERROR(__xludf.DUMMYFUNCTION("IF(OR(C1090="""",M1090=""""),"""",IFERROR(IF(M1090="""","""",query('tbl user'!$A$2:$D1508,""SELECT A WHERE D = '""&amp;M1090&amp;""'"")),""USER TIDAK DIKETAHUI""))"),"")</f>
        <v/>
      </c>
    </row>
    <row r="1091">
      <c r="A1091" s="23"/>
      <c r="B1091" s="24" t="str">
        <f t="shared" si="4"/>
        <v/>
      </c>
      <c r="C1091" s="28"/>
      <c r="D1091" s="28"/>
      <c r="E1091" s="34"/>
      <c r="F1091" s="34"/>
      <c r="G1091" s="34"/>
      <c r="H1091" s="34"/>
      <c r="I1091" s="34"/>
      <c r="J1091" s="28" t="str">
        <f>IFERROR(__xludf.DUMMYFUNCTION("iferror(if(I1091="""","""",unique(query('tbl driver 2'!$K$2:$L1508,""SELECT L WHERE K = '""&amp;I1091&amp;""'""))),"""")"),"")</f>
        <v/>
      </c>
      <c r="K1091" s="31"/>
      <c r="L1091" s="39"/>
      <c r="M1091" s="39"/>
      <c r="N1091" s="28" t="str">
        <f>IFERROR(__xludf.DUMMYFUNCTION("IF(OR(C1091="""",M1091=""""),"""",IFERROR(IF(M1091="""","""",query('tbl user'!$A$2:$D1508,""SELECT A WHERE D = '""&amp;M1091&amp;""'"")),""USER TIDAK DIKETAHUI""))"),"")</f>
        <v/>
      </c>
    </row>
    <row r="1092">
      <c r="A1092" s="23"/>
      <c r="B1092" s="24" t="str">
        <f t="shared" si="4"/>
        <v/>
      </c>
      <c r="C1092" s="28"/>
      <c r="D1092" s="28"/>
      <c r="E1092" s="34"/>
      <c r="F1092" s="34"/>
      <c r="G1092" s="34"/>
      <c r="H1092" s="34"/>
      <c r="I1092" s="34"/>
      <c r="J1092" s="28" t="str">
        <f>IFERROR(__xludf.DUMMYFUNCTION("iferror(if(I1092="""","""",unique(query('tbl driver 2'!$K$2:$L1508,""SELECT L WHERE K = '""&amp;I1092&amp;""'""))),"""")"),"")</f>
        <v/>
      </c>
      <c r="K1092" s="31"/>
      <c r="L1092" s="39"/>
      <c r="M1092" s="39"/>
      <c r="N1092" s="28" t="str">
        <f>IFERROR(__xludf.DUMMYFUNCTION("IF(OR(C1092="""",M1092=""""),"""",IFERROR(IF(M1092="""","""",query('tbl user'!$A$2:$D1508,""SELECT A WHERE D = '""&amp;M1092&amp;""'"")),""USER TIDAK DIKETAHUI""))"),"")</f>
        <v/>
      </c>
    </row>
    <row r="1093">
      <c r="A1093" s="23"/>
      <c r="B1093" s="24" t="str">
        <f t="shared" si="4"/>
        <v/>
      </c>
      <c r="C1093" s="28"/>
      <c r="D1093" s="28"/>
      <c r="E1093" s="34"/>
      <c r="F1093" s="34"/>
      <c r="G1093" s="34"/>
      <c r="H1093" s="34"/>
      <c r="I1093" s="34"/>
      <c r="J1093" s="28" t="str">
        <f>IFERROR(__xludf.DUMMYFUNCTION("iferror(if(I1093="""","""",unique(query('tbl driver 2'!$K$2:$L1508,""SELECT L WHERE K = '""&amp;I1093&amp;""'""))),"""")"),"")</f>
        <v/>
      </c>
      <c r="K1093" s="31"/>
      <c r="L1093" s="39"/>
      <c r="M1093" s="39"/>
      <c r="N1093" s="28" t="str">
        <f>IFERROR(__xludf.DUMMYFUNCTION("IF(OR(C1093="""",M1093=""""),"""",IFERROR(IF(M1093="""","""",query('tbl user'!$A$2:$D1508,""SELECT A WHERE D = '""&amp;M1093&amp;""'"")),""USER TIDAK DIKETAHUI""))"),"")</f>
        <v/>
      </c>
    </row>
    <row r="1094">
      <c r="A1094" s="23"/>
      <c r="B1094" s="24" t="str">
        <f t="shared" si="4"/>
        <v/>
      </c>
      <c r="C1094" s="28"/>
      <c r="D1094" s="28"/>
      <c r="E1094" s="34"/>
      <c r="F1094" s="34"/>
      <c r="G1094" s="34"/>
      <c r="H1094" s="34"/>
      <c r="I1094" s="34"/>
      <c r="J1094" s="28" t="str">
        <f>IFERROR(__xludf.DUMMYFUNCTION("iferror(if(I1094="""","""",unique(query('tbl driver 2'!$K$2:$L1508,""SELECT L WHERE K = '""&amp;I1094&amp;""'""))),"""")"),"")</f>
        <v/>
      </c>
      <c r="K1094" s="31"/>
      <c r="L1094" s="39"/>
      <c r="M1094" s="39"/>
      <c r="N1094" s="28" t="str">
        <f>IFERROR(__xludf.DUMMYFUNCTION("IF(OR(C1094="""",M1094=""""),"""",IFERROR(IF(M1094="""","""",query('tbl user'!$A$2:$D1508,""SELECT A WHERE D = '""&amp;M1094&amp;""'"")),""USER TIDAK DIKETAHUI""))"),"")</f>
        <v/>
      </c>
    </row>
    <row r="1095">
      <c r="A1095" s="23"/>
      <c r="B1095" s="24" t="str">
        <f t="shared" si="4"/>
        <v/>
      </c>
      <c r="C1095" s="28"/>
      <c r="D1095" s="28"/>
      <c r="E1095" s="34"/>
      <c r="F1095" s="34"/>
      <c r="G1095" s="34"/>
      <c r="H1095" s="34"/>
      <c r="I1095" s="34"/>
      <c r="J1095" s="28" t="str">
        <f>IFERROR(__xludf.DUMMYFUNCTION("iferror(if(I1095="""","""",unique(query('tbl driver 2'!$K$2:$L1508,""SELECT L WHERE K = '""&amp;I1095&amp;""'""))),"""")"),"")</f>
        <v/>
      </c>
      <c r="K1095" s="31"/>
      <c r="L1095" s="39"/>
      <c r="M1095" s="39"/>
      <c r="N1095" s="28" t="str">
        <f>IFERROR(__xludf.DUMMYFUNCTION("IF(OR(C1095="""",M1095=""""),"""",IFERROR(IF(M1095="""","""",query('tbl user'!$A$2:$D1508,""SELECT A WHERE D = '""&amp;M1095&amp;""'"")),""USER TIDAK DIKETAHUI""))"),"")</f>
        <v/>
      </c>
    </row>
    <row r="1096">
      <c r="A1096" s="23"/>
      <c r="B1096" s="24" t="str">
        <f t="shared" si="4"/>
        <v/>
      </c>
      <c r="C1096" s="28"/>
      <c r="D1096" s="28"/>
      <c r="E1096" s="34"/>
      <c r="F1096" s="34"/>
      <c r="G1096" s="34"/>
      <c r="H1096" s="34"/>
      <c r="I1096" s="34"/>
      <c r="J1096" s="28" t="str">
        <f>IFERROR(__xludf.DUMMYFUNCTION("iferror(if(I1096="""","""",unique(query('tbl driver 2'!$K$2:$L1508,""SELECT L WHERE K = '""&amp;I1096&amp;""'""))),"""")"),"")</f>
        <v/>
      </c>
      <c r="K1096" s="31"/>
      <c r="L1096" s="39"/>
      <c r="M1096" s="39"/>
      <c r="N1096" s="28" t="str">
        <f>IFERROR(__xludf.DUMMYFUNCTION("IF(OR(C1096="""",M1096=""""),"""",IFERROR(IF(M1096="""","""",query('tbl user'!$A$2:$D1508,""SELECT A WHERE D = '""&amp;M1096&amp;""'"")),""USER TIDAK DIKETAHUI""))"),"")</f>
        <v/>
      </c>
    </row>
    <row r="1097">
      <c r="A1097" s="23"/>
      <c r="B1097" s="24" t="str">
        <f t="shared" si="4"/>
        <v/>
      </c>
      <c r="C1097" s="28"/>
      <c r="D1097" s="28"/>
      <c r="E1097" s="34"/>
      <c r="F1097" s="34"/>
      <c r="G1097" s="34"/>
      <c r="H1097" s="34"/>
      <c r="I1097" s="34"/>
      <c r="J1097" s="28" t="str">
        <f>IFERROR(__xludf.DUMMYFUNCTION("iferror(if(I1097="""","""",unique(query('tbl driver 2'!$K$2:$L1508,""SELECT L WHERE K = '""&amp;I1097&amp;""'""))),"""")"),"")</f>
        <v/>
      </c>
      <c r="K1097" s="31"/>
      <c r="L1097" s="39"/>
      <c r="M1097" s="39"/>
      <c r="N1097" s="28" t="str">
        <f>IFERROR(__xludf.DUMMYFUNCTION("IF(OR(C1097="""",M1097=""""),"""",IFERROR(IF(M1097="""","""",query('tbl user'!$A$2:$D1508,""SELECT A WHERE D = '""&amp;M1097&amp;""'"")),""USER TIDAK DIKETAHUI""))"),"")</f>
        <v/>
      </c>
    </row>
    <row r="1098">
      <c r="A1098" s="23"/>
      <c r="B1098" s="24" t="str">
        <f t="shared" si="4"/>
        <v/>
      </c>
      <c r="C1098" s="28"/>
      <c r="D1098" s="28"/>
      <c r="E1098" s="34"/>
      <c r="F1098" s="34"/>
      <c r="G1098" s="34"/>
      <c r="H1098" s="34"/>
      <c r="I1098" s="34"/>
      <c r="J1098" s="28" t="str">
        <f>IFERROR(__xludf.DUMMYFUNCTION("iferror(if(I1098="""","""",unique(query('tbl driver 2'!$K$2:$L1508,""SELECT L WHERE K = '""&amp;I1098&amp;""'""))),"""")"),"")</f>
        <v/>
      </c>
      <c r="K1098" s="31"/>
      <c r="L1098" s="39"/>
      <c r="M1098" s="39"/>
      <c r="N1098" s="28" t="str">
        <f>IFERROR(__xludf.DUMMYFUNCTION("IF(OR(C1098="""",M1098=""""),"""",IFERROR(IF(M1098="""","""",query('tbl user'!$A$2:$D1508,""SELECT A WHERE D = '""&amp;M1098&amp;""'"")),""USER TIDAK DIKETAHUI""))"),"")</f>
        <v/>
      </c>
    </row>
    <row r="1099">
      <c r="A1099" s="23"/>
      <c r="B1099" s="24" t="str">
        <f t="shared" si="4"/>
        <v/>
      </c>
      <c r="C1099" s="28"/>
      <c r="D1099" s="28"/>
      <c r="E1099" s="34"/>
      <c r="F1099" s="34"/>
      <c r="G1099" s="34"/>
      <c r="H1099" s="34"/>
      <c r="I1099" s="34"/>
      <c r="J1099" s="28" t="str">
        <f>IFERROR(__xludf.DUMMYFUNCTION("iferror(if(I1099="""","""",unique(query('tbl driver 2'!$K$2:$L1508,""SELECT L WHERE K = '""&amp;I1099&amp;""'""))),"""")"),"")</f>
        <v/>
      </c>
      <c r="K1099" s="31"/>
      <c r="L1099" s="39"/>
      <c r="M1099" s="39"/>
      <c r="N1099" s="28" t="str">
        <f>IFERROR(__xludf.DUMMYFUNCTION("IF(OR(C1099="""",M1099=""""),"""",IFERROR(IF(M1099="""","""",query('tbl user'!$A$2:$D1508,""SELECT A WHERE D = '""&amp;M1099&amp;""'"")),""USER TIDAK DIKETAHUI""))"),"")</f>
        <v/>
      </c>
    </row>
    <row r="1100">
      <c r="A1100" s="23"/>
      <c r="B1100" s="24" t="str">
        <f t="shared" si="4"/>
        <v/>
      </c>
      <c r="C1100" s="28"/>
      <c r="D1100" s="28"/>
      <c r="E1100" s="34"/>
      <c r="F1100" s="34"/>
      <c r="G1100" s="34"/>
      <c r="H1100" s="34"/>
      <c r="I1100" s="34"/>
      <c r="J1100" s="28" t="str">
        <f>IFERROR(__xludf.DUMMYFUNCTION("iferror(if(I1100="""","""",unique(query('tbl driver 2'!$K$2:$L1508,""SELECT L WHERE K = '""&amp;I1100&amp;""'""))),"""")"),"")</f>
        <v/>
      </c>
      <c r="K1100" s="31"/>
      <c r="L1100" s="39"/>
      <c r="M1100" s="39"/>
      <c r="N1100" s="28" t="str">
        <f>IFERROR(__xludf.DUMMYFUNCTION("IF(OR(C1100="""",M1100=""""),"""",IFERROR(IF(M1100="""","""",query('tbl user'!$A$2:$D1508,""SELECT A WHERE D = '""&amp;M1100&amp;""'"")),""USER TIDAK DIKETAHUI""))"),"")</f>
        <v/>
      </c>
    </row>
    <row r="1101">
      <c r="A1101" s="23"/>
      <c r="B1101" s="24" t="str">
        <f t="shared" si="4"/>
        <v/>
      </c>
      <c r="C1101" s="28"/>
      <c r="D1101" s="28"/>
      <c r="E1101" s="34"/>
      <c r="F1101" s="34"/>
      <c r="G1101" s="34"/>
      <c r="H1101" s="34"/>
      <c r="I1101" s="34"/>
      <c r="J1101" s="28" t="str">
        <f>IFERROR(__xludf.DUMMYFUNCTION("iferror(if(I1101="""","""",unique(query('tbl driver 2'!$K$2:$L1508,""SELECT L WHERE K = '""&amp;I1101&amp;""'""))),"""")"),"")</f>
        <v/>
      </c>
      <c r="K1101" s="31"/>
      <c r="L1101" s="39"/>
      <c r="M1101" s="39"/>
      <c r="N1101" s="28" t="str">
        <f>IFERROR(__xludf.DUMMYFUNCTION("IF(OR(C1101="""",M1101=""""),"""",IFERROR(IF(M1101="""","""",query('tbl user'!$A$2:$D1508,""SELECT A WHERE D = '""&amp;M1101&amp;""'"")),""USER TIDAK DIKETAHUI""))"),"")</f>
        <v/>
      </c>
    </row>
    <row r="1102">
      <c r="A1102" s="23"/>
      <c r="B1102" s="24" t="str">
        <f t="shared" si="4"/>
        <v/>
      </c>
      <c r="C1102" s="28"/>
      <c r="D1102" s="28"/>
      <c r="E1102" s="34"/>
      <c r="F1102" s="34"/>
      <c r="G1102" s="34"/>
      <c r="H1102" s="34"/>
      <c r="I1102" s="34"/>
      <c r="J1102" s="28" t="str">
        <f>IFERROR(__xludf.DUMMYFUNCTION("iferror(if(I1102="""","""",unique(query('tbl driver 2'!$K$2:$L1508,""SELECT L WHERE K = '""&amp;I1102&amp;""'""))),"""")"),"")</f>
        <v/>
      </c>
      <c r="K1102" s="31"/>
      <c r="L1102" s="39"/>
      <c r="M1102" s="39"/>
      <c r="N1102" s="28" t="str">
        <f>IFERROR(__xludf.DUMMYFUNCTION("IF(OR(C1102="""",M1102=""""),"""",IFERROR(IF(M1102="""","""",query('tbl user'!$A$2:$D1508,""SELECT A WHERE D = '""&amp;M1102&amp;""'"")),""USER TIDAK DIKETAHUI""))"),"")</f>
        <v/>
      </c>
    </row>
    <row r="1103">
      <c r="A1103" s="23"/>
      <c r="B1103" s="24" t="str">
        <f t="shared" si="4"/>
        <v/>
      </c>
      <c r="C1103" s="28"/>
      <c r="D1103" s="28"/>
      <c r="E1103" s="34"/>
      <c r="F1103" s="34"/>
      <c r="G1103" s="34"/>
      <c r="H1103" s="34"/>
      <c r="I1103" s="34"/>
      <c r="J1103" s="28" t="str">
        <f>IFERROR(__xludf.DUMMYFUNCTION("iferror(if(I1103="""","""",unique(query('tbl driver 2'!$K$2:$L1508,""SELECT L WHERE K = '""&amp;I1103&amp;""'""))),"""")"),"")</f>
        <v/>
      </c>
      <c r="K1103" s="31"/>
      <c r="L1103" s="39"/>
      <c r="M1103" s="39"/>
      <c r="N1103" s="28" t="str">
        <f>IFERROR(__xludf.DUMMYFUNCTION("IF(OR(C1103="""",M1103=""""),"""",IFERROR(IF(M1103="""","""",query('tbl user'!$A$2:$D1508,""SELECT A WHERE D = '""&amp;M1103&amp;""'"")),""USER TIDAK DIKETAHUI""))"),"")</f>
        <v/>
      </c>
    </row>
    <row r="1104">
      <c r="A1104" s="23"/>
      <c r="B1104" s="24" t="str">
        <f t="shared" si="4"/>
        <v/>
      </c>
      <c r="C1104" s="28"/>
      <c r="D1104" s="28"/>
      <c r="E1104" s="34"/>
      <c r="F1104" s="34"/>
      <c r="G1104" s="34"/>
      <c r="H1104" s="34"/>
      <c r="I1104" s="34"/>
      <c r="J1104" s="28" t="str">
        <f>IFERROR(__xludf.DUMMYFUNCTION("iferror(if(I1104="""","""",unique(query('tbl driver 2'!$K$2:$L1508,""SELECT L WHERE K = '""&amp;I1104&amp;""'""))),"""")"),"")</f>
        <v/>
      </c>
      <c r="K1104" s="31"/>
      <c r="L1104" s="39"/>
      <c r="M1104" s="39"/>
      <c r="N1104" s="28" t="str">
        <f>IFERROR(__xludf.DUMMYFUNCTION("IF(OR(C1104="""",M1104=""""),"""",IFERROR(IF(M1104="""","""",query('tbl user'!$A$2:$D1508,""SELECT A WHERE D = '""&amp;M1104&amp;""'"")),""USER TIDAK DIKETAHUI""))"),"")</f>
        <v/>
      </c>
    </row>
    <row r="1105">
      <c r="A1105" s="23"/>
      <c r="B1105" s="24" t="str">
        <f t="shared" si="4"/>
        <v/>
      </c>
      <c r="C1105" s="28"/>
      <c r="D1105" s="28"/>
      <c r="E1105" s="34"/>
      <c r="F1105" s="34"/>
      <c r="G1105" s="34"/>
      <c r="H1105" s="34"/>
      <c r="I1105" s="34"/>
      <c r="J1105" s="28" t="str">
        <f>IFERROR(__xludf.DUMMYFUNCTION("iferror(if(I1105="""","""",unique(query('tbl driver 2'!$K$2:$L1508,""SELECT L WHERE K = '""&amp;I1105&amp;""'""))),"""")"),"")</f>
        <v/>
      </c>
      <c r="K1105" s="31"/>
      <c r="L1105" s="39"/>
      <c r="M1105" s="39"/>
      <c r="N1105" s="28" t="str">
        <f>IFERROR(__xludf.DUMMYFUNCTION("IF(OR(C1105="""",M1105=""""),"""",IFERROR(IF(M1105="""","""",query('tbl user'!$A$2:$D1508,""SELECT A WHERE D = '""&amp;M1105&amp;""'"")),""USER TIDAK DIKETAHUI""))"),"")</f>
        <v/>
      </c>
    </row>
    <row r="1106">
      <c r="A1106" s="23"/>
      <c r="B1106" s="24" t="str">
        <f t="shared" si="4"/>
        <v/>
      </c>
      <c r="C1106" s="28"/>
      <c r="D1106" s="28"/>
      <c r="E1106" s="34"/>
      <c r="F1106" s="34"/>
      <c r="G1106" s="34"/>
      <c r="H1106" s="34"/>
      <c r="I1106" s="34"/>
      <c r="J1106" s="28" t="str">
        <f>IFERROR(__xludf.DUMMYFUNCTION("iferror(if(I1106="""","""",unique(query('tbl driver 2'!$K$2:$L1508,""SELECT L WHERE K = '""&amp;I1106&amp;""'""))),"""")"),"")</f>
        <v/>
      </c>
      <c r="K1106" s="31"/>
      <c r="L1106" s="39"/>
      <c r="M1106" s="39"/>
      <c r="N1106" s="28" t="str">
        <f>IFERROR(__xludf.DUMMYFUNCTION("IF(OR(C1106="""",M1106=""""),"""",IFERROR(IF(M1106="""","""",query('tbl user'!$A$2:$D1508,""SELECT A WHERE D = '""&amp;M1106&amp;""'"")),""USER TIDAK DIKETAHUI""))"),"")</f>
        <v/>
      </c>
    </row>
    <row r="1107">
      <c r="A1107" s="23"/>
      <c r="B1107" s="24" t="str">
        <f t="shared" si="4"/>
        <v/>
      </c>
      <c r="C1107" s="28"/>
      <c r="D1107" s="28"/>
      <c r="E1107" s="34"/>
      <c r="F1107" s="34"/>
      <c r="G1107" s="34"/>
      <c r="H1107" s="34"/>
      <c r="I1107" s="34"/>
      <c r="J1107" s="28" t="str">
        <f>IFERROR(__xludf.DUMMYFUNCTION("iferror(if(I1107="""","""",unique(query('tbl driver 2'!$K$2:$L1508,""SELECT L WHERE K = '""&amp;I1107&amp;""'""))),"""")"),"")</f>
        <v/>
      </c>
      <c r="K1107" s="31"/>
      <c r="L1107" s="39"/>
      <c r="M1107" s="39"/>
      <c r="N1107" s="28" t="str">
        <f>IFERROR(__xludf.DUMMYFUNCTION("IF(OR(C1107="""",M1107=""""),"""",IFERROR(IF(M1107="""","""",query('tbl user'!$A$2:$D1508,""SELECT A WHERE D = '""&amp;M1107&amp;""'"")),""USER TIDAK DIKETAHUI""))"),"")</f>
        <v/>
      </c>
    </row>
    <row r="1108">
      <c r="A1108" s="23"/>
      <c r="B1108" s="24" t="str">
        <f t="shared" si="4"/>
        <v/>
      </c>
      <c r="C1108" s="28"/>
      <c r="D1108" s="28"/>
      <c r="E1108" s="34"/>
      <c r="F1108" s="34"/>
      <c r="G1108" s="34"/>
      <c r="H1108" s="34"/>
      <c r="I1108" s="34"/>
      <c r="J1108" s="28" t="str">
        <f>IFERROR(__xludf.DUMMYFUNCTION("iferror(if(I1108="""","""",unique(query('tbl driver 2'!$K$2:$L1508,""SELECT L WHERE K = '""&amp;I1108&amp;""'""))),"""")"),"")</f>
        <v/>
      </c>
      <c r="K1108" s="31"/>
      <c r="L1108" s="39"/>
      <c r="M1108" s="39"/>
      <c r="N1108" s="28" t="str">
        <f>IFERROR(__xludf.DUMMYFUNCTION("IF(OR(C1108="""",M1108=""""),"""",IFERROR(IF(M1108="""","""",query('tbl user'!$A$2:$D1508,""SELECT A WHERE D = '""&amp;M1108&amp;""'"")),""USER TIDAK DIKETAHUI""))"),"")</f>
        <v/>
      </c>
    </row>
    <row r="1109">
      <c r="A1109" s="23"/>
      <c r="B1109" s="24" t="str">
        <f t="shared" si="4"/>
        <v/>
      </c>
      <c r="C1109" s="28"/>
      <c r="D1109" s="28"/>
      <c r="E1109" s="34"/>
      <c r="F1109" s="34"/>
      <c r="G1109" s="34"/>
      <c r="H1109" s="34"/>
      <c r="I1109" s="34"/>
      <c r="J1109" s="28" t="str">
        <f>IFERROR(__xludf.DUMMYFUNCTION("iferror(if(I1109="""","""",unique(query('tbl driver 2'!$K$2:$L1508,""SELECT L WHERE K = '""&amp;I1109&amp;""'""))),"""")"),"")</f>
        <v/>
      </c>
      <c r="K1109" s="31"/>
      <c r="L1109" s="39"/>
      <c r="M1109" s="39"/>
      <c r="N1109" s="28" t="str">
        <f>IFERROR(__xludf.DUMMYFUNCTION("IF(OR(C1109="""",M1109=""""),"""",IFERROR(IF(M1109="""","""",query('tbl user'!$A$2:$D1508,""SELECT A WHERE D = '""&amp;M1109&amp;""'"")),""USER TIDAK DIKETAHUI""))"),"")</f>
        <v/>
      </c>
    </row>
    <row r="1110">
      <c r="A1110" s="23"/>
      <c r="B1110" s="24" t="str">
        <f t="shared" si="4"/>
        <v/>
      </c>
      <c r="C1110" s="28"/>
      <c r="D1110" s="28"/>
      <c r="E1110" s="34"/>
      <c r="F1110" s="34"/>
      <c r="G1110" s="34"/>
      <c r="H1110" s="34"/>
      <c r="I1110" s="34"/>
      <c r="J1110" s="28" t="str">
        <f>IFERROR(__xludf.DUMMYFUNCTION("iferror(if(I1110="""","""",unique(query('tbl driver 2'!$K$2:$L1508,""SELECT L WHERE K = '""&amp;I1110&amp;""'""))),"""")"),"")</f>
        <v/>
      </c>
      <c r="K1110" s="31"/>
      <c r="L1110" s="39"/>
      <c r="M1110" s="39"/>
      <c r="N1110" s="28" t="str">
        <f>IFERROR(__xludf.DUMMYFUNCTION("IF(OR(C1110="""",M1110=""""),"""",IFERROR(IF(M1110="""","""",query('tbl user'!$A$2:$D1508,""SELECT A WHERE D = '""&amp;M1110&amp;""'"")),""USER TIDAK DIKETAHUI""))"),"")</f>
        <v/>
      </c>
    </row>
    <row r="1111">
      <c r="A1111" s="23"/>
      <c r="B1111" s="24" t="str">
        <f t="shared" si="4"/>
        <v/>
      </c>
      <c r="C1111" s="28"/>
      <c r="D1111" s="28"/>
      <c r="E1111" s="34"/>
      <c r="F1111" s="34"/>
      <c r="G1111" s="34"/>
      <c r="H1111" s="34"/>
      <c r="I1111" s="34"/>
      <c r="J1111" s="28" t="str">
        <f>IFERROR(__xludf.DUMMYFUNCTION("iferror(if(I1111="""","""",unique(query('tbl driver 2'!$K$2:$L1508,""SELECT L WHERE K = '""&amp;I1111&amp;""'""))),"""")"),"")</f>
        <v/>
      </c>
      <c r="K1111" s="31"/>
      <c r="L1111" s="39"/>
      <c r="M1111" s="39"/>
      <c r="N1111" s="28" t="str">
        <f>IFERROR(__xludf.DUMMYFUNCTION("IF(OR(C1111="""",M1111=""""),"""",IFERROR(IF(M1111="""","""",query('tbl user'!$A$2:$D1508,""SELECT A WHERE D = '""&amp;M1111&amp;""'"")),""USER TIDAK DIKETAHUI""))"),"")</f>
        <v/>
      </c>
    </row>
    <row r="1112">
      <c r="A1112" s="23"/>
      <c r="B1112" s="24" t="str">
        <f t="shared" si="4"/>
        <v/>
      </c>
      <c r="C1112" s="28"/>
      <c r="D1112" s="28"/>
      <c r="E1112" s="34"/>
      <c r="F1112" s="34"/>
      <c r="G1112" s="34"/>
      <c r="H1112" s="34"/>
      <c r="I1112" s="34"/>
      <c r="J1112" s="28" t="str">
        <f>IFERROR(__xludf.DUMMYFUNCTION("iferror(if(I1112="""","""",unique(query('tbl driver 2'!$K$2:$L1508,""SELECT L WHERE K = '""&amp;I1112&amp;""'""))),"""")"),"")</f>
        <v/>
      </c>
      <c r="K1112" s="31"/>
      <c r="L1112" s="39"/>
      <c r="M1112" s="39"/>
      <c r="N1112" s="28" t="str">
        <f>IFERROR(__xludf.DUMMYFUNCTION("IF(OR(C1112="""",M1112=""""),"""",IFERROR(IF(M1112="""","""",query('tbl user'!$A$2:$D1508,""SELECT A WHERE D = '""&amp;M1112&amp;""'"")),""USER TIDAK DIKETAHUI""))"),"")</f>
        <v/>
      </c>
    </row>
    <row r="1113">
      <c r="A1113" s="23"/>
      <c r="B1113" s="24" t="str">
        <f t="shared" si="4"/>
        <v/>
      </c>
      <c r="C1113" s="28"/>
      <c r="D1113" s="28"/>
      <c r="E1113" s="34"/>
      <c r="F1113" s="34"/>
      <c r="G1113" s="34"/>
      <c r="H1113" s="34"/>
      <c r="I1113" s="34"/>
      <c r="J1113" s="28" t="str">
        <f>IFERROR(__xludf.DUMMYFUNCTION("iferror(if(I1113="""","""",unique(query('tbl driver 2'!$K$2:$L1508,""SELECT L WHERE K = '""&amp;I1113&amp;""'""))),"""")"),"")</f>
        <v/>
      </c>
      <c r="K1113" s="31"/>
      <c r="L1113" s="39"/>
      <c r="M1113" s="39"/>
      <c r="N1113" s="28" t="str">
        <f>IFERROR(__xludf.DUMMYFUNCTION("IF(OR(C1113="""",M1113=""""),"""",IFERROR(IF(M1113="""","""",query('tbl user'!$A$2:$D1508,""SELECT A WHERE D = '""&amp;M1113&amp;""'"")),""USER TIDAK DIKETAHUI""))"),"")</f>
        <v/>
      </c>
    </row>
    <row r="1114">
      <c r="A1114" s="23"/>
      <c r="B1114" s="24" t="str">
        <f t="shared" si="4"/>
        <v/>
      </c>
      <c r="C1114" s="28"/>
      <c r="D1114" s="28"/>
      <c r="E1114" s="34"/>
      <c r="F1114" s="34"/>
      <c r="G1114" s="34"/>
      <c r="H1114" s="34"/>
      <c r="I1114" s="34"/>
      <c r="J1114" s="28" t="str">
        <f>IFERROR(__xludf.DUMMYFUNCTION("iferror(if(I1114="""","""",unique(query('tbl driver 2'!$K$2:$L1508,""SELECT L WHERE K = '""&amp;I1114&amp;""'""))),"""")"),"")</f>
        <v/>
      </c>
      <c r="K1114" s="31"/>
      <c r="L1114" s="39"/>
      <c r="M1114" s="39"/>
      <c r="N1114" s="28" t="str">
        <f>IFERROR(__xludf.DUMMYFUNCTION("IF(OR(C1114="""",M1114=""""),"""",IFERROR(IF(M1114="""","""",query('tbl user'!$A$2:$D1508,""SELECT A WHERE D = '""&amp;M1114&amp;""'"")),""USER TIDAK DIKETAHUI""))"),"")</f>
        <v/>
      </c>
    </row>
    <row r="1115">
      <c r="A1115" s="23"/>
      <c r="B1115" s="24" t="str">
        <f t="shared" si="4"/>
        <v/>
      </c>
      <c r="C1115" s="28"/>
      <c r="D1115" s="28"/>
      <c r="E1115" s="34"/>
      <c r="F1115" s="34"/>
      <c r="G1115" s="34"/>
      <c r="H1115" s="34"/>
      <c r="I1115" s="34"/>
      <c r="J1115" s="28" t="str">
        <f>IFERROR(__xludf.DUMMYFUNCTION("iferror(if(I1115="""","""",unique(query('tbl driver 2'!$K$2:$L1508,""SELECT L WHERE K = '""&amp;I1115&amp;""'""))),"""")"),"")</f>
        <v/>
      </c>
      <c r="K1115" s="31"/>
      <c r="L1115" s="39"/>
      <c r="M1115" s="39"/>
      <c r="N1115" s="28" t="str">
        <f>IFERROR(__xludf.DUMMYFUNCTION("IF(OR(C1115="""",M1115=""""),"""",IFERROR(IF(M1115="""","""",query('tbl user'!$A$2:$D1508,""SELECT A WHERE D = '""&amp;M1115&amp;""'"")),""USER TIDAK DIKETAHUI""))"),"")</f>
        <v/>
      </c>
    </row>
    <row r="1116">
      <c r="A1116" s="23"/>
      <c r="B1116" s="24" t="str">
        <f t="shared" si="4"/>
        <v/>
      </c>
      <c r="C1116" s="28"/>
      <c r="D1116" s="28"/>
      <c r="E1116" s="34"/>
      <c r="F1116" s="34"/>
      <c r="G1116" s="34"/>
      <c r="H1116" s="34"/>
      <c r="I1116" s="34"/>
      <c r="J1116" s="28" t="str">
        <f>IFERROR(__xludf.DUMMYFUNCTION("iferror(if(I1116="""","""",unique(query('tbl driver 2'!$K$2:$L1508,""SELECT L WHERE K = '""&amp;I1116&amp;""'""))),"""")"),"")</f>
        <v/>
      </c>
      <c r="K1116" s="31"/>
      <c r="L1116" s="39"/>
      <c r="M1116" s="39"/>
      <c r="N1116" s="28" t="str">
        <f>IFERROR(__xludf.DUMMYFUNCTION("IF(OR(C1116="""",M1116=""""),"""",IFERROR(IF(M1116="""","""",query('tbl user'!$A$2:$D1508,""SELECT A WHERE D = '""&amp;M1116&amp;""'"")),""USER TIDAK DIKETAHUI""))"),"")</f>
        <v/>
      </c>
    </row>
    <row r="1117">
      <c r="A1117" s="23"/>
      <c r="B1117" s="24" t="str">
        <f t="shared" si="4"/>
        <v/>
      </c>
      <c r="C1117" s="28"/>
      <c r="D1117" s="28"/>
      <c r="E1117" s="34"/>
      <c r="F1117" s="34"/>
      <c r="G1117" s="34"/>
      <c r="H1117" s="34"/>
      <c r="I1117" s="34"/>
      <c r="J1117" s="28" t="str">
        <f>IFERROR(__xludf.DUMMYFUNCTION("iferror(if(I1117="""","""",unique(query('tbl driver 2'!$K$2:$L1508,""SELECT L WHERE K = '""&amp;I1117&amp;""'""))),"""")"),"")</f>
        <v/>
      </c>
      <c r="K1117" s="31"/>
      <c r="L1117" s="39"/>
      <c r="M1117" s="39"/>
      <c r="N1117" s="28" t="str">
        <f>IFERROR(__xludf.DUMMYFUNCTION("IF(OR(C1117="""",M1117=""""),"""",IFERROR(IF(M1117="""","""",query('tbl user'!$A$2:$D1508,""SELECT A WHERE D = '""&amp;M1117&amp;""'"")),""USER TIDAK DIKETAHUI""))"),"")</f>
        <v/>
      </c>
    </row>
    <row r="1118">
      <c r="A1118" s="23"/>
      <c r="B1118" s="24" t="str">
        <f t="shared" si="4"/>
        <v/>
      </c>
      <c r="C1118" s="28"/>
      <c r="D1118" s="28"/>
      <c r="E1118" s="34"/>
      <c r="F1118" s="34"/>
      <c r="G1118" s="34"/>
      <c r="H1118" s="34"/>
      <c r="I1118" s="34"/>
      <c r="J1118" s="28" t="str">
        <f>IFERROR(__xludf.DUMMYFUNCTION("iferror(if(I1118="""","""",unique(query('tbl driver 2'!$K$2:$L1508,""SELECT L WHERE K = '""&amp;I1118&amp;""'""))),"""")"),"")</f>
        <v/>
      </c>
      <c r="K1118" s="31"/>
      <c r="L1118" s="39"/>
      <c r="M1118" s="39"/>
      <c r="N1118" s="28" t="str">
        <f>IFERROR(__xludf.DUMMYFUNCTION("IF(OR(C1118="""",M1118=""""),"""",IFERROR(IF(M1118="""","""",query('tbl user'!$A$2:$D1508,""SELECT A WHERE D = '""&amp;M1118&amp;""'"")),""USER TIDAK DIKETAHUI""))"),"")</f>
        <v/>
      </c>
    </row>
    <row r="1119">
      <c r="A1119" s="23"/>
      <c r="B1119" s="24" t="str">
        <f t="shared" si="4"/>
        <v/>
      </c>
      <c r="C1119" s="28"/>
      <c r="D1119" s="28"/>
      <c r="E1119" s="34"/>
      <c r="F1119" s="34"/>
      <c r="G1119" s="34"/>
      <c r="H1119" s="34"/>
      <c r="I1119" s="34"/>
      <c r="J1119" s="28" t="str">
        <f>IFERROR(__xludf.DUMMYFUNCTION("iferror(if(I1119="""","""",unique(query('tbl driver 2'!$K$2:$L1508,""SELECT L WHERE K = '""&amp;I1119&amp;""'""))),"""")"),"")</f>
        <v/>
      </c>
      <c r="K1119" s="31"/>
      <c r="L1119" s="39"/>
      <c r="M1119" s="39"/>
      <c r="N1119" s="28" t="str">
        <f>IFERROR(__xludf.DUMMYFUNCTION("IF(OR(C1119="""",M1119=""""),"""",IFERROR(IF(M1119="""","""",query('tbl user'!$A$2:$D1508,""SELECT A WHERE D = '""&amp;M1119&amp;""'"")),""USER TIDAK DIKETAHUI""))"),"")</f>
        <v/>
      </c>
    </row>
    <row r="1120">
      <c r="A1120" s="23"/>
      <c r="B1120" s="24" t="str">
        <f t="shared" si="4"/>
        <v/>
      </c>
      <c r="C1120" s="28"/>
      <c r="D1120" s="28"/>
      <c r="E1120" s="34"/>
      <c r="F1120" s="34"/>
      <c r="G1120" s="34"/>
      <c r="H1120" s="34"/>
      <c r="I1120" s="34"/>
      <c r="J1120" s="28" t="str">
        <f>IFERROR(__xludf.DUMMYFUNCTION("iferror(if(I1120="""","""",unique(query('tbl driver 2'!$K$2:$L1508,""SELECT L WHERE K = '""&amp;I1120&amp;""'""))),"""")"),"")</f>
        <v/>
      </c>
      <c r="K1120" s="31"/>
      <c r="L1120" s="39"/>
      <c r="M1120" s="39"/>
      <c r="N1120" s="28" t="str">
        <f>IFERROR(__xludf.DUMMYFUNCTION("IF(OR(C1120="""",M1120=""""),"""",IFERROR(IF(M1120="""","""",query('tbl user'!$A$2:$D1508,""SELECT A WHERE D = '""&amp;M1120&amp;""'"")),""USER TIDAK DIKETAHUI""))"),"")</f>
        <v/>
      </c>
    </row>
    <row r="1121">
      <c r="A1121" s="23"/>
      <c r="B1121" s="24" t="str">
        <f t="shared" si="4"/>
        <v/>
      </c>
      <c r="C1121" s="28"/>
      <c r="D1121" s="28"/>
      <c r="E1121" s="34"/>
      <c r="F1121" s="34"/>
      <c r="G1121" s="34"/>
      <c r="H1121" s="34"/>
      <c r="I1121" s="34"/>
      <c r="J1121" s="28" t="str">
        <f>IFERROR(__xludf.DUMMYFUNCTION("iferror(if(I1121="""","""",unique(query('tbl driver 2'!$K$2:$L1508,""SELECT L WHERE K = '""&amp;I1121&amp;""'""))),"""")"),"")</f>
        <v/>
      </c>
      <c r="K1121" s="31"/>
      <c r="L1121" s="39"/>
      <c r="M1121" s="39"/>
      <c r="N1121" s="28" t="str">
        <f>IFERROR(__xludf.DUMMYFUNCTION("IF(OR(C1121="""",M1121=""""),"""",IFERROR(IF(M1121="""","""",query('tbl user'!$A$2:$D1508,""SELECT A WHERE D = '""&amp;M1121&amp;""'"")),""USER TIDAK DIKETAHUI""))"),"")</f>
        <v/>
      </c>
    </row>
    <row r="1122">
      <c r="A1122" s="23"/>
      <c r="B1122" s="24" t="str">
        <f t="shared" si="4"/>
        <v/>
      </c>
      <c r="C1122" s="28"/>
      <c r="D1122" s="28"/>
      <c r="E1122" s="34"/>
      <c r="F1122" s="34"/>
      <c r="G1122" s="34"/>
      <c r="H1122" s="34"/>
      <c r="I1122" s="34"/>
      <c r="J1122" s="28" t="str">
        <f>IFERROR(__xludf.DUMMYFUNCTION("iferror(if(I1122="""","""",unique(query('tbl driver 2'!$K$2:$L1508,""SELECT L WHERE K = '""&amp;I1122&amp;""'""))),"""")"),"")</f>
        <v/>
      </c>
      <c r="K1122" s="31"/>
      <c r="L1122" s="39"/>
      <c r="M1122" s="39"/>
      <c r="N1122" s="28" t="str">
        <f>IFERROR(__xludf.DUMMYFUNCTION("IF(OR(C1122="""",M1122=""""),"""",IFERROR(IF(M1122="""","""",query('tbl user'!$A$2:$D1508,""SELECT A WHERE D = '""&amp;M1122&amp;""'"")),""USER TIDAK DIKETAHUI""))"),"")</f>
        <v/>
      </c>
    </row>
    <row r="1123">
      <c r="A1123" s="23"/>
      <c r="B1123" s="24" t="str">
        <f t="shared" si="4"/>
        <v/>
      </c>
      <c r="C1123" s="28"/>
      <c r="D1123" s="28"/>
      <c r="E1123" s="34"/>
      <c r="F1123" s="34"/>
      <c r="G1123" s="34"/>
      <c r="H1123" s="34"/>
      <c r="I1123" s="34"/>
      <c r="J1123" s="28" t="str">
        <f>IFERROR(__xludf.DUMMYFUNCTION("iferror(if(I1123="""","""",unique(query('tbl driver 2'!$K$2:$L1508,""SELECT L WHERE K = '""&amp;I1123&amp;""'""))),"""")"),"")</f>
        <v/>
      </c>
      <c r="K1123" s="31"/>
      <c r="L1123" s="39"/>
      <c r="M1123" s="39"/>
      <c r="N1123" s="28" t="str">
        <f>IFERROR(__xludf.DUMMYFUNCTION("IF(OR(C1123="""",M1123=""""),"""",IFERROR(IF(M1123="""","""",query('tbl user'!$A$2:$D1508,""SELECT A WHERE D = '""&amp;M1123&amp;""'"")),""USER TIDAK DIKETAHUI""))"),"")</f>
        <v/>
      </c>
    </row>
    <row r="1124">
      <c r="A1124" s="23"/>
      <c r="B1124" s="24" t="str">
        <f t="shared" si="4"/>
        <v/>
      </c>
      <c r="C1124" s="28"/>
      <c r="D1124" s="28"/>
      <c r="E1124" s="34"/>
      <c r="F1124" s="34"/>
      <c r="G1124" s="34"/>
      <c r="H1124" s="34"/>
      <c r="I1124" s="34"/>
      <c r="J1124" s="28" t="str">
        <f>IFERROR(__xludf.DUMMYFUNCTION("iferror(if(I1124="""","""",unique(query('tbl driver 2'!$K$2:$L1508,""SELECT L WHERE K = '""&amp;I1124&amp;""'""))),"""")"),"")</f>
        <v/>
      </c>
      <c r="K1124" s="31"/>
      <c r="L1124" s="39"/>
      <c r="M1124" s="39"/>
      <c r="N1124" s="28" t="str">
        <f>IFERROR(__xludf.DUMMYFUNCTION("IF(OR(C1124="""",M1124=""""),"""",IFERROR(IF(M1124="""","""",query('tbl user'!$A$2:$D1508,""SELECT A WHERE D = '""&amp;M1124&amp;""'"")),""USER TIDAK DIKETAHUI""))"),"")</f>
        <v/>
      </c>
    </row>
    <row r="1125">
      <c r="A1125" s="23"/>
      <c r="B1125" s="24" t="str">
        <f t="shared" si="4"/>
        <v/>
      </c>
      <c r="C1125" s="28"/>
      <c r="D1125" s="28"/>
      <c r="E1125" s="34"/>
      <c r="F1125" s="34"/>
      <c r="G1125" s="34"/>
      <c r="H1125" s="34"/>
      <c r="I1125" s="34"/>
      <c r="J1125" s="28" t="str">
        <f>IFERROR(__xludf.DUMMYFUNCTION("iferror(if(I1125="""","""",unique(query('tbl driver 2'!$K$2:$L1508,""SELECT L WHERE K = '""&amp;I1125&amp;""'""))),"""")"),"")</f>
        <v/>
      </c>
      <c r="K1125" s="31"/>
      <c r="L1125" s="39"/>
      <c r="M1125" s="39"/>
      <c r="N1125" s="28" t="str">
        <f>IFERROR(__xludf.DUMMYFUNCTION("IF(OR(C1125="""",M1125=""""),"""",IFERROR(IF(M1125="""","""",query('tbl user'!$A$2:$D1508,""SELECT A WHERE D = '""&amp;M1125&amp;""'"")),""USER TIDAK DIKETAHUI""))"),"")</f>
        <v/>
      </c>
    </row>
    <row r="1126">
      <c r="A1126" s="23"/>
      <c r="B1126" s="24" t="str">
        <f t="shared" si="4"/>
        <v/>
      </c>
      <c r="C1126" s="28"/>
      <c r="D1126" s="28"/>
      <c r="E1126" s="34"/>
      <c r="F1126" s="34"/>
      <c r="G1126" s="34"/>
      <c r="H1126" s="34"/>
      <c r="I1126" s="34"/>
      <c r="J1126" s="28" t="str">
        <f>IFERROR(__xludf.DUMMYFUNCTION("iferror(if(I1126="""","""",unique(query('tbl driver 2'!$K$2:$L1508,""SELECT L WHERE K = '""&amp;I1126&amp;""'""))),"""")"),"")</f>
        <v/>
      </c>
      <c r="K1126" s="31"/>
      <c r="L1126" s="39"/>
      <c r="M1126" s="39"/>
      <c r="N1126" s="28" t="str">
        <f>IFERROR(__xludf.DUMMYFUNCTION("IF(OR(C1126="""",M1126=""""),"""",IFERROR(IF(M1126="""","""",query('tbl user'!$A$2:$D1508,""SELECT A WHERE D = '""&amp;M1126&amp;""'"")),""USER TIDAK DIKETAHUI""))"),"")</f>
        <v/>
      </c>
    </row>
    <row r="1127">
      <c r="A1127" s="23"/>
      <c r="B1127" s="24" t="str">
        <f t="shared" si="4"/>
        <v/>
      </c>
      <c r="C1127" s="28"/>
      <c r="D1127" s="28"/>
      <c r="E1127" s="34"/>
      <c r="F1127" s="34"/>
      <c r="G1127" s="34"/>
      <c r="H1127" s="34"/>
      <c r="I1127" s="34"/>
      <c r="J1127" s="28" t="str">
        <f>IFERROR(__xludf.DUMMYFUNCTION("iferror(if(I1127="""","""",unique(query('tbl driver 2'!$K$2:$L1508,""SELECT L WHERE K = '""&amp;I1127&amp;""'""))),"""")"),"")</f>
        <v/>
      </c>
      <c r="K1127" s="31"/>
      <c r="L1127" s="39"/>
      <c r="M1127" s="39"/>
      <c r="N1127" s="28" t="str">
        <f>IFERROR(__xludf.DUMMYFUNCTION("IF(OR(C1127="""",M1127=""""),"""",IFERROR(IF(M1127="""","""",query('tbl user'!$A$2:$D1508,""SELECT A WHERE D = '""&amp;M1127&amp;""'"")),""USER TIDAK DIKETAHUI""))"),"")</f>
        <v/>
      </c>
    </row>
    <row r="1128">
      <c r="A1128" s="23"/>
      <c r="B1128" s="24" t="str">
        <f t="shared" si="4"/>
        <v/>
      </c>
      <c r="C1128" s="28"/>
      <c r="D1128" s="28"/>
      <c r="E1128" s="34"/>
      <c r="F1128" s="34"/>
      <c r="G1128" s="34"/>
      <c r="H1128" s="34"/>
      <c r="I1128" s="34"/>
      <c r="J1128" s="28" t="str">
        <f>IFERROR(__xludf.DUMMYFUNCTION("iferror(if(I1128="""","""",unique(query('tbl driver 2'!$K$2:$L1508,""SELECT L WHERE K = '""&amp;I1128&amp;""'""))),"""")"),"")</f>
        <v/>
      </c>
      <c r="K1128" s="31"/>
      <c r="L1128" s="39"/>
      <c r="M1128" s="39"/>
      <c r="N1128" s="28" t="str">
        <f>IFERROR(__xludf.DUMMYFUNCTION("IF(OR(C1128="""",M1128=""""),"""",IFERROR(IF(M1128="""","""",query('tbl user'!$A$2:$D1508,""SELECT A WHERE D = '""&amp;M1128&amp;""'"")),""USER TIDAK DIKETAHUI""))"),"")</f>
        <v/>
      </c>
    </row>
    <row r="1129">
      <c r="A1129" s="23"/>
      <c r="B1129" s="24" t="str">
        <f t="shared" si="4"/>
        <v/>
      </c>
      <c r="C1129" s="28"/>
      <c r="D1129" s="28"/>
      <c r="E1129" s="34"/>
      <c r="F1129" s="34"/>
      <c r="G1129" s="34"/>
      <c r="H1129" s="34"/>
      <c r="I1129" s="34"/>
      <c r="J1129" s="28" t="str">
        <f>IFERROR(__xludf.DUMMYFUNCTION("iferror(if(I1129="""","""",unique(query('tbl driver 2'!$K$2:$L1508,""SELECT L WHERE K = '""&amp;I1129&amp;""'""))),"""")"),"")</f>
        <v/>
      </c>
      <c r="K1129" s="31"/>
      <c r="L1129" s="39"/>
      <c r="M1129" s="39"/>
      <c r="N1129" s="28" t="str">
        <f>IFERROR(__xludf.DUMMYFUNCTION("IF(OR(C1129="""",M1129=""""),"""",IFERROR(IF(M1129="""","""",query('tbl user'!$A$2:$D1508,""SELECT A WHERE D = '""&amp;M1129&amp;""'"")),""USER TIDAK DIKETAHUI""))"),"")</f>
        <v/>
      </c>
    </row>
    <row r="1130">
      <c r="A1130" s="23"/>
      <c r="B1130" s="24" t="str">
        <f t="shared" si="4"/>
        <v/>
      </c>
      <c r="C1130" s="28"/>
      <c r="D1130" s="28"/>
      <c r="E1130" s="34"/>
      <c r="F1130" s="34"/>
      <c r="G1130" s="34"/>
      <c r="H1130" s="34"/>
      <c r="I1130" s="34"/>
      <c r="J1130" s="28" t="str">
        <f>IFERROR(__xludf.DUMMYFUNCTION("iferror(if(I1130="""","""",unique(query('tbl driver 2'!$K$2:$L1508,""SELECT L WHERE K = '""&amp;I1130&amp;""'""))),"""")"),"")</f>
        <v/>
      </c>
      <c r="K1130" s="31"/>
      <c r="L1130" s="39"/>
      <c r="M1130" s="39"/>
      <c r="N1130" s="28" t="str">
        <f>IFERROR(__xludf.DUMMYFUNCTION("IF(OR(C1130="""",M1130=""""),"""",IFERROR(IF(M1130="""","""",query('tbl user'!$A$2:$D1508,""SELECT A WHERE D = '""&amp;M1130&amp;""'"")),""USER TIDAK DIKETAHUI""))"),"")</f>
        <v/>
      </c>
    </row>
    <row r="1131">
      <c r="A1131" s="23"/>
      <c r="B1131" s="24" t="str">
        <f t="shared" si="4"/>
        <v/>
      </c>
      <c r="C1131" s="28"/>
      <c r="D1131" s="28"/>
      <c r="E1131" s="34"/>
      <c r="F1131" s="34"/>
      <c r="G1131" s="34"/>
      <c r="H1131" s="34"/>
      <c r="I1131" s="34"/>
      <c r="J1131" s="28" t="str">
        <f>IFERROR(__xludf.DUMMYFUNCTION("iferror(if(I1131="""","""",unique(query('tbl driver 2'!$K$2:$L1508,""SELECT L WHERE K = '""&amp;I1131&amp;""'""))),"""")"),"")</f>
        <v/>
      </c>
      <c r="K1131" s="31"/>
      <c r="L1131" s="39"/>
      <c r="M1131" s="39"/>
      <c r="N1131" s="28" t="str">
        <f>IFERROR(__xludf.DUMMYFUNCTION("IF(OR(C1131="""",M1131=""""),"""",IFERROR(IF(M1131="""","""",query('tbl user'!$A$2:$D1508,""SELECT A WHERE D = '""&amp;M1131&amp;""'"")),""USER TIDAK DIKETAHUI""))"),"")</f>
        <v/>
      </c>
    </row>
    <row r="1132">
      <c r="A1132" s="23"/>
      <c r="B1132" s="24" t="str">
        <f t="shared" si="4"/>
        <v/>
      </c>
      <c r="C1132" s="28"/>
      <c r="D1132" s="28"/>
      <c r="E1132" s="34"/>
      <c r="F1132" s="34"/>
      <c r="G1132" s="34"/>
      <c r="H1132" s="34"/>
      <c r="I1132" s="34"/>
      <c r="J1132" s="28" t="str">
        <f>IFERROR(__xludf.DUMMYFUNCTION("iferror(if(I1132="""","""",unique(query('tbl driver 2'!$K$2:$L1508,""SELECT L WHERE K = '""&amp;I1132&amp;""'""))),"""")"),"")</f>
        <v/>
      </c>
      <c r="K1132" s="31"/>
      <c r="L1132" s="39"/>
      <c r="M1132" s="39"/>
      <c r="N1132" s="28" t="str">
        <f>IFERROR(__xludf.DUMMYFUNCTION("IF(OR(C1132="""",M1132=""""),"""",IFERROR(IF(M1132="""","""",query('tbl user'!$A$2:$D1508,""SELECT A WHERE D = '""&amp;M1132&amp;""'"")),""USER TIDAK DIKETAHUI""))"),"")</f>
        <v/>
      </c>
    </row>
    <row r="1133">
      <c r="A1133" s="23"/>
      <c r="B1133" s="24" t="str">
        <f t="shared" si="4"/>
        <v/>
      </c>
      <c r="C1133" s="28"/>
      <c r="D1133" s="28"/>
      <c r="E1133" s="34"/>
      <c r="F1133" s="34"/>
      <c r="G1133" s="34"/>
      <c r="H1133" s="34"/>
      <c r="I1133" s="34"/>
      <c r="J1133" s="28" t="str">
        <f>IFERROR(__xludf.DUMMYFUNCTION("iferror(if(I1133="""","""",unique(query('tbl driver 2'!$K$2:$L1508,""SELECT L WHERE K = '""&amp;I1133&amp;""'""))),"""")"),"")</f>
        <v/>
      </c>
      <c r="K1133" s="31"/>
      <c r="L1133" s="39"/>
      <c r="M1133" s="39"/>
      <c r="N1133" s="28" t="str">
        <f>IFERROR(__xludf.DUMMYFUNCTION("IF(OR(C1133="""",M1133=""""),"""",IFERROR(IF(M1133="""","""",query('tbl user'!$A$2:$D1508,""SELECT A WHERE D = '""&amp;M1133&amp;""'"")),""USER TIDAK DIKETAHUI""))"),"")</f>
        <v/>
      </c>
    </row>
    <row r="1134">
      <c r="A1134" s="23"/>
      <c r="B1134" s="24" t="str">
        <f t="shared" si="4"/>
        <v/>
      </c>
      <c r="C1134" s="28"/>
      <c r="D1134" s="28"/>
      <c r="E1134" s="34"/>
      <c r="F1134" s="34"/>
      <c r="G1134" s="34"/>
      <c r="H1134" s="34"/>
      <c r="I1134" s="34"/>
      <c r="J1134" s="28" t="str">
        <f>IFERROR(__xludf.DUMMYFUNCTION("iferror(if(I1134="""","""",unique(query('tbl driver 2'!$K$2:$L1508,""SELECT L WHERE K = '""&amp;I1134&amp;""'""))),"""")"),"")</f>
        <v/>
      </c>
      <c r="K1134" s="31"/>
      <c r="L1134" s="39"/>
      <c r="M1134" s="39"/>
      <c r="N1134" s="28" t="str">
        <f>IFERROR(__xludf.DUMMYFUNCTION("IF(OR(C1134="""",M1134=""""),"""",IFERROR(IF(M1134="""","""",query('tbl user'!$A$2:$D1508,""SELECT A WHERE D = '""&amp;M1134&amp;""'"")),""USER TIDAK DIKETAHUI""))"),"")</f>
        <v/>
      </c>
    </row>
    <row r="1135">
      <c r="A1135" s="23"/>
      <c r="B1135" s="24" t="str">
        <f t="shared" si="4"/>
        <v/>
      </c>
      <c r="C1135" s="28"/>
      <c r="D1135" s="28"/>
      <c r="E1135" s="34"/>
      <c r="F1135" s="34"/>
      <c r="G1135" s="34"/>
      <c r="H1135" s="34"/>
      <c r="I1135" s="34"/>
      <c r="J1135" s="28" t="str">
        <f>IFERROR(__xludf.DUMMYFUNCTION("iferror(if(I1135="""","""",unique(query('tbl driver 2'!$K$2:$L1508,""SELECT L WHERE K = '""&amp;I1135&amp;""'""))),"""")"),"")</f>
        <v/>
      </c>
      <c r="K1135" s="31"/>
      <c r="L1135" s="39"/>
      <c r="M1135" s="39"/>
      <c r="N1135" s="28" t="str">
        <f>IFERROR(__xludf.DUMMYFUNCTION("IF(OR(C1135="""",M1135=""""),"""",IFERROR(IF(M1135="""","""",query('tbl user'!$A$2:$D1508,""SELECT A WHERE D = '""&amp;M1135&amp;""'"")),""USER TIDAK DIKETAHUI""))"),"")</f>
        <v/>
      </c>
    </row>
    <row r="1136">
      <c r="A1136" s="23"/>
      <c r="B1136" s="24" t="str">
        <f t="shared" si="4"/>
        <v/>
      </c>
      <c r="C1136" s="28"/>
      <c r="D1136" s="28"/>
      <c r="E1136" s="34"/>
      <c r="F1136" s="34"/>
      <c r="G1136" s="34"/>
      <c r="H1136" s="34"/>
      <c r="I1136" s="34"/>
      <c r="J1136" s="28" t="str">
        <f>IFERROR(__xludf.DUMMYFUNCTION("iferror(if(I1136="""","""",unique(query('tbl driver 2'!$K$2:$L1508,""SELECT L WHERE K = '""&amp;I1136&amp;""'""))),"""")"),"")</f>
        <v/>
      </c>
      <c r="K1136" s="31"/>
      <c r="L1136" s="39"/>
      <c r="M1136" s="39"/>
      <c r="N1136" s="28" t="str">
        <f>IFERROR(__xludf.DUMMYFUNCTION("IF(OR(C1136="""",M1136=""""),"""",IFERROR(IF(M1136="""","""",query('tbl user'!$A$2:$D1508,""SELECT A WHERE D = '""&amp;M1136&amp;""'"")),""USER TIDAK DIKETAHUI""))"),"")</f>
        <v/>
      </c>
    </row>
    <row r="1137">
      <c r="A1137" s="23"/>
      <c r="B1137" s="24" t="str">
        <f t="shared" si="4"/>
        <v/>
      </c>
      <c r="C1137" s="28"/>
      <c r="D1137" s="28"/>
      <c r="E1137" s="34"/>
      <c r="F1137" s="34"/>
      <c r="G1137" s="34"/>
      <c r="H1137" s="34"/>
      <c r="I1137" s="34"/>
      <c r="J1137" s="28" t="str">
        <f>IFERROR(__xludf.DUMMYFUNCTION("iferror(if(I1137="""","""",unique(query('tbl driver 2'!$K$2:$L1508,""SELECT L WHERE K = '""&amp;I1137&amp;""'""))),"""")"),"")</f>
        <v/>
      </c>
      <c r="K1137" s="31"/>
      <c r="L1137" s="39"/>
      <c r="M1137" s="39"/>
      <c r="N1137" s="28" t="str">
        <f>IFERROR(__xludf.DUMMYFUNCTION("IF(OR(C1137="""",M1137=""""),"""",IFERROR(IF(M1137="""","""",query('tbl user'!$A$2:$D1508,""SELECT A WHERE D = '""&amp;M1137&amp;""'"")),""USER TIDAK DIKETAHUI""))"),"")</f>
        <v/>
      </c>
    </row>
    <row r="1138">
      <c r="A1138" s="23"/>
      <c r="B1138" s="24" t="str">
        <f t="shared" si="4"/>
        <v/>
      </c>
      <c r="C1138" s="28"/>
      <c r="D1138" s="28"/>
      <c r="E1138" s="34"/>
      <c r="F1138" s="34"/>
      <c r="G1138" s="34"/>
      <c r="H1138" s="34"/>
      <c r="I1138" s="34"/>
      <c r="J1138" s="28" t="str">
        <f>IFERROR(__xludf.DUMMYFUNCTION("iferror(if(I1138="""","""",unique(query('tbl driver 2'!$K$2:$L1508,""SELECT L WHERE K = '""&amp;I1138&amp;""'""))),"""")"),"")</f>
        <v/>
      </c>
      <c r="K1138" s="31"/>
      <c r="L1138" s="39"/>
      <c r="M1138" s="39"/>
      <c r="N1138" s="28" t="str">
        <f>IFERROR(__xludf.DUMMYFUNCTION("IF(OR(C1138="""",M1138=""""),"""",IFERROR(IF(M1138="""","""",query('tbl user'!$A$2:$D1508,""SELECT A WHERE D = '""&amp;M1138&amp;""'"")),""USER TIDAK DIKETAHUI""))"),"")</f>
        <v/>
      </c>
    </row>
    <row r="1139">
      <c r="A1139" s="23"/>
      <c r="B1139" s="24" t="str">
        <f t="shared" si="4"/>
        <v/>
      </c>
      <c r="C1139" s="28"/>
      <c r="D1139" s="28"/>
      <c r="E1139" s="34"/>
      <c r="F1139" s="34"/>
      <c r="G1139" s="34"/>
      <c r="H1139" s="34"/>
      <c r="I1139" s="34"/>
      <c r="J1139" s="28" t="str">
        <f>IFERROR(__xludf.DUMMYFUNCTION("iferror(if(I1139="""","""",unique(query('tbl driver 2'!$K$2:$L1508,""SELECT L WHERE K = '""&amp;I1139&amp;""'""))),"""")"),"")</f>
        <v/>
      </c>
      <c r="K1139" s="31"/>
      <c r="L1139" s="39"/>
      <c r="M1139" s="39"/>
      <c r="N1139" s="28" t="str">
        <f>IFERROR(__xludf.DUMMYFUNCTION("IF(OR(C1139="""",M1139=""""),"""",IFERROR(IF(M1139="""","""",query('tbl user'!$A$2:$D1508,""SELECT A WHERE D = '""&amp;M1139&amp;""'"")),""USER TIDAK DIKETAHUI""))"),"")</f>
        <v/>
      </c>
    </row>
    <row r="1140">
      <c r="A1140" s="23"/>
      <c r="B1140" s="24" t="str">
        <f t="shared" si="4"/>
        <v/>
      </c>
      <c r="C1140" s="28"/>
      <c r="D1140" s="28"/>
      <c r="E1140" s="34"/>
      <c r="F1140" s="34"/>
      <c r="G1140" s="34"/>
      <c r="H1140" s="34"/>
      <c r="I1140" s="34"/>
      <c r="J1140" s="28" t="str">
        <f>IFERROR(__xludf.DUMMYFUNCTION("iferror(if(I1140="""","""",unique(query('tbl driver 2'!$K$2:$L1508,""SELECT L WHERE K = '""&amp;I1140&amp;""'""))),"""")"),"")</f>
        <v/>
      </c>
      <c r="K1140" s="31"/>
      <c r="L1140" s="39"/>
      <c r="M1140" s="39"/>
      <c r="N1140" s="28" t="str">
        <f>IFERROR(__xludf.DUMMYFUNCTION("IF(OR(C1140="""",M1140=""""),"""",IFERROR(IF(M1140="""","""",query('tbl user'!$A$2:$D1508,""SELECT A WHERE D = '""&amp;M1140&amp;""'"")),""USER TIDAK DIKETAHUI""))"),"")</f>
        <v/>
      </c>
    </row>
    <row r="1141">
      <c r="A1141" s="23"/>
      <c r="B1141" s="24" t="str">
        <f t="shared" si="4"/>
        <v/>
      </c>
      <c r="C1141" s="28"/>
      <c r="D1141" s="28"/>
      <c r="E1141" s="34"/>
      <c r="F1141" s="34"/>
      <c r="G1141" s="34"/>
      <c r="H1141" s="34"/>
      <c r="I1141" s="34"/>
      <c r="J1141" s="28" t="str">
        <f>IFERROR(__xludf.DUMMYFUNCTION("iferror(if(I1141="""","""",unique(query('tbl driver 2'!$K$2:$L1508,""SELECT L WHERE K = '""&amp;I1141&amp;""'""))),"""")"),"")</f>
        <v/>
      </c>
      <c r="K1141" s="31"/>
      <c r="L1141" s="39"/>
      <c r="M1141" s="39"/>
      <c r="N1141" s="28" t="str">
        <f>IFERROR(__xludf.DUMMYFUNCTION("IF(OR(C1141="""",M1141=""""),"""",IFERROR(IF(M1141="""","""",query('tbl user'!$A$2:$D1508,""SELECT A WHERE D = '""&amp;M1141&amp;""'"")),""USER TIDAK DIKETAHUI""))"),"")</f>
        <v/>
      </c>
    </row>
    <row r="1142">
      <c r="A1142" s="23"/>
      <c r="B1142" s="24" t="str">
        <f t="shared" si="4"/>
        <v/>
      </c>
      <c r="C1142" s="28"/>
      <c r="D1142" s="28"/>
      <c r="E1142" s="34"/>
      <c r="F1142" s="34"/>
      <c r="G1142" s="34"/>
      <c r="H1142" s="34"/>
      <c r="I1142" s="34"/>
      <c r="J1142" s="28" t="str">
        <f>IFERROR(__xludf.DUMMYFUNCTION("iferror(if(I1142="""","""",unique(query('tbl driver 2'!$K$2:$L1508,""SELECT L WHERE K = '""&amp;I1142&amp;""'""))),"""")"),"")</f>
        <v/>
      </c>
      <c r="K1142" s="31"/>
      <c r="L1142" s="39"/>
      <c r="M1142" s="39"/>
      <c r="N1142" s="28" t="str">
        <f>IFERROR(__xludf.DUMMYFUNCTION("IF(OR(C1142="""",M1142=""""),"""",IFERROR(IF(M1142="""","""",query('tbl user'!$A$2:$D1508,""SELECT A WHERE D = '""&amp;M1142&amp;""'"")),""USER TIDAK DIKETAHUI""))"),"")</f>
        <v/>
      </c>
    </row>
    <row r="1143">
      <c r="A1143" s="23"/>
      <c r="B1143" s="24" t="str">
        <f t="shared" si="4"/>
        <v/>
      </c>
      <c r="C1143" s="28"/>
      <c r="D1143" s="28"/>
      <c r="E1143" s="34"/>
      <c r="F1143" s="34"/>
      <c r="G1143" s="34"/>
      <c r="H1143" s="34"/>
      <c r="I1143" s="34"/>
      <c r="J1143" s="28" t="str">
        <f>IFERROR(__xludf.DUMMYFUNCTION("iferror(if(I1143="""","""",unique(query('tbl driver 2'!$K$2:$L1508,""SELECT L WHERE K = '""&amp;I1143&amp;""'""))),"""")"),"")</f>
        <v/>
      </c>
      <c r="K1143" s="31"/>
      <c r="L1143" s="39"/>
      <c r="M1143" s="39"/>
      <c r="N1143" s="28" t="str">
        <f>IFERROR(__xludf.DUMMYFUNCTION("IF(OR(C1143="""",M1143=""""),"""",IFERROR(IF(M1143="""","""",query('tbl user'!$A$2:$D1508,""SELECT A WHERE D = '""&amp;M1143&amp;""'"")),""USER TIDAK DIKETAHUI""))"),"")</f>
        <v/>
      </c>
    </row>
    <row r="1144">
      <c r="A1144" s="23"/>
      <c r="B1144" s="24" t="str">
        <f t="shared" si="4"/>
        <v/>
      </c>
      <c r="C1144" s="28"/>
      <c r="D1144" s="28"/>
      <c r="E1144" s="34"/>
      <c r="F1144" s="34"/>
      <c r="G1144" s="34"/>
      <c r="H1144" s="34"/>
      <c r="I1144" s="34"/>
      <c r="J1144" s="28" t="str">
        <f>IFERROR(__xludf.DUMMYFUNCTION("iferror(if(I1144="""","""",unique(query('tbl driver 2'!$K$2:$L1508,""SELECT L WHERE K = '""&amp;I1144&amp;""'""))),"""")"),"")</f>
        <v/>
      </c>
      <c r="K1144" s="31"/>
      <c r="L1144" s="39"/>
      <c r="M1144" s="39"/>
      <c r="N1144" s="28" t="str">
        <f>IFERROR(__xludf.DUMMYFUNCTION("IF(OR(C1144="""",M1144=""""),"""",IFERROR(IF(M1144="""","""",query('tbl user'!$A$2:$D1508,""SELECT A WHERE D = '""&amp;M1144&amp;""'"")),""USER TIDAK DIKETAHUI""))"),"")</f>
        <v/>
      </c>
    </row>
    <row r="1145">
      <c r="A1145" s="23"/>
      <c r="B1145" s="24" t="str">
        <f t="shared" si="4"/>
        <v/>
      </c>
      <c r="C1145" s="28"/>
      <c r="D1145" s="28"/>
      <c r="E1145" s="34"/>
      <c r="F1145" s="34"/>
      <c r="G1145" s="34"/>
      <c r="H1145" s="34"/>
      <c r="I1145" s="34"/>
      <c r="J1145" s="28" t="str">
        <f>IFERROR(__xludf.DUMMYFUNCTION("iferror(if(I1145="""","""",unique(query('tbl driver 2'!$K$2:$L1508,""SELECT L WHERE K = '""&amp;I1145&amp;""'""))),"""")"),"")</f>
        <v/>
      </c>
      <c r="K1145" s="31"/>
      <c r="L1145" s="39"/>
      <c r="M1145" s="39"/>
      <c r="N1145" s="28" t="str">
        <f>IFERROR(__xludf.DUMMYFUNCTION("IF(OR(C1145="""",M1145=""""),"""",IFERROR(IF(M1145="""","""",query('tbl user'!$A$2:$D1508,""SELECT A WHERE D = '""&amp;M1145&amp;""'"")),""USER TIDAK DIKETAHUI""))"),"")</f>
        <v/>
      </c>
    </row>
    <row r="1146">
      <c r="A1146" s="23"/>
      <c r="B1146" s="24" t="str">
        <f t="shared" si="4"/>
        <v/>
      </c>
      <c r="C1146" s="28"/>
      <c r="D1146" s="28"/>
      <c r="E1146" s="34"/>
      <c r="F1146" s="34"/>
      <c r="G1146" s="34"/>
      <c r="H1146" s="34"/>
      <c r="I1146" s="34"/>
      <c r="J1146" s="28" t="str">
        <f>IFERROR(__xludf.DUMMYFUNCTION("iferror(if(I1146="""","""",unique(query('tbl driver 2'!$K$2:$L1508,""SELECT L WHERE K = '""&amp;I1146&amp;""'""))),"""")"),"")</f>
        <v/>
      </c>
      <c r="K1146" s="31"/>
      <c r="L1146" s="39"/>
      <c r="M1146" s="39"/>
      <c r="N1146" s="28" t="str">
        <f>IFERROR(__xludf.DUMMYFUNCTION("IF(OR(C1146="""",M1146=""""),"""",IFERROR(IF(M1146="""","""",query('tbl user'!$A$2:$D1508,""SELECT A WHERE D = '""&amp;M1146&amp;""'"")),""USER TIDAK DIKETAHUI""))"),"")</f>
        <v/>
      </c>
    </row>
    <row r="1147">
      <c r="A1147" s="23"/>
      <c r="B1147" s="24" t="str">
        <f t="shared" si="4"/>
        <v/>
      </c>
      <c r="C1147" s="28"/>
      <c r="D1147" s="28"/>
      <c r="E1147" s="34"/>
      <c r="F1147" s="34"/>
      <c r="G1147" s="34"/>
      <c r="H1147" s="34"/>
      <c r="I1147" s="34"/>
      <c r="J1147" s="28" t="str">
        <f>IFERROR(__xludf.DUMMYFUNCTION("iferror(if(I1147="""","""",unique(query('tbl driver 2'!$K$2:$L1508,""SELECT L WHERE K = '""&amp;I1147&amp;""'""))),"""")"),"")</f>
        <v/>
      </c>
      <c r="K1147" s="31"/>
      <c r="L1147" s="39"/>
      <c r="M1147" s="39"/>
      <c r="N1147" s="28" t="str">
        <f>IFERROR(__xludf.DUMMYFUNCTION("IF(OR(C1147="""",M1147=""""),"""",IFERROR(IF(M1147="""","""",query('tbl user'!$A$2:$D1508,""SELECT A WHERE D = '""&amp;M1147&amp;""'"")),""USER TIDAK DIKETAHUI""))"),"")</f>
        <v/>
      </c>
    </row>
    <row r="1148">
      <c r="A1148" s="23"/>
      <c r="B1148" s="24" t="str">
        <f t="shared" si="4"/>
        <v/>
      </c>
      <c r="C1148" s="28"/>
      <c r="D1148" s="28"/>
      <c r="E1148" s="34"/>
      <c r="F1148" s="34"/>
      <c r="G1148" s="34"/>
      <c r="H1148" s="34"/>
      <c r="I1148" s="34"/>
      <c r="J1148" s="28" t="str">
        <f>IFERROR(__xludf.DUMMYFUNCTION("iferror(if(I1148="""","""",unique(query('tbl driver 2'!$K$2:$L1508,""SELECT L WHERE K = '""&amp;I1148&amp;""'""))),"""")"),"")</f>
        <v/>
      </c>
      <c r="K1148" s="31"/>
      <c r="L1148" s="39"/>
      <c r="M1148" s="39"/>
      <c r="N1148" s="28" t="str">
        <f>IFERROR(__xludf.DUMMYFUNCTION("IF(OR(C1148="""",M1148=""""),"""",IFERROR(IF(M1148="""","""",query('tbl user'!$A$2:$D1508,""SELECT A WHERE D = '""&amp;M1148&amp;""'"")),""USER TIDAK DIKETAHUI""))"),"")</f>
        <v/>
      </c>
    </row>
    <row r="1149">
      <c r="A1149" s="23"/>
      <c r="B1149" s="24" t="str">
        <f t="shared" si="4"/>
        <v/>
      </c>
      <c r="C1149" s="28"/>
      <c r="D1149" s="28"/>
      <c r="E1149" s="34"/>
      <c r="F1149" s="34"/>
      <c r="G1149" s="34"/>
      <c r="H1149" s="34"/>
      <c r="I1149" s="34"/>
      <c r="J1149" s="28" t="str">
        <f>IFERROR(__xludf.DUMMYFUNCTION("iferror(if(I1149="""","""",unique(query('tbl driver 2'!$K$2:$L1508,""SELECT L WHERE K = '""&amp;I1149&amp;""'""))),"""")"),"")</f>
        <v/>
      </c>
      <c r="K1149" s="31"/>
      <c r="L1149" s="39"/>
      <c r="M1149" s="39"/>
      <c r="N1149" s="28" t="str">
        <f>IFERROR(__xludf.DUMMYFUNCTION("IF(OR(C1149="""",M1149=""""),"""",IFERROR(IF(M1149="""","""",query('tbl user'!$A$2:$D1508,""SELECT A WHERE D = '""&amp;M1149&amp;""'"")),""USER TIDAK DIKETAHUI""))"),"")</f>
        <v/>
      </c>
    </row>
    <row r="1150">
      <c r="A1150" s="23"/>
      <c r="B1150" s="24" t="str">
        <f t="shared" si="4"/>
        <v/>
      </c>
      <c r="C1150" s="28"/>
      <c r="D1150" s="28"/>
      <c r="E1150" s="34"/>
      <c r="F1150" s="34"/>
      <c r="G1150" s="34"/>
      <c r="H1150" s="34"/>
      <c r="I1150" s="34"/>
      <c r="J1150" s="28" t="str">
        <f>IFERROR(__xludf.DUMMYFUNCTION("iferror(if(I1150="""","""",unique(query('tbl driver 2'!$K$2:$L1508,""SELECT L WHERE K = '""&amp;I1150&amp;""'""))),"""")"),"")</f>
        <v/>
      </c>
      <c r="K1150" s="31"/>
      <c r="L1150" s="39"/>
      <c r="M1150" s="39"/>
      <c r="N1150" s="28" t="str">
        <f>IFERROR(__xludf.DUMMYFUNCTION("IF(OR(C1150="""",M1150=""""),"""",IFERROR(IF(M1150="""","""",query('tbl user'!$A$2:$D1508,""SELECT A WHERE D = '""&amp;M1150&amp;""'"")),""USER TIDAK DIKETAHUI""))"),"")</f>
        <v/>
      </c>
    </row>
    <row r="1151">
      <c r="A1151" s="23"/>
      <c r="B1151" s="24" t="str">
        <f t="shared" si="4"/>
        <v/>
      </c>
      <c r="C1151" s="28"/>
      <c r="D1151" s="28"/>
      <c r="E1151" s="34"/>
      <c r="F1151" s="34"/>
      <c r="G1151" s="34"/>
      <c r="H1151" s="34"/>
      <c r="I1151" s="34"/>
      <c r="J1151" s="28" t="str">
        <f>IFERROR(__xludf.DUMMYFUNCTION("iferror(if(I1151="""","""",unique(query('tbl driver 2'!$K$2:$L1508,""SELECT L WHERE K = '""&amp;I1151&amp;""'""))),"""")"),"")</f>
        <v/>
      </c>
      <c r="K1151" s="31"/>
      <c r="L1151" s="39"/>
      <c r="M1151" s="39"/>
      <c r="N1151" s="28" t="str">
        <f>IFERROR(__xludf.DUMMYFUNCTION("IF(OR(C1151="""",M1151=""""),"""",IFERROR(IF(M1151="""","""",query('tbl user'!$A$2:$D1508,""SELECT A WHERE D = '""&amp;M1151&amp;""'"")),""USER TIDAK DIKETAHUI""))"),"")</f>
        <v/>
      </c>
    </row>
    <row r="1152">
      <c r="A1152" s="23"/>
      <c r="B1152" s="24" t="str">
        <f t="shared" si="4"/>
        <v/>
      </c>
      <c r="C1152" s="28"/>
      <c r="D1152" s="28"/>
      <c r="E1152" s="34"/>
      <c r="F1152" s="34"/>
      <c r="G1152" s="34"/>
      <c r="H1152" s="34"/>
      <c r="I1152" s="34"/>
      <c r="J1152" s="28" t="str">
        <f>IFERROR(__xludf.DUMMYFUNCTION("iferror(if(I1152="""","""",unique(query('tbl driver 2'!$K$2:$L1508,""SELECT L WHERE K = '""&amp;I1152&amp;""'""))),"""")"),"")</f>
        <v/>
      </c>
      <c r="K1152" s="31"/>
      <c r="L1152" s="39"/>
      <c r="M1152" s="39"/>
      <c r="N1152" s="28" t="str">
        <f>IFERROR(__xludf.DUMMYFUNCTION("IF(OR(C1152="""",M1152=""""),"""",IFERROR(IF(M1152="""","""",query('tbl user'!$A$2:$D1508,""SELECT A WHERE D = '""&amp;M1152&amp;""'"")),""USER TIDAK DIKETAHUI""))"),"")</f>
        <v/>
      </c>
    </row>
    <row r="1153">
      <c r="A1153" s="23"/>
      <c r="B1153" s="24" t="str">
        <f t="shared" si="4"/>
        <v/>
      </c>
      <c r="C1153" s="28"/>
      <c r="D1153" s="28"/>
      <c r="E1153" s="34"/>
      <c r="F1153" s="34"/>
      <c r="G1153" s="34"/>
      <c r="H1153" s="34"/>
      <c r="I1153" s="34"/>
      <c r="J1153" s="28" t="str">
        <f>IFERROR(__xludf.DUMMYFUNCTION("iferror(if(I1153="""","""",unique(query('tbl driver 2'!$K$2:$L1508,""SELECT L WHERE K = '""&amp;I1153&amp;""'""))),"""")"),"")</f>
        <v/>
      </c>
      <c r="K1153" s="31"/>
      <c r="L1153" s="39"/>
      <c r="M1153" s="39"/>
      <c r="N1153" s="28" t="str">
        <f>IFERROR(__xludf.DUMMYFUNCTION("IF(OR(C1153="""",M1153=""""),"""",IFERROR(IF(M1153="""","""",query('tbl user'!$A$2:$D1508,""SELECT A WHERE D = '""&amp;M1153&amp;""'"")),""USER TIDAK DIKETAHUI""))"),"")</f>
        <v/>
      </c>
    </row>
    <row r="1154">
      <c r="A1154" s="23"/>
      <c r="B1154" s="24" t="str">
        <f t="shared" si="4"/>
        <v/>
      </c>
      <c r="C1154" s="28"/>
      <c r="D1154" s="28"/>
      <c r="E1154" s="34"/>
      <c r="F1154" s="34"/>
      <c r="G1154" s="34"/>
      <c r="H1154" s="34"/>
      <c r="I1154" s="34"/>
      <c r="J1154" s="28" t="str">
        <f>IFERROR(__xludf.DUMMYFUNCTION("iferror(if(I1154="""","""",unique(query('tbl driver 2'!$K$2:$L1508,""SELECT L WHERE K = '""&amp;I1154&amp;""'""))),"""")"),"")</f>
        <v/>
      </c>
      <c r="K1154" s="31"/>
      <c r="L1154" s="39"/>
      <c r="M1154" s="39"/>
      <c r="N1154" s="28" t="str">
        <f>IFERROR(__xludf.DUMMYFUNCTION("IF(OR(C1154="""",M1154=""""),"""",IFERROR(IF(M1154="""","""",query('tbl user'!$A$2:$D1508,""SELECT A WHERE D = '""&amp;M1154&amp;""'"")),""USER TIDAK DIKETAHUI""))"),"")</f>
        <v/>
      </c>
    </row>
    <row r="1155">
      <c r="A1155" s="23"/>
      <c r="B1155" s="24" t="str">
        <f t="shared" si="4"/>
        <v/>
      </c>
      <c r="C1155" s="28"/>
      <c r="D1155" s="28"/>
      <c r="E1155" s="34"/>
      <c r="F1155" s="34"/>
      <c r="G1155" s="34"/>
      <c r="H1155" s="34"/>
      <c r="I1155" s="34"/>
      <c r="J1155" s="28" t="str">
        <f>IFERROR(__xludf.DUMMYFUNCTION("iferror(if(I1155="""","""",unique(query('tbl driver 2'!$K$2:$L1508,""SELECT L WHERE K = '""&amp;I1155&amp;""'""))),"""")"),"")</f>
        <v/>
      </c>
      <c r="K1155" s="31"/>
      <c r="L1155" s="39"/>
      <c r="M1155" s="39"/>
      <c r="N1155" s="28" t="str">
        <f>IFERROR(__xludf.DUMMYFUNCTION("IF(OR(C1155="""",M1155=""""),"""",IFERROR(IF(M1155="""","""",query('tbl user'!$A$2:$D1508,""SELECT A WHERE D = '""&amp;M1155&amp;""'"")),""USER TIDAK DIKETAHUI""))"),"")</f>
        <v/>
      </c>
    </row>
    <row r="1156">
      <c r="A1156" s="23"/>
      <c r="B1156" s="24" t="str">
        <f t="shared" si="4"/>
        <v/>
      </c>
      <c r="C1156" s="28"/>
      <c r="D1156" s="28"/>
      <c r="E1156" s="34"/>
      <c r="F1156" s="34"/>
      <c r="G1156" s="34"/>
      <c r="H1156" s="34"/>
      <c r="I1156" s="34"/>
      <c r="J1156" s="28" t="str">
        <f>IFERROR(__xludf.DUMMYFUNCTION("iferror(if(I1156="""","""",unique(query('tbl driver 2'!$K$2:$L1508,""SELECT L WHERE K = '""&amp;I1156&amp;""'""))),"""")"),"")</f>
        <v/>
      </c>
      <c r="K1156" s="31"/>
      <c r="L1156" s="39"/>
      <c r="M1156" s="39"/>
      <c r="N1156" s="28" t="str">
        <f>IFERROR(__xludf.DUMMYFUNCTION("IF(OR(C1156="""",M1156=""""),"""",IFERROR(IF(M1156="""","""",query('tbl user'!$A$2:$D1508,""SELECT A WHERE D = '""&amp;M1156&amp;""'"")),""USER TIDAK DIKETAHUI""))"),"")</f>
        <v/>
      </c>
    </row>
    <row r="1157">
      <c r="A1157" s="23"/>
      <c r="B1157" s="24" t="str">
        <f t="shared" si="4"/>
        <v/>
      </c>
      <c r="C1157" s="28"/>
      <c r="D1157" s="28"/>
      <c r="E1157" s="34"/>
      <c r="F1157" s="34"/>
      <c r="G1157" s="34"/>
      <c r="H1157" s="34"/>
      <c r="I1157" s="34"/>
      <c r="J1157" s="28" t="str">
        <f>IFERROR(__xludf.DUMMYFUNCTION("iferror(if(I1157="""","""",unique(query('tbl driver 2'!$K$2:$L1508,""SELECT L WHERE K = '""&amp;I1157&amp;""'""))),"""")"),"")</f>
        <v/>
      </c>
      <c r="K1157" s="31"/>
      <c r="L1157" s="39"/>
      <c r="M1157" s="39"/>
      <c r="N1157" s="28" t="str">
        <f>IFERROR(__xludf.DUMMYFUNCTION("IF(OR(C1157="""",M1157=""""),"""",IFERROR(IF(M1157="""","""",query('tbl user'!$A$2:$D1508,""SELECT A WHERE D = '""&amp;M1157&amp;""'"")),""USER TIDAK DIKETAHUI""))"),"")</f>
        <v/>
      </c>
    </row>
    <row r="1158">
      <c r="A1158" s="23"/>
      <c r="B1158" s="24" t="str">
        <f t="shared" si="4"/>
        <v/>
      </c>
      <c r="C1158" s="28"/>
      <c r="D1158" s="28"/>
      <c r="E1158" s="34"/>
      <c r="F1158" s="34"/>
      <c r="G1158" s="34"/>
      <c r="H1158" s="34"/>
      <c r="I1158" s="34"/>
      <c r="J1158" s="28" t="str">
        <f>IFERROR(__xludf.DUMMYFUNCTION("iferror(if(I1158="""","""",unique(query('tbl driver 2'!$K$2:$L1508,""SELECT L WHERE K = '""&amp;I1158&amp;""'""))),"""")"),"")</f>
        <v/>
      </c>
      <c r="K1158" s="31"/>
      <c r="L1158" s="39"/>
      <c r="M1158" s="39"/>
      <c r="N1158" s="28" t="str">
        <f>IFERROR(__xludf.DUMMYFUNCTION("IF(OR(C1158="""",M1158=""""),"""",IFERROR(IF(M1158="""","""",query('tbl user'!$A$2:$D1508,""SELECT A WHERE D = '""&amp;M1158&amp;""'"")),""USER TIDAK DIKETAHUI""))"),"")</f>
        <v/>
      </c>
    </row>
    <row r="1159">
      <c r="A1159" s="23"/>
      <c r="B1159" s="24" t="str">
        <f t="shared" si="4"/>
        <v/>
      </c>
      <c r="C1159" s="28"/>
      <c r="D1159" s="28"/>
      <c r="E1159" s="34"/>
      <c r="F1159" s="34"/>
      <c r="G1159" s="34"/>
      <c r="H1159" s="34"/>
      <c r="I1159" s="34"/>
      <c r="J1159" s="28" t="str">
        <f>IFERROR(__xludf.DUMMYFUNCTION("iferror(if(I1159="""","""",unique(query('tbl driver 2'!$K$2:$L1508,""SELECT L WHERE K = '""&amp;I1159&amp;""'""))),"""")"),"")</f>
        <v/>
      </c>
      <c r="K1159" s="31"/>
      <c r="L1159" s="39"/>
      <c r="M1159" s="39"/>
      <c r="N1159" s="28" t="str">
        <f>IFERROR(__xludf.DUMMYFUNCTION("IF(OR(C1159="""",M1159=""""),"""",IFERROR(IF(M1159="""","""",query('tbl user'!$A$2:$D1508,""SELECT A WHERE D = '""&amp;M1159&amp;""'"")),""USER TIDAK DIKETAHUI""))"),"")</f>
        <v/>
      </c>
    </row>
    <row r="1160">
      <c r="A1160" s="23"/>
      <c r="B1160" s="24" t="str">
        <f t="shared" si="4"/>
        <v/>
      </c>
      <c r="C1160" s="28"/>
      <c r="D1160" s="28"/>
      <c r="E1160" s="34"/>
      <c r="F1160" s="34"/>
      <c r="G1160" s="34"/>
      <c r="H1160" s="34"/>
      <c r="I1160" s="34"/>
      <c r="J1160" s="28" t="str">
        <f>IFERROR(__xludf.DUMMYFUNCTION("iferror(if(I1160="""","""",unique(query('tbl driver 2'!$K$2:$L1508,""SELECT L WHERE K = '""&amp;I1160&amp;""'""))),"""")"),"")</f>
        <v/>
      </c>
      <c r="K1160" s="31"/>
      <c r="L1160" s="39"/>
      <c r="M1160" s="39"/>
      <c r="N1160" s="28" t="str">
        <f>IFERROR(__xludf.DUMMYFUNCTION("IF(OR(C1160="""",M1160=""""),"""",IFERROR(IF(M1160="""","""",query('tbl user'!$A$2:$D1508,""SELECT A WHERE D = '""&amp;M1160&amp;""'"")),""USER TIDAK DIKETAHUI""))"),"")</f>
        <v/>
      </c>
    </row>
    <row r="1161">
      <c r="A1161" s="23"/>
      <c r="B1161" s="24" t="str">
        <f t="shared" si="4"/>
        <v/>
      </c>
      <c r="C1161" s="28"/>
      <c r="D1161" s="28"/>
      <c r="E1161" s="34"/>
      <c r="F1161" s="34"/>
      <c r="G1161" s="34"/>
      <c r="H1161" s="34"/>
      <c r="I1161" s="34"/>
      <c r="J1161" s="28" t="str">
        <f>IFERROR(__xludf.DUMMYFUNCTION("iferror(if(I1161="""","""",unique(query('tbl driver 2'!$K$2:$L1508,""SELECT L WHERE K = '""&amp;I1161&amp;""'""))),"""")"),"")</f>
        <v/>
      </c>
      <c r="K1161" s="31"/>
      <c r="L1161" s="39"/>
      <c r="M1161" s="39"/>
      <c r="N1161" s="28" t="str">
        <f>IFERROR(__xludf.DUMMYFUNCTION("IF(OR(C1161="""",M1161=""""),"""",IFERROR(IF(M1161="""","""",query('tbl user'!$A$2:$D1508,""SELECT A WHERE D = '""&amp;M1161&amp;""'"")),""USER TIDAK DIKETAHUI""))"),"")</f>
        <v/>
      </c>
    </row>
    <row r="1162">
      <c r="A1162" s="23"/>
      <c r="B1162" s="24" t="str">
        <f t="shared" si="4"/>
        <v/>
      </c>
      <c r="C1162" s="28"/>
      <c r="D1162" s="28"/>
      <c r="E1162" s="34"/>
      <c r="F1162" s="34"/>
      <c r="G1162" s="34"/>
      <c r="H1162" s="34"/>
      <c r="I1162" s="34"/>
      <c r="J1162" s="28" t="str">
        <f>IFERROR(__xludf.DUMMYFUNCTION("iferror(if(I1162="""","""",unique(query('tbl driver 2'!$K$2:$L1508,""SELECT L WHERE K = '""&amp;I1162&amp;""'""))),"""")"),"")</f>
        <v/>
      </c>
      <c r="K1162" s="31"/>
      <c r="L1162" s="39"/>
      <c r="M1162" s="39"/>
      <c r="N1162" s="28" t="str">
        <f>IFERROR(__xludf.DUMMYFUNCTION("IF(OR(C1162="""",M1162=""""),"""",IFERROR(IF(M1162="""","""",query('tbl user'!$A$2:$D1508,""SELECT A WHERE D = '""&amp;M1162&amp;""'"")),""USER TIDAK DIKETAHUI""))"),"")</f>
        <v/>
      </c>
    </row>
    <row r="1163">
      <c r="A1163" s="23"/>
      <c r="B1163" s="24" t="str">
        <f t="shared" si="4"/>
        <v/>
      </c>
      <c r="C1163" s="28"/>
      <c r="D1163" s="28"/>
      <c r="E1163" s="34"/>
      <c r="F1163" s="34"/>
      <c r="G1163" s="34"/>
      <c r="H1163" s="34"/>
      <c r="I1163" s="34"/>
      <c r="J1163" s="28" t="str">
        <f>IFERROR(__xludf.DUMMYFUNCTION("iferror(if(I1163="""","""",unique(query('tbl driver 2'!$K$2:$L1508,""SELECT L WHERE K = '""&amp;I1163&amp;""'""))),"""")"),"")</f>
        <v/>
      </c>
      <c r="K1163" s="31"/>
      <c r="L1163" s="39"/>
      <c r="M1163" s="39"/>
      <c r="N1163" s="28" t="str">
        <f>IFERROR(__xludf.DUMMYFUNCTION("IF(OR(C1163="""",M1163=""""),"""",IFERROR(IF(M1163="""","""",query('tbl user'!$A$2:$D1508,""SELECT A WHERE D = '""&amp;M1163&amp;""'"")),""USER TIDAK DIKETAHUI""))"),"")</f>
        <v/>
      </c>
    </row>
    <row r="1164">
      <c r="A1164" s="23"/>
      <c r="B1164" s="24" t="str">
        <f t="shared" si="4"/>
        <v/>
      </c>
      <c r="C1164" s="28"/>
      <c r="D1164" s="28"/>
      <c r="E1164" s="34"/>
      <c r="F1164" s="34"/>
      <c r="G1164" s="34"/>
      <c r="H1164" s="34"/>
      <c r="I1164" s="34"/>
      <c r="J1164" s="28" t="str">
        <f>IFERROR(__xludf.DUMMYFUNCTION("iferror(if(I1164="""","""",unique(query('tbl driver 2'!$K$2:$L1508,""SELECT L WHERE K = '""&amp;I1164&amp;""'""))),"""")"),"")</f>
        <v/>
      </c>
      <c r="K1164" s="31"/>
      <c r="L1164" s="39"/>
      <c r="M1164" s="39"/>
      <c r="N1164" s="28" t="str">
        <f>IFERROR(__xludf.DUMMYFUNCTION("IF(OR(C1164="""",M1164=""""),"""",IFERROR(IF(M1164="""","""",query('tbl user'!$A$2:$D1508,""SELECT A WHERE D = '""&amp;M1164&amp;""'"")),""USER TIDAK DIKETAHUI""))"),"")</f>
        <v/>
      </c>
    </row>
    <row r="1165">
      <c r="A1165" s="23"/>
      <c r="B1165" s="24" t="str">
        <f t="shared" si="4"/>
        <v/>
      </c>
      <c r="C1165" s="28"/>
      <c r="D1165" s="28"/>
      <c r="E1165" s="34"/>
      <c r="F1165" s="34"/>
      <c r="G1165" s="34"/>
      <c r="H1165" s="34"/>
      <c r="I1165" s="34"/>
      <c r="J1165" s="28" t="str">
        <f>IFERROR(__xludf.DUMMYFUNCTION("iferror(if(I1165="""","""",unique(query('tbl driver 2'!$K$2:$L1508,""SELECT L WHERE K = '""&amp;I1165&amp;""'""))),"""")"),"")</f>
        <v/>
      </c>
      <c r="K1165" s="31"/>
      <c r="L1165" s="39"/>
      <c r="M1165" s="39"/>
      <c r="N1165" s="28" t="str">
        <f>IFERROR(__xludf.DUMMYFUNCTION("IF(OR(C1165="""",M1165=""""),"""",IFERROR(IF(M1165="""","""",query('tbl user'!$A$2:$D1508,""SELECT A WHERE D = '""&amp;M1165&amp;""'"")),""USER TIDAK DIKETAHUI""))"),"")</f>
        <v/>
      </c>
    </row>
    <row r="1166">
      <c r="A1166" s="23"/>
      <c r="B1166" s="24" t="str">
        <f t="shared" si="4"/>
        <v/>
      </c>
      <c r="C1166" s="28"/>
      <c r="D1166" s="28"/>
      <c r="E1166" s="34"/>
      <c r="F1166" s="34"/>
      <c r="G1166" s="34"/>
      <c r="H1166" s="34"/>
      <c r="I1166" s="34"/>
      <c r="J1166" s="28" t="str">
        <f>IFERROR(__xludf.DUMMYFUNCTION("iferror(if(I1166="""","""",unique(query('tbl driver 2'!$K$2:$L1508,""SELECT L WHERE K = '""&amp;I1166&amp;""'""))),"""")"),"")</f>
        <v/>
      </c>
      <c r="K1166" s="31"/>
      <c r="L1166" s="39"/>
      <c r="M1166" s="39"/>
      <c r="N1166" s="28" t="str">
        <f>IFERROR(__xludf.DUMMYFUNCTION("IF(OR(C1166="""",M1166=""""),"""",IFERROR(IF(M1166="""","""",query('tbl user'!$A$2:$D1508,""SELECT A WHERE D = '""&amp;M1166&amp;""'"")),""USER TIDAK DIKETAHUI""))"),"")</f>
        <v/>
      </c>
    </row>
    <row r="1167">
      <c r="A1167" s="23"/>
      <c r="B1167" s="24" t="str">
        <f t="shared" si="4"/>
        <v/>
      </c>
      <c r="C1167" s="28"/>
      <c r="D1167" s="28"/>
      <c r="E1167" s="34"/>
      <c r="F1167" s="34"/>
      <c r="G1167" s="34"/>
      <c r="H1167" s="34"/>
      <c r="I1167" s="34"/>
      <c r="J1167" s="28" t="str">
        <f>IFERROR(__xludf.DUMMYFUNCTION("iferror(if(I1167="""","""",unique(query('tbl driver 2'!$K$2:$L1508,""SELECT L WHERE K = '""&amp;I1167&amp;""'""))),"""")"),"")</f>
        <v/>
      </c>
      <c r="K1167" s="31"/>
      <c r="L1167" s="39"/>
      <c r="M1167" s="39"/>
      <c r="N1167" s="28" t="str">
        <f>IFERROR(__xludf.DUMMYFUNCTION("IF(OR(C1167="""",M1167=""""),"""",IFERROR(IF(M1167="""","""",query('tbl user'!$A$2:$D1508,""SELECT A WHERE D = '""&amp;M1167&amp;""'"")),""USER TIDAK DIKETAHUI""))"),"")</f>
        <v/>
      </c>
    </row>
    <row r="1168">
      <c r="A1168" s="23"/>
      <c r="B1168" s="24" t="str">
        <f t="shared" si="4"/>
        <v/>
      </c>
      <c r="C1168" s="28"/>
      <c r="D1168" s="28"/>
      <c r="E1168" s="34"/>
      <c r="F1168" s="34"/>
      <c r="G1168" s="34"/>
      <c r="H1168" s="34"/>
      <c r="I1168" s="34"/>
      <c r="J1168" s="28" t="str">
        <f>IFERROR(__xludf.DUMMYFUNCTION("iferror(if(I1168="""","""",unique(query('tbl driver 2'!$K$2:$L1508,""SELECT L WHERE K = '""&amp;I1168&amp;""'""))),"""")"),"")</f>
        <v/>
      </c>
      <c r="K1168" s="31"/>
      <c r="L1168" s="39"/>
      <c r="M1168" s="39"/>
      <c r="N1168" s="28" t="str">
        <f>IFERROR(__xludf.DUMMYFUNCTION("IF(OR(C1168="""",M1168=""""),"""",IFERROR(IF(M1168="""","""",query('tbl user'!$A$2:$D1508,""SELECT A WHERE D = '""&amp;M1168&amp;""'"")),""USER TIDAK DIKETAHUI""))"),"")</f>
        <v/>
      </c>
    </row>
    <row r="1169">
      <c r="A1169" s="23"/>
      <c r="B1169" s="24" t="str">
        <f t="shared" si="4"/>
        <v/>
      </c>
      <c r="C1169" s="28"/>
      <c r="D1169" s="28"/>
      <c r="E1169" s="34"/>
      <c r="F1169" s="34"/>
      <c r="G1169" s="34"/>
      <c r="H1169" s="34"/>
      <c r="I1169" s="34"/>
      <c r="J1169" s="28" t="str">
        <f>IFERROR(__xludf.DUMMYFUNCTION("iferror(if(I1169="""","""",unique(query('tbl driver 2'!$K$2:$L1508,""SELECT L WHERE K = '""&amp;I1169&amp;""'""))),"""")"),"")</f>
        <v/>
      </c>
      <c r="K1169" s="31"/>
      <c r="L1169" s="39"/>
      <c r="M1169" s="39"/>
      <c r="N1169" s="28" t="str">
        <f>IFERROR(__xludf.DUMMYFUNCTION("IF(OR(C1169="""",M1169=""""),"""",IFERROR(IF(M1169="""","""",query('tbl user'!$A$2:$D1508,""SELECT A WHERE D = '""&amp;M1169&amp;""'"")),""USER TIDAK DIKETAHUI""))"),"")</f>
        <v/>
      </c>
    </row>
    <row r="1170">
      <c r="A1170" s="23"/>
      <c r="B1170" s="24" t="str">
        <f t="shared" si="4"/>
        <v/>
      </c>
      <c r="C1170" s="28"/>
      <c r="D1170" s="28"/>
      <c r="E1170" s="34"/>
      <c r="F1170" s="34"/>
      <c r="G1170" s="34"/>
      <c r="H1170" s="34"/>
      <c r="I1170" s="34"/>
      <c r="J1170" s="28" t="str">
        <f>IFERROR(__xludf.DUMMYFUNCTION("iferror(if(I1170="""","""",unique(query('tbl driver 2'!$K$2:$L1508,""SELECT L WHERE K = '""&amp;I1170&amp;""'""))),"""")"),"")</f>
        <v/>
      </c>
      <c r="K1170" s="31"/>
      <c r="L1170" s="39"/>
      <c r="M1170" s="39"/>
      <c r="N1170" s="28" t="str">
        <f>IFERROR(__xludf.DUMMYFUNCTION("IF(OR(C1170="""",M1170=""""),"""",IFERROR(IF(M1170="""","""",query('tbl user'!$A$2:$D1508,""SELECT A WHERE D = '""&amp;M1170&amp;""'"")),""USER TIDAK DIKETAHUI""))"),"")</f>
        <v/>
      </c>
    </row>
    <row r="1171">
      <c r="A1171" s="23"/>
      <c r="B1171" s="24" t="str">
        <f t="shared" si="4"/>
        <v/>
      </c>
      <c r="C1171" s="28"/>
      <c r="D1171" s="28"/>
      <c r="E1171" s="34"/>
      <c r="F1171" s="34"/>
      <c r="G1171" s="34"/>
      <c r="H1171" s="34"/>
      <c r="I1171" s="34"/>
      <c r="J1171" s="28" t="str">
        <f>IFERROR(__xludf.DUMMYFUNCTION("iferror(if(I1171="""","""",unique(query('tbl driver 2'!$K$2:$L1508,""SELECT L WHERE K = '""&amp;I1171&amp;""'""))),"""")"),"")</f>
        <v/>
      </c>
      <c r="K1171" s="31"/>
      <c r="L1171" s="39"/>
      <c r="M1171" s="39"/>
      <c r="N1171" s="28" t="str">
        <f>IFERROR(__xludf.DUMMYFUNCTION("IF(OR(C1171="""",M1171=""""),"""",IFERROR(IF(M1171="""","""",query('tbl user'!$A$2:$D1508,""SELECT A WHERE D = '""&amp;M1171&amp;""'"")),""USER TIDAK DIKETAHUI""))"),"")</f>
        <v/>
      </c>
    </row>
    <row r="1172">
      <c r="A1172" s="23"/>
      <c r="B1172" s="24" t="str">
        <f t="shared" si="4"/>
        <v/>
      </c>
      <c r="C1172" s="28"/>
      <c r="D1172" s="28"/>
      <c r="E1172" s="34"/>
      <c r="F1172" s="34"/>
      <c r="G1172" s="34"/>
      <c r="H1172" s="34"/>
      <c r="I1172" s="34"/>
      <c r="J1172" s="28" t="str">
        <f>IFERROR(__xludf.DUMMYFUNCTION("iferror(if(I1172="""","""",unique(query('tbl driver 2'!$K$2:$L1508,""SELECT L WHERE K = '""&amp;I1172&amp;""'""))),"""")"),"")</f>
        <v/>
      </c>
      <c r="K1172" s="31"/>
      <c r="L1172" s="39"/>
      <c r="M1172" s="39"/>
      <c r="N1172" s="28" t="str">
        <f>IFERROR(__xludf.DUMMYFUNCTION("IF(OR(C1172="""",M1172=""""),"""",IFERROR(IF(M1172="""","""",query('tbl user'!$A$2:$D1508,""SELECT A WHERE D = '""&amp;M1172&amp;""'"")),""USER TIDAK DIKETAHUI""))"),"")</f>
        <v/>
      </c>
    </row>
    <row r="1173">
      <c r="A1173" s="23"/>
      <c r="B1173" s="24" t="str">
        <f t="shared" si="4"/>
        <v/>
      </c>
      <c r="C1173" s="28"/>
      <c r="D1173" s="28"/>
      <c r="E1173" s="34"/>
      <c r="F1173" s="34"/>
      <c r="G1173" s="34"/>
      <c r="H1173" s="34"/>
      <c r="I1173" s="34"/>
      <c r="J1173" s="28" t="str">
        <f>IFERROR(__xludf.DUMMYFUNCTION("iferror(if(I1173="""","""",unique(query('tbl driver 2'!$K$2:$L1508,""SELECT L WHERE K = '""&amp;I1173&amp;""'""))),"""")"),"")</f>
        <v/>
      </c>
      <c r="K1173" s="31"/>
      <c r="L1173" s="39"/>
      <c r="M1173" s="39"/>
      <c r="N1173" s="28" t="str">
        <f>IFERROR(__xludf.DUMMYFUNCTION("IF(OR(C1173="""",M1173=""""),"""",IFERROR(IF(M1173="""","""",query('tbl user'!$A$2:$D1508,""SELECT A WHERE D = '""&amp;M1173&amp;""'"")),""USER TIDAK DIKETAHUI""))"),"")</f>
        <v/>
      </c>
    </row>
    <row r="1174">
      <c r="A1174" s="23"/>
      <c r="B1174" s="24" t="str">
        <f t="shared" si="4"/>
        <v/>
      </c>
      <c r="C1174" s="28"/>
      <c r="D1174" s="28"/>
      <c r="E1174" s="34"/>
      <c r="F1174" s="34"/>
      <c r="G1174" s="34"/>
      <c r="H1174" s="34"/>
      <c r="I1174" s="34"/>
      <c r="J1174" s="28" t="str">
        <f>IFERROR(__xludf.DUMMYFUNCTION("iferror(if(I1174="""","""",unique(query('tbl driver 2'!$K$2:$L1508,""SELECT L WHERE K = '""&amp;I1174&amp;""'""))),"""")"),"")</f>
        <v/>
      </c>
      <c r="K1174" s="31"/>
      <c r="L1174" s="39"/>
      <c r="M1174" s="39"/>
      <c r="N1174" s="28" t="str">
        <f>IFERROR(__xludf.DUMMYFUNCTION("IF(OR(C1174="""",M1174=""""),"""",IFERROR(IF(M1174="""","""",query('tbl user'!$A$2:$D1508,""SELECT A WHERE D = '""&amp;M1174&amp;""'"")),""USER TIDAK DIKETAHUI""))"),"")</f>
        <v/>
      </c>
    </row>
    <row r="1175">
      <c r="A1175" s="23"/>
      <c r="B1175" s="24" t="str">
        <f t="shared" si="4"/>
        <v/>
      </c>
      <c r="C1175" s="28"/>
      <c r="D1175" s="28"/>
      <c r="E1175" s="34"/>
      <c r="F1175" s="34"/>
      <c r="G1175" s="34"/>
      <c r="H1175" s="34"/>
      <c r="I1175" s="34"/>
      <c r="J1175" s="28" t="str">
        <f>IFERROR(__xludf.DUMMYFUNCTION("iferror(if(I1175="""","""",unique(query('tbl driver 2'!$K$2:$L1508,""SELECT L WHERE K = '""&amp;I1175&amp;""'""))),"""")"),"")</f>
        <v/>
      </c>
      <c r="K1175" s="31"/>
      <c r="L1175" s="39"/>
      <c r="M1175" s="39"/>
      <c r="N1175" s="28" t="str">
        <f>IFERROR(__xludf.DUMMYFUNCTION("IF(OR(C1175="""",M1175=""""),"""",IFERROR(IF(M1175="""","""",query('tbl user'!$A$2:$D1508,""SELECT A WHERE D = '""&amp;M1175&amp;""'"")),""USER TIDAK DIKETAHUI""))"),"")</f>
        <v/>
      </c>
    </row>
    <row r="1176">
      <c r="A1176" s="23"/>
      <c r="B1176" s="24" t="str">
        <f t="shared" si="4"/>
        <v/>
      </c>
      <c r="C1176" s="28"/>
      <c r="D1176" s="28"/>
      <c r="E1176" s="34"/>
      <c r="F1176" s="34"/>
      <c r="G1176" s="34"/>
      <c r="H1176" s="34"/>
      <c r="I1176" s="34"/>
      <c r="J1176" s="28" t="str">
        <f>IFERROR(__xludf.DUMMYFUNCTION("iferror(if(I1176="""","""",unique(query('tbl driver 2'!$K$2:$L1508,""SELECT L WHERE K = '""&amp;I1176&amp;""'""))),"""")"),"")</f>
        <v/>
      </c>
      <c r="K1176" s="31"/>
      <c r="L1176" s="39"/>
      <c r="M1176" s="39"/>
      <c r="N1176" s="28" t="str">
        <f>IFERROR(__xludf.DUMMYFUNCTION("IF(OR(C1176="""",M1176=""""),"""",IFERROR(IF(M1176="""","""",query('tbl user'!$A$2:$D1508,""SELECT A WHERE D = '""&amp;M1176&amp;""'"")),""USER TIDAK DIKETAHUI""))"),"")</f>
        <v/>
      </c>
    </row>
    <row r="1177">
      <c r="A1177" s="23"/>
      <c r="B1177" s="24" t="str">
        <f t="shared" si="4"/>
        <v/>
      </c>
      <c r="C1177" s="28"/>
      <c r="D1177" s="28"/>
      <c r="E1177" s="34"/>
      <c r="F1177" s="34"/>
      <c r="G1177" s="34"/>
      <c r="H1177" s="34"/>
      <c r="I1177" s="34"/>
      <c r="J1177" s="28" t="str">
        <f>IFERROR(__xludf.DUMMYFUNCTION("iferror(if(I1177="""","""",unique(query('tbl driver 2'!$K$2:$L1508,""SELECT L WHERE K = '""&amp;I1177&amp;""'""))),"""")"),"")</f>
        <v/>
      </c>
      <c r="K1177" s="31"/>
      <c r="L1177" s="39"/>
      <c r="M1177" s="39"/>
      <c r="N1177" s="28" t="str">
        <f>IFERROR(__xludf.DUMMYFUNCTION("IF(OR(C1177="""",M1177=""""),"""",IFERROR(IF(M1177="""","""",query('tbl user'!$A$2:$D1508,""SELECT A WHERE D = '""&amp;M1177&amp;""'"")),""USER TIDAK DIKETAHUI""))"),"")</f>
        <v/>
      </c>
    </row>
    <row r="1178">
      <c r="A1178" s="23"/>
      <c r="B1178" s="24" t="str">
        <f t="shared" si="4"/>
        <v/>
      </c>
      <c r="C1178" s="28"/>
      <c r="D1178" s="28"/>
      <c r="E1178" s="34"/>
      <c r="F1178" s="34"/>
      <c r="G1178" s="34"/>
      <c r="H1178" s="34"/>
      <c r="I1178" s="34"/>
      <c r="J1178" s="28" t="str">
        <f>IFERROR(__xludf.DUMMYFUNCTION("iferror(if(I1178="""","""",unique(query('tbl driver 2'!$K$2:$L1508,""SELECT L WHERE K = '""&amp;I1178&amp;""'""))),"""")"),"")</f>
        <v/>
      </c>
      <c r="K1178" s="31"/>
      <c r="L1178" s="39"/>
      <c r="M1178" s="39"/>
      <c r="N1178" s="28" t="str">
        <f>IFERROR(__xludf.DUMMYFUNCTION("IF(OR(C1178="""",M1178=""""),"""",IFERROR(IF(M1178="""","""",query('tbl user'!$A$2:$D1508,""SELECT A WHERE D = '""&amp;M1178&amp;""'"")),""USER TIDAK DIKETAHUI""))"),"")</f>
        <v/>
      </c>
    </row>
    <row r="1179">
      <c r="A1179" s="23"/>
      <c r="B1179" s="24" t="str">
        <f t="shared" si="4"/>
        <v/>
      </c>
      <c r="C1179" s="28"/>
      <c r="D1179" s="28"/>
      <c r="E1179" s="34"/>
      <c r="F1179" s="34"/>
      <c r="G1179" s="34"/>
      <c r="H1179" s="34"/>
      <c r="I1179" s="34"/>
      <c r="J1179" s="28" t="str">
        <f>IFERROR(__xludf.DUMMYFUNCTION("iferror(if(I1179="""","""",unique(query('tbl driver 2'!$K$2:$L1508,""SELECT L WHERE K = '""&amp;I1179&amp;""'""))),"""")"),"")</f>
        <v/>
      </c>
      <c r="K1179" s="31"/>
      <c r="L1179" s="39"/>
      <c r="M1179" s="39"/>
      <c r="N1179" s="28" t="str">
        <f>IFERROR(__xludf.DUMMYFUNCTION("IF(OR(C1179="""",M1179=""""),"""",IFERROR(IF(M1179="""","""",query('tbl user'!$A$2:$D1508,""SELECT A WHERE D = '""&amp;M1179&amp;""'"")),""USER TIDAK DIKETAHUI""))"),"")</f>
        <v/>
      </c>
    </row>
    <row r="1180">
      <c r="A1180" s="23"/>
      <c r="B1180" s="24" t="str">
        <f t="shared" si="4"/>
        <v/>
      </c>
      <c r="C1180" s="28"/>
      <c r="D1180" s="28"/>
      <c r="E1180" s="34"/>
      <c r="F1180" s="34"/>
      <c r="G1180" s="34"/>
      <c r="H1180" s="34"/>
      <c r="I1180" s="34"/>
      <c r="J1180" s="28" t="str">
        <f>IFERROR(__xludf.DUMMYFUNCTION("iferror(if(I1180="""","""",unique(query('tbl driver 2'!$K$2:$L1508,""SELECT L WHERE K = '""&amp;I1180&amp;""'""))),"""")"),"")</f>
        <v/>
      </c>
      <c r="K1180" s="31"/>
      <c r="L1180" s="39"/>
      <c r="M1180" s="39"/>
      <c r="N1180" s="28" t="str">
        <f>IFERROR(__xludf.DUMMYFUNCTION("IF(OR(C1180="""",M1180=""""),"""",IFERROR(IF(M1180="""","""",query('tbl user'!$A$2:$D1508,""SELECT A WHERE D = '""&amp;M1180&amp;""'"")),""USER TIDAK DIKETAHUI""))"),"")</f>
        <v/>
      </c>
    </row>
    <row r="1181">
      <c r="A1181" s="23"/>
      <c r="B1181" s="24" t="str">
        <f t="shared" si="4"/>
        <v/>
      </c>
      <c r="C1181" s="28"/>
      <c r="D1181" s="28"/>
      <c r="E1181" s="34"/>
      <c r="F1181" s="34"/>
      <c r="G1181" s="34"/>
      <c r="H1181" s="34"/>
      <c r="I1181" s="34"/>
      <c r="J1181" s="28" t="str">
        <f>IFERROR(__xludf.DUMMYFUNCTION("iferror(if(I1181="""","""",unique(query('tbl driver 2'!$K$2:$L1508,""SELECT L WHERE K = '""&amp;I1181&amp;""'""))),"""")"),"")</f>
        <v/>
      </c>
      <c r="K1181" s="31"/>
      <c r="L1181" s="39"/>
      <c r="M1181" s="39"/>
      <c r="N1181" s="28" t="str">
        <f>IFERROR(__xludf.DUMMYFUNCTION("IF(OR(C1181="""",M1181=""""),"""",IFERROR(IF(M1181="""","""",query('tbl user'!$A$2:$D1508,""SELECT A WHERE D = '""&amp;M1181&amp;""'"")),""USER TIDAK DIKETAHUI""))"),"")</f>
        <v/>
      </c>
    </row>
    <row r="1182">
      <c r="A1182" s="23"/>
      <c r="B1182" s="24" t="str">
        <f t="shared" si="4"/>
        <v/>
      </c>
      <c r="C1182" s="28"/>
      <c r="D1182" s="28"/>
      <c r="E1182" s="34"/>
      <c r="F1182" s="34"/>
      <c r="G1182" s="34"/>
      <c r="H1182" s="34"/>
      <c r="I1182" s="34"/>
      <c r="J1182" s="28" t="str">
        <f>IFERROR(__xludf.DUMMYFUNCTION("iferror(if(I1182="""","""",unique(query('tbl driver 2'!$K$2:$L1508,""SELECT L WHERE K = '""&amp;I1182&amp;""'""))),"""")"),"")</f>
        <v/>
      </c>
      <c r="K1182" s="31"/>
      <c r="L1182" s="39"/>
      <c r="M1182" s="39"/>
      <c r="N1182" s="28" t="str">
        <f>IFERROR(__xludf.DUMMYFUNCTION("IF(OR(C1182="""",M1182=""""),"""",IFERROR(IF(M1182="""","""",query('tbl user'!$A$2:$D1508,""SELECT A WHERE D = '""&amp;M1182&amp;""'"")),""USER TIDAK DIKETAHUI""))"),"")</f>
        <v/>
      </c>
    </row>
    <row r="1183">
      <c r="A1183" s="23"/>
      <c r="B1183" s="24" t="str">
        <f t="shared" si="4"/>
        <v/>
      </c>
      <c r="C1183" s="28"/>
      <c r="D1183" s="28"/>
      <c r="E1183" s="34"/>
      <c r="F1183" s="34"/>
      <c r="G1183" s="34"/>
      <c r="H1183" s="34"/>
      <c r="I1183" s="34"/>
      <c r="J1183" s="28" t="str">
        <f>IFERROR(__xludf.DUMMYFUNCTION("iferror(if(I1183="""","""",unique(query('tbl driver 2'!$K$2:$L1508,""SELECT L WHERE K = '""&amp;I1183&amp;""'""))),"""")"),"")</f>
        <v/>
      </c>
      <c r="K1183" s="31"/>
      <c r="L1183" s="39"/>
      <c r="M1183" s="39"/>
      <c r="N1183" s="28" t="str">
        <f>IFERROR(__xludf.DUMMYFUNCTION("IF(OR(C1183="""",M1183=""""),"""",IFERROR(IF(M1183="""","""",query('tbl user'!$A$2:$D1508,""SELECT A WHERE D = '""&amp;M1183&amp;""'"")),""USER TIDAK DIKETAHUI""))"),"")</f>
        <v/>
      </c>
    </row>
    <row r="1184">
      <c r="A1184" s="23"/>
      <c r="B1184" s="24" t="str">
        <f t="shared" si="4"/>
        <v/>
      </c>
      <c r="C1184" s="28"/>
      <c r="D1184" s="28"/>
      <c r="E1184" s="34"/>
      <c r="F1184" s="34"/>
      <c r="G1184" s="34"/>
      <c r="H1184" s="34"/>
      <c r="I1184" s="34"/>
      <c r="J1184" s="28" t="str">
        <f>IFERROR(__xludf.DUMMYFUNCTION("iferror(if(I1184="""","""",unique(query('tbl driver 2'!$K$2:$L1508,""SELECT L WHERE K = '""&amp;I1184&amp;""'""))),"""")"),"")</f>
        <v/>
      </c>
      <c r="K1184" s="31"/>
      <c r="L1184" s="39"/>
      <c r="M1184" s="39"/>
      <c r="N1184" s="28" t="str">
        <f>IFERROR(__xludf.DUMMYFUNCTION("IF(OR(C1184="""",M1184=""""),"""",IFERROR(IF(M1184="""","""",query('tbl user'!$A$2:$D1508,""SELECT A WHERE D = '""&amp;M1184&amp;""'"")),""USER TIDAK DIKETAHUI""))"),"")</f>
        <v/>
      </c>
    </row>
    <row r="1185">
      <c r="A1185" s="23"/>
      <c r="B1185" s="24" t="str">
        <f t="shared" si="4"/>
        <v/>
      </c>
      <c r="C1185" s="28"/>
      <c r="D1185" s="28"/>
      <c r="E1185" s="34"/>
      <c r="F1185" s="34"/>
      <c r="G1185" s="34"/>
      <c r="H1185" s="34"/>
      <c r="I1185" s="34"/>
      <c r="J1185" s="28" t="str">
        <f>IFERROR(__xludf.DUMMYFUNCTION("iferror(if(I1185="""","""",unique(query('tbl driver 2'!$K$2:$L1508,""SELECT L WHERE K = '""&amp;I1185&amp;""'""))),"""")"),"")</f>
        <v/>
      </c>
      <c r="K1185" s="31"/>
      <c r="L1185" s="39"/>
      <c r="M1185" s="39"/>
      <c r="N1185" s="28" t="str">
        <f>IFERROR(__xludf.DUMMYFUNCTION("IF(OR(C1185="""",M1185=""""),"""",IFERROR(IF(M1185="""","""",query('tbl user'!$A$2:$D1508,""SELECT A WHERE D = '""&amp;M1185&amp;""'"")),""USER TIDAK DIKETAHUI""))"),"")</f>
        <v/>
      </c>
    </row>
    <row r="1186">
      <c r="A1186" s="23"/>
      <c r="B1186" s="24" t="str">
        <f t="shared" si="4"/>
        <v/>
      </c>
      <c r="C1186" s="28"/>
      <c r="D1186" s="28"/>
      <c r="E1186" s="34"/>
      <c r="F1186" s="34"/>
      <c r="G1186" s="34"/>
      <c r="H1186" s="34"/>
      <c r="I1186" s="34"/>
      <c r="J1186" s="28" t="str">
        <f>IFERROR(__xludf.DUMMYFUNCTION("iferror(if(I1186="""","""",unique(query('tbl driver 2'!$K$2:$L1508,""SELECT L WHERE K = '""&amp;I1186&amp;""'""))),"""")"),"")</f>
        <v/>
      </c>
      <c r="K1186" s="31"/>
      <c r="L1186" s="39"/>
      <c r="M1186" s="39"/>
      <c r="N1186" s="28" t="str">
        <f>IFERROR(__xludf.DUMMYFUNCTION("IF(OR(C1186="""",M1186=""""),"""",IFERROR(IF(M1186="""","""",query('tbl user'!$A$2:$D1508,""SELECT A WHERE D = '""&amp;M1186&amp;""'"")),""USER TIDAK DIKETAHUI""))"),"")</f>
        <v/>
      </c>
    </row>
    <row r="1187">
      <c r="A1187" s="23"/>
      <c r="B1187" s="24" t="str">
        <f t="shared" si="4"/>
        <v/>
      </c>
      <c r="C1187" s="28"/>
      <c r="D1187" s="28"/>
      <c r="E1187" s="34"/>
      <c r="F1187" s="34"/>
      <c r="G1187" s="34"/>
      <c r="H1187" s="34"/>
      <c r="I1187" s="34"/>
      <c r="J1187" s="28" t="str">
        <f>IFERROR(__xludf.DUMMYFUNCTION("iferror(if(I1187="""","""",unique(query('tbl driver 2'!$K$2:$L1508,""SELECT L WHERE K = '""&amp;I1187&amp;""'""))),"""")"),"")</f>
        <v/>
      </c>
      <c r="K1187" s="31"/>
      <c r="L1187" s="39"/>
      <c r="M1187" s="39"/>
      <c r="N1187" s="28" t="str">
        <f>IFERROR(__xludf.DUMMYFUNCTION("IF(OR(C1187="""",M1187=""""),"""",IFERROR(IF(M1187="""","""",query('tbl user'!$A$2:$D1508,""SELECT A WHERE D = '""&amp;M1187&amp;""'"")),""USER TIDAK DIKETAHUI""))"),"")</f>
        <v/>
      </c>
    </row>
    <row r="1188">
      <c r="A1188" s="23"/>
      <c r="B1188" s="24" t="str">
        <f t="shared" si="4"/>
        <v/>
      </c>
      <c r="C1188" s="28"/>
      <c r="D1188" s="28"/>
      <c r="E1188" s="34"/>
      <c r="F1188" s="34"/>
      <c r="G1188" s="34"/>
      <c r="H1188" s="34"/>
      <c r="I1188" s="34"/>
      <c r="J1188" s="28" t="str">
        <f>IFERROR(__xludf.DUMMYFUNCTION("iferror(if(I1188="""","""",unique(query('tbl driver 2'!$K$2:$L1508,""SELECT L WHERE K = '""&amp;I1188&amp;""'""))),"""")"),"")</f>
        <v/>
      </c>
      <c r="K1188" s="31"/>
      <c r="L1188" s="39"/>
      <c r="M1188" s="39"/>
      <c r="N1188" s="28" t="str">
        <f>IFERROR(__xludf.DUMMYFUNCTION("IF(OR(C1188="""",M1188=""""),"""",IFERROR(IF(M1188="""","""",query('tbl user'!$A$2:$D1508,""SELECT A WHERE D = '""&amp;M1188&amp;""'"")),""USER TIDAK DIKETAHUI""))"),"")</f>
        <v/>
      </c>
    </row>
    <row r="1189">
      <c r="A1189" s="23"/>
      <c r="B1189" s="24" t="str">
        <f t="shared" si="4"/>
        <v/>
      </c>
      <c r="C1189" s="28"/>
      <c r="D1189" s="28"/>
      <c r="E1189" s="34"/>
      <c r="F1189" s="34"/>
      <c r="G1189" s="34"/>
      <c r="H1189" s="34"/>
      <c r="I1189" s="34"/>
      <c r="J1189" s="28" t="str">
        <f>IFERROR(__xludf.DUMMYFUNCTION("iferror(if(I1189="""","""",unique(query('tbl driver 2'!$K$2:$L1508,""SELECT L WHERE K = '""&amp;I1189&amp;""'""))),"""")"),"")</f>
        <v/>
      </c>
      <c r="K1189" s="31"/>
      <c r="L1189" s="39"/>
      <c r="M1189" s="39"/>
      <c r="N1189" s="28" t="str">
        <f>IFERROR(__xludf.DUMMYFUNCTION("IF(OR(C1189="""",M1189=""""),"""",IFERROR(IF(M1189="""","""",query('tbl user'!$A$2:$D1508,""SELECT A WHERE D = '""&amp;M1189&amp;""'"")),""USER TIDAK DIKETAHUI""))"),"")</f>
        <v/>
      </c>
    </row>
    <row r="1190">
      <c r="A1190" s="23"/>
      <c r="B1190" s="24" t="str">
        <f t="shared" si="4"/>
        <v/>
      </c>
      <c r="C1190" s="28"/>
      <c r="D1190" s="28"/>
      <c r="E1190" s="34"/>
      <c r="F1190" s="34"/>
      <c r="G1190" s="34"/>
      <c r="H1190" s="34"/>
      <c r="I1190" s="34"/>
      <c r="J1190" s="28" t="str">
        <f>IFERROR(__xludf.DUMMYFUNCTION("iferror(if(I1190="""","""",unique(query('tbl driver 2'!$K$2:$L1508,""SELECT L WHERE K = '""&amp;I1190&amp;""'""))),"""")"),"")</f>
        <v/>
      </c>
      <c r="K1190" s="31"/>
      <c r="L1190" s="39"/>
      <c r="M1190" s="39"/>
      <c r="N1190" s="28" t="str">
        <f>IFERROR(__xludf.DUMMYFUNCTION("IF(OR(C1190="""",M1190=""""),"""",IFERROR(IF(M1190="""","""",query('tbl user'!$A$2:$D1508,""SELECT A WHERE D = '""&amp;M1190&amp;""'"")),""USER TIDAK DIKETAHUI""))"),"")</f>
        <v/>
      </c>
    </row>
    <row r="1191">
      <c r="A1191" s="23"/>
      <c r="B1191" s="24" t="str">
        <f t="shared" si="4"/>
        <v/>
      </c>
      <c r="C1191" s="28"/>
      <c r="D1191" s="28"/>
      <c r="E1191" s="34"/>
      <c r="F1191" s="34"/>
      <c r="G1191" s="34"/>
      <c r="H1191" s="34"/>
      <c r="I1191" s="34"/>
      <c r="J1191" s="28" t="str">
        <f>IFERROR(__xludf.DUMMYFUNCTION("iferror(if(I1191="""","""",unique(query('tbl driver 2'!$K$2:$L1508,""SELECT L WHERE K = '""&amp;I1191&amp;""'""))),"""")"),"")</f>
        <v/>
      </c>
      <c r="K1191" s="31"/>
      <c r="L1191" s="39"/>
      <c r="M1191" s="39"/>
      <c r="N1191" s="28" t="str">
        <f>IFERROR(__xludf.DUMMYFUNCTION("IF(OR(C1191="""",M1191=""""),"""",IFERROR(IF(M1191="""","""",query('tbl user'!$A$2:$D1508,""SELECT A WHERE D = '""&amp;M1191&amp;""'"")),""USER TIDAK DIKETAHUI""))"),"")</f>
        <v/>
      </c>
    </row>
    <row r="1192">
      <c r="A1192" s="23"/>
      <c r="B1192" s="24" t="str">
        <f t="shared" si="4"/>
        <v/>
      </c>
      <c r="C1192" s="28"/>
      <c r="D1192" s="28"/>
      <c r="E1192" s="34"/>
      <c r="F1192" s="34"/>
      <c r="G1192" s="34"/>
      <c r="H1192" s="34"/>
      <c r="I1192" s="34"/>
      <c r="J1192" s="28" t="str">
        <f>IFERROR(__xludf.DUMMYFUNCTION("iferror(if(I1192="""","""",unique(query('tbl driver 2'!$K$2:$L1508,""SELECT L WHERE K = '""&amp;I1192&amp;""'""))),"""")"),"")</f>
        <v/>
      </c>
      <c r="K1192" s="31"/>
      <c r="L1192" s="39"/>
      <c r="M1192" s="39"/>
      <c r="N1192" s="28" t="str">
        <f>IFERROR(__xludf.DUMMYFUNCTION("IF(OR(C1192="""",M1192=""""),"""",IFERROR(IF(M1192="""","""",query('tbl user'!$A$2:$D1508,""SELECT A WHERE D = '""&amp;M1192&amp;""'"")),""USER TIDAK DIKETAHUI""))"),"")</f>
        <v/>
      </c>
    </row>
    <row r="1193">
      <c r="A1193" s="23"/>
      <c r="B1193" s="24" t="str">
        <f t="shared" si="4"/>
        <v/>
      </c>
      <c r="C1193" s="28"/>
      <c r="D1193" s="28"/>
      <c r="E1193" s="34"/>
      <c r="F1193" s="34"/>
      <c r="G1193" s="34"/>
      <c r="H1193" s="34"/>
      <c r="I1193" s="34"/>
      <c r="J1193" s="28" t="str">
        <f>IFERROR(__xludf.DUMMYFUNCTION("iferror(if(I1193="""","""",unique(query('tbl driver 2'!$K$2:$L1508,""SELECT L WHERE K = '""&amp;I1193&amp;""'""))),"""")"),"")</f>
        <v/>
      </c>
      <c r="K1193" s="31"/>
      <c r="L1193" s="39"/>
      <c r="M1193" s="39"/>
      <c r="N1193" s="28" t="str">
        <f>IFERROR(__xludf.DUMMYFUNCTION("IF(OR(C1193="""",M1193=""""),"""",IFERROR(IF(M1193="""","""",query('tbl user'!$A$2:$D1508,""SELECT A WHERE D = '""&amp;M1193&amp;""'"")),""USER TIDAK DIKETAHUI""))"),"")</f>
        <v/>
      </c>
    </row>
    <row r="1194">
      <c r="A1194" s="23"/>
      <c r="B1194" s="24" t="str">
        <f t="shared" si="4"/>
        <v/>
      </c>
      <c r="C1194" s="28"/>
      <c r="D1194" s="28"/>
      <c r="E1194" s="34"/>
      <c r="F1194" s="34"/>
      <c r="G1194" s="34"/>
      <c r="H1194" s="34"/>
      <c r="I1194" s="34"/>
      <c r="J1194" s="28" t="str">
        <f>IFERROR(__xludf.DUMMYFUNCTION("iferror(if(I1194="""","""",unique(query('tbl driver 2'!$K$2:$L1508,""SELECT L WHERE K = '""&amp;I1194&amp;""'""))),"""")"),"")</f>
        <v/>
      </c>
      <c r="K1194" s="31"/>
      <c r="L1194" s="39"/>
      <c r="M1194" s="39"/>
      <c r="N1194" s="28" t="str">
        <f>IFERROR(__xludf.DUMMYFUNCTION("IF(OR(C1194="""",M1194=""""),"""",IFERROR(IF(M1194="""","""",query('tbl user'!$A$2:$D1508,""SELECT A WHERE D = '""&amp;M1194&amp;""'"")),""USER TIDAK DIKETAHUI""))"),"")</f>
        <v/>
      </c>
    </row>
    <row r="1195">
      <c r="A1195" s="23"/>
      <c r="B1195" s="24" t="str">
        <f t="shared" si="4"/>
        <v/>
      </c>
      <c r="C1195" s="28"/>
      <c r="D1195" s="28"/>
      <c r="E1195" s="34"/>
      <c r="F1195" s="34"/>
      <c r="G1195" s="34"/>
      <c r="H1195" s="34"/>
      <c r="I1195" s="34"/>
      <c r="J1195" s="28" t="str">
        <f>IFERROR(__xludf.DUMMYFUNCTION("iferror(if(I1195="""","""",unique(query('tbl driver 2'!$K$2:$L1508,""SELECT L WHERE K = '""&amp;I1195&amp;""'""))),"""")"),"")</f>
        <v/>
      </c>
      <c r="K1195" s="31"/>
      <c r="L1195" s="39"/>
      <c r="M1195" s="39"/>
      <c r="N1195" s="28" t="str">
        <f>IFERROR(__xludf.DUMMYFUNCTION("IF(OR(C1195="""",M1195=""""),"""",IFERROR(IF(M1195="""","""",query('tbl user'!$A$2:$D1508,""SELECT A WHERE D = '""&amp;M1195&amp;""'"")),""USER TIDAK DIKETAHUI""))"),"")</f>
        <v/>
      </c>
    </row>
    <row r="1196">
      <c r="A1196" s="23"/>
      <c r="B1196" s="24" t="str">
        <f t="shared" si="4"/>
        <v/>
      </c>
      <c r="C1196" s="28"/>
      <c r="D1196" s="28"/>
      <c r="E1196" s="34"/>
      <c r="F1196" s="34"/>
      <c r="G1196" s="34"/>
      <c r="H1196" s="34"/>
      <c r="I1196" s="34"/>
      <c r="J1196" s="28" t="str">
        <f>IFERROR(__xludf.DUMMYFUNCTION("iferror(if(I1196="""","""",unique(query('tbl driver 2'!$K$2:$L1508,""SELECT L WHERE K = '""&amp;I1196&amp;""'""))),"""")"),"")</f>
        <v/>
      </c>
      <c r="K1196" s="31"/>
      <c r="L1196" s="39"/>
      <c r="M1196" s="39"/>
      <c r="N1196" s="28" t="str">
        <f>IFERROR(__xludf.DUMMYFUNCTION("IF(OR(C1196="""",M1196=""""),"""",IFERROR(IF(M1196="""","""",query('tbl user'!$A$2:$D1508,""SELECT A WHERE D = '""&amp;M1196&amp;""'"")),""USER TIDAK DIKETAHUI""))"),"")</f>
        <v/>
      </c>
    </row>
    <row r="1197">
      <c r="A1197" s="23"/>
      <c r="B1197" s="24" t="str">
        <f t="shared" si="4"/>
        <v/>
      </c>
      <c r="C1197" s="28"/>
      <c r="D1197" s="28"/>
      <c r="E1197" s="34"/>
      <c r="F1197" s="34"/>
      <c r="G1197" s="34"/>
      <c r="H1197" s="34"/>
      <c r="I1197" s="34"/>
      <c r="J1197" s="28" t="str">
        <f>IFERROR(__xludf.DUMMYFUNCTION("iferror(if(I1197="""","""",unique(query('tbl driver 2'!$K$2:$L1508,""SELECT L WHERE K = '""&amp;I1197&amp;""'""))),"""")"),"")</f>
        <v/>
      </c>
      <c r="K1197" s="31"/>
      <c r="L1197" s="39"/>
      <c r="M1197" s="39"/>
      <c r="N1197" s="28" t="str">
        <f>IFERROR(__xludf.DUMMYFUNCTION("IF(OR(C1197="""",M1197=""""),"""",IFERROR(IF(M1197="""","""",query('tbl user'!$A$2:$D1508,""SELECT A WHERE D = '""&amp;M1197&amp;""'"")),""USER TIDAK DIKETAHUI""))"),"")</f>
        <v/>
      </c>
    </row>
    <row r="1198">
      <c r="A1198" s="23"/>
      <c r="B1198" s="24" t="str">
        <f t="shared" si="4"/>
        <v/>
      </c>
      <c r="C1198" s="28"/>
      <c r="D1198" s="28"/>
      <c r="E1198" s="34"/>
      <c r="F1198" s="34"/>
      <c r="G1198" s="34"/>
      <c r="H1198" s="34"/>
      <c r="I1198" s="34"/>
      <c r="J1198" s="28" t="str">
        <f>IFERROR(__xludf.DUMMYFUNCTION("iferror(if(I1198="""","""",unique(query('tbl driver 2'!$K$2:$L1508,""SELECT L WHERE K = '""&amp;I1198&amp;""'""))),"""")"),"")</f>
        <v/>
      </c>
      <c r="K1198" s="31"/>
      <c r="L1198" s="39"/>
      <c r="M1198" s="39"/>
      <c r="N1198" s="28" t="str">
        <f>IFERROR(__xludf.DUMMYFUNCTION("IF(OR(C1198="""",M1198=""""),"""",IFERROR(IF(M1198="""","""",query('tbl user'!$A$2:$D1508,""SELECT A WHERE D = '""&amp;M1198&amp;""'"")),""USER TIDAK DIKETAHUI""))"),"")</f>
        <v/>
      </c>
    </row>
    <row r="1199">
      <c r="A1199" s="23"/>
      <c r="B1199" s="24" t="str">
        <f t="shared" si="4"/>
        <v/>
      </c>
      <c r="C1199" s="28"/>
      <c r="D1199" s="28"/>
      <c r="E1199" s="34"/>
      <c r="F1199" s="34"/>
      <c r="G1199" s="34"/>
      <c r="H1199" s="34"/>
      <c r="I1199" s="34"/>
      <c r="J1199" s="28" t="str">
        <f>IFERROR(__xludf.DUMMYFUNCTION("iferror(if(I1199="""","""",unique(query('tbl driver 2'!$K$2:$L1508,""SELECT L WHERE K = '""&amp;I1199&amp;""'""))),"""")"),"")</f>
        <v/>
      </c>
      <c r="K1199" s="31"/>
      <c r="L1199" s="39"/>
      <c r="M1199" s="39"/>
      <c r="N1199" s="28" t="str">
        <f>IFERROR(__xludf.DUMMYFUNCTION("IF(OR(C1199="""",M1199=""""),"""",IFERROR(IF(M1199="""","""",query('tbl user'!$A$2:$D1508,""SELECT A WHERE D = '""&amp;M1199&amp;""'"")),""USER TIDAK DIKETAHUI""))"),"")</f>
        <v/>
      </c>
    </row>
    <row r="1200">
      <c r="A1200" s="23"/>
      <c r="B1200" s="24" t="str">
        <f t="shared" si="4"/>
        <v/>
      </c>
      <c r="C1200" s="28"/>
      <c r="D1200" s="28"/>
      <c r="E1200" s="34"/>
      <c r="F1200" s="34"/>
      <c r="G1200" s="34"/>
      <c r="H1200" s="34"/>
      <c r="I1200" s="34"/>
      <c r="J1200" s="28" t="str">
        <f>IFERROR(__xludf.DUMMYFUNCTION("iferror(if(I1200="""","""",unique(query('tbl driver 2'!$K$2:$L1508,""SELECT L WHERE K = '""&amp;I1200&amp;""'""))),"""")"),"")</f>
        <v/>
      </c>
      <c r="K1200" s="31"/>
      <c r="L1200" s="39"/>
      <c r="M1200" s="39"/>
      <c r="N1200" s="28" t="str">
        <f>IFERROR(__xludf.DUMMYFUNCTION("IF(OR(C1200="""",M1200=""""),"""",IFERROR(IF(M1200="""","""",query('tbl user'!$A$2:$D1508,""SELECT A WHERE D = '""&amp;M1200&amp;""'"")),""USER TIDAK DIKETAHUI""))"),"")</f>
        <v/>
      </c>
    </row>
    <row r="1201">
      <c r="A1201" s="23"/>
      <c r="B1201" s="24" t="str">
        <f t="shared" si="4"/>
        <v/>
      </c>
      <c r="C1201" s="28"/>
      <c r="D1201" s="28"/>
      <c r="E1201" s="34"/>
      <c r="F1201" s="34"/>
      <c r="G1201" s="34"/>
      <c r="H1201" s="34"/>
      <c r="I1201" s="34"/>
      <c r="J1201" s="28" t="str">
        <f>IFERROR(__xludf.DUMMYFUNCTION("iferror(if(I1201="""","""",unique(query('tbl driver 2'!$K$2:$L1508,""SELECT L WHERE K = '""&amp;I1201&amp;""'""))),"""")"),"")</f>
        <v/>
      </c>
      <c r="K1201" s="31"/>
      <c r="L1201" s="39"/>
      <c r="M1201" s="39"/>
      <c r="N1201" s="28" t="str">
        <f>IFERROR(__xludf.DUMMYFUNCTION("IF(OR(C1201="""",M1201=""""),"""",IFERROR(IF(M1201="""","""",query('tbl user'!$A$2:$D1508,""SELECT A WHERE D = '""&amp;M1201&amp;""'"")),""USER TIDAK DIKETAHUI""))"),"")</f>
        <v/>
      </c>
    </row>
    <row r="1202">
      <c r="A1202" s="23"/>
      <c r="B1202" s="24" t="str">
        <f t="shared" si="4"/>
        <v/>
      </c>
      <c r="C1202" s="28"/>
      <c r="D1202" s="28"/>
      <c r="E1202" s="34"/>
      <c r="F1202" s="34"/>
      <c r="G1202" s="34"/>
      <c r="H1202" s="34"/>
      <c r="I1202" s="34"/>
      <c r="J1202" s="28" t="str">
        <f>IFERROR(__xludf.DUMMYFUNCTION("iferror(if(I1202="""","""",unique(query('tbl driver 2'!$K$2:$L1508,""SELECT L WHERE K = '""&amp;I1202&amp;""'""))),"""")"),"")</f>
        <v/>
      </c>
      <c r="K1202" s="31"/>
      <c r="L1202" s="39"/>
      <c r="M1202" s="39"/>
      <c r="N1202" s="28" t="str">
        <f>IFERROR(__xludf.DUMMYFUNCTION("IF(OR(C1202="""",M1202=""""),"""",IFERROR(IF(M1202="""","""",query('tbl user'!$A$2:$D1508,""SELECT A WHERE D = '""&amp;M1202&amp;""'"")),""USER TIDAK DIKETAHUI""))"),"")</f>
        <v/>
      </c>
    </row>
    <row r="1203">
      <c r="A1203" s="23"/>
      <c r="B1203" s="24" t="str">
        <f t="shared" si="4"/>
        <v/>
      </c>
      <c r="C1203" s="28"/>
      <c r="D1203" s="28"/>
      <c r="E1203" s="34"/>
      <c r="F1203" s="34"/>
      <c r="G1203" s="34"/>
      <c r="H1203" s="34"/>
      <c r="I1203" s="34"/>
      <c r="J1203" s="28" t="str">
        <f>IFERROR(__xludf.DUMMYFUNCTION("iferror(if(I1203="""","""",unique(query('tbl driver 2'!$K$2:$L1508,""SELECT L WHERE K = '""&amp;I1203&amp;""'""))),"""")"),"")</f>
        <v/>
      </c>
      <c r="K1203" s="31"/>
      <c r="L1203" s="39"/>
      <c r="M1203" s="39"/>
      <c r="N1203" s="28" t="str">
        <f>IFERROR(__xludf.DUMMYFUNCTION("IF(OR(C1203="""",M1203=""""),"""",IFERROR(IF(M1203="""","""",query('tbl user'!$A$2:$D1508,""SELECT A WHERE D = '""&amp;M1203&amp;""'"")),""USER TIDAK DIKETAHUI""))"),"")</f>
        <v/>
      </c>
    </row>
    <row r="1204">
      <c r="A1204" s="23"/>
      <c r="B1204" s="24" t="str">
        <f t="shared" si="4"/>
        <v/>
      </c>
      <c r="C1204" s="28"/>
      <c r="D1204" s="28"/>
      <c r="E1204" s="34"/>
      <c r="F1204" s="34"/>
      <c r="G1204" s="34"/>
      <c r="H1204" s="34"/>
      <c r="I1204" s="34"/>
      <c r="J1204" s="28" t="str">
        <f>IFERROR(__xludf.DUMMYFUNCTION("iferror(if(I1204="""","""",unique(query('tbl driver 2'!$K$2:$L1508,""SELECT L WHERE K = '""&amp;I1204&amp;""'""))),"""")"),"")</f>
        <v/>
      </c>
      <c r="K1204" s="31"/>
      <c r="L1204" s="39"/>
      <c r="M1204" s="39"/>
      <c r="N1204" s="28" t="str">
        <f>IFERROR(__xludf.DUMMYFUNCTION("IF(OR(C1204="""",M1204=""""),"""",IFERROR(IF(M1204="""","""",query('tbl user'!$A$2:$D1508,""SELECT A WHERE D = '""&amp;M1204&amp;""'"")),""USER TIDAK DIKETAHUI""))"),"")</f>
        <v/>
      </c>
    </row>
    <row r="1205">
      <c r="A1205" s="23"/>
      <c r="B1205" s="24" t="str">
        <f t="shared" si="4"/>
        <v/>
      </c>
      <c r="C1205" s="28"/>
      <c r="D1205" s="28"/>
      <c r="E1205" s="34"/>
      <c r="F1205" s="34"/>
      <c r="G1205" s="34"/>
      <c r="H1205" s="34"/>
      <c r="I1205" s="34"/>
      <c r="J1205" s="28" t="str">
        <f>IFERROR(__xludf.DUMMYFUNCTION("iferror(if(I1205="""","""",unique(query('tbl driver 2'!$K$2:$L1508,""SELECT L WHERE K = '""&amp;I1205&amp;""'""))),"""")"),"")</f>
        <v/>
      </c>
      <c r="K1205" s="31"/>
      <c r="L1205" s="39"/>
      <c r="M1205" s="39"/>
      <c r="N1205" s="28" t="str">
        <f>IFERROR(__xludf.DUMMYFUNCTION("IF(OR(C1205="""",M1205=""""),"""",IFERROR(IF(M1205="""","""",query('tbl user'!$A$2:$D1508,""SELECT A WHERE D = '""&amp;M1205&amp;""'"")),""USER TIDAK DIKETAHUI""))"),"")</f>
        <v/>
      </c>
    </row>
    <row r="1206">
      <c r="A1206" s="23"/>
      <c r="B1206" s="24" t="str">
        <f t="shared" si="4"/>
        <v/>
      </c>
      <c r="C1206" s="28"/>
      <c r="D1206" s="28"/>
      <c r="E1206" s="34"/>
      <c r="F1206" s="34"/>
      <c r="G1206" s="34"/>
      <c r="H1206" s="34"/>
      <c r="I1206" s="34"/>
      <c r="J1206" s="28" t="str">
        <f>IFERROR(__xludf.DUMMYFUNCTION("iferror(if(I1206="""","""",unique(query('tbl driver 2'!$K$2:$L1508,""SELECT L WHERE K = '""&amp;I1206&amp;""'""))),"""")"),"")</f>
        <v/>
      </c>
      <c r="K1206" s="31"/>
      <c r="L1206" s="39"/>
      <c r="M1206" s="39"/>
      <c r="N1206" s="28" t="str">
        <f>IFERROR(__xludf.DUMMYFUNCTION("IF(OR(C1206="""",M1206=""""),"""",IFERROR(IF(M1206="""","""",query('tbl user'!$A$2:$D1508,""SELECT A WHERE D = '""&amp;M1206&amp;""'"")),""USER TIDAK DIKETAHUI""))"),"")</f>
        <v/>
      </c>
    </row>
    <row r="1207">
      <c r="A1207" s="23"/>
      <c r="B1207" s="24" t="str">
        <f t="shared" si="4"/>
        <v/>
      </c>
      <c r="C1207" s="28"/>
      <c r="D1207" s="28"/>
      <c r="E1207" s="34"/>
      <c r="F1207" s="34"/>
      <c r="G1207" s="34"/>
      <c r="H1207" s="34"/>
      <c r="I1207" s="34"/>
      <c r="J1207" s="28" t="str">
        <f>IFERROR(__xludf.DUMMYFUNCTION("iferror(if(I1207="""","""",unique(query('tbl driver 2'!$K$2:$L1508,""SELECT L WHERE K = '""&amp;I1207&amp;""'""))),"""")"),"")</f>
        <v/>
      </c>
      <c r="K1207" s="31"/>
      <c r="L1207" s="39"/>
      <c r="M1207" s="39"/>
      <c r="N1207" s="28" t="str">
        <f>IFERROR(__xludf.DUMMYFUNCTION("IF(OR(C1207="""",M1207=""""),"""",IFERROR(IF(M1207="""","""",query('tbl user'!$A$2:$D1508,""SELECT A WHERE D = '""&amp;M1207&amp;""'"")),""USER TIDAK DIKETAHUI""))"),"")</f>
        <v/>
      </c>
    </row>
    <row r="1208">
      <c r="A1208" s="23"/>
      <c r="B1208" s="24" t="str">
        <f t="shared" si="4"/>
        <v/>
      </c>
      <c r="C1208" s="28"/>
      <c r="D1208" s="28"/>
      <c r="E1208" s="34"/>
      <c r="F1208" s="34"/>
      <c r="G1208" s="34"/>
      <c r="H1208" s="34"/>
      <c r="I1208" s="34"/>
      <c r="J1208" s="28" t="str">
        <f>IFERROR(__xludf.DUMMYFUNCTION("iferror(if(I1208="""","""",unique(query('tbl driver 2'!$K$2:$L1508,""SELECT L WHERE K = '""&amp;I1208&amp;""'""))),"""")"),"")</f>
        <v/>
      </c>
      <c r="K1208" s="31"/>
      <c r="L1208" s="39"/>
      <c r="M1208" s="39"/>
      <c r="N1208" s="28" t="str">
        <f>IFERROR(__xludf.DUMMYFUNCTION("IF(OR(C1208="""",M1208=""""),"""",IFERROR(IF(M1208="""","""",query('tbl user'!$A$2:$D1508,""SELECT A WHERE D = '""&amp;M1208&amp;""'"")),""USER TIDAK DIKETAHUI""))"),"")</f>
        <v/>
      </c>
    </row>
    <row r="1209">
      <c r="A1209" s="23"/>
      <c r="B1209" s="24" t="str">
        <f t="shared" si="4"/>
        <v/>
      </c>
      <c r="C1209" s="28"/>
      <c r="D1209" s="28"/>
      <c r="E1209" s="34"/>
      <c r="F1209" s="34"/>
      <c r="G1209" s="34"/>
      <c r="H1209" s="34"/>
      <c r="I1209" s="34"/>
      <c r="J1209" s="28" t="str">
        <f>IFERROR(__xludf.DUMMYFUNCTION("iferror(if(I1209="""","""",unique(query('tbl driver 2'!$K$2:$L1508,""SELECT L WHERE K = '""&amp;I1209&amp;""'""))),"""")"),"")</f>
        <v/>
      </c>
      <c r="K1209" s="31"/>
      <c r="L1209" s="39"/>
      <c r="M1209" s="39"/>
      <c r="N1209" s="28" t="str">
        <f>IFERROR(__xludf.DUMMYFUNCTION("IF(OR(C1209="""",M1209=""""),"""",IFERROR(IF(M1209="""","""",query('tbl user'!$A$2:$D1508,""SELECT A WHERE D = '""&amp;M1209&amp;""'"")),""USER TIDAK DIKETAHUI""))"),"")</f>
        <v/>
      </c>
    </row>
    <row r="1210">
      <c r="A1210" s="23"/>
      <c r="B1210" s="24" t="str">
        <f t="shared" si="4"/>
        <v/>
      </c>
      <c r="C1210" s="28"/>
      <c r="D1210" s="28"/>
      <c r="E1210" s="34"/>
      <c r="F1210" s="34"/>
      <c r="G1210" s="34"/>
      <c r="H1210" s="34"/>
      <c r="I1210" s="34"/>
      <c r="J1210" s="28" t="str">
        <f>IFERROR(__xludf.DUMMYFUNCTION("iferror(if(I1210="""","""",unique(query('tbl driver 2'!$K$2:$L1508,""SELECT L WHERE K = '""&amp;I1210&amp;""'""))),"""")"),"")</f>
        <v/>
      </c>
      <c r="K1210" s="31"/>
      <c r="L1210" s="39"/>
      <c r="M1210" s="39"/>
      <c r="N1210" s="28" t="str">
        <f>IFERROR(__xludf.DUMMYFUNCTION("IF(OR(C1210="""",M1210=""""),"""",IFERROR(IF(M1210="""","""",query('tbl user'!$A$2:$D1508,""SELECT A WHERE D = '""&amp;M1210&amp;""'"")),""USER TIDAK DIKETAHUI""))"),"")</f>
        <v/>
      </c>
    </row>
    <row r="1211">
      <c r="A1211" s="23"/>
      <c r="B1211" s="24" t="str">
        <f t="shared" si="4"/>
        <v/>
      </c>
      <c r="C1211" s="28"/>
      <c r="D1211" s="28"/>
      <c r="E1211" s="34"/>
      <c r="F1211" s="34"/>
      <c r="G1211" s="34"/>
      <c r="H1211" s="34"/>
      <c r="I1211" s="34"/>
      <c r="J1211" s="28" t="str">
        <f>IFERROR(__xludf.DUMMYFUNCTION("iferror(if(I1211="""","""",unique(query('tbl driver 2'!$K$2:$L1508,""SELECT L WHERE K = '""&amp;I1211&amp;""'""))),"""")"),"")</f>
        <v/>
      </c>
      <c r="K1211" s="31"/>
      <c r="L1211" s="39"/>
      <c r="M1211" s="39"/>
      <c r="N1211" s="28" t="str">
        <f>IFERROR(__xludf.DUMMYFUNCTION("IF(OR(C1211="""",M1211=""""),"""",IFERROR(IF(M1211="""","""",query('tbl user'!$A$2:$D1508,""SELECT A WHERE D = '""&amp;M1211&amp;""'"")),""USER TIDAK DIKETAHUI""))"),"")</f>
        <v/>
      </c>
    </row>
    <row r="1212">
      <c r="A1212" s="23"/>
      <c r="B1212" s="24" t="str">
        <f t="shared" si="4"/>
        <v/>
      </c>
      <c r="C1212" s="28"/>
      <c r="D1212" s="28"/>
      <c r="E1212" s="34"/>
      <c r="F1212" s="34"/>
      <c r="G1212" s="34"/>
      <c r="H1212" s="34"/>
      <c r="I1212" s="34"/>
      <c r="J1212" s="28" t="str">
        <f>IFERROR(__xludf.DUMMYFUNCTION("iferror(if(I1212="""","""",unique(query('tbl driver 2'!$K$2:$L1508,""SELECT L WHERE K = '""&amp;I1212&amp;""'""))),"""")"),"")</f>
        <v/>
      </c>
      <c r="K1212" s="31"/>
      <c r="L1212" s="39"/>
      <c r="M1212" s="39"/>
      <c r="N1212" s="28" t="str">
        <f>IFERROR(__xludf.DUMMYFUNCTION("IF(OR(C1212="""",M1212=""""),"""",IFERROR(IF(M1212="""","""",query('tbl user'!$A$2:$D1508,""SELECT A WHERE D = '""&amp;M1212&amp;""'"")),""USER TIDAK DIKETAHUI""))"),"")</f>
        <v/>
      </c>
    </row>
    <row r="1213">
      <c r="A1213" s="23"/>
      <c r="B1213" s="24" t="str">
        <f t="shared" si="4"/>
        <v/>
      </c>
      <c r="C1213" s="28"/>
      <c r="D1213" s="28"/>
      <c r="E1213" s="34"/>
      <c r="F1213" s="34"/>
      <c r="G1213" s="34"/>
      <c r="H1213" s="34"/>
      <c r="I1213" s="34"/>
      <c r="J1213" s="28" t="str">
        <f>IFERROR(__xludf.DUMMYFUNCTION("iferror(if(I1213="""","""",unique(query('tbl driver 2'!$K$2:$L1508,""SELECT L WHERE K = '""&amp;I1213&amp;""'""))),"""")"),"")</f>
        <v/>
      </c>
      <c r="K1213" s="31"/>
      <c r="L1213" s="39"/>
      <c r="M1213" s="39"/>
      <c r="N1213" s="28" t="str">
        <f>IFERROR(__xludf.DUMMYFUNCTION("IF(OR(C1213="""",M1213=""""),"""",IFERROR(IF(M1213="""","""",query('tbl user'!$A$2:$D1508,""SELECT A WHERE D = '""&amp;M1213&amp;""'"")),""USER TIDAK DIKETAHUI""))"),"")</f>
        <v/>
      </c>
    </row>
    <row r="1214">
      <c r="A1214" s="23"/>
      <c r="B1214" s="24" t="str">
        <f t="shared" si="4"/>
        <v/>
      </c>
      <c r="C1214" s="28"/>
      <c r="D1214" s="28"/>
      <c r="E1214" s="34"/>
      <c r="F1214" s="34"/>
      <c r="G1214" s="34"/>
      <c r="H1214" s="34"/>
      <c r="I1214" s="34"/>
      <c r="J1214" s="28" t="str">
        <f>IFERROR(__xludf.DUMMYFUNCTION("iferror(if(I1214="""","""",unique(query('tbl driver 2'!$K$2:$L1508,""SELECT L WHERE K = '""&amp;I1214&amp;""'""))),"""")"),"")</f>
        <v/>
      </c>
      <c r="K1214" s="31"/>
      <c r="L1214" s="39"/>
      <c r="M1214" s="39"/>
      <c r="N1214" s="28" t="str">
        <f>IFERROR(__xludf.DUMMYFUNCTION("IF(OR(C1214="""",M1214=""""),"""",IFERROR(IF(M1214="""","""",query('tbl user'!$A$2:$D1508,""SELECT A WHERE D = '""&amp;M1214&amp;""'"")),""USER TIDAK DIKETAHUI""))"),"")</f>
        <v/>
      </c>
    </row>
    <row r="1215">
      <c r="A1215" s="23"/>
      <c r="B1215" s="24" t="str">
        <f t="shared" si="4"/>
        <v/>
      </c>
      <c r="C1215" s="28"/>
      <c r="D1215" s="28"/>
      <c r="E1215" s="34"/>
      <c r="F1215" s="34"/>
      <c r="G1215" s="34"/>
      <c r="H1215" s="34"/>
      <c r="I1215" s="34"/>
      <c r="J1215" s="28" t="str">
        <f>IFERROR(__xludf.DUMMYFUNCTION("iferror(if(I1215="""","""",unique(query('tbl driver 2'!$K$2:$L1508,""SELECT L WHERE K = '""&amp;I1215&amp;""'""))),"""")"),"")</f>
        <v/>
      </c>
      <c r="K1215" s="31"/>
      <c r="L1215" s="39"/>
      <c r="M1215" s="39"/>
      <c r="N1215" s="28" t="str">
        <f>IFERROR(__xludf.DUMMYFUNCTION("IF(OR(C1215="""",M1215=""""),"""",IFERROR(IF(M1215="""","""",query('tbl user'!$A$2:$D1508,""SELECT A WHERE D = '""&amp;M1215&amp;""'"")),""USER TIDAK DIKETAHUI""))"),"")</f>
        <v/>
      </c>
    </row>
    <row r="1216">
      <c r="A1216" s="23"/>
      <c r="B1216" s="24" t="str">
        <f t="shared" si="4"/>
        <v/>
      </c>
      <c r="C1216" s="28"/>
      <c r="D1216" s="28"/>
      <c r="E1216" s="34"/>
      <c r="F1216" s="34"/>
      <c r="G1216" s="34"/>
      <c r="H1216" s="34"/>
      <c r="I1216" s="34"/>
      <c r="J1216" s="28" t="str">
        <f>IFERROR(__xludf.DUMMYFUNCTION("iferror(if(I1216="""","""",unique(query('tbl driver 2'!$K$2:$L1508,""SELECT L WHERE K = '""&amp;I1216&amp;""'""))),"""")"),"")</f>
        <v/>
      </c>
      <c r="K1216" s="31"/>
      <c r="L1216" s="39"/>
      <c r="M1216" s="39"/>
      <c r="N1216" s="28" t="str">
        <f>IFERROR(__xludf.DUMMYFUNCTION("IF(OR(C1216="""",M1216=""""),"""",IFERROR(IF(M1216="""","""",query('tbl user'!$A$2:$D1508,""SELECT A WHERE D = '""&amp;M1216&amp;""'"")),""USER TIDAK DIKETAHUI""))"),"")</f>
        <v/>
      </c>
    </row>
    <row r="1217">
      <c r="A1217" s="23"/>
      <c r="B1217" s="24" t="str">
        <f t="shared" si="4"/>
        <v/>
      </c>
      <c r="C1217" s="28"/>
      <c r="D1217" s="28"/>
      <c r="E1217" s="34"/>
      <c r="F1217" s="34"/>
      <c r="G1217" s="34"/>
      <c r="H1217" s="34"/>
      <c r="I1217" s="34"/>
      <c r="J1217" s="28" t="str">
        <f>IFERROR(__xludf.DUMMYFUNCTION("iferror(if(I1217="""","""",unique(query('tbl driver 2'!$K$2:$L1508,""SELECT L WHERE K = '""&amp;I1217&amp;""'""))),"""")"),"")</f>
        <v/>
      </c>
      <c r="K1217" s="31"/>
      <c r="L1217" s="39"/>
      <c r="M1217" s="39"/>
      <c r="N1217" s="28" t="str">
        <f>IFERROR(__xludf.DUMMYFUNCTION("IF(OR(C1217="""",M1217=""""),"""",IFERROR(IF(M1217="""","""",query('tbl user'!$A$2:$D1508,""SELECT A WHERE D = '""&amp;M1217&amp;""'"")),""USER TIDAK DIKETAHUI""))"),"")</f>
        <v/>
      </c>
    </row>
    <row r="1218">
      <c r="A1218" s="23"/>
      <c r="B1218" s="24" t="str">
        <f t="shared" si="4"/>
        <v/>
      </c>
      <c r="C1218" s="28"/>
      <c r="D1218" s="28"/>
      <c r="E1218" s="34"/>
      <c r="F1218" s="34"/>
      <c r="G1218" s="34"/>
      <c r="H1218" s="34"/>
      <c r="I1218" s="34"/>
      <c r="J1218" s="28" t="str">
        <f>IFERROR(__xludf.DUMMYFUNCTION("iferror(if(I1218="""","""",unique(query('tbl driver 2'!$K$2:$L1508,""SELECT L WHERE K = '""&amp;I1218&amp;""'""))),"""")"),"")</f>
        <v/>
      </c>
      <c r="K1218" s="31"/>
      <c r="L1218" s="39"/>
      <c r="M1218" s="39"/>
      <c r="N1218" s="28" t="str">
        <f>IFERROR(__xludf.DUMMYFUNCTION("IF(OR(C1218="""",M1218=""""),"""",IFERROR(IF(M1218="""","""",query('tbl user'!$A$2:$D1508,""SELECT A WHERE D = '""&amp;M1218&amp;""'"")),""USER TIDAK DIKETAHUI""))"),"")</f>
        <v/>
      </c>
    </row>
    <row r="1219">
      <c r="A1219" s="23"/>
      <c r="B1219" s="24" t="str">
        <f t="shared" si="4"/>
        <v/>
      </c>
      <c r="C1219" s="28"/>
      <c r="D1219" s="28"/>
      <c r="E1219" s="34"/>
      <c r="F1219" s="34"/>
      <c r="G1219" s="34"/>
      <c r="H1219" s="34"/>
      <c r="I1219" s="34"/>
      <c r="J1219" s="28" t="str">
        <f>IFERROR(__xludf.DUMMYFUNCTION("iferror(if(I1219="""","""",unique(query('tbl driver 2'!$K$2:$L1508,""SELECT L WHERE K = '""&amp;I1219&amp;""'""))),"""")"),"")</f>
        <v/>
      </c>
      <c r="K1219" s="31"/>
      <c r="L1219" s="39"/>
      <c r="M1219" s="39"/>
      <c r="N1219" s="28" t="str">
        <f>IFERROR(__xludf.DUMMYFUNCTION("IF(OR(C1219="""",M1219=""""),"""",IFERROR(IF(M1219="""","""",query('tbl user'!$A$2:$D1508,""SELECT A WHERE D = '""&amp;M1219&amp;""'"")),""USER TIDAK DIKETAHUI""))"),"")</f>
        <v/>
      </c>
    </row>
    <row r="1220">
      <c r="A1220" s="23"/>
      <c r="B1220" s="24" t="str">
        <f t="shared" si="4"/>
        <v/>
      </c>
      <c r="C1220" s="28"/>
      <c r="D1220" s="28"/>
      <c r="E1220" s="34"/>
      <c r="F1220" s="34"/>
      <c r="G1220" s="34"/>
      <c r="H1220" s="34"/>
      <c r="I1220" s="34"/>
      <c r="J1220" s="28" t="str">
        <f>IFERROR(__xludf.DUMMYFUNCTION("iferror(if(I1220="""","""",unique(query('tbl driver 2'!$K$2:$L1508,""SELECT L WHERE K = '""&amp;I1220&amp;""'""))),"""")"),"")</f>
        <v/>
      </c>
      <c r="K1220" s="31"/>
      <c r="L1220" s="39"/>
      <c r="M1220" s="39"/>
      <c r="N1220" s="28" t="str">
        <f>IFERROR(__xludf.DUMMYFUNCTION("IF(OR(C1220="""",M1220=""""),"""",IFERROR(IF(M1220="""","""",query('tbl user'!$A$2:$D1508,""SELECT A WHERE D = '""&amp;M1220&amp;""'"")),""USER TIDAK DIKETAHUI""))"),"")</f>
        <v/>
      </c>
    </row>
    <row r="1221">
      <c r="A1221" s="23"/>
      <c r="B1221" s="24" t="str">
        <f t="shared" si="4"/>
        <v/>
      </c>
      <c r="C1221" s="28"/>
      <c r="D1221" s="28"/>
      <c r="E1221" s="34"/>
      <c r="F1221" s="34"/>
      <c r="G1221" s="34"/>
      <c r="H1221" s="34"/>
      <c r="I1221" s="34"/>
      <c r="J1221" s="28" t="str">
        <f>IFERROR(__xludf.DUMMYFUNCTION("iferror(if(I1221="""","""",unique(query('tbl driver 2'!$K$2:$L1508,""SELECT L WHERE K = '""&amp;I1221&amp;""'""))),"""")"),"")</f>
        <v/>
      </c>
      <c r="K1221" s="31"/>
      <c r="L1221" s="39"/>
      <c r="M1221" s="39"/>
      <c r="N1221" s="28" t="str">
        <f>IFERROR(__xludf.DUMMYFUNCTION("IF(OR(C1221="""",M1221=""""),"""",IFERROR(IF(M1221="""","""",query('tbl user'!$A$2:$D1508,""SELECT A WHERE D = '""&amp;M1221&amp;""'"")),""USER TIDAK DIKETAHUI""))"),"")</f>
        <v/>
      </c>
    </row>
    <row r="1222">
      <c r="A1222" s="23"/>
      <c r="B1222" s="24" t="str">
        <f t="shared" si="4"/>
        <v/>
      </c>
      <c r="C1222" s="28"/>
      <c r="D1222" s="28"/>
      <c r="E1222" s="34"/>
      <c r="F1222" s="34"/>
      <c r="G1222" s="34"/>
      <c r="H1222" s="34"/>
      <c r="I1222" s="34"/>
      <c r="J1222" s="28" t="str">
        <f>IFERROR(__xludf.DUMMYFUNCTION("iferror(if(I1222="""","""",unique(query('tbl driver 2'!$K$2:$L1508,""SELECT L WHERE K = '""&amp;I1222&amp;""'""))),"""")"),"")</f>
        <v/>
      </c>
      <c r="K1222" s="31"/>
      <c r="L1222" s="39"/>
      <c r="M1222" s="39"/>
      <c r="N1222" s="28" t="str">
        <f>IFERROR(__xludf.DUMMYFUNCTION("IF(OR(C1222="""",M1222=""""),"""",IFERROR(IF(M1222="""","""",query('tbl user'!$A$2:$D1508,""SELECT A WHERE D = '""&amp;M1222&amp;""'"")),""USER TIDAK DIKETAHUI""))"),"")</f>
        <v/>
      </c>
    </row>
    <row r="1223">
      <c r="A1223" s="23"/>
      <c r="B1223" s="24" t="str">
        <f t="shared" si="4"/>
        <v/>
      </c>
      <c r="C1223" s="28"/>
      <c r="D1223" s="28"/>
      <c r="E1223" s="34"/>
      <c r="F1223" s="34"/>
      <c r="G1223" s="34"/>
      <c r="H1223" s="34"/>
      <c r="I1223" s="34"/>
      <c r="J1223" s="28" t="str">
        <f>IFERROR(__xludf.DUMMYFUNCTION("iferror(if(I1223="""","""",unique(query('tbl driver 2'!$K$2:$L1508,""SELECT L WHERE K = '""&amp;I1223&amp;""'""))),"""")"),"")</f>
        <v/>
      </c>
      <c r="K1223" s="31"/>
      <c r="L1223" s="39"/>
      <c r="M1223" s="39"/>
      <c r="N1223" s="28" t="str">
        <f>IFERROR(__xludf.DUMMYFUNCTION("IF(OR(C1223="""",M1223=""""),"""",IFERROR(IF(M1223="""","""",query('tbl user'!$A$2:$D1508,""SELECT A WHERE D = '""&amp;M1223&amp;""'"")),""USER TIDAK DIKETAHUI""))"),"")</f>
        <v/>
      </c>
    </row>
    <row r="1224">
      <c r="A1224" s="23"/>
      <c r="B1224" s="24" t="str">
        <f t="shared" si="4"/>
        <v/>
      </c>
      <c r="C1224" s="28"/>
      <c r="D1224" s="28"/>
      <c r="E1224" s="34"/>
      <c r="F1224" s="34"/>
      <c r="G1224" s="34"/>
      <c r="H1224" s="34"/>
      <c r="I1224" s="34"/>
      <c r="J1224" s="28" t="str">
        <f>IFERROR(__xludf.DUMMYFUNCTION("iferror(if(I1224="""","""",unique(query('tbl driver 2'!$K$2:$L1508,""SELECT L WHERE K = '""&amp;I1224&amp;""'""))),"""")"),"")</f>
        <v/>
      </c>
      <c r="K1224" s="31"/>
      <c r="L1224" s="39"/>
      <c r="M1224" s="39"/>
      <c r="N1224" s="28" t="str">
        <f>IFERROR(__xludf.DUMMYFUNCTION("IF(OR(C1224="""",M1224=""""),"""",IFERROR(IF(M1224="""","""",query('tbl user'!$A$2:$D1508,""SELECT A WHERE D = '""&amp;M1224&amp;""'"")),""USER TIDAK DIKETAHUI""))"),"")</f>
        <v/>
      </c>
    </row>
    <row r="1225">
      <c r="A1225" s="23"/>
      <c r="B1225" s="24" t="str">
        <f t="shared" si="4"/>
        <v/>
      </c>
      <c r="C1225" s="28"/>
      <c r="D1225" s="28"/>
      <c r="E1225" s="34"/>
      <c r="F1225" s="34"/>
      <c r="G1225" s="34"/>
      <c r="H1225" s="34"/>
      <c r="I1225" s="34"/>
      <c r="J1225" s="28" t="str">
        <f>IFERROR(__xludf.DUMMYFUNCTION("iferror(if(I1225="""","""",unique(query('tbl driver 2'!$K$2:$L1508,""SELECT L WHERE K = '""&amp;I1225&amp;""'""))),"""")"),"")</f>
        <v/>
      </c>
      <c r="K1225" s="31"/>
      <c r="L1225" s="39"/>
      <c r="M1225" s="39"/>
      <c r="N1225" s="28" t="str">
        <f>IFERROR(__xludf.DUMMYFUNCTION("IF(OR(C1225="""",M1225=""""),"""",IFERROR(IF(M1225="""","""",query('tbl user'!$A$2:$D1508,""SELECT A WHERE D = '""&amp;M1225&amp;""'"")),""USER TIDAK DIKETAHUI""))"),"")</f>
        <v/>
      </c>
    </row>
    <row r="1226">
      <c r="A1226" s="23"/>
      <c r="B1226" s="24" t="str">
        <f t="shared" si="4"/>
        <v/>
      </c>
      <c r="C1226" s="28"/>
      <c r="D1226" s="28"/>
      <c r="E1226" s="34"/>
      <c r="F1226" s="34"/>
      <c r="G1226" s="34"/>
      <c r="H1226" s="34"/>
      <c r="I1226" s="34"/>
      <c r="J1226" s="28" t="str">
        <f>IFERROR(__xludf.DUMMYFUNCTION("iferror(if(I1226="""","""",unique(query('tbl driver 2'!$K$2:$L1508,""SELECT L WHERE K = '""&amp;I1226&amp;""'""))),"""")"),"")</f>
        <v/>
      </c>
      <c r="K1226" s="31"/>
      <c r="L1226" s="39"/>
      <c r="M1226" s="39"/>
      <c r="N1226" s="28" t="str">
        <f>IFERROR(__xludf.DUMMYFUNCTION("IF(OR(C1226="""",M1226=""""),"""",IFERROR(IF(M1226="""","""",query('tbl user'!$A$2:$D1508,""SELECT A WHERE D = '""&amp;M1226&amp;""'"")),""USER TIDAK DIKETAHUI""))"),"")</f>
        <v/>
      </c>
    </row>
    <row r="1227">
      <c r="A1227" s="23"/>
      <c r="B1227" s="24" t="str">
        <f t="shared" si="4"/>
        <v/>
      </c>
      <c r="C1227" s="28"/>
      <c r="D1227" s="28"/>
      <c r="E1227" s="34"/>
      <c r="F1227" s="34"/>
      <c r="G1227" s="34"/>
      <c r="H1227" s="34"/>
      <c r="I1227" s="34"/>
      <c r="J1227" s="28" t="str">
        <f>IFERROR(__xludf.DUMMYFUNCTION("iferror(if(I1227="""","""",unique(query('tbl driver 2'!$K$2:$L1508,""SELECT L WHERE K = '""&amp;I1227&amp;""'""))),"""")"),"")</f>
        <v/>
      </c>
      <c r="K1227" s="31"/>
      <c r="L1227" s="39"/>
      <c r="M1227" s="39"/>
      <c r="N1227" s="28" t="str">
        <f>IFERROR(__xludf.DUMMYFUNCTION("IF(OR(C1227="""",M1227=""""),"""",IFERROR(IF(M1227="""","""",query('tbl user'!$A$2:$D1508,""SELECT A WHERE D = '""&amp;M1227&amp;""'"")),""USER TIDAK DIKETAHUI""))"),"")</f>
        <v/>
      </c>
    </row>
    <row r="1228">
      <c r="A1228" s="23"/>
      <c r="B1228" s="24" t="str">
        <f t="shared" si="4"/>
        <v/>
      </c>
      <c r="C1228" s="28"/>
      <c r="D1228" s="28"/>
      <c r="E1228" s="34"/>
      <c r="F1228" s="34"/>
      <c r="G1228" s="34"/>
      <c r="H1228" s="34"/>
      <c r="I1228" s="34"/>
      <c r="J1228" s="28" t="str">
        <f>IFERROR(__xludf.DUMMYFUNCTION("iferror(if(I1228="""","""",unique(query('tbl driver 2'!$K$2:$L1508,""SELECT L WHERE K = '""&amp;I1228&amp;""'""))),"""")"),"")</f>
        <v/>
      </c>
      <c r="K1228" s="31"/>
      <c r="L1228" s="39"/>
      <c r="M1228" s="39"/>
      <c r="N1228" s="28" t="str">
        <f>IFERROR(__xludf.DUMMYFUNCTION("IF(OR(C1228="""",M1228=""""),"""",IFERROR(IF(M1228="""","""",query('tbl user'!$A$2:$D1508,""SELECT A WHERE D = '""&amp;M1228&amp;""'"")),""USER TIDAK DIKETAHUI""))"),"")</f>
        <v/>
      </c>
    </row>
    <row r="1229">
      <c r="A1229" s="23"/>
      <c r="B1229" s="24" t="str">
        <f t="shared" si="4"/>
        <v/>
      </c>
      <c r="C1229" s="28"/>
      <c r="D1229" s="28"/>
      <c r="E1229" s="34"/>
      <c r="F1229" s="34"/>
      <c r="G1229" s="34"/>
      <c r="H1229" s="34"/>
      <c r="I1229" s="34"/>
      <c r="J1229" s="28" t="str">
        <f>IFERROR(__xludf.DUMMYFUNCTION("iferror(if(I1229="""","""",unique(query('tbl driver 2'!$K$2:$L1508,""SELECT L WHERE K = '""&amp;I1229&amp;""'""))),"""")"),"")</f>
        <v/>
      </c>
      <c r="K1229" s="31"/>
      <c r="L1229" s="39"/>
      <c r="M1229" s="39"/>
      <c r="N1229" s="28" t="str">
        <f>IFERROR(__xludf.DUMMYFUNCTION("IF(OR(C1229="""",M1229=""""),"""",IFERROR(IF(M1229="""","""",query('tbl user'!$A$2:$D1508,""SELECT A WHERE D = '""&amp;M1229&amp;""'"")),""USER TIDAK DIKETAHUI""))"),"")</f>
        <v/>
      </c>
    </row>
    <row r="1230">
      <c r="A1230" s="23"/>
      <c r="B1230" s="24" t="str">
        <f t="shared" si="4"/>
        <v/>
      </c>
      <c r="C1230" s="28"/>
      <c r="D1230" s="28"/>
      <c r="E1230" s="34"/>
      <c r="F1230" s="34"/>
      <c r="G1230" s="34"/>
      <c r="H1230" s="34"/>
      <c r="I1230" s="34"/>
      <c r="J1230" s="28" t="str">
        <f>IFERROR(__xludf.DUMMYFUNCTION("iferror(if(I1230="""","""",unique(query('tbl driver 2'!$K$2:$L1508,""SELECT L WHERE K = '""&amp;I1230&amp;""'""))),"""")"),"")</f>
        <v/>
      </c>
      <c r="K1230" s="31"/>
      <c r="L1230" s="39"/>
      <c r="M1230" s="39"/>
      <c r="N1230" s="28" t="str">
        <f>IFERROR(__xludf.DUMMYFUNCTION("IF(OR(C1230="""",M1230=""""),"""",IFERROR(IF(M1230="""","""",query('tbl user'!$A$2:$D1508,""SELECT A WHERE D = '""&amp;M1230&amp;""'"")),""USER TIDAK DIKETAHUI""))"),"")</f>
        <v/>
      </c>
    </row>
    <row r="1231">
      <c r="A1231" s="23"/>
      <c r="B1231" s="24" t="str">
        <f t="shared" si="4"/>
        <v/>
      </c>
      <c r="C1231" s="28"/>
      <c r="D1231" s="28"/>
      <c r="E1231" s="34"/>
      <c r="F1231" s="34"/>
      <c r="G1231" s="34"/>
      <c r="H1231" s="34"/>
      <c r="I1231" s="34"/>
      <c r="J1231" s="28" t="str">
        <f>IFERROR(__xludf.DUMMYFUNCTION("iferror(if(I1231="""","""",unique(query('tbl driver 2'!$K$2:$L1508,""SELECT L WHERE K = '""&amp;I1231&amp;""'""))),"""")"),"")</f>
        <v/>
      </c>
      <c r="K1231" s="31"/>
      <c r="L1231" s="39"/>
      <c r="M1231" s="39"/>
      <c r="N1231" s="28" t="str">
        <f>IFERROR(__xludf.DUMMYFUNCTION("IF(OR(C1231="""",M1231=""""),"""",IFERROR(IF(M1231="""","""",query('tbl user'!$A$2:$D1508,""SELECT A WHERE D = '""&amp;M1231&amp;""'"")),""USER TIDAK DIKETAHUI""))"),"")</f>
        <v/>
      </c>
    </row>
    <row r="1232">
      <c r="A1232" s="23"/>
      <c r="B1232" s="24" t="str">
        <f t="shared" si="4"/>
        <v/>
      </c>
      <c r="C1232" s="28"/>
      <c r="D1232" s="28"/>
      <c r="E1232" s="34"/>
      <c r="F1232" s="34"/>
      <c r="G1232" s="34"/>
      <c r="H1232" s="34"/>
      <c r="I1232" s="34"/>
      <c r="J1232" s="28" t="str">
        <f>IFERROR(__xludf.DUMMYFUNCTION("iferror(if(I1232="""","""",unique(query('tbl driver 2'!$K$2:$L1508,""SELECT L WHERE K = '""&amp;I1232&amp;""'""))),"""")"),"")</f>
        <v/>
      </c>
      <c r="K1232" s="31"/>
      <c r="L1232" s="39"/>
      <c r="M1232" s="39"/>
      <c r="N1232" s="28" t="str">
        <f>IFERROR(__xludf.DUMMYFUNCTION("IF(OR(C1232="""",M1232=""""),"""",IFERROR(IF(M1232="""","""",query('tbl user'!$A$2:$D1508,""SELECT A WHERE D = '""&amp;M1232&amp;""'"")),""USER TIDAK DIKETAHUI""))"),"")</f>
        <v/>
      </c>
    </row>
    <row r="1233">
      <c r="A1233" s="23"/>
      <c r="B1233" s="24" t="str">
        <f t="shared" si="4"/>
        <v/>
      </c>
      <c r="C1233" s="28"/>
      <c r="D1233" s="28"/>
      <c r="E1233" s="34"/>
      <c r="F1233" s="34"/>
      <c r="G1233" s="34"/>
      <c r="H1233" s="34"/>
      <c r="I1233" s="34"/>
      <c r="J1233" s="28" t="str">
        <f>IFERROR(__xludf.DUMMYFUNCTION("iferror(if(I1233="""","""",unique(query('tbl driver 2'!$K$2:$L1508,""SELECT L WHERE K = '""&amp;I1233&amp;""'""))),"""")"),"")</f>
        <v/>
      </c>
      <c r="K1233" s="31"/>
      <c r="L1233" s="39"/>
      <c r="M1233" s="39"/>
      <c r="N1233" s="28" t="str">
        <f>IFERROR(__xludf.DUMMYFUNCTION("IF(OR(C1233="""",M1233=""""),"""",IFERROR(IF(M1233="""","""",query('tbl user'!$A$2:$D1508,""SELECT A WHERE D = '""&amp;M1233&amp;""'"")),""USER TIDAK DIKETAHUI""))"),"")</f>
        <v/>
      </c>
    </row>
    <row r="1234">
      <c r="A1234" s="23"/>
      <c r="B1234" s="24" t="str">
        <f t="shared" si="4"/>
        <v/>
      </c>
      <c r="C1234" s="28"/>
      <c r="D1234" s="28"/>
      <c r="E1234" s="34"/>
      <c r="F1234" s="34"/>
      <c r="G1234" s="34"/>
      <c r="H1234" s="34"/>
      <c r="I1234" s="34"/>
      <c r="J1234" s="28" t="str">
        <f>IFERROR(__xludf.DUMMYFUNCTION("iferror(if(I1234="""","""",unique(query('tbl driver 2'!$K$2:$L1508,""SELECT L WHERE K = '""&amp;I1234&amp;""'""))),"""")"),"")</f>
        <v/>
      </c>
      <c r="K1234" s="31"/>
      <c r="L1234" s="39"/>
      <c r="M1234" s="39"/>
      <c r="N1234" s="28" t="str">
        <f>IFERROR(__xludf.DUMMYFUNCTION("IF(OR(C1234="""",M1234=""""),"""",IFERROR(IF(M1234="""","""",query('tbl user'!$A$2:$D1508,""SELECT A WHERE D = '""&amp;M1234&amp;""'"")),""USER TIDAK DIKETAHUI""))"),"")</f>
        <v/>
      </c>
    </row>
    <row r="1235">
      <c r="A1235" s="23"/>
      <c r="B1235" s="24" t="str">
        <f t="shared" si="4"/>
        <v/>
      </c>
      <c r="C1235" s="28"/>
      <c r="D1235" s="28"/>
      <c r="E1235" s="34"/>
      <c r="F1235" s="34"/>
      <c r="G1235" s="34"/>
      <c r="H1235" s="34"/>
      <c r="I1235" s="34"/>
      <c r="J1235" s="28" t="str">
        <f>IFERROR(__xludf.DUMMYFUNCTION("iferror(if(I1235="""","""",unique(query('tbl driver 2'!$K$2:$L1508,""SELECT L WHERE K = '""&amp;I1235&amp;""'""))),"""")"),"")</f>
        <v/>
      </c>
      <c r="K1235" s="31"/>
      <c r="L1235" s="39"/>
      <c r="M1235" s="39"/>
      <c r="N1235" s="28" t="str">
        <f>IFERROR(__xludf.DUMMYFUNCTION("IF(OR(C1235="""",M1235=""""),"""",IFERROR(IF(M1235="""","""",query('tbl user'!$A$2:$D1508,""SELECT A WHERE D = '""&amp;M1235&amp;""'"")),""USER TIDAK DIKETAHUI""))"),"")</f>
        <v/>
      </c>
    </row>
    <row r="1236">
      <c r="A1236" s="23"/>
      <c r="B1236" s="24" t="str">
        <f t="shared" si="4"/>
        <v/>
      </c>
      <c r="C1236" s="28"/>
      <c r="D1236" s="28"/>
      <c r="E1236" s="34"/>
      <c r="F1236" s="34"/>
      <c r="G1236" s="34"/>
      <c r="H1236" s="34"/>
      <c r="I1236" s="34"/>
      <c r="J1236" s="28" t="str">
        <f>IFERROR(__xludf.DUMMYFUNCTION("iferror(if(I1236="""","""",unique(query('tbl driver 2'!$K$2:$L1508,""SELECT L WHERE K = '""&amp;I1236&amp;""'""))),"""")"),"")</f>
        <v/>
      </c>
      <c r="K1236" s="31"/>
      <c r="L1236" s="39"/>
      <c r="M1236" s="39"/>
      <c r="N1236" s="28" t="str">
        <f>IFERROR(__xludf.DUMMYFUNCTION("IF(OR(C1236="""",M1236=""""),"""",IFERROR(IF(M1236="""","""",query('tbl user'!$A$2:$D1508,""SELECT A WHERE D = '""&amp;M1236&amp;""'"")),""USER TIDAK DIKETAHUI""))"),"")</f>
        <v/>
      </c>
    </row>
    <row r="1237">
      <c r="A1237" s="23"/>
      <c r="B1237" s="24" t="str">
        <f t="shared" si="4"/>
        <v/>
      </c>
      <c r="C1237" s="28"/>
      <c r="D1237" s="28"/>
      <c r="E1237" s="34"/>
      <c r="F1237" s="34"/>
      <c r="G1237" s="34"/>
      <c r="H1237" s="34"/>
      <c r="I1237" s="34"/>
      <c r="J1237" s="28" t="str">
        <f>IFERROR(__xludf.DUMMYFUNCTION("iferror(if(I1237="""","""",unique(query('tbl driver 2'!$K$2:$L1508,""SELECT L WHERE K = '""&amp;I1237&amp;""'""))),"""")"),"")</f>
        <v/>
      </c>
      <c r="K1237" s="31"/>
      <c r="L1237" s="39"/>
      <c r="M1237" s="39"/>
      <c r="N1237" s="28" t="str">
        <f>IFERROR(__xludf.DUMMYFUNCTION("IF(OR(C1237="""",M1237=""""),"""",IFERROR(IF(M1237="""","""",query('tbl user'!$A$2:$D1508,""SELECT A WHERE D = '""&amp;M1237&amp;""'"")),""USER TIDAK DIKETAHUI""))"),"")</f>
        <v/>
      </c>
    </row>
    <row r="1238">
      <c r="A1238" s="23"/>
      <c r="B1238" s="24" t="str">
        <f t="shared" si="4"/>
        <v/>
      </c>
      <c r="C1238" s="28"/>
      <c r="D1238" s="28"/>
      <c r="E1238" s="34"/>
      <c r="F1238" s="34"/>
      <c r="G1238" s="34"/>
      <c r="H1238" s="34"/>
      <c r="I1238" s="34"/>
      <c r="J1238" s="28" t="str">
        <f>IFERROR(__xludf.DUMMYFUNCTION("iferror(if(I1238="""","""",unique(query('tbl driver 2'!$K$2:$L1508,""SELECT L WHERE K = '""&amp;I1238&amp;""'""))),"""")"),"")</f>
        <v/>
      </c>
      <c r="K1238" s="31"/>
      <c r="L1238" s="39"/>
      <c r="M1238" s="39"/>
      <c r="N1238" s="28" t="str">
        <f>IFERROR(__xludf.DUMMYFUNCTION("IF(OR(C1238="""",M1238=""""),"""",IFERROR(IF(M1238="""","""",query('tbl user'!$A$2:$D1508,""SELECT A WHERE D = '""&amp;M1238&amp;""'"")),""USER TIDAK DIKETAHUI""))"),"")</f>
        <v/>
      </c>
    </row>
    <row r="1239">
      <c r="A1239" s="23"/>
      <c r="B1239" s="24" t="str">
        <f t="shared" si="4"/>
        <v/>
      </c>
      <c r="C1239" s="28"/>
      <c r="D1239" s="28"/>
      <c r="E1239" s="34"/>
      <c r="F1239" s="34"/>
      <c r="G1239" s="34"/>
      <c r="H1239" s="34"/>
      <c r="I1239" s="34"/>
      <c r="J1239" s="28" t="str">
        <f>IFERROR(__xludf.DUMMYFUNCTION("iferror(if(I1239="""","""",unique(query('tbl driver 2'!$K$2:$L1508,""SELECT L WHERE K = '""&amp;I1239&amp;""'""))),"""")"),"")</f>
        <v/>
      </c>
      <c r="K1239" s="31"/>
      <c r="L1239" s="39"/>
      <c r="M1239" s="39"/>
      <c r="N1239" s="28" t="str">
        <f>IFERROR(__xludf.DUMMYFUNCTION("IF(OR(C1239="""",M1239=""""),"""",IFERROR(IF(M1239="""","""",query('tbl user'!$A$2:$D1508,""SELECT A WHERE D = '""&amp;M1239&amp;""'"")),""USER TIDAK DIKETAHUI""))"),"")</f>
        <v/>
      </c>
    </row>
    <row r="1240">
      <c r="A1240" s="23"/>
      <c r="B1240" s="24" t="str">
        <f t="shared" si="4"/>
        <v/>
      </c>
      <c r="C1240" s="28"/>
      <c r="D1240" s="28"/>
      <c r="E1240" s="34"/>
      <c r="F1240" s="34"/>
      <c r="G1240" s="34"/>
      <c r="H1240" s="34"/>
      <c r="I1240" s="34"/>
      <c r="J1240" s="28" t="str">
        <f>IFERROR(__xludf.DUMMYFUNCTION("iferror(if(I1240="""","""",unique(query('tbl driver 2'!$K$2:$L1508,""SELECT L WHERE K = '""&amp;I1240&amp;""'""))),"""")"),"")</f>
        <v/>
      </c>
      <c r="K1240" s="31"/>
      <c r="L1240" s="39"/>
      <c r="M1240" s="39"/>
      <c r="N1240" s="28" t="str">
        <f>IFERROR(__xludf.DUMMYFUNCTION("IF(OR(C1240="""",M1240=""""),"""",IFERROR(IF(M1240="""","""",query('tbl user'!$A$2:$D1508,""SELECT A WHERE D = '""&amp;M1240&amp;""'"")),""USER TIDAK DIKETAHUI""))"),"")</f>
        <v/>
      </c>
    </row>
    <row r="1241">
      <c r="A1241" s="23"/>
      <c r="B1241" s="24" t="str">
        <f t="shared" si="4"/>
        <v/>
      </c>
      <c r="C1241" s="28"/>
      <c r="D1241" s="28"/>
      <c r="E1241" s="34"/>
      <c r="F1241" s="34"/>
      <c r="G1241" s="34"/>
      <c r="H1241" s="34"/>
      <c r="I1241" s="34"/>
      <c r="J1241" s="28" t="str">
        <f>IFERROR(__xludf.DUMMYFUNCTION("iferror(if(I1241="""","""",unique(query('tbl driver 2'!$K$2:$L1508,""SELECT L WHERE K = '""&amp;I1241&amp;""'""))),"""")"),"")</f>
        <v/>
      </c>
      <c r="K1241" s="31"/>
      <c r="L1241" s="39"/>
      <c r="M1241" s="39"/>
      <c r="N1241" s="28" t="str">
        <f>IFERROR(__xludf.DUMMYFUNCTION("IF(OR(C1241="""",M1241=""""),"""",IFERROR(IF(M1241="""","""",query('tbl user'!$A$2:$D1508,""SELECT A WHERE D = '""&amp;M1241&amp;""'"")),""USER TIDAK DIKETAHUI""))"),"")</f>
        <v/>
      </c>
    </row>
    <row r="1242">
      <c r="A1242" s="23"/>
      <c r="B1242" s="24" t="str">
        <f t="shared" si="4"/>
        <v/>
      </c>
      <c r="C1242" s="28"/>
      <c r="D1242" s="28"/>
      <c r="E1242" s="34"/>
      <c r="F1242" s="34"/>
      <c r="G1242" s="34"/>
      <c r="H1242" s="34"/>
      <c r="I1242" s="34"/>
      <c r="J1242" s="28" t="str">
        <f>IFERROR(__xludf.DUMMYFUNCTION("iferror(if(I1242="""","""",unique(query('tbl driver 2'!$K$2:$L1508,""SELECT L WHERE K = '""&amp;I1242&amp;""'""))),"""")"),"")</f>
        <v/>
      </c>
      <c r="K1242" s="31"/>
      <c r="L1242" s="39"/>
      <c r="M1242" s="39"/>
      <c r="N1242" s="28" t="str">
        <f>IFERROR(__xludf.DUMMYFUNCTION("IF(OR(C1242="""",M1242=""""),"""",IFERROR(IF(M1242="""","""",query('tbl user'!$A$2:$D1508,""SELECT A WHERE D = '""&amp;M1242&amp;""'"")),""USER TIDAK DIKETAHUI""))"),"")</f>
        <v/>
      </c>
    </row>
    <row r="1243">
      <c r="A1243" s="23"/>
      <c r="B1243" s="24" t="str">
        <f t="shared" si="4"/>
        <v/>
      </c>
      <c r="C1243" s="28"/>
      <c r="D1243" s="28"/>
      <c r="E1243" s="34"/>
      <c r="F1243" s="34"/>
      <c r="G1243" s="34"/>
      <c r="H1243" s="34"/>
      <c r="I1243" s="34"/>
      <c r="J1243" s="28" t="str">
        <f>IFERROR(__xludf.DUMMYFUNCTION("iferror(if(I1243="""","""",unique(query('tbl driver 2'!$K$2:$L1508,""SELECT L WHERE K = '""&amp;I1243&amp;""'""))),"""")"),"")</f>
        <v/>
      </c>
      <c r="K1243" s="31"/>
      <c r="L1243" s="39"/>
      <c r="M1243" s="39"/>
      <c r="N1243" s="28" t="str">
        <f>IFERROR(__xludf.DUMMYFUNCTION("IF(OR(C1243="""",M1243=""""),"""",IFERROR(IF(M1243="""","""",query('tbl user'!$A$2:$D1508,""SELECT A WHERE D = '""&amp;M1243&amp;""'"")),""USER TIDAK DIKETAHUI""))"),"")</f>
        <v/>
      </c>
    </row>
    <row r="1244">
      <c r="A1244" s="23"/>
      <c r="B1244" s="24" t="str">
        <f t="shared" si="4"/>
        <v/>
      </c>
      <c r="C1244" s="28"/>
      <c r="D1244" s="28"/>
      <c r="E1244" s="34"/>
      <c r="F1244" s="34"/>
      <c r="G1244" s="34"/>
      <c r="H1244" s="34"/>
      <c r="I1244" s="34"/>
      <c r="J1244" s="28" t="str">
        <f>IFERROR(__xludf.DUMMYFUNCTION("iferror(if(I1244="""","""",unique(query('tbl driver 2'!$K$2:$L1508,""SELECT L WHERE K = '""&amp;I1244&amp;""'""))),"""")"),"")</f>
        <v/>
      </c>
      <c r="K1244" s="31"/>
      <c r="L1244" s="39"/>
      <c r="M1244" s="39"/>
      <c r="N1244" s="28" t="str">
        <f>IFERROR(__xludf.DUMMYFUNCTION("IF(OR(C1244="""",M1244=""""),"""",IFERROR(IF(M1244="""","""",query('tbl user'!$A$2:$D1508,""SELECT A WHERE D = '""&amp;M1244&amp;""'"")),""USER TIDAK DIKETAHUI""))"),"")</f>
        <v/>
      </c>
    </row>
    <row r="1245">
      <c r="A1245" s="23"/>
      <c r="B1245" s="24" t="str">
        <f t="shared" si="4"/>
        <v/>
      </c>
      <c r="C1245" s="28"/>
      <c r="D1245" s="28"/>
      <c r="E1245" s="34"/>
      <c r="F1245" s="34"/>
      <c r="G1245" s="34"/>
      <c r="H1245" s="34"/>
      <c r="I1245" s="34"/>
      <c r="J1245" s="28" t="str">
        <f>IFERROR(__xludf.DUMMYFUNCTION("iferror(if(I1245="""","""",unique(query('tbl driver 2'!$K$2:$L1508,""SELECT L WHERE K = '""&amp;I1245&amp;""'""))),"""")"),"")</f>
        <v/>
      </c>
      <c r="K1245" s="31"/>
      <c r="L1245" s="39"/>
      <c r="M1245" s="39"/>
      <c r="N1245" s="28" t="str">
        <f>IFERROR(__xludf.DUMMYFUNCTION("IF(OR(C1245="""",M1245=""""),"""",IFERROR(IF(M1245="""","""",query('tbl user'!$A$2:$D1508,""SELECT A WHERE D = '""&amp;M1245&amp;""'"")),""USER TIDAK DIKETAHUI""))"),"")</f>
        <v/>
      </c>
    </row>
    <row r="1246">
      <c r="A1246" s="23"/>
      <c r="B1246" s="24" t="str">
        <f t="shared" si="4"/>
        <v/>
      </c>
      <c r="C1246" s="28"/>
      <c r="D1246" s="28"/>
      <c r="E1246" s="34"/>
      <c r="F1246" s="34"/>
      <c r="G1246" s="34"/>
      <c r="H1246" s="34"/>
      <c r="I1246" s="34"/>
      <c r="J1246" s="28" t="str">
        <f>IFERROR(__xludf.DUMMYFUNCTION("iferror(if(I1246="""","""",unique(query('tbl driver 2'!$K$2:$L1508,""SELECT L WHERE K = '""&amp;I1246&amp;""'""))),"""")"),"")</f>
        <v/>
      </c>
      <c r="K1246" s="31"/>
      <c r="L1246" s="39"/>
      <c r="M1246" s="39"/>
      <c r="N1246" s="28" t="str">
        <f>IFERROR(__xludf.DUMMYFUNCTION("IF(OR(C1246="""",M1246=""""),"""",IFERROR(IF(M1246="""","""",query('tbl user'!$A$2:$D1508,""SELECT A WHERE D = '""&amp;M1246&amp;""'"")),""USER TIDAK DIKETAHUI""))"),"")</f>
        <v/>
      </c>
    </row>
    <row r="1247">
      <c r="A1247" s="23"/>
      <c r="B1247" s="24" t="str">
        <f t="shared" si="4"/>
        <v/>
      </c>
      <c r="C1247" s="28"/>
      <c r="D1247" s="28"/>
      <c r="E1247" s="34"/>
      <c r="F1247" s="34"/>
      <c r="G1247" s="34"/>
      <c r="H1247" s="34"/>
      <c r="I1247" s="34"/>
      <c r="J1247" s="28" t="str">
        <f>IFERROR(__xludf.DUMMYFUNCTION("iferror(if(I1247="""","""",unique(query('tbl driver 2'!$K$2:$L1508,""SELECT L WHERE K = '""&amp;I1247&amp;""'""))),"""")"),"")</f>
        <v/>
      </c>
      <c r="K1247" s="31"/>
      <c r="L1247" s="39"/>
      <c r="M1247" s="39"/>
      <c r="N1247" s="28" t="str">
        <f>IFERROR(__xludf.DUMMYFUNCTION("IF(OR(C1247="""",M1247=""""),"""",IFERROR(IF(M1247="""","""",query('tbl user'!$A$2:$D1508,""SELECT A WHERE D = '""&amp;M1247&amp;""'"")),""USER TIDAK DIKETAHUI""))"),"")</f>
        <v/>
      </c>
    </row>
    <row r="1248">
      <c r="A1248" s="23"/>
      <c r="B1248" s="24" t="str">
        <f t="shared" si="4"/>
        <v/>
      </c>
      <c r="C1248" s="28"/>
      <c r="D1248" s="28"/>
      <c r="E1248" s="34"/>
      <c r="F1248" s="34"/>
      <c r="G1248" s="34"/>
      <c r="H1248" s="34"/>
      <c r="I1248" s="34"/>
      <c r="J1248" s="28" t="str">
        <f>IFERROR(__xludf.DUMMYFUNCTION("iferror(if(I1248="""","""",unique(query('tbl driver 2'!$K$2:$L1508,""SELECT L WHERE K = '""&amp;I1248&amp;""'""))),"""")"),"")</f>
        <v/>
      </c>
      <c r="K1248" s="31"/>
      <c r="L1248" s="39"/>
      <c r="M1248" s="39"/>
      <c r="N1248" s="28" t="str">
        <f>IFERROR(__xludf.DUMMYFUNCTION("IF(OR(C1248="""",M1248=""""),"""",IFERROR(IF(M1248="""","""",query('tbl user'!$A$2:$D1508,""SELECT A WHERE D = '""&amp;M1248&amp;""'"")),""USER TIDAK DIKETAHUI""))"),"")</f>
        <v/>
      </c>
    </row>
    <row r="1249">
      <c r="A1249" s="23"/>
      <c r="B1249" s="24" t="str">
        <f t="shared" si="4"/>
        <v/>
      </c>
      <c r="C1249" s="28"/>
      <c r="D1249" s="28"/>
      <c r="E1249" s="34"/>
      <c r="F1249" s="34"/>
      <c r="G1249" s="34"/>
      <c r="H1249" s="34"/>
      <c r="I1249" s="34"/>
      <c r="J1249" s="28" t="str">
        <f>IFERROR(__xludf.DUMMYFUNCTION("iferror(if(I1249="""","""",unique(query('tbl driver 2'!$K$2:$L1508,""SELECT L WHERE K = '""&amp;I1249&amp;""'""))),"""")"),"")</f>
        <v/>
      </c>
      <c r="K1249" s="31"/>
      <c r="L1249" s="39"/>
      <c r="M1249" s="39"/>
      <c r="N1249" s="28" t="str">
        <f>IFERROR(__xludf.DUMMYFUNCTION("IF(OR(C1249="""",M1249=""""),"""",IFERROR(IF(M1249="""","""",query('tbl user'!$A$2:$D1508,""SELECT A WHERE D = '""&amp;M1249&amp;""'"")),""USER TIDAK DIKETAHUI""))"),"")</f>
        <v/>
      </c>
    </row>
    <row r="1250">
      <c r="A1250" s="23"/>
      <c r="B1250" s="24" t="str">
        <f t="shared" si="4"/>
        <v/>
      </c>
      <c r="C1250" s="28"/>
      <c r="D1250" s="28"/>
      <c r="E1250" s="34"/>
      <c r="F1250" s="34"/>
      <c r="G1250" s="34"/>
      <c r="H1250" s="34"/>
      <c r="I1250" s="34"/>
      <c r="J1250" s="28" t="str">
        <f>IFERROR(__xludf.DUMMYFUNCTION("iferror(if(I1250="""","""",unique(query('tbl driver 2'!$K$2:$L1508,""SELECT L WHERE K = '""&amp;I1250&amp;""'""))),"""")"),"")</f>
        <v/>
      </c>
      <c r="K1250" s="31"/>
      <c r="L1250" s="39"/>
      <c r="M1250" s="39"/>
      <c r="N1250" s="28" t="str">
        <f>IFERROR(__xludf.DUMMYFUNCTION("IF(OR(C1250="""",M1250=""""),"""",IFERROR(IF(M1250="""","""",query('tbl user'!$A$2:$D1508,""SELECT A WHERE D = '""&amp;M1250&amp;""'"")),""USER TIDAK DIKETAHUI""))"),"")</f>
        <v/>
      </c>
    </row>
    <row r="1251">
      <c r="A1251" s="23"/>
      <c r="B1251" s="24" t="str">
        <f t="shared" si="4"/>
        <v/>
      </c>
      <c r="C1251" s="28"/>
      <c r="D1251" s="28"/>
      <c r="E1251" s="34"/>
      <c r="F1251" s="34"/>
      <c r="G1251" s="34"/>
      <c r="H1251" s="34"/>
      <c r="I1251" s="34"/>
      <c r="J1251" s="28" t="str">
        <f>IFERROR(__xludf.DUMMYFUNCTION("iferror(if(I1251="""","""",unique(query('tbl driver 2'!$K$2:$L1508,""SELECT L WHERE K = '""&amp;I1251&amp;""'""))),"""")"),"")</f>
        <v/>
      </c>
      <c r="K1251" s="31"/>
      <c r="L1251" s="39"/>
      <c r="M1251" s="39"/>
      <c r="N1251" s="28" t="str">
        <f>IFERROR(__xludf.DUMMYFUNCTION("IF(OR(C1251="""",M1251=""""),"""",IFERROR(IF(M1251="""","""",query('tbl user'!$A$2:$D1508,""SELECT A WHERE D = '""&amp;M1251&amp;""'"")),""USER TIDAK DIKETAHUI""))"),"")</f>
        <v/>
      </c>
    </row>
    <row r="1252">
      <c r="A1252" s="23"/>
      <c r="B1252" s="24" t="str">
        <f t="shared" si="4"/>
        <v/>
      </c>
      <c r="C1252" s="28"/>
      <c r="D1252" s="28"/>
      <c r="E1252" s="34"/>
      <c r="F1252" s="34"/>
      <c r="G1252" s="34"/>
      <c r="H1252" s="34"/>
      <c r="I1252" s="34"/>
      <c r="J1252" s="28" t="str">
        <f>IFERROR(__xludf.DUMMYFUNCTION("iferror(if(I1252="""","""",unique(query('tbl driver 2'!$K$2:$L1508,""SELECT L WHERE K = '""&amp;I1252&amp;""'""))),"""")"),"")</f>
        <v/>
      </c>
      <c r="K1252" s="31"/>
      <c r="L1252" s="39"/>
      <c r="M1252" s="39"/>
      <c r="N1252" s="28" t="str">
        <f>IFERROR(__xludf.DUMMYFUNCTION("IF(OR(C1252="""",M1252=""""),"""",IFERROR(IF(M1252="""","""",query('tbl user'!$A$2:$D1508,""SELECT A WHERE D = '""&amp;M1252&amp;""'"")),""USER TIDAK DIKETAHUI""))"),"")</f>
        <v/>
      </c>
    </row>
    <row r="1253">
      <c r="A1253" s="23"/>
      <c r="B1253" s="24" t="str">
        <f t="shared" si="4"/>
        <v/>
      </c>
      <c r="C1253" s="28"/>
      <c r="D1253" s="28"/>
      <c r="E1253" s="34"/>
      <c r="F1253" s="34"/>
      <c r="G1253" s="34"/>
      <c r="H1253" s="34"/>
      <c r="I1253" s="34"/>
      <c r="J1253" s="28" t="str">
        <f>IFERROR(__xludf.DUMMYFUNCTION("iferror(if(I1253="""","""",unique(query('tbl driver 2'!$K$2:$L1508,""SELECT L WHERE K = '""&amp;I1253&amp;""'""))),"""")"),"")</f>
        <v/>
      </c>
      <c r="K1253" s="31"/>
      <c r="L1253" s="39"/>
      <c r="M1253" s="39"/>
      <c r="N1253" s="28" t="str">
        <f>IFERROR(__xludf.DUMMYFUNCTION("IF(OR(C1253="""",M1253=""""),"""",IFERROR(IF(M1253="""","""",query('tbl user'!$A$2:$D1508,""SELECT A WHERE D = '""&amp;M1253&amp;""'"")),""USER TIDAK DIKETAHUI""))"),"")</f>
        <v/>
      </c>
    </row>
    <row r="1254">
      <c r="A1254" s="23"/>
      <c r="B1254" s="24" t="str">
        <f t="shared" si="4"/>
        <v/>
      </c>
      <c r="C1254" s="28"/>
      <c r="D1254" s="28"/>
      <c r="E1254" s="34"/>
      <c r="F1254" s="34"/>
      <c r="G1254" s="34"/>
      <c r="H1254" s="34"/>
      <c r="I1254" s="34"/>
      <c r="J1254" s="28" t="str">
        <f>IFERROR(__xludf.DUMMYFUNCTION("iferror(if(I1254="""","""",unique(query('tbl driver 2'!$K$2:$L1508,""SELECT L WHERE K = '""&amp;I1254&amp;""'""))),"""")"),"")</f>
        <v/>
      </c>
      <c r="K1254" s="31"/>
      <c r="L1254" s="39"/>
      <c r="M1254" s="39"/>
      <c r="N1254" s="28" t="str">
        <f>IFERROR(__xludf.DUMMYFUNCTION("IF(OR(C1254="""",M1254=""""),"""",IFERROR(IF(M1254="""","""",query('tbl user'!$A$2:$D1508,""SELECT A WHERE D = '""&amp;M1254&amp;""'"")),""USER TIDAK DIKETAHUI""))"),"")</f>
        <v/>
      </c>
    </row>
    <row r="1255">
      <c r="A1255" s="23"/>
      <c r="B1255" s="24" t="str">
        <f t="shared" si="4"/>
        <v/>
      </c>
      <c r="C1255" s="28"/>
      <c r="D1255" s="28"/>
      <c r="E1255" s="34"/>
      <c r="F1255" s="34"/>
      <c r="G1255" s="34"/>
      <c r="H1255" s="34"/>
      <c r="I1255" s="34"/>
      <c r="J1255" s="28" t="str">
        <f>IFERROR(__xludf.DUMMYFUNCTION("iferror(if(I1255="""","""",unique(query('tbl driver 2'!$K$2:$L1508,""SELECT L WHERE K = '""&amp;I1255&amp;""'""))),"""")"),"")</f>
        <v/>
      </c>
      <c r="K1255" s="31"/>
      <c r="L1255" s="39"/>
      <c r="M1255" s="39"/>
      <c r="N1255" s="28" t="str">
        <f>IFERROR(__xludf.DUMMYFUNCTION("IF(OR(C1255="""",M1255=""""),"""",IFERROR(IF(M1255="""","""",query('tbl user'!$A$2:$D1508,""SELECT A WHERE D = '""&amp;M1255&amp;""'"")),""USER TIDAK DIKETAHUI""))"),"")</f>
        <v/>
      </c>
    </row>
    <row r="1256">
      <c r="A1256" s="23"/>
      <c r="B1256" s="24" t="str">
        <f t="shared" si="4"/>
        <v/>
      </c>
      <c r="C1256" s="28"/>
      <c r="D1256" s="28"/>
      <c r="E1256" s="34"/>
      <c r="F1256" s="34"/>
      <c r="G1256" s="34"/>
      <c r="H1256" s="34"/>
      <c r="I1256" s="34"/>
      <c r="J1256" s="28" t="str">
        <f>IFERROR(__xludf.DUMMYFUNCTION("iferror(if(I1256="""","""",unique(query('tbl driver 2'!$K$2:$L1508,""SELECT L WHERE K = '""&amp;I1256&amp;""'""))),"""")"),"")</f>
        <v/>
      </c>
      <c r="K1256" s="31"/>
      <c r="L1256" s="39"/>
      <c r="M1256" s="39"/>
      <c r="N1256" s="28" t="str">
        <f>IFERROR(__xludf.DUMMYFUNCTION("IF(OR(C1256="""",M1256=""""),"""",IFERROR(IF(M1256="""","""",query('tbl user'!$A$2:$D1508,""SELECT A WHERE D = '""&amp;M1256&amp;""'"")),""USER TIDAK DIKETAHUI""))"),"")</f>
        <v/>
      </c>
    </row>
    <row r="1257">
      <c r="A1257" s="23"/>
      <c r="B1257" s="24" t="str">
        <f t="shared" si="4"/>
        <v/>
      </c>
      <c r="C1257" s="28"/>
      <c r="D1257" s="28"/>
      <c r="E1257" s="34"/>
      <c r="F1257" s="34"/>
      <c r="G1257" s="34"/>
      <c r="H1257" s="34"/>
      <c r="I1257" s="34"/>
      <c r="J1257" s="28" t="str">
        <f>IFERROR(__xludf.DUMMYFUNCTION("iferror(if(I1257="""","""",unique(query('tbl driver 2'!$K$2:$L1508,""SELECT L WHERE K = '""&amp;I1257&amp;""'""))),"""")"),"")</f>
        <v/>
      </c>
      <c r="K1257" s="31"/>
      <c r="L1257" s="39"/>
      <c r="M1257" s="39"/>
      <c r="N1257" s="28" t="str">
        <f>IFERROR(__xludf.DUMMYFUNCTION("IF(OR(C1257="""",M1257=""""),"""",IFERROR(IF(M1257="""","""",query('tbl user'!$A$2:$D1508,""SELECT A WHERE D = '""&amp;M1257&amp;""'"")),""USER TIDAK DIKETAHUI""))"),"")</f>
        <v/>
      </c>
    </row>
    <row r="1258">
      <c r="A1258" s="23"/>
      <c r="B1258" s="24" t="str">
        <f t="shared" si="4"/>
        <v/>
      </c>
      <c r="C1258" s="28"/>
      <c r="D1258" s="28"/>
      <c r="E1258" s="34"/>
      <c r="F1258" s="34"/>
      <c r="G1258" s="34"/>
      <c r="H1258" s="34"/>
      <c r="I1258" s="34"/>
      <c r="J1258" s="28" t="str">
        <f>IFERROR(__xludf.DUMMYFUNCTION("iferror(if(I1258="""","""",unique(query('tbl driver 2'!$K$2:$L1508,""SELECT L WHERE K = '""&amp;I1258&amp;""'""))),"""")"),"")</f>
        <v/>
      </c>
      <c r="K1258" s="31"/>
      <c r="L1258" s="39"/>
      <c r="M1258" s="39"/>
      <c r="N1258" s="28" t="str">
        <f>IFERROR(__xludf.DUMMYFUNCTION("IF(OR(C1258="""",M1258=""""),"""",IFERROR(IF(M1258="""","""",query('tbl user'!$A$2:$D1508,""SELECT A WHERE D = '""&amp;M1258&amp;""'"")),""USER TIDAK DIKETAHUI""))"),"")</f>
        <v/>
      </c>
    </row>
    <row r="1259">
      <c r="A1259" s="23"/>
      <c r="B1259" s="24" t="str">
        <f t="shared" si="4"/>
        <v/>
      </c>
      <c r="C1259" s="28"/>
      <c r="D1259" s="28"/>
      <c r="E1259" s="34"/>
      <c r="F1259" s="34"/>
      <c r="G1259" s="34"/>
      <c r="H1259" s="34"/>
      <c r="I1259" s="34"/>
      <c r="J1259" s="28" t="str">
        <f>IFERROR(__xludf.DUMMYFUNCTION("iferror(if(I1259="""","""",unique(query('tbl driver 2'!$K$2:$L1508,""SELECT L WHERE K = '""&amp;I1259&amp;""'""))),"""")"),"")</f>
        <v/>
      </c>
      <c r="K1259" s="31"/>
      <c r="L1259" s="39"/>
      <c r="M1259" s="39"/>
      <c r="N1259" s="28" t="str">
        <f>IFERROR(__xludf.DUMMYFUNCTION("IF(OR(C1259="""",M1259=""""),"""",IFERROR(IF(M1259="""","""",query('tbl user'!$A$2:$D1508,""SELECT A WHERE D = '""&amp;M1259&amp;""'"")),""USER TIDAK DIKETAHUI""))"),"")</f>
        <v/>
      </c>
    </row>
    <row r="1260">
      <c r="A1260" s="23"/>
      <c r="B1260" s="24" t="str">
        <f t="shared" si="4"/>
        <v/>
      </c>
      <c r="C1260" s="28"/>
      <c r="D1260" s="28"/>
      <c r="E1260" s="34"/>
      <c r="F1260" s="34"/>
      <c r="G1260" s="34"/>
      <c r="H1260" s="34"/>
      <c r="I1260" s="34"/>
      <c r="J1260" s="28" t="str">
        <f>IFERROR(__xludf.DUMMYFUNCTION("iferror(if(I1260="""","""",unique(query('tbl driver 2'!$K$2:$L1508,""SELECT L WHERE K = '""&amp;I1260&amp;""'""))),"""")"),"")</f>
        <v/>
      </c>
      <c r="K1260" s="31"/>
      <c r="L1260" s="39"/>
      <c r="M1260" s="39"/>
      <c r="N1260" s="28" t="str">
        <f>IFERROR(__xludf.DUMMYFUNCTION("IF(OR(C1260="""",M1260=""""),"""",IFERROR(IF(M1260="""","""",query('tbl user'!$A$2:$D1508,""SELECT A WHERE D = '""&amp;M1260&amp;""'"")),""USER TIDAK DIKETAHUI""))"),"")</f>
        <v/>
      </c>
    </row>
    <row r="1261">
      <c r="A1261" s="23"/>
      <c r="B1261" s="24" t="str">
        <f t="shared" si="4"/>
        <v/>
      </c>
      <c r="C1261" s="28"/>
      <c r="D1261" s="28"/>
      <c r="E1261" s="34"/>
      <c r="F1261" s="34"/>
      <c r="G1261" s="34"/>
      <c r="H1261" s="34"/>
      <c r="I1261" s="34"/>
      <c r="J1261" s="28" t="str">
        <f>IFERROR(__xludf.DUMMYFUNCTION("iferror(if(I1261="""","""",unique(query('tbl driver 2'!$K$2:$L1508,""SELECT L WHERE K = '""&amp;I1261&amp;""'""))),"""")"),"")</f>
        <v/>
      </c>
      <c r="K1261" s="31"/>
      <c r="L1261" s="39"/>
      <c r="M1261" s="39"/>
      <c r="N1261" s="28" t="str">
        <f>IFERROR(__xludf.DUMMYFUNCTION("IF(OR(C1261="""",M1261=""""),"""",IFERROR(IF(M1261="""","""",query('tbl user'!$A$2:$D1508,""SELECT A WHERE D = '""&amp;M1261&amp;""'"")),""USER TIDAK DIKETAHUI""))"),"")</f>
        <v/>
      </c>
    </row>
    <row r="1262">
      <c r="A1262" s="23"/>
      <c r="B1262" s="24" t="str">
        <f t="shared" si="4"/>
        <v/>
      </c>
      <c r="C1262" s="28"/>
      <c r="D1262" s="28"/>
      <c r="E1262" s="34"/>
      <c r="F1262" s="34"/>
      <c r="G1262" s="34"/>
      <c r="H1262" s="34"/>
      <c r="I1262" s="34"/>
      <c r="J1262" s="28" t="str">
        <f>IFERROR(__xludf.DUMMYFUNCTION("iferror(if(I1262="""","""",unique(query('tbl driver 2'!$K$2:$L1508,""SELECT L WHERE K = '""&amp;I1262&amp;""'""))),"""")"),"")</f>
        <v/>
      </c>
      <c r="K1262" s="31"/>
      <c r="L1262" s="39"/>
      <c r="M1262" s="39"/>
      <c r="N1262" s="28" t="str">
        <f>IFERROR(__xludf.DUMMYFUNCTION("IF(OR(C1262="""",M1262=""""),"""",IFERROR(IF(M1262="""","""",query('tbl user'!$A$2:$D1508,""SELECT A WHERE D = '""&amp;M1262&amp;""'"")),""USER TIDAK DIKETAHUI""))"),"")</f>
        <v/>
      </c>
    </row>
    <row r="1263">
      <c r="A1263" s="23"/>
      <c r="B1263" s="24" t="str">
        <f t="shared" si="4"/>
        <v/>
      </c>
      <c r="C1263" s="28"/>
      <c r="D1263" s="28"/>
      <c r="E1263" s="34"/>
      <c r="F1263" s="34"/>
      <c r="G1263" s="34"/>
      <c r="H1263" s="34"/>
      <c r="I1263" s="34"/>
      <c r="J1263" s="28" t="str">
        <f>IFERROR(__xludf.DUMMYFUNCTION("iferror(if(I1263="""","""",unique(query('tbl driver 2'!$K$2:$L1508,""SELECT L WHERE K = '""&amp;I1263&amp;""'""))),"""")"),"")</f>
        <v/>
      </c>
      <c r="K1263" s="31"/>
      <c r="L1263" s="39"/>
      <c r="M1263" s="39"/>
      <c r="N1263" s="28" t="str">
        <f>IFERROR(__xludf.DUMMYFUNCTION("IF(OR(C1263="""",M1263=""""),"""",IFERROR(IF(M1263="""","""",query('tbl user'!$A$2:$D1508,""SELECT A WHERE D = '""&amp;M1263&amp;""'"")),""USER TIDAK DIKETAHUI""))"),"")</f>
        <v/>
      </c>
    </row>
    <row r="1264">
      <c r="A1264" s="23"/>
      <c r="B1264" s="24" t="str">
        <f t="shared" si="4"/>
        <v/>
      </c>
      <c r="C1264" s="28"/>
      <c r="D1264" s="28"/>
      <c r="E1264" s="34"/>
      <c r="F1264" s="34"/>
      <c r="G1264" s="34"/>
      <c r="H1264" s="34"/>
      <c r="I1264" s="34"/>
      <c r="J1264" s="28" t="str">
        <f>IFERROR(__xludf.DUMMYFUNCTION("iferror(if(I1264="""","""",unique(query('tbl driver 2'!$K$2:$L1508,""SELECT L WHERE K = '""&amp;I1264&amp;""'""))),"""")"),"")</f>
        <v/>
      </c>
      <c r="K1264" s="31"/>
      <c r="L1264" s="39"/>
      <c r="M1264" s="39"/>
      <c r="N1264" s="28" t="str">
        <f>IFERROR(__xludf.DUMMYFUNCTION("IF(OR(C1264="""",M1264=""""),"""",IFERROR(IF(M1264="""","""",query('tbl user'!$A$2:$D1508,""SELECT A WHERE D = '""&amp;M1264&amp;""'"")),""USER TIDAK DIKETAHUI""))"),"")</f>
        <v/>
      </c>
    </row>
    <row r="1265">
      <c r="A1265" s="23"/>
      <c r="B1265" s="24" t="str">
        <f t="shared" si="4"/>
        <v/>
      </c>
      <c r="C1265" s="28"/>
      <c r="D1265" s="28"/>
      <c r="E1265" s="34"/>
      <c r="F1265" s="34"/>
      <c r="G1265" s="34"/>
      <c r="H1265" s="34"/>
      <c r="I1265" s="34"/>
      <c r="J1265" s="28" t="str">
        <f>IFERROR(__xludf.DUMMYFUNCTION("iferror(if(I1265="""","""",unique(query('tbl driver 2'!$K$2:$L1508,""SELECT L WHERE K = '""&amp;I1265&amp;""'""))),"""")"),"")</f>
        <v/>
      </c>
      <c r="K1265" s="31"/>
      <c r="L1265" s="39"/>
      <c r="M1265" s="39"/>
      <c r="N1265" s="28" t="str">
        <f>IFERROR(__xludf.DUMMYFUNCTION("IF(OR(C1265="""",M1265=""""),"""",IFERROR(IF(M1265="""","""",query('tbl user'!$A$2:$D1508,""SELECT A WHERE D = '""&amp;M1265&amp;""'"")),""USER TIDAK DIKETAHUI""))"),"")</f>
        <v/>
      </c>
    </row>
    <row r="1266">
      <c r="A1266" s="23"/>
      <c r="B1266" s="24" t="str">
        <f t="shared" si="4"/>
        <v/>
      </c>
      <c r="C1266" s="28"/>
      <c r="D1266" s="28"/>
      <c r="E1266" s="34"/>
      <c r="F1266" s="34"/>
      <c r="G1266" s="34"/>
      <c r="H1266" s="34"/>
      <c r="I1266" s="34"/>
      <c r="J1266" s="28" t="str">
        <f>IFERROR(__xludf.DUMMYFUNCTION("iferror(if(I1266="""","""",unique(query('tbl driver 2'!$K$2:$L1508,""SELECT L WHERE K = '""&amp;I1266&amp;""'""))),"""")"),"")</f>
        <v/>
      </c>
      <c r="K1266" s="31"/>
      <c r="L1266" s="39"/>
      <c r="M1266" s="39"/>
      <c r="N1266" s="28" t="str">
        <f>IFERROR(__xludf.DUMMYFUNCTION("IF(OR(C1266="""",M1266=""""),"""",IFERROR(IF(M1266="""","""",query('tbl user'!$A$2:$D1508,""SELECT A WHERE D = '""&amp;M1266&amp;""'"")),""USER TIDAK DIKETAHUI""))"),"")</f>
        <v/>
      </c>
    </row>
    <row r="1267">
      <c r="A1267" s="23"/>
      <c r="B1267" s="24" t="str">
        <f t="shared" si="4"/>
        <v/>
      </c>
      <c r="C1267" s="28"/>
      <c r="D1267" s="28"/>
      <c r="E1267" s="34"/>
      <c r="F1267" s="34"/>
      <c r="G1267" s="34"/>
      <c r="H1267" s="34"/>
      <c r="I1267" s="34"/>
      <c r="J1267" s="28" t="str">
        <f>IFERROR(__xludf.DUMMYFUNCTION("iferror(if(I1267="""","""",unique(query('tbl driver 2'!$K$2:$L1508,""SELECT L WHERE K = '""&amp;I1267&amp;""'""))),"""")"),"")</f>
        <v/>
      </c>
      <c r="K1267" s="31"/>
      <c r="L1267" s="39"/>
      <c r="M1267" s="39"/>
      <c r="N1267" s="28" t="str">
        <f>IFERROR(__xludf.DUMMYFUNCTION("IF(OR(C1267="""",M1267=""""),"""",IFERROR(IF(M1267="""","""",query('tbl user'!$A$2:$D1508,""SELECT A WHERE D = '""&amp;M1267&amp;""'"")),""USER TIDAK DIKETAHUI""))"),"")</f>
        <v/>
      </c>
    </row>
    <row r="1268">
      <c r="A1268" s="23"/>
      <c r="B1268" s="24" t="str">
        <f t="shared" si="4"/>
        <v/>
      </c>
      <c r="C1268" s="28"/>
      <c r="D1268" s="28"/>
      <c r="E1268" s="34"/>
      <c r="F1268" s="34"/>
      <c r="G1268" s="34"/>
      <c r="H1268" s="34"/>
      <c r="I1268" s="34"/>
      <c r="J1268" s="28" t="str">
        <f>IFERROR(__xludf.DUMMYFUNCTION("iferror(if(I1268="""","""",unique(query('tbl driver 2'!$K$2:$L1508,""SELECT L WHERE K = '""&amp;I1268&amp;""'""))),"""")"),"")</f>
        <v/>
      </c>
      <c r="K1268" s="31"/>
      <c r="L1268" s="39"/>
      <c r="M1268" s="39"/>
      <c r="N1268" s="28" t="str">
        <f>IFERROR(__xludf.DUMMYFUNCTION("IF(OR(C1268="""",M1268=""""),"""",IFERROR(IF(M1268="""","""",query('tbl user'!$A$2:$D1508,""SELECT A WHERE D = '""&amp;M1268&amp;""'"")),""USER TIDAK DIKETAHUI""))"),"")</f>
        <v/>
      </c>
    </row>
    <row r="1269">
      <c r="A1269" s="23"/>
      <c r="B1269" s="24" t="str">
        <f t="shared" si="4"/>
        <v/>
      </c>
      <c r="C1269" s="28"/>
      <c r="D1269" s="28"/>
      <c r="E1269" s="34"/>
      <c r="F1269" s="34"/>
      <c r="G1269" s="34"/>
      <c r="H1269" s="34"/>
      <c r="I1269" s="34"/>
      <c r="J1269" s="28" t="str">
        <f>IFERROR(__xludf.DUMMYFUNCTION("iferror(if(I1269="""","""",unique(query('tbl driver 2'!$K$2:$L1508,""SELECT L WHERE K = '""&amp;I1269&amp;""'""))),"""")"),"")</f>
        <v/>
      </c>
      <c r="K1269" s="31"/>
      <c r="L1269" s="39"/>
      <c r="M1269" s="39"/>
      <c r="N1269" s="28" t="str">
        <f>IFERROR(__xludf.DUMMYFUNCTION("IF(OR(C1269="""",M1269=""""),"""",IFERROR(IF(M1269="""","""",query('tbl user'!$A$2:$D1508,""SELECT A WHERE D = '""&amp;M1269&amp;""'"")),""USER TIDAK DIKETAHUI""))"),"")</f>
        <v/>
      </c>
    </row>
    <row r="1270">
      <c r="A1270" s="23"/>
      <c r="B1270" s="24" t="str">
        <f t="shared" si="4"/>
        <v/>
      </c>
      <c r="C1270" s="28"/>
      <c r="D1270" s="28"/>
      <c r="E1270" s="34"/>
      <c r="F1270" s="34"/>
      <c r="G1270" s="34"/>
      <c r="H1270" s="34"/>
      <c r="I1270" s="34"/>
      <c r="J1270" s="28" t="str">
        <f>IFERROR(__xludf.DUMMYFUNCTION("iferror(if(I1270="""","""",unique(query('tbl driver 2'!$K$2:$L1508,""SELECT L WHERE K = '""&amp;I1270&amp;""'""))),"""")"),"")</f>
        <v/>
      </c>
      <c r="K1270" s="31"/>
      <c r="L1270" s="39"/>
      <c r="M1270" s="39"/>
      <c r="N1270" s="28" t="str">
        <f>IFERROR(__xludf.DUMMYFUNCTION("IF(OR(C1270="""",M1270=""""),"""",IFERROR(IF(M1270="""","""",query('tbl user'!$A$2:$D1508,""SELECT A WHERE D = '""&amp;M1270&amp;""'"")),""USER TIDAK DIKETAHUI""))"),"")</f>
        <v/>
      </c>
    </row>
    <row r="1271">
      <c r="A1271" s="23"/>
      <c r="B1271" s="24" t="str">
        <f t="shared" si="4"/>
        <v/>
      </c>
      <c r="C1271" s="28"/>
      <c r="D1271" s="28"/>
      <c r="E1271" s="34"/>
      <c r="F1271" s="34"/>
      <c r="G1271" s="34"/>
      <c r="H1271" s="34"/>
      <c r="I1271" s="34"/>
      <c r="J1271" s="28" t="str">
        <f>IFERROR(__xludf.DUMMYFUNCTION("iferror(if(I1271="""","""",unique(query('tbl driver 2'!$K$2:$L1508,""SELECT L WHERE K = '""&amp;I1271&amp;""'""))),"""")"),"")</f>
        <v/>
      </c>
      <c r="K1271" s="31"/>
      <c r="L1271" s="39"/>
      <c r="M1271" s="39"/>
      <c r="N1271" s="28" t="str">
        <f>IFERROR(__xludf.DUMMYFUNCTION("IF(OR(C1271="""",M1271=""""),"""",IFERROR(IF(M1271="""","""",query('tbl user'!$A$2:$D1508,""SELECT A WHERE D = '""&amp;M1271&amp;""'"")),""USER TIDAK DIKETAHUI""))"),"")</f>
        <v/>
      </c>
    </row>
    <row r="1272">
      <c r="A1272" s="23"/>
      <c r="B1272" s="24" t="str">
        <f t="shared" si="4"/>
        <v/>
      </c>
      <c r="C1272" s="28"/>
      <c r="D1272" s="28"/>
      <c r="E1272" s="34"/>
      <c r="F1272" s="34"/>
      <c r="G1272" s="34"/>
      <c r="H1272" s="34"/>
      <c r="I1272" s="34"/>
      <c r="J1272" s="28" t="str">
        <f>IFERROR(__xludf.DUMMYFUNCTION("iferror(if(I1272="""","""",unique(query('tbl driver 2'!$K$2:$L1508,""SELECT L WHERE K = '""&amp;I1272&amp;""'""))),"""")"),"")</f>
        <v/>
      </c>
      <c r="K1272" s="31"/>
      <c r="L1272" s="39"/>
      <c r="M1272" s="39"/>
      <c r="N1272" s="28" t="str">
        <f>IFERROR(__xludf.DUMMYFUNCTION("IF(OR(C1272="""",M1272=""""),"""",IFERROR(IF(M1272="""","""",query('tbl user'!$A$2:$D1508,""SELECT A WHERE D = '""&amp;M1272&amp;""'"")),""USER TIDAK DIKETAHUI""))"),"")</f>
        <v/>
      </c>
    </row>
    <row r="1273">
      <c r="A1273" s="23"/>
      <c r="B1273" s="24" t="str">
        <f t="shared" si="4"/>
        <v/>
      </c>
      <c r="C1273" s="28"/>
      <c r="D1273" s="28"/>
      <c r="E1273" s="34"/>
      <c r="F1273" s="34"/>
      <c r="G1273" s="34"/>
      <c r="H1273" s="34"/>
      <c r="I1273" s="34"/>
      <c r="J1273" s="28" t="str">
        <f>IFERROR(__xludf.DUMMYFUNCTION("iferror(if(I1273="""","""",unique(query('tbl driver 2'!$K$2:$L1508,""SELECT L WHERE K = '""&amp;I1273&amp;""'""))),"""")"),"")</f>
        <v/>
      </c>
      <c r="K1273" s="31"/>
      <c r="L1273" s="39"/>
      <c r="M1273" s="39"/>
      <c r="N1273" s="28" t="str">
        <f>IFERROR(__xludf.DUMMYFUNCTION("IF(OR(C1273="""",M1273=""""),"""",IFERROR(IF(M1273="""","""",query('tbl user'!$A$2:$D1508,""SELECT A WHERE D = '""&amp;M1273&amp;""'"")),""USER TIDAK DIKETAHUI""))"),"")</f>
        <v/>
      </c>
    </row>
    <row r="1274">
      <c r="A1274" s="23"/>
      <c r="B1274" s="24" t="str">
        <f t="shared" si="4"/>
        <v/>
      </c>
      <c r="C1274" s="28"/>
      <c r="D1274" s="28"/>
      <c r="E1274" s="34"/>
      <c r="F1274" s="34"/>
      <c r="G1274" s="34"/>
      <c r="H1274" s="34"/>
      <c r="I1274" s="34"/>
      <c r="J1274" s="28" t="str">
        <f>IFERROR(__xludf.DUMMYFUNCTION("iferror(if(I1274="""","""",unique(query('tbl driver 2'!$K$2:$L1508,""SELECT L WHERE K = '""&amp;I1274&amp;""'""))),"""")"),"")</f>
        <v/>
      </c>
      <c r="K1274" s="31"/>
      <c r="L1274" s="39"/>
      <c r="M1274" s="39"/>
      <c r="N1274" s="28" t="str">
        <f>IFERROR(__xludf.DUMMYFUNCTION("IF(OR(C1274="""",M1274=""""),"""",IFERROR(IF(M1274="""","""",query('tbl user'!$A$2:$D1508,""SELECT A WHERE D = '""&amp;M1274&amp;""'"")),""USER TIDAK DIKETAHUI""))"),"")</f>
        <v/>
      </c>
    </row>
    <row r="1275">
      <c r="A1275" s="23"/>
      <c r="B1275" s="24" t="str">
        <f t="shared" si="4"/>
        <v/>
      </c>
      <c r="C1275" s="28"/>
      <c r="D1275" s="28"/>
      <c r="E1275" s="34"/>
      <c r="F1275" s="34"/>
      <c r="G1275" s="34"/>
      <c r="H1275" s="34"/>
      <c r="I1275" s="34"/>
      <c r="J1275" s="28" t="str">
        <f>IFERROR(__xludf.DUMMYFUNCTION("iferror(if(I1275="""","""",unique(query('tbl driver 2'!$K$2:$L1508,""SELECT L WHERE K = '""&amp;I1275&amp;""'""))),"""")"),"")</f>
        <v/>
      </c>
      <c r="K1275" s="31"/>
      <c r="L1275" s="39"/>
      <c r="M1275" s="39"/>
      <c r="N1275" s="28" t="str">
        <f>IFERROR(__xludf.DUMMYFUNCTION("IF(OR(C1275="""",M1275=""""),"""",IFERROR(IF(M1275="""","""",query('tbl user'!$A$2:$D1508,""SELECT A WHERE D = '""&amp;M1275&amp;""'"")),""USER TIDAK DIKETAHUI""))"),"")</f>
        <v/>
      </c>
    </row>
    <row r="1276">
      <c r="A1276" s="23"/>
      <c r="B1276" s="24" t="str">
        <f t="shared" si="4"/>
        <v/>
      </c>
      <c r="C1276" s="28"/>
      <c r="D1276" s="28"/>
      <c r="E1276" s="34"/>
      <c r="F1276" s="34"/>
      <c r="G1276" s="34"/>
      <c r="H1276" s="34"/>
      <c r="I1276" s="34"/>
      <c r="J1276" s="28" t="str">
        <f>IFERROR(__xludf.DUMMYFUNCTION("iferror(if(I1276="""","""",unique(query('tbl driver 2'!$K$2:$L1508,""SELECT L WHERE K = '""&amp;I1276&amp;""'""))),"""")"),"")</f>
        <v/>
      </c>
      <c r="K1276" s="31"/>
      <c r="L1276" s="39"/>
      <c r="M1276" s="39"/>
      <c r="N1276" s="28" t="str">
        <f>IFERROR(__xludf.DUMMYFUNCTION("IF(OR(C1276="""",M1276=""""),"""",IFERROR(IF(M1276="""","""",query('tbl user'!$A$2:$D1508,""SELECT A WHERE D = '""&amp;M1276&amp;""'"")),""USER TIDAK DIKETAHUI""))"),"")</f>
        <v/>
      </c>
    </row>
    <row r="1277">
      <c r="A1277" s="23"/>
      <c r="B1277" s="24" t="str">
        <f t="shared" si="4"/>
        <v/>
      </c>
      <c r="C1277" s="28"/>
      <c r="D1277" s="28"/>
      <c r="E1277" s="34"/>
      <c r="F1277" s="34"/>
      <c r="G1277" s="34"/>
      <c r="H1277" s="34"/>
      <c r="I1277" s="34"/>
      <c r="J1277" s="28" t="str">
        <f>IFERROR(__xludf.DUMMYFUNCTION("iferror(if(I1277="""","""",unique(query('tbl driver 2'!$K$2:$L1508,""SELECT L WHERE K = '""&amp;I1277&amp;""'""))),"""")"),"")</f>
        <v/>
      </c>
      <c r="K1277" s="31"/>
      <c r="L1277" s="39"/>
      <c r="M1277" s="39"/>
      <c r="N1277" s="28" t="str">
        <f>IFERROR(__xludf.DUMMYFUNCTION("IF(OR(C1277="""",M1277=""""),"""",IFERROR(IF(M1277="""","""",query('tbl user'!$A$2:$D1508,""SELECT A WHERE D = '""&amp;M1277&amp;""'"")),""USER TIDAK DIKETAHUI""))"),"")</f>
        <v/>
      </c>
    </row>
    <row r="1278">
      <c r="A1278" s="23"/>
      <c r="B1278" s="24" t="str">
        <f t="shared" si="4"/>
        <v/>
      </c>
      <c r="C1278" s="28"/>
      <c r="D1278" s="28"/>
      <c r="E1278" s="34"/>
      <c r="F1278" s="34"/>
      <c r="G1278" s="34"/>
      <c r="H1278" s="34"/>
      <c r="I1278" s="34"/>
      <c r="J1278" s="28" t="str">
        <f>IFERROR(__xludf.DUMMYFUNCTION("iferror(if(I1278="""","""",unique(query('tbl driver 2'!$K$2:$L1508,""SELECT L WHERE K = '""&amp;I1278&amp;""'""))),"""")"),"")</f>
        <v/>
      </c>
      <c r="K1278" s="31"/>
      <c r="L1278" s="39"/>
      <c r="M1278" s="39"/>
      <c r="N1278" s="28" t="str">
        <f>IFERROR(__xludf.DUMMYFUNCTION("IF(OR(C1278="""",M1278=""""),"""",IFERROR(IF(M1278="""","""",query('tbl user'!$A$2:$D1508,""SELECT A WHERE D = '""&amp;M1278&amp;""'"")),""USER TIDAK DIKETAHUI""))"),"")</f>
        <v/>
      </c>
    </row>
    <row r="1279">
      <c r="A1279" s="23"/>
      <c r="B1279" s="24" t="str">
        <f t="shared" si="4"/>
        <v/>
      </c>
      <c r="C1279" s="28"/>
      <c r="D1279" s="28"/>
      <c r="E1279" s="34"/>
      <c r="F1279" s="34"/>
      <c r="G1279" s="34"/>
      <c r="H1279" s="34"/>
      <c r="I1279" s="34"/>
      <c r="J1279" s="28" t="str">
        <f>IFERROR(__xludf.DUMMYFUNCTION("iferror(if(I1279="""","""",unique(query('tbl driver 2'!$K$2:$L1508,""SELECT L WHERE K = '""&amp;I1279&amp;""'""))),"""")"),"")</f>
        <v/>
      </c>
      <c r="K1279" s="31"/>
      <c r="L1279" s="39"/>
      <c r="M1279" s="39"/>
      <c r="N1279" s="28" t="str">
        <f>IFERROR(__xludf.DUMMYFUNCTION("IF(OR(C1279="""",M1279=""""),"""",IFERROR(IF(M1279="""","""",query('tbl user'!$A$2:$D1508,""SELECT A WHERE D = '""&amp;M1279&amp;""'"")),""USER TIDAK DIKETAHUI""))"),"")</f>
        <v/>
      </c>
    </row>
    <row r="1280">
      <c r="A1280" s="23"/>
      <c r="B1280" s="24" t="str">
        <f t="shared" si="4"/>
        <v/>
      </c>
      <c r="C1280" s="28"/>
      <c r="D1280" s="28"/>
      <c r="E1280" s="34"/>
      <c r="F1280" s="34"/>
      <c r="G1280" s="34"/>
      <c r="H1280" s="34"/>
      <c r="I1280" s="34"/>
      <c r="J1280" s="28" t="str">
        <f>IFERROR(__xludf.DUMMYFUNCTION("iferror(if(I1280="""","""",unique(query('tbl driver 2'!$K$2:$L1508,""SELECT L WHERE K = '""&amp;I1280&amp;""'""))),"""")"),"")</f>
        <v/>
      </c>
      <c r="K1280" s="31"/>
      <c r="L1280" s="39"/>
      <c r="M1280" s="39"/>
      <c r="N1280" s="28" t="str">
        <f>IFERROR(__xludf.DUMMYFUNCTION("IF(OR(C1280="""",M1280=""""),"""",IFERROR(IF(M1280="""","""",query('tbl user'!$A$2:$D1508,""SELECT A WHERE D = '""&amp;M1280&amp;""'"")),""USER TIDAK DIKETAHUI""))"),"")</f>
        <v/>
      </c>
    </row>
    <row r="1281">
      <c r="A1281" s="23"/>
      <c r="B1281" s="24" t="str">
        <f t="shared" si="4"/>
        <v/>
      </c>
      <c r="C1281" s="28"/>
      <c r="D1281" s="28"/>
      <c r="E1281" s="34"/>
      <c r="F1281" s="34"/>
      <c r="G1281" s="34"/>
      <c r="H1281" s="34"/>
      <c r="I1281" s="34"/>
      <c r="J1281" s="28" t="str">
        <f>IFERROR(__xludf.DUMMYFUNCTION("iferror(if(I1281="""","""",unique(query('tbl driver 2'!$K$2:$L1508,""SELECT L WHERE K = '""&amp;I1281&amp;""'""))),"""")"),"")</f>
        <v/>
      </c>
      <c r="K1281" s="31"/>
      <c r="L1281" s="39"/>
      <c r="M1281" s="39"/>
      <c r="N1281" s="28" t="str">
        <f>IFERROR(__xludf.DUMMYFUNCTION("IF(OR(C1281="""",M1281=""""),"""",IFERROR(IF(M1281="""","""",query('tbl user'!$A$2:$D1508,""SELECT A WHERE D = '""&amp;M1281&amp;""'"")),""USER TIDAK DIKETAHUI""))"),"")</f>
        <v/>
      </c>
    </row>
    <row r="1282">
      <c r="A1282" s="23"/>
      <c r="B1282" s="24" t="str">
        <f t="shared" si="4"/>
        <v/>
      </c>
      <c r="C1282" s="28"/>
      <c r="D1282" s="28"/>
      <c r="E1282" s="34"/>
      <c r="F1282" s="34"/>
      <c r="G1282" s="34"/>
      <c r="H1282" s="34"/>
      <c r="I1282" s="34"/>
      <c r="J1282" s="28" t="str">
        <f>IFERROR(__xludf.DUMMYFUNCTION("iferror(if(I1282="""","""",unique(query('tbl driver 2'!$K$2:$L1508,""SELECT L WHERE K = '""&amp;I1282&amp;""'""))),"""")"),"")</f>
        <v/>
      </c>
      <c r="K1282" s="31"/>
      <c r="L1282" s="39"/>
      <c r="M1282" s="39"/>
      <c r="N1282" s="28" t="str">
        <f>IFERROR(__xludf.DUMMYFUNCTION("IF(OR(C1282="""",M1282=""""),"""",IFERROR(IF(M1282="""","""",query('tbl user'!$A$2:$D1508,""SELECT A WHERE D = '""&amp;M1282&amp;""'"")),""USER TIDAK DIKETAHUI""))"),"")</f>
        <v/>
      </c>
    </row>
    <row r="1283">
      <c r="A1283" s="23"/>
      <c r="B1283" s="24" t="str">
        <f t="shared" si="4"/>
        <v/>
      </c>
      <c r="C1283" s="28"/>
      <c r="D1283" s="28"/>
      <c r="E1283" s="34"/>
      <c r="F1283" s="34"/>
      <c r="G1283" s="34"/>
      <c r="H1283" s="34"/>
      <c r="I1283" s="34"/>
      <c r="J1283" s="28" t="str">
        <f>IFERROR(__xludf.DUMMYFUNCTION("iferror(if(I1283="""","""",unique(query('tbl driver 2'!$K$2:$L1508,""SELECT L WHERE K = '""&amp;I1283&amp;""'""))),"""")"),"")</f>
        <v/>
      </c>
      <c r="K1283" s="31"/>
      <c r="L1283" s="39"/>
      <c r="M1283" s="39"/>
      <c r="N1283" s="28" t="str">
        <f>IFERROR(__xludf.DUMMYFUNCTION("IF(OR(C1283="""",M1283=""""),"""",IFERROR(IF(M1283="""","""",query('tbl user'!$A$2:$D1508,""SELECT A WHERE D = '""&amp;M1283&amp;""'"")),""USER TIDAK DIKETAHUI""))"),"")</f>
        <v/>
      </c>
    </row>
    <row r="1284">
      <c r="A1284" s="23"/>
      <c r="B1284" s="24" t="str">
        <f t="shared" si="4"/>
        <v/>
      </c>
      <c r="C1284" s="28"/>
      <c r="D1284" s="28"/>
      <c r="E1284" s="34"/>
      <c r="F1284" s="34"/>
      <c r="G1284" s="34"/>
      <c r="H1284" s="34"/>
      <c r="I1284" s="34"/>
      <c r="J1284" s="28" t="str">
        <f>IFERROR(__xludf.DUMMYFUNCTION("iferror(if(I1284="""","""",unique(query('tbl driver 2'!$K$2:$L1508,""SELECT L WHERE K = '""&amp;I1284&amp;""'""))),"""")"),"")</f>
        <v/>
      </c>
      <c r="K1284" s="31"/>
      <c r="L1284" s="39"/>
      <c r="M1284" s="39"/>
      <c r="N1284" s="28" t="str">
        <f>IFERROR(__xludf.DUMMYFUNCTION("IF(OR(C1284="""",M1284=""""),"""",IFERROR(IF(M1284="""","""",query('tbl user'!$A$2:$D1508,""SELECT A WHERE D = '""&amp;M1284&amp;""'"")),""USER TIDAK DIKETAHUI""))"),"")</f>
        <v/>
      </c>
    </row>
    <row r="1285">
      <c r="A1285" s="23"/>
      <c r="B1285" s="24" t="str">
        <f t="shared" si="4"/>
        <v/>
      </c>
      <c r="C1285" s="28"/>
      <c r="D1285" s="28"/>
      <c r="E1285" s="34"/>
      <c r="F1285" s="34"/>
      <c r="G1285" s="34"/>
      <c r="H1285" s="34"/>
      <c r="I1285" s="34"/>
      <c r="J1285" s="28" t="str">
        <f>IFERROR(__xludf.DUMMYFUNCTION("iferror(if(I1285="""","""",unique(query('tbl driver 2'!$K$2:$L1508,""SELECT L WHERE K = '""&amp;I1285&amp;""'""))),"""")"),"")</f>
        <v/>
      </c>
      <c r="K1285" s="31"/>
      <c r="L1285" s="39"/>
      <c r="M1285" s="39"/>
      <c r="N1285" s="28" t="str">
        <f>IFERROR(__xludf.DUMMYFUNCTION("IF(OR(C1285="""",M1285=""""),"""",IFERROR(IF(M1285="""","""",query('tbl user'!$A$2:$D1508,""SELECT A WHERE D = '""&amp;M1285&amp;""'"")),""USER TIDAK DIKETAHUI""))"),"")</f>
        <v/>
      </c>
    </row>
    <row r="1286">
      <c r="A1286" s="23"/>
      <c r="B1286" s="24" t="str">
        <f t="shared" si="4"/>
        <v/>
      </c>
      <c r="C1286" s="28"/>
      <c r="D1286" s="28"/>
      <c r="E1286" s="34"/>
      <c r="F1286" s="34"/>
      <c r="G1286" s="34"/>
      <c r="H1286" s="34"/>
      <c r="I1286" s="34"/>
      <c r="J1286" s="28" t="str">
        <f>IFERROR(__xludf.DUMMYFUNCTION("iferror(if(I1286="""","""",unique(query('tbl driver 2'!$K$2:$L1508,""SELECT L WHERE K = '""&amp;I1286&amp;""'""))),"""")"),"")</f>
        <v/>
      </c>
      <c r="K1286" s="31"/>
      <c r="L1286" s="39"/>
      <c r="M1286" s="39"/>
      <c r="N1286" s="28" t="str">
        <f>IFERROR(__xludf.DUMMYFUNCTION("IF(OR(C1286="""",M1286=""""),"""",IFERROR(IF(M1286="""","""",query('tbl user'!$A$2:$D1508,""SELECT A WHERE D = '""&amp;M1286&amp;""'"")),""USER TIDAK DIKETAHUI""))"),"")</f>
        <v/>
      </c>
    </row>
    <row r="1287">
      <c r="A1287" s="23"/>
      <c r="B1287" s="24" t="str">
        <f t="shared" si="4"/>
        <v/>
      </c>
      <c r="C1287" s="28"/>
      <c r="D1287" s="28"/>
      <c r="E1287" s="34"/>
      <c r="F1287" s="34"/>
      <c r="G1287" s="34"/>
      <c r="H1287" s="34"/>
      <c r="I1287" s="34"/>
      <c r="J1287" s="28" t="str">
        <f>IFERROR(__xludf.DUMMYFUNCTION("iferror(if(I1287="""","""",unique(query('tbl driver 2'!$K$2:$L1508,""SELECT L WHERE K = '""&amp;I1287&amp;""'""))),"""")"),"")</f>
        <v/>
      </c>
      <c r="K1287" s="31"/>
      <c r="L1287" s="39"/>
      <c r="M1287" s="39"/>
      <c r="N1287" s="28" t="str">
        <f>IFERROR(__xludf.DUMMYFUNCTION("IF(OR(C1287="""",M1287=""""),"""",IFERROR(IF(M1287="""","""",query('tbl user'!$A$2:$D1508,""SELECT A WHERE D = '""&amp;M1287&amp;""'"")),""USER TIDAK DIKETAHUI""))"),"")</f>
        <v/>
      </c>
    </row>
    <row r="1288">
      <c r="A1288" s="23"/>
      <c r="B1288" s="24" t="str">
        <f t="shared" si="4"/>
        <v/>
      </c>
      <c r="C1288" s="28"/>
      <c r="D1288" s="28"/>
      <c r="E1288" s="34"/>
      <c r="F1288" s="34"/>
      <c r="G1288" s="34"/>
      <c r="H1288" s="34"/>
      <c r="I1288" s="34"/>
      <c r="J1288" s="28" t="str">
        <f>IFERROR(__xludf.DUMMYFUNCTION("iferror(if(I1288="""","""",unique(query('tbl driver 2'!$K$2:$L1508,""SELECT L WHERE K = '""&amp;I1288&amp;""'""))),"""")"),"")</f>
        <v/>
      </c>
      <c r="K1288" s="31"/>
      <c r="L1288" s="39"/>
      <c r="M1288" s="39"/>
      <c r="N1288" s="28" t="str">
        <f>IFERROR(__xludf.DUMMYFUNCTION("IF(OR(C1288="""",M1288=""""),"""",IFERROR(IF(M1288="""","""",query('tbl user'!$A$2:$D1508,""SELECT A WHERE D = '""&amp;M1288&amp;""'"")),""USER TIDAK DIKETAHUI""))"),"")</f>
        <v/>
      </c>
    </row>
    <row r="1289">
      <c r="A1289" s="23"/>
      <c r="B1289" s="24" t="str">
        <f t="shared" si="4"/>
        <v/>
      </c>
      <c r="C1289" s="28"/>
      <c r="D1289" s="28"/>
      <c r="E1289" s="34"/>
      <c r="F1289" s="34"/>
      <c r="G1289" s="34"/>
      <c r="H1289" s="34"/>
      <c r="I1289" s="34"/>
      <c r="J1289" s="28" t="str">
        <f>IFERROR(__xludf.DUMMYFUNCTION("iferror(if(I1289="""","""",unique(query('tbl driver 2'!$K$2:$L1508,""SELECT L WHERE K = '""&amp;I1289&amp;""'""))),"""")"),"")</f>
        <v/>
      </c>
      <c r="K1289" s="31"/>
      <c r="L1289" s="39"/>
      <c r="M1289" s="39"/>
      <c r="N1289" s="28" t="str">
        <f>IFERROR(__xludf.DUMMYFUNCTION("IF(OR(C1289="""",M1289=""""),"""",IFERROR(IF(M1289="""","""",query('tbl user'!$A$2:$D1508,""SELECT A WHERE D = '""&amp;M1289&amp;""'"")),""USER TIDAK DIKETAHUI""))"),"")</f>
        <v/>
      </c>
    </row>
    <row r="1290">
      <c r="A1290" s="23"/>
      <c r="B1290" s="24" t="str">
        <f t="shared" si="4"/>
        <v/>
      </c>
      <c r="C1290" s="28"/>
      <c r="D1290" s="28"/>
      <c r="E1290" s="34"/>
      <c r="F1290" s="34"/>
      <c r="G1290" s="34"/>
      <c r="H1290" s="34"/>
      <c r="I1290" s="34"/>
      <c r="J1290" s="28" t="str">
        <f>IFERROR(__xludf.DUMMYFUNCTION("iferror(if(I1290="""","""",unique(query('tbl driver 2'!$K$2:$L1508,""SELECT L WHERE K = '""&amp;I1290&amp;""'""))),"""")"),"")</f>
        <v/>
      </c>
      <c r="K1290" s="31"/>
      <c r="L1290" s="39"/>
      <c r="M1290" s="39"/>
      <c r="N1290" s="28" t="str">
        <f>IFERROR(__xludf.DUMMYFUNCTION("IF(OR(C1290="""",M1290=""""),"""",IFERROR(IF(M1290="""","""",query('tbl user'!$A$2:$D1508,""SELECT A WHERE D = '""&amp;M1290&amp;""'"")),""USER TIDAK DIKETAHUI""))"),"")</f>
        <v/>
      </c>
    </row>
    <row r="1291">
      <c r="A1291" s="23"/>
      <c r="B1291" s="24" t="str">
        <f t="shared" si="4"/>
        <v/>
      </c>
      <c r="C1291" s="28"/>
      <c r="D1291" s="28"/>
      <c r="E1291" s="34"/>
      <c r="F1291" s="34"/>
      <c r="G1291" s="34"/>
      <c r="H1291" s="34"/>
      <c r="I1291" s="34"/>
      <c r="J1291" s="28" t="str">
        <f>IFERROR(__xludf.DUMMYFUNCTION("iferror(if(I1291="""","""",unique(query('tbl driver 2'!$K$2:$L1508,""SELECT L WHERE K = '""&amp;I1291&amp;""'""))),"""")"),"")</f>
        <v/>
      </c>
      <c r="K1291" s="31"/>
      <c r="L1291" s="39"/>
      <c r="M1291" s="39"/>
      <c r="N1291" s="28" t="str">
        <f>IFERROR(__xludf.DUMMYFUNCTION("IF(OR(C1291="""",M1291=""""),"""",IFERROR(IF(M1291="""","""",query('tbl user'!$A$2:$D1508,""SELECT A WHERE D = '""&amp;M1291&amp;""'"")),""USER TIDAK DIKETAHUI""))"),"")</f>
        <v/>
      </c>
    </row>
    <row r="1292">
      <c r="A1292" s="23"/>
      <c r="B1292" s="24" t="str">
        <f t="shared" si="4"/>
        <v/>
      </c>
      <c r="C1292" s="28"/>
      <c r="D1292" s="28"/>
      <c r="E1292" s="34"/>
      <c r="F1292" s="34"/>
      <c r="G1292" s="34"/>
      <c r="H1292" s="34"/>
      <c r="I1292" s="34"/>
      <c r="J1292" s="28" t="str">
        <f>IFERROR(__xludf.DUMMYFUNCTION("iferror(if(I1292="""","""",unique(query('tbl driver 2'!$K$2:$L1508,""SELECT L WHERE K = '""&amp;I1292&amp;""'""))),"""")"),"")</f>
        <v/>
      </c>
      <c r="K1292" s="31"/>
      <c r="L1292" s="39"/>
      <c r="M1292" s="39"/>
      <c r="N1292" s="28" t="str">
        <f>IFERROR(__xludf.DUMMYFUNCTION("IF(OR(C1292="""",M1292=""""),"""",IFERROR(IF(M1292="""","""",query('tbl user'!$A$2:$D1508,""SELECT A WHERE D = '""&amp;M1292&amp;""'"")),""USER TIDAK DIKETAHUI""))"),"")</f>
        <v/>
      </c>
    </row>
    <row r="1293">
      <c r="A1293" s="23"/>
      <c r="B1293" s="24" t="str">
        <f t="shared" si="4"/>
        <v/>
      </c>
      <c r="C1293" s="28"/>
      <c r="D1293" s="28"/>
      <c r="E1293" s="34"/>
      <c r="F1293" s="34"/>
      <c r="G1293" s="34"/>
      <c r="H1293" s="34"/>
      <c r="I1293" s="34"/>
      <c r="J1293" s="28" t="str">
        <f>IFERROR(__xludf.DUMMYFUNCTION("iferror(if(I1293="""","""",unique(query('tbl driver 2'!$K$2:$L1508,""SELECT L WHERE K = '""&amp;I1293&amp;""'""))),"""")"),"")</f>
        <v/>
      </c>
      <c r="K1293" s="31"/>
      <c r="L1293" s="39"/>
      <c r="M1293" s="39"/>
      <c r="N1293" s="28" t="str">
        <f>IFERROR(__xludf.DUMMYFUNCTION("IF(OR(C1293="""",M1293=""""),"""",IFERROR(IF(M1293="""","""",query('tbl user'!$A$2:$D1508,""SELECT A WHERE D = '""&amp;M1293&amp;""'"")),""USER TIDAK DIKETAHUI""))"),"")</f>
        <v/>
      </c>
    </row>
    <row r="1294">
      <c r="A1294" s="23"/>
      <c r="B1294" s="24" t="str">
        <f t="shared" si="4"/>
        <v/>
      </c>
      <c r="C1294" s="28"/>
      <c r="D1294" s="28"/>
      <c r="E1294" s="34"/>
      <c r="F1294" s="34"/>
      <c r="G1294" s="34"/>
      <c r="H1294" s="34"/>
      <c r="I1294" s="34"/>
      <c r="J1294" s="28" t="str">
        <f>IFERROR(__xludf.DUMMYFUNCTION("iferror(if(I1294="""","""",unique(query('tbl driver 2'!$K$2:$L1508,""SELECT L WHERE K = '""&amp;I1294&amp;""'""))),"""")"),"")</f>
        <v/>
      </c>
      <c r="K1294" s="31"/>
      <c r="L1294" s="39"/>
      <c r="M1294" s="39"/>
      <c r="N1294" s="28" t="str">
        <f>IFERROR(__xludf.DUMMYFUNCTION("IF(OR(C1294="""",M1294=""""),"""",IFERROR(IF(M1294="""","""",query('tbl user'!$A$2:$D1508,""SELECT A WHERE D = '""&amp;M1294&amp;""'"")),""USER TIDAK DIKETAHUI""))"),"")</f>
        <v/>
      </c>
    </row>
    <row r="1295">
      <c r="A1295" s="23"/>
      <c r="B1295" s="24" t="str">
        <f t="shared" si="4"/>
        <v/>
      </c>
      <c r="C1295" s="28"/>
      <c r="D1295" s="28"/>
      <c r="E1295" s="34"/>
      <c r="F1295" s="34"/>
      <c r="G1295" s="34"/>
      <c r="H1295" s="34"/>
      <c r="I1295" s="34"/>
      <c r="J1295" s="28" t="str">
        <f>IFERROR(__xludf.DUMMYFUNCTION("iferror(if(I1295="""","""",unique(query('tbl driver 2'!$K$2:$L1508,""SELECT L WHERE K = '""&amp;I1295&amp;""'""))),"""")"),"")</f>
        <v/>
      </c>
      <c r="K1295" s="31"/>
      <c r="L1295" s="39"/>
      <c r="M1295" s="39"/>
      <c r="N1295" s="28" t="str">
        <f>IFERROR(__xludf.DUMMYFUNCTION("IF(OR(C1295="""",M1295=""""),"""",IFERROR(IF(M1295="""","""",query('tbl user'!$A$2:$D1508,""SELECT A WHERE D = '""&amp;M1295&amp;""'"")),""USER TIDAK DIKETAHUI""))"),"")</f>
        <v/>
      </c>
    </row>
    <row r="1296">
      <c r="A1296" s="23"/>
      <c r="B1296" s="24" t="str">
        <f t="shared" si="4"/>
        <v/>
      </c>
      <c r="C1296" s="28"/>
      <c r="D1296" s="28"/>
      <c r="E1296" s="34"/>
      <c r="F1296" s="34"/>
      <c r="G1296" s="34"/>
      <c r="H1296" s="34"/>
      <c r="I1296" s="34"/>
      <c r="J1296" s="28" t="str">
        <f>IFERROR(__xludf.DUMMYFUNCTION("iferror(if(I1296="""","""",unique(query('tbl driver 2'!$K$2:$L1508,""SELECT L WHERE K = '""&amp;I1296&amp;""'""))),"""")"),"")</f>
        <v/>
      </c>
      <c r="K1296" s="31"/>
      <c r="L1296" s="39"/>
      <c r="M1296" s="39"/>
      <c r="N1296" s="28" t="str">
        <f>IFERROR(__xludf.DUMMYFUNCTION("IF(OR(C1296="""",M1296=""""),"""",IFERROR(IF(M1296="""","""",query('tbl user'!$A$2:$D1508,""SELECT A WHERE D = '""&amp;M1296&amp;""'"")),""USER TIDAK DIKETAHUI""))"),"")</f>
        <v/>
      </c>
    </row>
    <row r="1297">
      <c r="A1297" s="23"/>
      <c r="B1297" s="24" t="str">
        <f t="shared" si="4"/>
        <v/>
      </c>
      <c r="C1297" s="28"/>
      <c r="D1297" s="28"/>
      <c r="E1297" s="34"/>
      <c r="F1297" s="34"/>
      <c r="G1297" s="34"/>
      <c r="H1297" s="34"/>
      <c r="I1297" s="34"/>
      <c r="J1297" s="28" t="str">
        <f>IFERROR(__xludf.DUMMYFUNCTION("iferror(if(I1297="""","""",unique(query('tbl driver 2'!$K$2:$L1508,""SELECT L WHERE K = '""&amp;I1297&amp;""'""))),"""")"),"")</f>
        <v/>
      </c>
      <c r="K1297" s="31"/>
      <c r="L1297" s="39"/>
      <c r="M1297" s="39"/>
      <c r="N1297" s="28" t="str">
        <f>IFERROR(__xludf.DUMMYFUNCTION("IF(OR(C1297="""",M1297=""""),"""",IFERROR(IF(M1297="""","""",query('tbl user'!$A$2:$D1508,""SELECT A WHERE D = '""&amp;M1297&amp;""'"")),""USER TIDAK DIKETAHUI""))"),"")</f>
        <v/>
      </c>
    </row>
    <row r="1298">
      <c r="A1298" s="23"/>
      <c r="B1298" s="24" t="str">
        <f t="shared" si="4"/>
        <v/>
      </c>
      <c r="C1298" s="28"/>
      <c r="D1298" s="28"/>
      <c r="E1298" s="34"/>
      <c r="F1298" s="34"/>
      <c r="G1298" s="34"/>
      <c r="H1298" s="34"/>
      <c r="I1298" s="34"/>
      <c r="J1298" s="28" t="str">
        <f>IFERROR(__xludf.DUMMYFUNCTION("iferror(if(I1298="""","""",unique(query('tbl driver 2'!$K$2:$L1508,""SELECT L WHERE K = '""&amp;I1298&amp;""'""))),"""")"),"")</f>
        <v/>
      </c>
      <c r="K1298" s="31"/>
      <c r="L1298" s="39"/>
      <c r="M1298" s="39"/>
      <c r="N1298" s="28" t="str">
        <f>IFERROR(__xludf.DUMMYFUNCTION("IF(OR(C1298="""",M1298=""""),"""",IFERROR(IF(M1298="""","""",query('tbl user'!$A$2:$D1508,""SELECT A WHERE D = '""&amp;M1298&amp;""'"")),""USER TIDAK DIKETAHUI""))"),"")</f>
        <v/>
      </c>
    </row>
    <row r="1299">
      <c r="A1299" s="23"/>
      <c r="B1299" s="24" t="str">
        <f t="shared" si="4"/>
        <v/>
      </c>
      <c r="C1299" s="28"/>
      <c r="D1299" s="28"/>
      <c r="E1299" s="34"/>
      <c r="F1299" s="34"/>
      <c r="G1299" s="34"/>
      <c r="H1299" s="34"/>
      <c r="I1299" s="34"/>
      <c r="J1299" s="28" t="str">
        <f>IFERROR(__xludf.DUMMYFUNCTION("iferror(if(I1299="""","""",unique(query('tbl driver 2'!$K$2:$L1508,""SELECT L WHERE K = '""&amp;I1299&amp;""'""))),"""")"),"")</f>
        <v/>
      </c>
      <c r="K1299" s="31"/>
      <c r="L1299" s="39"/>
      <c r="M1299" s="39"/>
      <c r="N1299" s="28" t="str">
        <f>IFERROR(__xludf.DUMMYFUNCTION("IF(OR(C1299="""",M1299=""""),"""",IFERROR(IF(M1299="""","""",query('tbl user'!$A$2:$D1508,""SELECT A WHERE D = '""&amp;M1299&amp;""'"")),""USER TIDAK DIKETAHUI""))"),"")</f>
        <v/>
      </c>
    </row>
    <row r="1300">
      <c r="A1300" s="23"/>
      <c r="B1300" s="24" t="str">
        <f t="shared" si="4"/>
        <v/>
      </c>
      <c r="C1300" s="28"/>
      <c r="D1300" s="28"/>
      <c r="E1300" s="34"/>
      <c r="F1300" s="34"/>
      <c r="G1300" s="34"/>
      <c r="H1300" s="34"/>
      <c r="I1300" s="34"/>
      <c r="J1300" s="28" t="str">
        <f>IFERROR(__xludf.DUMMYFUNCTION("iferror(if(I1300="""","""",unique(query('tbl driver 2'!$K$2:$L1508,""SELECT L WHERE K = '""&amp;I1300&amp;""'""))),"""")"),"")</f>
        <v/>
      </c>
      <c r="K1300" s="31"/>
      <c r="L1300" s="39"/>
      <c r="M1300" s="39"/>
      <c r="N1300" s="28" t="str">
        <f>IFERROR(__xludf.DUMMYFUNCTION("IF(OR(C1300="""",M1300=""""),"""",IFERROR(IF(M1300="""","""",query('tbl user'!$A$2:$D1508,""SELECT A WHERE D = '""&amp;M1300&amp;""'"")),""USER TIDAK DIKETAHUI""))"),"")</f>
        <v/>
      </c>
    </row>
    <row r="1301">
      <c r="A1301" s="23"/>
      <c r="B1301" s="24" t="str">
        <f t="shared" si="4"/>
        <v/>
      </c>
      <c r="C1301" s="28"/>
      <c r="D1301" s="28"/>
      <c r="E1301" s="34"/>
      <c r="F1301" s="34"/>
      <c r="G1301" s="34"/>
      <c r="H1301" s="34"/>
      <c r="I1301" s="34"/>
      <c r="J1301" s="28" t="str">
        <f>IFERROR(__xludf.DUMMYFUNCTION("iferror(if(I1301="""","""",unique(query('tbl driver 2'!$K$2:$L1508,""SELECT L WHERE K = '""&amp;I1301&amp;""'""))),"""")"),"")</f>
        <v/>
      </c>
      <c r="K1301" s="31"/>
      <c r="L1301" s="39"/>
      <c r="M1301" s="39"/>
      <c r="N1301" s="28" t="str">
        <f>IFERROR(__xludf.DUMMYFUNCTION("IF(OR(C1301="""",M1301=""""),"""",IFERROR(IF(M1301="""","""",query('tbl user'!$A$2:$D1508,""SELECT A WHERE D = '""&amp;M1301&amp;""'"")),""USER TIDAK DIKETAHUI""))"),"")</f>
        <v/>
      </c>
    </row>
    <row r="1302">
      <c r="A1302" s="23"/>
      <c r="B1302" s="24" t="str">
        <f t="shared" si="4"/>
        <v/>
      </c>
      <c r="C1302" s="28"/>
      <c r="D1302" s="28"/>
      <c r="E1302" s="34"/>
      <c r="F1302" s="34"/>
      <c r="G1302" s="34"/>
      <c r="H1302" s="34"/>
      <c r="I1302" s="34"/>
      <c r="J1302" s="28" t="str">
        <f>IFERROR(__xludf.DUMMYFUNCTION("iferror(if(I1302="""","""",unique(query('tbl driver 2'!$K$2:$L1508,""SELECT L WHERE K = '""&amp;I1302&amp;""'""))),"""")"),"")</f>
        <v/>
      </c>
      <c r="K1302" s="31"/>
      <c r="L1302" s="39"/>
      <c r="M1302" s="39"/>
      <c r="N1302" s="28" t="str">
        <f>IFERROR(__xludf.DUMMYFUNCTION("IF(OR(C1302="""",M1302=""""),"""",IFERROR(IF(M1302="""","""",query('tbl user'!$A$2:$D1508,""SELECT A WHERE D = '""&amp;M1302&amp;""'"")),""USER TIDAK DIKETAHUI""))"),"")</f>
        <v/>
      </c>
    </row>
    <row r="1303">
      <c r="A1303" s="23"/>
      <c r="B1303" s="24" t="str">
        <f t="shared" si="4"/>
        <v/>
      </c>
      <c r="C1303" s="28"/>
      <c r="D1303" s="28"/>
      <c r="E1303" s="34"/>
      <c r="F1303" s="34"/>
      <c r="G1303" s="34"/>
      <c r="H1303" s="34"/>
      <c r="I1303" s="34"/>
      <c r="J1303" s="28" t="str">
        <f>IFERROR(__xludf.DUMMYFUNCTION("iferror(if(I1303="""","""",unique(query('tbl driver 2'!$K$2:$L1508,""SELECT L WHERE K = '""&amp;I1303&amp;""'""))),"""")"),"")</f>
        <v/>
      </c>
      <c r="K1303" s="31"/>
      <c r="L1303" s="39"/>
      <c r="M1303" s="39"/>
      <c r="N1303" s="28" t="str">
        <f>IFERROR(__xludf.DUMMYFUNCTION("IF(OR(C1303="""",M1303=""""),"""",IFERROR(IF(M1303="""","""",query('tbl user'!$A$2:$D1508,""SELECT A WHERE D = '""&amp;M1303&amp;""'"")),""USER TIDAK DIKETAHUI""))"),"")</f>
        <v/>
      </c>
    </row>
    <row r="1304">
      <c r="A1304" s="23"/>
      <c r="B1304" s="24" t="str">
        <f t="shared" si="4"/>
        <v/>
      </c>
      <c r="C1304" s="28"/>
      <c r="D1304" s="28"/>
      <c r="E1304" s="34"/>
      <c r="F1304" s="34"/>
      <c r="G1304" s="34"/>
      <c r="H1304" s="34"/>
      <c r="I1304" s="34"/>
      <c r="J1304" s="28" t="str">
        <f>IFERROR(__xludf.DUMMYFUNCTION("iferror(if(I1304="""","""",unique(query('tbl driver 2'!$K$2:$L1508,""SELECT L WHERE K = '""&amp;I1304&amp;""'""))),"""")"),"")</f>
        <v/>
      </c>
      <c r="K1304" s="31"/>
      <c r="L1304" s="39"/>
      <c r="M1304" s="39"/>
      <c r="N1304" s="28" t="str">
        <f>IFERROR(__xludf.DUMMYFUNCTION("IF(OR(C1304="""",M1304=""""),"""",IFERROR(IF(M1304="""","""",query('tbl user'!$A$2:$D1508,""SELECT A WHERE D = '""&amp;M1304&amp;""'"")),""USER TIDAK DIKETAHUI""))"),"")</f>
        <v/>
      </c>
    </row>
    <row r="1305">
      <c r="A1305" s="23"/>
      <c r="B1305" s="24" t="str">
        <f t="shared" si="4"/>
        <v/>
      </c>
      <c r="C1305" s="28"/>
      <c r="D1305" s="28"/>
      <c r="E1305" s="34"/>
      <c r="F1305" s="34"/>
      <c r="G1305" s="34"/>
      <c r="H1305" s="34"/>
      <c r="I1305" s="34"/>
      <c r="J1305" s="28" t="str">
        <f>IFERROR(__xludf.DUMMYFUNCTION("iferror(if(I1305="""","""",unique(query('tbl driver 2'!$K$2:$L1508,""SELECT L WHERE K = '""&amp;I1305&amp;""'""))),"""")"),"")</f>
        <v/>
      </c>
      <c r="K1305" s="31"/>
      <c r="L1305" s="39"/>
      <c r="M1305" s="39"/>
      <c r="N1305" s="28" t="str">
        <f>IFERROR(__xludf.DUMMYFUNCTION("IF(OR(C1305="""",M1305=""""),"""",IFERROR(IF(M1305="""","""",query('tbl user'!$A$2:$D1508,""SELECT A WHERE D = '""&amp;M1305&amp;""'"")),""USER TIDAK DIKETAHUI""))"),"")</f>
        <v/>
      </c>
    </row>
    <row r="1306">
      <c r="A1306" s="23"/>
      <c r="B1306" s="24" t="str">
        <f t="shared" si="4"/>
        <v/>
      </c>
      <c r="C1306" s="28"/>
      <c r="D1306" s="28"/>
      <c r="E1306" s="34"/>
      <c r="F1306" s="34"/>
      <c r="G1306" s="34"/>
      <c r="H1306" s="34"/>
      <c r="I1306" s="34"/>
      <c r="J1306" s="28" t="str">
        <f>IFERROR(__xludf.DUMMYFUNCTION("iferror(if(I1306="""","""",unique(query('tbl driver 2'!$K$2:$L1508,""SELECT L WHERE K = '""&amp;I1306&amp;""'""))),"""")"),"")</f>
        <v/>
      </c>
      <c r="K1306" s="31"/>
      <c r="L1306" s="39"/>
      <c r="M1306" s="39"/>
      <c r="N1306" s="28" t="str">
        <f>IFERROR(__xludf.DUMMYFUNCTION("IF(OR(C1306="""",M1306=""""),"""",IFERROR(IF(M1306="""","""",query('tbl user'!$A$2:$D1508,""SELECT A WHERE D = '""&amp;M1306&amp;""'"")),""USER TIDAK DIKETAHUI""))"),"")</f>
        <v/>
      </c>
    </row>
    <row r="1307">
      <c r="A1307" s="23"/>
      <c r="B1307" s="24" t="str">
        <f t="shared" si="4"/>
        <v/>
      </c>
      <c r="C1307" s="28"/>
      <c r="D1307" s="28"/>
      <c r="E1307" s="34"/>
      <c r="F1307" s="34"/>
      <c r="G1307" s="34"/>
      <c r="H1307" s="34"/>
      <c r="I1307" s="34"/>
      <c r="J1307" s="28" t="str">
        <f>IFERROR(__xludf.DUMMYFUNCTION("iferror(if(I1307="""","""",unique(query('tbl driver 2'!$K$2:$L1508,""SELECT L WHERE K = '""&amp;I1307&amp;""'""))),"""")"),"")</f>
        <v/>
      </c>
      <c r="K1307" s="31"/>
      <c r="L1307" s="39"/>
      <c r="M1307" s="39"/>
      <c r="N1307" s="28" t="str">
        <f>IFERROR(__xludf.DUMMYFUNCTION("IF(OR(C1307="""",M1307=""""),"""",IFERROR(IF(M1307="""","""",query('tbl user'!$A$2:$D1508,""SELECT A WHERE D = '""&amp;M1307&amp;""'"")),""USER TIDAK DIKETAHUI""))"),"")</f>
        <v/>
      </c>
    </row>
    <row r="1308">
      <c r="A1308" s="23"/>
      <c r="B1308" s="24" t="str">
        <f t="shared" si="4"/>
        <v/>
      </c>
      <c r="C1308" s="28"/>
      <c r="D1308" s="28"/>
      <c r="E1308" s="34"/>
      <c r="F1308" s="34"/>
      <c r="G1308" s="34"/>
      <c r="H1308" s="34"/>
      <c r="I1308" s="34"/>
      <c r="J1308" s="28" t="str">
        <f>IFERROR(__xludf.DUMMYFUNCTION("iferror(if(I1308="""","""",unique(query('tbl driver 2'!$K$2:$L1508,""SELECT L WHERE K = '""&amp;I1308&amp;""'""))),"""")"),"")</f>
        <v/>
      </c>
      <c r="K1308" s="31"/>
      <c r="L1308" s="39"/>
      <c r="M1308" s="39"/>
      <c r="N1308" s="28" t="str">
        <f>IFERROR(__xludf.DUMMYFUNCTION("IF(OR(C1308="""",M1308=""""),"""",IFERROR(IF(M1308="""","""",query('tbl user'!$A$2:$D1508,""SELECT A WHERE D = '""&amp;M1308&amp;""'"")),""USER TIDAK DIKETAHUI""))"),"")</f>
        <v/>
      </c>
    </row>
    <row r="1309">
      <c r="A1309" s="23"/>
      <c r="B1309" s="24" t="str">
        <f t="shared" si="4"/>
        <v/>
      </c>
      <c r="C1309" s="28"/>
      <c r="D1309" s="28"/>
      <c r="E1309" s="34"/>
      <c r="F1309" s="34"/>
      <c r="G1309" s="34"/>
      <c r="H1309" s="34"/>
      <c r="I1309" s="34"/>
      <c r="J1309" s="28" t="str">
        <f>IFERROR(__xludf.DUMMYFUNCTION("iferror(if(I1309="""","""",unique(query('tbl driver 2'!$K$2:$L1508,""SELECT L WHERE K = '""&amp;I1309&amp;""'""))),"""")"),"")</f>
        <v/>
      </c>
      <c r="K1309" s="31"/>
      <c r="L1309" s="39"/>
      <c r="M1309" s="39"/>
      <c r="N1309" s="28" t="str">
        <f>IFERROR(__xludf.DUMMYFUNCTION("IF(OR(C1309="""",M1309=""""),"""",IFERROR(IF(M1309="""","""",query('tbl user'!$A$2:$D1508,""SELECT A WHERE D = '""&amp;M1309&amp;""'"")),""USER TIDAK DIKETAHUI""))"),"")</f>
        <v/>
      </c>
    </row>
    <row r="1310">
      <c r="A1310" s="23"/>
      <c r="B1310" s="24" t="str">
        <f t="shared" si="4"/>
        <v/>
      </c>
      <c r="C1310" s="28"/>
      <c r="D1310" s="28"/>
      <c r="E1310" s="34"/>
      <c r="F1310" s="34"/>
      <c r="G1310" s="34"/>
      <c r="H1310" s="34"/>
      <c r="I1310" s="34"/>
      <c r="J1310" s="28" t="str">
        <f>IFERROR(__xludf.DUMMYFUNCTION("iferror(if(I1310="""","""",unique(query('tbl driver 2'!$K$2:$L1508,""SELECT L WHERE K = '""&amp;I1310&amp;""'""))),"""")"),"")</f>
        <v/>
      </c>
      <c r="K1310" s="31"/>
      <c r="L1310" s="39"/>
      <c r="M1310" s="39"/>
      <c r="N1310" s="28" t="str">
        <f>IFERROR(__xludf.DUMMYFUNCTION("IF(OR(C1310="""",M1310=""""),"""",IFERROR(IF(M1310="""","""",query('tbl user'!$A$2:$D1508,""SELECT A WHERE D = '""&amp;M1310&amp;""'"")),""USER TIDAK DIKETAHUI""))"),"")</f>
        <v/>
      </c>
    </row>
    <row r="1311">
      <c r="A1311" s="23"/>
      <c r="B1311" s="24" t="str">
        <f t="shared" si="4"/>
        <v/>
      </c>
      <c r="C1311" s="28"/>
      <c r="D1311" s="28"/>
      <c r="E1311" s="34"/>
      <c r="F1311" s="34"/>
      <c r="G1311" s="34"/>
      <c r="H1311" s="34"/>
      <c r="I1311" s="34"/>
      <c r="J1311" s="28" t="str">
        <f>IFERROR(__xludf.DUMMYFUNCTION("iferror(if(I1311="""","""",unique(query('tbl driver 2'!$K$2:$L1508,""SELECT L WHERE K = '""&amp;I1311&amp;""'""))),"""")"),"")</f>
        <v/>
      </c>
      <c r="K1311" s="31"/>
      <c r="L1311" s="39"/>
      <c r="M1311" s="39"/>
      <c r="N1311" s="28" t="str">
        <f>IFERROR(__xludf.DUMMYFUNCTION("IF(OR(C1311="""",M1311=""""),"""",IFERROR(IF(M1311="""","""",query('tbl user'!$A$2:$D1508,""SELECT A WHERE D = '""&amp;M1311&amp;""'"")),""USER TIDAK DIKETAHUI""))"),"")</f>
        <v/>
      </c>
    </row>
    <row r="1312">
      <c r="A1312" s="23"/>
      <c r="B1312" s="24" t="str">
        <f t="shared" si="4"/>
        <v/>
      </c>
      <c r="C1312" s="28"/>
      <c r="D1312" s="28"/>
      <c r="E1312" s="34"/>
      <c r="F1312" s="34"/>
      <c r="G1312" s="34"/>
      <c r="H1312" s="34"/>
      <c r="I1312" s="34"/>
      <c r="J1312" s="28" t="str">
        <f>IFERROR(__xludf.DUMMYFUNCTION("iferror(if(I1312="""","""",unique(query('tbl driver 2'!$K$2:$L1508,""SELECT L WHERE K = '""&amp;I1312&amp;""'""))),"""")"),"")</f>
        <v/>
      </c>
      <c r="K1312" s="31"/>
      <c r="L1312" s="39"/>
      <c r="M1312" s="39"/>
      <c r="N1312" s="28" t="str">
        <f>IFERROR(__xludf.DUMMYFUNCTION("IF(OR(C1312="""",M1312=""""),"""",IFERROR(IF(M1312="""","""",query('tbl user'!$A$2:$D1508,""SELECT A WHERE D = '""&amp;M1312&amp;""'"")),""USER TIDAK DIKETAHUI""))"),"")</f>
        <v/>
      </c>
    </row>
    <row r="1313">
      <c r="A1313" s="23"/>
      <c r="B1313" s="24" t="str">
        <f t="shared" si="4"/>
        <v/>
      </c>
      <c r="C1313" s="28"/>
      <c r="D1313" s="28"/>
      <c r="E1313" s="34"/>
      <c r="F1313" s="34"/>
      <c r="G1313" s="34"/>
      <c r="H1313" s="34"/>
      <c r="I1313" s="34"/>
      <c r="J1313" s="28" t="str">
        <f>IFERROR(__xludf.DUMMYFUNCTION("iferror(if(I1313="""","""",unique(query('tbl driver 2'!$K$2:$L1508,""SELECT L WHERE K = '""&amp;I1313&amp;""'""))),"""")"),"")</f>
        <v/>
      </c>
      <c r="K1313" s="31"/>
      <c r="L1313" s="39"/>
      <c r="M1313" s="39"/>
      <c r="N1313" s="28" t="str">
        <f>IFERROR(__xludf.DUMMYFUNCTION("IF(OR(C1313="""",M1313=""""),"""",IFERROR(IF(M1313="""","""",query('tbl user'!$A$2:$D1508,""SELECT A WHERE D = '""&amp;M1313&amp;""'"")),""USER TIDAK DIKETAHUI""))"),"")</f>
        <v/>
      </c>
    </row>
    <row r="1314">
      <c r="A1314" s="23"/>
      <c r="B1314" s="24" t="str">
        <f t="shared" si="4"/>
        <v/>
      </c>
      <c r="C1314" s="28"/>
      <c r="D1314" s="28"/>
      <c r="E1314" s="34"/>
      <c r="F1314" s="34"/>
      <c r="G1314" s="34"/>
      <c r="H1314" s="34"/>
      <c r="I1314" s="34"/>
      <c r="J1314" s="28" t="str">
        <f>IFERROR(__xludf.DUMMYFUNCTION("iferror(if(I1314="""","""",unique(query('tbl driver 2'!$K$2:$L1508,""SELECT L WHERE K = '""&amp;I1314&amp;""'""))),"""")"),"")</f>
        <v/>
      </c>
      <c r="K1314" s="31"/>
      <c r="L1314" s="39"/>
      <c r="M1314" s="39"/>
      <c r="N1314" s="28" t="str">
        <f>IFERROR(__xludf.DUMMYFUNCTION("IF(OR(C1314="""",M1314=""""),"""",IFERROR(IF(M1314="""","""",query('tbl user'!$A$2:$D1508,""SELECT A WHERE D = '""&amp;M1314&amp;""'"")),""USER TIDAK DIKETAHUI""))"),"")</f>
        <v/>
      </c>
    </row>
    <row r="1315">
      <c r="A1315" s="23"/>
      <c r="B1315" s="24" t="str">
        <f t="shared" si="4"/>
        <v/>
      </c>
      <c r="C1315" s="28"/>
      <c r="D1315" s="28"/>
      <c r="E1315" s="34"/>
      <c r="F1315" s="34"/>
      <c r="G1315" s="34"/>
      <c r="H1315" s="34"/>
      <c r="I1315" s="34"/>
      <c r="J1315" s="28" t="str">
        <f>IFERROR(__xludf.DUMMYFUNCTION("iferror(if(I1315="""","""",unique(query('tbl driver 2'!$K$2:$L1508,""SELECT L WHERE K = '""&amp;I1315&amp;""'""))),"""")"),"")</f>
        <v/>
      </c>
      <c r="K1315" s="31"/>
      <c r="L1315" s="39"/>
      <c r="M1315" s="39"/>
      <c r="N1315" s="28" t="str">
        <f>IFERROR(__xludf.DUMMYFUNCTION("IF(OR(C1315="""",M1315=""""),"""",IFERROR(IF(M1315="""","""",query('tbl user'!$A$2:$D1508,""SELECT A WHERE D = '""&amp;M1315&amp;""'"")),""USER TIDAK DIKETAHUI""))"),"")</f>
        <v/>
      </c>
    </row>
    <row r="1316">
      <c r="A1316" s="23"/>
      <c r="B1316" s="24" t="str">
        <f t="shared" si="4"/>
        <v/>
      </c>
      <c r="C1316" s="28"/>
      <c r="D1316" s="28"/>
      <c r="E1316" s="34"/>
      <c r="F1316" s="34"/>
      <c r="G1316" s="34"/>
      <c r="H1316" s="34"/>
      <c r="I1316" s="34"/>
      <c r="J1316" s="28" t="str">
        <f>IFERROR(__xludf.DUMMYFUNCTION("iferror(if(I1316="""","""",unique(query('tbl driver 2'!$K$2:$L1508,""SELECT L WHERE K = '""&amp;I1316&amp;""'""))),"""")"),"")</f>
        <v/>
      </c>
      <c r="K1316" s="31"/>
      <c r="L1316" s="39"/>
      <c r="M1316" s="39"/>
      <c r="N1316" s="28" t="str">
        <f>IFERROR(__xludf.DUMMYFUNCTION("IF(OR(C1316="""",M1316=""""),"""",IFERROR(IF(M1316="""","""",query('tbl user'!$A$2:$D1508,""SELECT A WHERE D = '""&amp;M1316&amp;""'"")),""USER TIDAK DIKETAHUI""))"),"")</f>
        <v/>
      </c>
    </row>
    <row r="1317">
      <c r="A1317" s="23"/>
      <c r="B1317" s="24" t="str">
        <f t="shared" si="4"/>
        <v/>
      </c>
      <c r="C1317" s="28"/>
      <c r="D1317" s="28"/>
      <c r="E1317" s="34"/>
      <c r="F1317" s="34"/>
      <c r="G1317" s="34"/>
      <c r="H1317" s="34"/>
      <c r="I1317" s="34"/>
      <c r="J1317" s="28" t="str">
        <f>IFERROR(__xludf.DUMMYFUNCTION("iferror(if(I1317="""","""",unique(query('tbl driver 2'!$K$2:$L1508,""SELECT L WHERE K = '""&amp;I1317&amp;""'""))),"""")"),"")</f>
        <v/>
      </c>
      <c r="K1317" s="31"/>
      <c r="L1317" s="39"/>
      <c r="M1317" s="39"/>
      <c r="N1317" s="28" t="str">
        <f>IFERROR(__xludf.DUMMYFUNCTION("IF(OR(C1317="""",M1317=""""),"""",IFERROR(IF(M1317="""","""",query('tbl user'!$A$2:$D1508,""SELECT A WHERE D = '""&amp;M1317&amp;""'"")),""USER TIDAK DIKETAHUI""))"),"")</f>
        <v/>
      </c>
    </row>
    <row r="1318">
      <c r="A1318" s="23"/>
      <c r="B1318" s="24" t="str">
        <f t="shared" si="4"/>
        <v/>
      </c>
      <c r="C1318" s="28"/>
      <c r="D1318" s="28"/>
      <c r="E1318" s="34"/>
      <c r="F1318" s="34"/>
      <c r="G1318" s="34"/>
      <c r="H1318" s="34"/>
      <c r="I1318" s="34"/>
      <c r="J1318" s="28" t="str">
        <f>IFERROR(__xludf.DUMMYFUNCTION("iferror(if(I1318="""","""",unique(query('tbl driver 2'!$K$2:$L1508,""SELECT L WHERE K = '""&amp;I1318&amp;""'""))),"""")"),"")</f>
        <v/>
      </c>
      <c r="K1318" s="31"/>
      <c r="L1318" s="39"/>
      <c r="M1318" s="39"/>
      <c r="N1318" s="28" t="str">
        <f>IFERROR(__xludf.DUMMYFUNCTION("IF(OR(C1318="""",M1318=""""),"""",IFERROR(IF(M1318="""","""",query('tbl user'!$A$2:$D1508,""SELECT A WHERE D = '""&amp;M1318&amp;""'"")),""USER TIDAK DIKETAHUI""))"),"")</f>
        <v/>
      </c>
    </row>
    <row r="1319">
      <c r="A1319" s="23"/>
      <c r="B1319" s="24" t="str">
        <f t="shared" si="4"/>
        <v/>
      </c>
      <c r="C1319" s="28"/>
      <c r="D1319" s="28"/>
      <c r="E1319" s="34"/>
      <c r="F1319" s="34"/>
      <c r="G1319" s="34"/>
      <c r="H1319" s="34"/>
      <c r="I1319" s="34"/>
      <c r="J1319" s="28" t="str">
        <f>IFERROR(__xludf.DUMMYFUNCTION("iferror(if(I1319="""","""",unique(query('tbl driver 2'!$K$2:$L1508,""SELECT L WHERE K = '""&amp;I1319&amp;""'""))),"""")"),"")</f>
        <v/>
      </c>
      <c r="K1319" s="31"/>
      <c r="L1319" s="39"/>
      <c r="M1319" s="39"/>
      <c r="N1319" s="28" t="str">
        <f>IFERROR(__xludf.DUMMYFUNCTION("IF(OR(C1319="""",M1319=""""),"""",IFERROR(IF(M1319="""","""",query('tbl user'!$A$2:$D1508,""SELECT A WHERE D = '""&amp;M1319&amp;""'"")),""USER TIDAK DIKETAHUI""))"),"")</f>
        <v/>
      </c>
    </row>
    <row r="1320">
      <c r="A1320" s="23"/>
      <c r="B1320" s="24" t="str">
        <f t="shared" si="4"/>
        <v/>
      </c>
      <c r="C1320" s="28"/>
      <c r="D1320" s="28"/>
      <c r="E1320" s="34"/>
      <c r="F1320" s="34"/>
      <c r="G1320" s="34"/>
      <c r="H1320" s="34"/>
      <c r="I1320" s="34"/>
      <c r="J1320" s="28" t="str">
        <f>IFERROR(__xludf.DUMMYFUNCTION("iferror(if(I1320="""","""",unique(query('tbl driver 2'!$K$2:$L1508,""SELECT L WHERE K = '""&amp;I1320&amp;""'""))),"""")"),"")</f>
        <v/>
      </c>
      <c r="K1320" s="31"/>
      <c r="L1320" s="39"/>
      <c r="M1320" s="39"/>
      <c r="N1320" s="28" t="str">
        <f>IFERROR(__xludf.DUMMYFUNCTION("IF(OR(C1320="""",M1320=""""),"""",IFERROR(IF(M1320="""","""",query('tbl user'!$A$2:$D1508,""SELECT A WHERE D = '""&amp;M1320&amp;""'"")),""USER TIDAK DIKETAHUI""))"),"")</f>
        <v/>
      </c>
    </row>
    <row r="1321">
      <c r="A1321" s="23"/>
      <c r="B1321" s="24" t="str">
        <f t="shared" si="4"/>
        <v/>
      </c>
      <c r="C1321" s="28"/>
      <c r="D1321" s="28"/>
      <c r="E1321" s="34"/>
      <c r="F1321" s="34"/>
      <c r="G1321" s="34"/>
      <c r="H1321" s="34"/>
      <c r="I1321" s="34"/>
      <c r="J1321" s="28" t="str">
        <f>IFERROR(__xludf.DUMMYFUNCTION("iferror(if(I1321="""","""",unique(query('tbl driver 2'!$K$2:$L1508,""SELECT L WHERE K = '""&amp;I1321&amp;""'""))),"""")"),"")</f>
        <v/>
      </c>
      <c r="K1321" s="31"/>
      <c r="L1321" s="39"/>
      <c r="M1321" s="39"/>
      <c r="N1321" s="28" t="str">
        <f>IFERROR(__xludf.DUMMYFUNCTION("IF(OR(C1321="""",M1321=""""),"""",IFERROR(IF(M1321="""","""",query('tbl user'!$A$2:$D1508,""SELECT A WHERE D = '""&amp;M1321&amp;""'"")),""USER TIDAK DIKETAHUI""))"),"")</f>
        <v/>
      </c>
    </row>
    <row r="1322">
      <c r="A1322" s="23"/>
      <c r="B1322" s="24" t="str">
        <f t="shared" si="4"/>
        <v/>
      </c>
      <c r="C1322" s="28"/>
      <c r="D1322" s="28"/>
      <c r="E1322" s="34"/>
      <c r="F1322" s="34"/>
      <c r="G1322" s="34"/>
      <c r="H1322" s="34"/>
      <c r="I1322" s="34"/>
      <c r="J1322" s="28" t="str">
        <f>IFERROR(__xludf.DUMMYFUNCTION("iferror(if(I1322="""","""",unique(query('tbl driver 2'!$K$2:$L1508,""SELECT L WHERE K = '""&amp;I1322&amp;""'""))),"""")"),"")</f>
        <v/>
      </c>
      <c r="K1322" s="31"/>
      <c r="L1322" s="39"/>
      <c r="M1322" s="39"/>
      <c r="N1322" s="28" t="str">
        <f>IFERROR(__xludf.DUMMYFUNCTION("IF(OR(C1322="""",M1322=""""),"""",IFERROR(IF(M1322="""","""",query('tbl user'!$A$2:$D1508,""SELECT A WHERE D = '""&amp;M1322&amp;""'"")),""USER TIDAK DIKETAHUI""))"),"")</f>
        <v/>
      </c>
    </row>
    <row r="1323">
      <c r="A1323" s="23"/>
      <c r="B1323" s="24" t="str">
        <f t="shared" si="4"/>
        <v/>
      </c>
      <c r="C1323" s="28"/>
      <c r="D1323" s="28"/>
      <c r="E1323" s="34"/>
      <c r="F1323" s="34"/>
      <c r="G1323" s="34"/>
      <c r="H1323" s="34"/>
      <c r="I1323" s="34"/>
      <c r="J1323" s="28" t="str">
        <f>IFERROR(__xludf.DUMMYFUNCTION("iferror(if(I1323="""","""",unique(query('tbl driver 2'!$K$2:$L1508,""SELECT L WHERE K = '""&amp;I1323&amp;""'""))),"""")"),"")</f>
        <v/>
      </c>
      <c r="K1323" s="31"/>
      <c r="L1323" s="39"/>
      <c r="M1323" s="39"/>
      <c r="N1323" s="28" t="str">
        <f>IFERROR(__xludf.DUMMYFUNCTION("IF(OR(C1323="""",M1323=""""),"""",IFERROR(IF(M1323="""","""",query('tbl user'!$A$2:$D1508,""SELECT A WHERE D = '""&amp;M1323&amp;""'"")),""USER TIDAK DIKETAHUI""))"),"")</f>
        <v/>
      </c>
    </row>
    <row r="1324">
      <c r="A1324" s="23"/>
      <c r="B1324" s="24" t="str">
        <f t="shared" si="4"/>
        <v/>
      </c>
      <c r="C1324" s="28"/>
      <c r="D1324" s="28"/>
      <c r="E1324" s="34"/>
      <c r="F1324" s="34"/>
      <c r="G1324" s="34"/>
      <c r="H1324" s="34"/>
      <c r="I1324" s="34"/>
      <c r="J1324" s="28" t="str">
        <f>IFERROR(__xludf.DUMMYFUNCTION("iferror(if(I1324="""","""",unique(query('tbl driver 2'!$K$2:$L1508,""SELECT L WHERE K = '""&amp;I1324&amp;""'""))),"""")"),"")</f>
        <v/>
      </c>
      <c r="K1324" s="31"/>
      <c r="L1324" s="39"/>
      <c r="M1324" s="39"/>
      <c r="N1324" s="28" t="str">
        <f>IFERROR(__xludf.DUMMYFUNCTION("IF(OR(C1324="""",M1324=""""),"""",IFERROR(IF(M1324="""","""",query('tbl user'!$A$2:$D1508,""SELECT A WHERE D = '""&amp;M1324&amp;""'"")),""USER TIDAK DIKETAHUI""))"),"")</f>
        <v/>
      </c>
    </row>
    <row r="1325">
      <c r="A1325" s="23"/>
      <c r="B1325" s="24" t="str">
        <f t="shared" si="4"/>
        <v/>
      </c>
      <c r="C1325" s="28"/>
      <c r="D1325" s="28"/>
      <c r="E1325" s="34"/>
      <c r="F1325" s="34"/>
      <c r="G1325" s="34"/>
      <c r="H1325" s="34"/>
      <c r="I1325" s="34"/>
      <c r="J1325" s="28" t="str">
        <f>IFERROR(__xludf.DUMMYFUNCTION("iferror(if(I1325="""","""",unique(query('tbl driver 2'!$K$2:$L1508,""SELECT L WHERE K = '""&amp;I1325&amp;""'""))),"""")"),"")</f>
        <v/>
      </c>
      <c r="K1325" s="31"/>
      <c r="L1325" s="39"/>
      <c r="M1325" s="39"/>
      <c r="N1325" s="28" t="str">
        <f>IFERROR(__xludf.DUMMYFUNCTION("IF(OR(C1325="""",M1325=""""),"""",IFERROR(IF(M1325="""","""",query('tbl user'!$A$2:$D1508,""SELECT A WHERE D = '""&amp;M1325&amp;""'"")),""USER TIDAK DIKETAHUI""))"),"")</f>
        <v/>
      </c>
    </row>
    <row r="1326">
      <c r="A1326" s="23"/>
      <c r="B1326" s="24" t="str">
        <f t="shared" si="4"/>
        <v/>
      </c>
      <c r="C1326" s="28"/>
      <c r="D1326" s="28"/>
      <c r="E1326" s="34"/>
      <c r="F1326" s="34"/>
      <c r="G1326" s="34"/>
      <c r="H1326" s="34"/>
      <c r="I1326" s="34"/>
      <c r="J1326" s="28" t="str">
        <f>IFERROR(__xludf.DUMMYFUNCTION("iferror(if(I1326="""","""",unique(query('tbl driver 2'!$K$2:$L1508,""SELECT L WHERE K = '""&amp;I1326&amp;""'""))),"""")"),"")</f>
        <v/>
      </c>
      <c r="K1326" s="31"/>
      <c r="L1326" s="39"/>
      <c r="M1326" s="39"/>
      <c r="N1326" s="28" t="str">
        <f>IFERROR(__xludf.DUMMYFUNCTION("IF(OR(C1326="""",M1326=""""),"""",IFERROR(IF(M1326="""","""",query('tbl user'!$A$2:$D1508,""SELECT A WHERE D = '""&amp;M1326&amp;""'"")),""USER TIDAK DIKETAHUI""))"),"")</f>
        <v/>
      </c>
    </row>
    <row r="1327">
      <c r="A1327" s="23"/>
      <c r="B1327" s="24" t="str">
        <f t="shared" si="4"/>
        <v/>
      </c>
      <c r="C1327" s="28"/>
      <c r="D1327" s="28"/>
      <c r="E1327" s="34"/>
      <c r="F1327" s="34"/>
      <c r="G1327" s="34"/>
      <c r="H1327" s="34"/>
      <c r="I1327" s="34"/>
      <c r="J1327" s="28" t="str">
        <f>IFERROR(__xludf.DUMMYFUNCTION("iferror(if(I1327="""","""",unique(query('tbl driver 2'!$K$2:$L1508,""SELECT L WHERE K = '""&amp;I1327&amp;""'""))),"""")"),"")</f>
        <v/>
      </c>
      <c r="K1327" s="31"/>
      <c r="L1327" s="39"/>
      <c r="M1327" s="39"/>
      <c r="N1327" s="28" t="str">
        <f>IFERROR(__xludf.DUMMYFUNCTION("IF(OR(C1327="""",M1327=""""),"""",IFERROR(IF(M1327="""","""",query('tbl user'!$A$2:$D1508,""SELECT A WHERE D = '""&amp;M1327&amp;""'"")),""USER TIDAK DIKETAHUI""))"),"")</f>
        <v/>
      </c>
    </row>
    <row r="1328">
      <c r="A1328" s="23"/>
      <c r="B1328" s="24" t="str">
        <f t="shared" si="4"/>
        <v/>
      </c>
      <c r="C1328" s="28"/>
      <c r="D1328" s="28"/>
      <c r="E1328" s="34"/>
      <c r="F1328" s="34"/>
      <c r="G1328" s="34"/>
      <c r="H1328" s="34"/>
      <c r="I1328" s="34"/>
      <c r="J1328" s="28" t="str">
        <f>IFERROR(__xludf.DUMMYFUNCTION("iferror(if(I1328="""","""",unique(query('tbl driver 2'!$K$2:$L1508,""SELECT L WHERE K = '""&amp;I1328&amp;""'""))),"""")"),"")</f>
        <v/>
      </c>
      <c r="K1328" s="31"/>
      <c r="L1328" s="39"/>
      <c r="M1328" s="39"/>
      <c r="N1328" s="28" t="str">
        <f>IFERROR(__xludf.DUMMYFUNCTION("IF(OR(C1328="""",M1328=""""),"""",IFERROR(IF(M1328="""","""",query('tbl user'!$A$2:$D1508,""SELECT A WHERE D = '""&amp;M1328&amp;""'"")),""USER TIDAK DIKETAHUI""))"),"")</f>
        <v/>
      </c>
    </row>
    <row r="1329">
      <c r="A1329" s="23"/>
      <c r="B1329" s="24" t="str">
        <f t="shared" si="4"/>
        <v/>
      </c>
      <c r="C1329" s="28"/>
      <c r="D1329" s="28"/>
      <c r="E1329" s="34"/>
      <c r="F1329" s="34"/>
      <c r="G1329" s="34"/>
      <c r="H1329" s="34"/>
      <c r="I1329" s="34"/>
      <c r="J1329" s="28" t="str">
        <f>IFERROR(__xludf.DUMMYFUNCTION("iferror(if(I1329="""","""",unique(query('tbl driver 2'!$K$2:$L1508,""SELECT L WHERE K = '""&amp;I1329&amp;""'""))),"""")"),"")</f>
        <v/>
      </c>
      <c r="K1329" s="31"/>
      <c r="L1329" s="39"/>
      <c r="M1329" s="39"/>
      <c r="N1329" s="28" t="str">
        <f>IFERROR(__xludf.DUMMYFUNCTION("IF(OR(C1329="""",M1329=""""),"""",IFERROR(IF(M1329="""","""",query('tbl user'!$A$2:$D1508,""SELECT A WHERE D = '""&amp;M1329&amp;""'"")),""USER TIDAK DIKETAHUI""))"),"")</f>
        <v/>
      </c>
    </row>
    <row r="1330">
      <c r="A1330" s="23"/>
      <c r="B1330" s="24" t="str">
        <f t="shared" si="4"/>
        <v/>
      </c>
      <c r="C1330" s="28"/>
      <c r="D1330" s="28"/>
      <c r="E1330" s="34"/>
      <c r="F1330" s="34"/>
      <c r="G1330" s="34"/>
      <c r="H1330" s="34"/>
      <c r="I1330" s="34"/>
      <c r="J1330" s="28" t="str">
        <f>IFERROR(__xludf.DUMMYFUNCTION("iferror(if(I1330="""","""",unique(query('tbl driver 2'!$K$2:$L1508,""SELECT L WHERE K = '""&amp;I1330&amp;""'""))),"""")"),"")</f>
        <v/>
      </c>
      <c r="K1330" s="31"/>
      <c r="L1330" s="39"/>
      <c r="M1330" s="39"/>
      <c r="N1330" s="28" t="str">
        <f>IFERROR(__xludf.DUMMYFUNCTION("IF(OR(C1330="""",M1330=""""),"""",IFERROR(IF(M1330="""","""",query('tbl user'!$A$2:$D1508,""SELECT A WHERE D = '""&amp;M1330&amp;""'"")),""USER TIDAK DIKETAHUI""))"),"")</f>
        <v/>
      </c>
    </row>
    <row r="1331">
      <c r="A1331" s="23"/>
      <c r="B1331" s="24" t="str">
        <f t="shared" si="4"/>
        <v/>
      </c>
      <c r="C1331" s="28"/>
      <c r="D1331" s="28"/>
      <c r="E1331" s="34"/>
      <c r="F1331" s="34"/>
      <c r="G1331" s="34"/>
      <c r="H1331" s="34"/>
      <c r="I1331" s="34"/>
      <c r="J1331" s="28" t="str">
        <f>IFERROR(__xludf.DUMMYFUNCTION("iferror(if(I1331="""","""",unique(query('tbl driver 2'!$K$2:$L1508,""SELECT L WHERE K = '""&amp;I1331&amp;""'""))),"""")"),"")</f>
        <v/>
      </c>
      <c r="K1331" s="31"/>
      <c r="L1331" s="39"/>
      <c r="M1331" s="39"/>
      <c r="N1331" s="28" t="str">
        <f>IFERROR(__xludf.DUMMYFUNCTION("IF(OR(C1331="""",M1331=""""),"""",IFERROR(IF(M1331="""","""",query('tbl user'!$A$2:$D1508,""SELECT A WHERE D = '""&amp;M1331&amp;""'"")),""USER TIDAK DIKETAHUI""))"),"")</f>
        <v/>
      </c>
    </row>
    <row r="1332">
      <c r="A1332" s="23"/>
      <c r="B1332" s="24" t="str">
        <f t="shared" si="4"/>
        <v/>
      </c>
      <c r="C1332" s="28"/>
      <c r="D1332" s="28"/>
      <c r="E1332" s="34"/>
      <c r="F1332" s="34"/>
      <c r="G1332" s="34"/>
      <c r="H1332" s="34"/>
      <c r="I1332" s="34"/>
      <c r="J1332" s="28" t="str">
        <f>IFERROR(__xludf.DUMMYFUNCTION("iferror(if(I1332="""","""",unique(query('tbl driver 2'!$K$2:$L1508,""SELECT L WHERE K = '""&amp;I1332&amp;""'""))),"""")"),"")</f>
        <v/>
      </c>
      <c r="K1332" s="31"/>
      <c r="L1332" s="39"/>
      <c r="M1332" s="39"/>
      <c r="N1332" s="28" t="str">
        <f>IFERROR(__xludf.DUMMYFUNCTION("IF(OR(C1332="""",M1332=""""),"""",IFERROR(IF(M1332="""","""",query('tbl user'!$A$2:$D1508,""SELECT A WHERE D = '""&amp;M1332&amp;""'"")),""USER TIDAK DIKETAHUI""))"),"")</f>
        <v/>
      </c>
    </row>
    <row r="1333">
      <c r="A1333" s="23"/>
      <c r="B1333" s="24" t="str">
        <f t="shared" si="4"/>
        <v/>
      </c>
      <c r="C1333" s="28"/>
      <c r="D1333" s="28"/>
      <c r="E1333" s="34"/>
      <c r="F1333" s="34"/>
      <c r="G1333" s="34"/>
      <c r="H1333" s="34"/>
      <c r="I1333" s="34"/>
      <c r="J1333" s="28" t="str">
        <f>IFERROR(__xludf.DUMMYFUNCTION("iferror(if(I1333="""","""",unique(query('tbl driver 2'!$K$2:$L1508,""SELECT L WHERE K = '""&amp;I1333&amp;""'""))),"""")"),"")</f>
        <v/>
      </c>
      <c r="K1333" s="31"/>
      <c r="L1333" s="39"/>
      <c r="M1333" s="39"/>
      <c r="N1333" s="28" t="str">
        <f>IFERROR(__xludf.DUMMYFUNCTION("IF(OR(C1333="""",M1333=""""),"""",IFERROR(IF(M1333="""","""",query('tbl user'!$A$2:$D1508,""SELECT A WHERE D = '""&amp;M1333&amp;""'"")),""USER TIDAK DIKETAHUI""))"),"")</f>
        <v/>
      </c>
    </row>
    <row r="1334">
      <c r="A1334" s="23"/>
      <c r="B1334" s="24" t="str">
        <f t="shared" si="4"/>
        <v/>
      </c>
      <c r="C1334" s="28"/>
      <c r="D1334" s="28"/>
      <c r="E1334" s="34"/>
      <c r="F1334" s="34"/>
      <c r="G1334" s="34"/>
      <c r="H1334" s="34"/>
      <c r="I1334" s="34"/>
      <c r="J1334" s="28" t="str">
        <f>IFERROR(__xludf.DUMMYFUNCTION("iferror(if(I1334="""","""",unique(query('tbl driver 2'!$K$2:$L1508,""SELECT L WHERE K = '""&amp;I1334&amp;""'""))),"""")"),"")</f>
        <v/>
      </c>
      <c r="K1334" s="31"/>
      <c r="L1334" s="39"/>
      <c r="M1334" s="39"/>
      <c r="N1334" s="28" t="str">
        <f>IFERROR(__xludf.DUMMYFUNCTION("IF(OR(C1334="""",M1334=""""),"""",IFERROR(IF(M1334="""","""",query('tbl user'!$A$2:$D1508,""SELECT A WHERE D = '""&amp;M1334&amp;""'"")),""USER TIDAK DIKETAHUI""))"),"")</f>
        <v/>
      </c>
    </row>
    <row r="1335">
      <c r="A1335" s="23"/>
      <c r="B1335" s="24" t="str">
        <f t="shared" si="4"/>
        <v/>
      </c>
      <c r="C1335" s="28"/>
      <c r="D1335" s="28"/>
      <c r="E1335" s="34"/>
      <c r="F1335" s="34"/>
      <c r="G1335" s="34"/>
      <c r="H1335" s="34"/>
      <c r="I1335" s="34"/>
      <c r="J1335" s="28" t="str">
        <f>IFERROR(__xludf.DUMMYFUNCTION("iferror(if(I1335="""","""",unique(query('tbl driver 2'!$K$2:$L1508,""SELECT L WHERE K = '""&amp;I1335&amp;""'""))),"""")"),"")</f>
        <v/>
      </c>
      <c r="K1335" s="31"/>
      <c r="L1335" s="39"/>
      <c r="M1335" s="39"/>
      <c r="N1335" s="28" t="str">
        <f>IFERROR(__xludf.DUMMYFUNCTION("IF(OR(C1335="""",M1335=""""),"""",IFERROR(IF(M1335="""","""",query('tbl user'!$A$2:$D1508,""SELECT A WHERE D = '""&amp;M1335&amp;""'"")),""USER TIDAK DIKETAHUI""))"),"")</f>
        <v/>
      </c>
    </row>
    <row r="1336">
      <c r="A1336" s="23"/>
      <c r="B1336" s="24" t="str">
        <f t="shared" si="4"/>
        <v/>
      </c>
      <c r="C1336" s="28"/>
      <c r="D1336" s="28"/>
      <c r="E1336" s="34"/>
      <c r="F1336" s="34"/>
      <c r="G1336" s="34"/>
      <c r="H1336" s="34"/>
      <c r="I1336" s="34"/>
      <c r="J1336" s="28" t="str">
        <f>IFERROR(__xludf.DUMMYFUNCTION("iferror(if(I1336="""","""",unique(query('tbl driver 2'!$K$2:$L1508,""SELECT L WHERE K = '""&amp;I1336&amp;""'""))),"""")"),"")</f>
        <v/>
      </c>
      <c r="K1336" s="31"/>
      <c r="L1336" s="39"/>
      <c r="M1336" s="39"/>
      <c r="N1336" s="28" t="str">
        <f>IFERROR(__xludf.DUMMYFUNCTION("IF(OR(C1336="""",M1336=""""),"""",IFERROR(IF(M1336="""","""",query('tbl user'!$A$2:$D1508,""SELECT A WHERE D = '""&amp;M1336&amp;""'"")),""USER TIDAK DIKETAHUI""))"),"")</f>
        <v/>
      </c>
    </row>
    <row r="1337">
      <c r="A1337" s="23"/>
      <c r="B1337" s="24" t="str">
        <f t="shared" si="4"/>
        <v/>
      </c>
      <c r="C1337" s="28"/>
      <c r="D1337" s="28"/>
      <c r="E1337" s="34"/>
      <c r="F1337" s="34"/>
      <c r="G1337" s="34"/>
      <c r="H1337" s="34"/>
      <c r="I1337" s="34"/>
      <c r="J1337" s="28" t="str">
        <f>IFERROR(__xludf.DUMMYFUNCTION("iferror(if(I1337="""","""",unique(query('tbl driver 2'!$K$2:$L1508,""SELECT L WHERE K = '""&amp;I1337&amp;""'""))),"""")"),"")</f>
        <v/>
      </c>
      <c r="K1337" s="31"/>
      <c r="L1337" s="39"/>
      <c r="M1337" s="39"/>
      <c r="N1337" s="28" t="str">
        <f>IFERROR(__xludf.DUMMYFUNCTION("IF(OR(C1337="""",M1337=""""),"""",IFERROR(IF(M1337="""","""",query('tbl user'!$A$2:$D1508,""SELECT A WHERE D = '""&amp;M1337&amp;""'"")),""USER TIDAK DIKETAHUI""))"),"")</f>
        <v/>
      </c>
    </row>
    <row r="1338">
      <c r="A1338" s="23"/>
      <c r="B1338" s="24" t="str">
        <f t="shared" si="4"/>
        <v/>
      </c>
      <c r="C1338" s="28"/>
      <c r="D1338" s="28"/>
      <c r="E1338" s="34"/>
      <c r="F1338" s="34"/>
      <c r="G1338" s="34"/>
      <c r="H1338" s="34"/>
      <c r="I1338" s="34"/>
      <c r="J1338" s="28" t="str">
        <f>IFERROR(__xludf.DUMMYFUNCTION("iferror(if(I1338="""","""",unique(query('tbl driver 2'!$K$2:$L1508,""SELECT L WHERE K = '""&amp;I1338&amp;""'""))),"""")"),"")</f>
        <v/>
      </c>
      <c r="K1338" s="31"/>
      <c r="L1338" s="39"/>
      <c r="M1338" s="39"/>
      <c r="N1338" s="28" t="str">
        <f>IFERROR(__xludf.DUMMYFUNCTION("IF(OR(C1338="""",M1338=""""),"""",IFERROR(IF(M1338="""","""",query('tbl user'!$A$2:$D1508,""SELECT A WHERE D = '""&amp;M1338&amp;""'"")),""USER TIDAK DIKETAHUI""))"),"")</f>
        <v/>
      </c>
    </row>
    <row r="1339">
      <c r="A1339" s="23"/>
      <c r="B1339" s="24" t="str">
        <f t="shared" si="4"/>
        <v/>
      </c>
      <c r="C1339" s="28"/>
      <c r="D1339" s="28"/>
      <c r="E1339" s="34"/>
      <c r="F1339" s="34"/>
      <c r="G1339" s="34"/>
      <c r="H1339" s="34"/>
      <c r="I1339" s="34"/>
      <c r="J1339" s="28" t="str">
        <f>IFERROR(__xludf.DUMMYFUNCTION("iferror(if(I1339="""","""",unique(query('tbl driver 2'!$K$2:$L1508,""SELECT L WHERE K = '""&amp;I1339&amp;""'""))),"""")"),"")</f>
        <v/>
      </c>
      <c r="K1339" s="31"/>
      <c r="L1339" s="39"/>
      <c r="M1339" s="39"/>
      <c r="N1339" s="28" t="str">
        <f>IFERROR(__xludf.DUMMYFUNCTION("IF(OR(C1339="""",M1339=""""),"""",IFERROR(IF(M1339="""","""",query('tbl user'!$A$2:$D1508,""SELECT A WHERE D = '""&amp;M1339&amp;""'"")),""USER TIDAK DIKETAHUI""))"),"")</f>
        <v/>
      </c>
    </row>
    <row r="1340">
      <c r="A1340" s="23"/>
      <c r="B1340" s="24" t="str">
        <f t="shared" si="4"/>
        <v/>
      </c>
      <c r="C1340" s="28"/>
      <c r="D1340" s="28"/>
      <c r="E1340" s="34"/>
      <c r="F1340" s="34"/>
      <c r="G1340" s="34"/>
      <c r="H1340" s="34"/>
      <c r="I1340" s="34"/>
      <c r="J1340" s="28" t="str">
        <f>IFERROR(__xludf.DUMMYFUNCTION("iferror(if(I1340="""","""",unique(query('tbl driver 2'!$K$2:$L1508,""SELECT L WHERE K = '""&amp;I1340&amp;""'""))),"""")"),"")</f>
        <v/>
      </c>
      <c r="K1340" s="31"/>
      <c r="L1340" s="39"/>
      <c r="M1340" s="39"/>
      <c r="N1340" s="28" t="str">
        <f>IFERROR(__xludf.DUMMYFUNCTION("IF(OR(C1340="""",M1340=""""),"""",IFERROR(IF(M1340="""","""",query('tbl user'!$A$2:$D1508,""SELECT A WHERE D = '""&amp;M1340&amp;""'"")),""USER TIDAK DIKETAHUI""))"),"")</f>
        <v/>
      </c>
    </row>
    <row r="1341">
      <c r="A1341" s="23"/>
      <c r="B1341" s="24" t="str">
        <f t="shared" si="4"/>
        <v/>
      </c>
      <c r="C1341" s="28"/>
      <c r="D1341" s="28"/>
      <c r="E1341" s="34"/>
      <c r="F1341" s="34"/>
      <c r="G1341" s="34"/>
      <c r="H1341" s="34"/>
      <c r="I1341" s="34"/>
      <c r="J1341" s="28" t="str">
        <f>IFERROR(__xludf.DUMMYFUNCTION("iferror(if(I1341="""","""",unique(query('tbl driver 2'!$K$2:$L1508,""SELECT L WHERE K = '""&amp;I1341&amp;""'""))),"""")"),"")</f>
        <v/>
      </c>
      <c r="K1341" s="31"/>
      <c r="L1341" s="39"/>
      <c r="M1341" s="39"/>
      <c r="N1341" s="28" t="str">
        <f>IFERROR(__xludf.DUMMYFUNCTION("IF(OR(C1341="""",M1341=""""),"""",IFERROR(IF(M1341="""","""",query('tbl user'!$A$2:$D1508,""SELECT A WHERE D = '""&amp;M1341&amp;""'"")),""USER TIDAK DIKETAHUI""))"),"")</f>
        <v/>
      </c>
    </row>
    <row r="1342">
      <c r="A1342" s="23"/>
      <c r="B1342" s="24" t="str">
        <f t="shared" si="4"/>
        <v/>
      </c>
      <c r="C1342" s="28"/>
      <c r="D1342" s="28"/>
      <c r="E1342" s="34"/>
      <c r="F1342" s="34"/>
      <c r="G1342" s="34"/>
      <c r="H1342" s="34"/>
      <c r="I1342" s="34"/>
      <c r="J1342" s="28" t="str">
        <f>IFERROR(__xludf.DUMMYFUNCTION("iferror(if(I1342="""","""",unique(query('tbl driver 2'!$K$2:$L1508,""SELECT L WHERE K = '""&amp;I1342&amp;""'""))),"""")"),"")</f>
        <v/>
      </c>
      <c r="K1342" s="31"/>
      <c r="L1342" s="39"/>
      <c r="M1342" s="39"/>
      <c r="N1342" s="28" t="str">
        <f>IFERROR(__xludf.DUMMYFUNCTION("IF(OR(C1342="""",M1342=""""),"""",IFERROR(IF(M1342="""","""",query('tbl user'!$A$2:$D1508,""SELECT A WHERE D = '""&amp;M1342&amp;""'"")),""USER TIDAK DIKETAHUI""))"),"")</f>
        <v/>
      </c>
    </row>
    <row r="1343">
      <c r="A1343" s="23"/>
      <c r="B1343" s="24" t="str">
        <f t="shared" si="4"/>
        <v/>
      </c>
      <c r="C1343" s="28"/>
      <c r="D1343" s="28"/>
      <c r="E1343" s="34"/>
      <c r="F1343" s="34"/>
      <c r="G1343" s="34"/>
      <c r="H1343" s="34"/>
      <c r="I1343" s="34"/>
      <c r="J1343" s="28" t="str">
        <f>IFERROR(__xludf.DUMMYFUNCTION("iferror(if(I1343="""","""",unique(query('tbl driver 2'!$K$2:$L1508,""SELECT L WHERE K = '""&amp;I1343&amp;""'""))),"""")"),"")</f>
        <v/>
      </c>
      <c r="K1343" s="31"/>
      <c r="L1343" s="39"/>
      <c r="M1343" s="39"/>
      <c r="N1343" s="28" t="str">
        <f>IFERROR(__xludf.DUMMYFUNCTION("IF(OR(C1343="""",M1343=""""),"""",IFERROR(IF(M1343="""","""",query('tbl user'!$A$2:$D1508,""SELECT A WHERE D = '""&amp;M1343&amp;""'"")),""USER TIDAK DIKETAHUI""))"),"")</f>
        <v/>
      </c>
    </row>
    <row r="1344">
      <c r="A1344" s="23"/>
      <c r="B1344" s="24" t="str">
        <f t="shared" si="4"/>
        <v/>
      </c>
      <c r="C1344" s="28"/>
      <c r="D1344" s="28"/>
      <c r="E1344" s="34"/>
      <c r="F1344" s="34"/>
      <c r="G1344" s="34"/>
      <c r="H1344" s="34"/>
      <c r="I1344" s="34"/>
      <c r="J1344" s="28" t="str">
        <f>IFERROR(__xludf.DUMMYFUNCTION("iferror(if(I1344="""","""",unique(query('tbl driver 2'!$K$2:$L1508,""SELECT L WHERE K = '""&amp;I1344&amp;""'""))),"""")"),"")</f>
        <v/>
      </c>
      <c r="K1344" s="31"/>
      <c r="L1344" s="39"/>
      <c r="M1344" s="39"/>
      <c r="N1344" s="28" t="str">
        <f>IFERROR(__xludf.DUMMYFUNCTION("IF(OR(C1344="""",M1344=""""),"""",IFERROR(IF(M1344="""","""",query('tbl user'!$A$2:$D1508,""SELECT A WHERE D = '""&amp;M1344&amp;""'"")),""USER TIDAK DIKETAHUI""))"),"")</f>
        <v/>
      </c>
    </row>
    <row r="1345">
      <c r="A1345" s="23"/>
      <c r="B1345" s="24" t="str">
        <f t="shared" si="4"/>
        <v/>
      </c>
      <c r="C1345" s="28"/>
      <c r="D1345" s="28"/>
      <c r="E1345" s="34"/>
      <c r="F1345" s="34"/>
      <c r="G1345" s="34"/>
      <c r="H1345" s="34"/>
      <c r="I1345" s="34"/>
      <c r="J1345" s="28" t="str">
        <f>IFERROR(__xludf.DUMMYFUNCTION("iferror(if(I1345="""","""",unique(query('tbl driver 2'!$K$2:$L1508,""SELECT L WHERE K = '""&amp;I1345&amp;""'""))),"""")"),"")</f>
        <v/>
      </c>
      <c r="K1345" s="31"/>
      <c r="L1345" s="39"/>
      <c r="M1345" s="39"/>
      <c r="N1345" s="28" t="str">
        <f>IFERROR(__xludf.DUMMYFUNCTION("IF(OR(C1345="""",M1345=""""),"""",IFERROR(IF(M1345="""","""",query('tbl user'!$A$2:$D1508,""SELECT A WHERE D = '""&amp;M1345&amp;""'"")),""USER TIDAK DIKETAHUI""))"),"")</f>
        <v/>
      </c>
    </row>
    <row r="1346">
      <c r="A1346" s="23"/>
      <c r="B1346" s="24" t="str">
        <f t="shared" si="4"/>
        <v/>
      </c>
      <c r="C1346" s="28"/>
      <c r="D1346" s="28"/>
      <c r="E1346" s="34"/>
      <c r="F1346" s="34"/>
      <c r="G1346" s="34"/>
      <c r="H1346" s="34"/>
      <c r="I1346" s="34"/>
      <c r="J1346" s="28" t="str">
        <f>IFERROR(__xludf.DUMMYFUNCTION("iferror(if(I1346="""","""",unique(query('tbl driver 2'!$K$2:$L1508,""SELECT L WHERE K = '""&amp;I1346&amp;""'""))),"""")"),"")</f>
        <v/>
      </c>
      <c r="K1346" s="31"/>
      <c r="L1346" s="39"/>
      <c r="M1346" s="39"/>
      <c r="N1346" s="28" t="str">
        <f>IFERROR(__xludf.DUMMYFUNCTION("IF(OR(C1346="""",M1346=""""),"""",IFERROR(IF(M1346="""","""",query('tbl user'!$A$2:$D1508,""SELECT A WHERE D = '""&amp;M1346&amp;""'"")),""USER TIDAK DIKETAHUI""))"),"")</f>
        <v/>
      </c>
    </row>
    <row r="1347">
      <c r="A1347" s="23"/>
      <c r="B1347" s="24" t="str">
        <f t="shared" si="4"/>
        <v/>
      </c>
      <c r="C1347" s="28"/>
      <c r="D1347" s="28"/>
      <c r="E1347" s="34"/>
      <c r="F1347" s="34"/>
      <c r="G1347" s="34"/>
      <c r="H1347" s="34"/>
      <c r="I1347" s="34"/>
      <c r="J1347" s="28" t="str">
        <f>IFERROR(__xludf.DUMMYFUNCTION("iferror(if(I1347="""","""",unique(query('tbl driver 2'!$K$2:$L1508,""SELECT L WHERE K = '""&amp;I1347&amp;""'""))),"""")"),"")</f>
        <v/>
      </c>
      <c r="K1347" s="31"/>
      <c r="L1347" s="39"/>
      <c r="M1347" s="39"/>
      <c r="N1347" s="28" t="str">
        <f>IFERROR(__xludf.DUMMYFUNCTION("IF(OR(C1347="""",M1347=""""),"""",IFERROR(IF(M1347="""","""",query('tbl user'!$A$2:$D1508,""SELECT A WHERE D = '""&amp;M1347&amp;""'"")),""USER TIDAK DIKETAHUI""))"),"")</f>
        <v/>
      </c>
    </row>
    <row r="1348">
      <c r="A1348" s="23"/>
      <c r="B1348" s="24" t="str">
        <f t="shared" si="4"/>
        <v/>
      </c>
      <c r="C1348" s="28"/>
      <c r="D1348" s="28"/>
      <c r="E1348" s="34"/>
      <c r="F1348" s="34"/>
      <c r="G1348" s="34"/>
      <c r="H1348" s="34"/>
      <c r="I1348" s="34"/>
      <c r="J1348" s="28" t="str">
        <f>IFERROR(__xludf.DUMMYFUNCTION("iferror(if(I1348="""","""",unique(query('tbl driver 2'!$K$2:$L1508,""SELECT L WHERE K = '""&amp;I1348&amp;""'""))),"""")"),"")</f>
        <v/>
      </c>
      <c r="K1348" s="31"/>
      <c r="L1348" s="39"/>
      <c r="M1348" s="39"/>
      <c r="N1348" s="28" t="str">
        <f>IFERROR(__xludf.DUMMYFUNCTION("IF(OR(C1348="""",M1348=""""),"""",IFERROR(IF(M1348="""","""",query('tbl user'!$A$2:$D1508,""SELECT A WHERE D = '""&amp;M1348&amp;""'"")),""USER TIDAK DIKETAHUI""))"),"")</f>
        <v/>
      </c>
    </row>
    <row r="1349">
      <c r="A1349" s="23"/>
      <c r="B1349" s="24" t="str">
        <f t="shared" si="4"/>
        <v/>
      </c>
      <c r="C1349" s="28"/>
      <c r="D1349" s="28"/>
      <c r="E1349" s="34"/>
      <c r="F1349" s="34"/>
      <c r="G1349" s="34"/>
      <c r="H1349" s="34"/>
      <c r="I1349" s="34"/>
      <c r="J1349" s="28" t="str">
        <f>IFERROR(__xludf.DUMMYFUNCTION("iferror(if(I1349="""","""",unique(query('tbl driver 2'!$K$2:$L1508,""SELECT L WHERE K = '""&amp;I1349&amp;""'""))),"""")"),"")</f>
        <v/>
      </c>
      <c r="K1349" s="31"/>
      <c r="L1349" s="39"/>
      <c r="M1349" s="39"/>
      <c r="N1349" s="28" t="str">
        <f>IFERROR(__xludf.DUMMYFUNCTION("IF(OR(C1349="""",M1349=""""),"""",IFERROR(IF(M1349="""","""",query('tbl user'!$A$2:$D1508,""SELECT A WHERE D = '""&amp;M1349&amp;""'"")),""USER TIDAK DIKETAHUI""))"),"")</f>
        <v/>
      </c>
    </row>
    <row r="1350">
      <c r="A1350" s="23"/>
      <c r="B1350" s="24" t="str">
        <f t="shared" si="4"/>
        <v/>
      </c>
      <c r="C1350" s="28"/>
      <c r="D1350" s="28"/>
      <c r="E1350" s="34"/>
      <c r="F1350" s="34"/>
      <c r="G1350" s="34"/>
      <c r="H1350" s="34"/>
      <c r="I1350" s="34"/>
      <c r="J1350" s="28" t="str">
        <f>IFERROR(__xludf.DUMMYFUNCTION("iferror(if(I1350="""","""",unique(query('tbl driver 2'!$K$2:$L1508,""SELECT L WHERE K = '""&amp;I1350&amp;""'""))),"""")"),"")</f>
        <v/>
      </c>
      <c r="K1350" s="31"/>
      <c r="L1350" s="39"/>
      <c r="M1350" s="39"/>
      <c r="N1350" s="28" t="str">
        <f>IFERROR(__xludf.DUMMYFUNCTION("IF(OR(C1350="""",M1350=""""),"""",IFERROR(IF(M1350="""","""",query('tbl user'!$A$2:$D1508,""SELECT A WHERE D = '""&amp;M1350&amp;""'"")),""USER TIDAK DIKETAHUI""))"),"")</f>
        <v/>
      </c>
    </row>
    <row r="1351">
      <c r="A1351" s="23"/>
      <c r="B1351" s="24" t="str">
        <f t="shared" si="4"/>
        <v/>
      </c>
      <c r="C1351" s="28"/>
      <c r="D1351" s="28"/>
      <c r="E1351" s="34"/>
      <c r="F1351" s="34"/>
      <c r="G1351" s="34"/>
      <c r="H1351" s="34"/>
      <c r="I1351" s="34"/>
      <c r="J1351" s="28" t="str">
        <f>IFERROR(__xludf.DUMMYFUNCTION("iferror(if(I1351="""","""",unique(query('tbl driver 2'!$K$2:$L1508,""SELECT L WHERE K = '""&amp;I1351&amp;""'""))),"""")"),"")</f>
        <v/>
      </c>
      <c r="K1351" s="31"/>
      <c r="L1351" s="39"/>
      <c r="M1351" s="39"/>
      <c r="N1351" s="28" t="str">
        <f>IFERROR(__xludf.DUMMYFUNCTION("IF(OR(C1351="""",M1351=""""),"""",IFERROR(IF(M1351="""","""",query('tbl user'!$A$2:$D1508,""SELECT A WHERE D = '""&amp;M1351&amp;""'"")),""USER TIDAK DIKETAHUI""))"),"")</f>
        <v/>
      </c>
    </row>
    <row r="1352">
      <c r="A1352" s="23"/>
      <c r="B1352" s="24" t="str">
        <f t="shared" si="4"/>
        <v/>
      </c>
      <c r="C1352" s="28"/>
      <c r="D1352" s="28"/>
      <c r="E1352" s="34"/>
      <c r="F1352" s="34"/>
      <c r="G1352" s="34"/>
      <c r="H1352" s="34"/>
      <c r="I1352" s="34"/>
      <c r="J1352" s="28" t="str">
        <f>IFERROR(__xludf.DUMMYFUNCTION("iferror(if(I1352="""","""",unique(query('tbl driver 2'!$K$2:$L1508,""SELECT L WHERE K = '""&amp;I1352&amp;""'""))),"""")"),"")</f>
        <v/>
      </c>
      <c r="K1352" s="31"/>
      <c r="L1352" s="39"/>
      <c r="M1352" s="39"/>
      <c r="N1352" s="28" t="str">
        <f>IFERROR(__xludf.DUMMYFUNCTION("IF(OR(C1352="""",M1352=""""),"""",IFERROR(IF(M1352="""","""",query('tbl user'!$A$2:$D1508,""SELECT A WHERE D = '""&amp;M1352&amp;""'"")),""USER TIDAK DIKETAHUI""))"),"")</f>
        <v/>
      </c>
    </row>
    <row r="1353">
      <c r="A1353" s="23"/>
      <c r="B1353" s="24" t="str">
        <f t="shared" si="4"/>
        <v/>
      </c>
      <c r="C1353" s="28"/>
      <c r="D1353" s="28"/>
      <c r="E1353" s="34"/>
      <c r="F1353" s="34"/>
      <c r="G1353" s="34"/>
      <c r="H1353" s="34"/>
      <c r="I1353" s="34"/>
      <c r="J1353" s="28" t="str">
        <f>IFERROR(__xludf.DUMMYFUNCTION("iferror(if(I1353="""","""",unique(query('tbl driver 2'!$K$2:$L1508,""SELECT L WHERE K = '""&amp;I1353&amp;""'""))),"""")"),"")</f>
        <v/>
      </c>
      <c r="K1353" s="31"/>
      <c r="L1353" s="39"/>
      <c r="M1353" s="39"/>
      <c r="N1353" s="28" t="str">
        <f>IFERROR(__xludf.DUMMYFUNCTION("IF(OR(C1353="""",M1353=""""),"""",IFERROR(IF(M1353="""","""",query('tbl user'!$A$2:$D1508,""SELECT A WHERE D = '""&amp;M1353&amp;""'"")),""USER TIDAK DIKETAHUI""))"),"")</f>
        <v/>
      </c>
    </row>
    <row r="1354">
      <c r="A1354" s="23"/>
      <c r="B1354" s="24" t="str">
        <f t="shared" si="4"/>
        <v/>
      </c>
      <c r="C1354" s="28"/>
      <c r="D1354" s="28"/>
      <c r="E1354" s="34"/>
      <c r="F1354" s="34"/>
      <c r="G1354" s="34"/>
      <c r="H1354" s="34"/>
      <c r="I1354" s="34"/>
      <c r="J1354" s="28" t="str">
        <f>IFERROR(__xludf.DUMMYFUNCTION("iferror(if(I1354="""","""",unique(query('tbl driver 2'!$K$2:$L1508,""SELECT L WHERE K = '""&amp;I1354&amp;""'""))),"""")"),"")</f>
        <v/>
      </c>
      <c r="K1354" s="31"/>
      <c r="L1354" s="39"/>
      <c r="M1354" s="39"/>
      <c r="N1354" s="28" t="str">
        <f>IFERROR(__xludf.DUMMYFUNCTION("IF(OR(C1354="""",M1354=""""),"""",IFERROR(IF(M1354="""","""",query('tbl user'!$A$2:$D1508,""SELECT A WHERE D = '""&amp;M1354&amp;""'"")),""USER TIDAK DIKETAHUI""))"),"")</f>
        <v/>
      </c>
    </row>
    <row r="1355">
      <c r="A1355" s="23"/>
      <c r="B1355" s="24" t="str">
        <f t="shared" si="4"/>
        <v/>
      </c>
      <c r="C1355" s="28"/>
      <c r="D1355" s="28"/>
      <c r="E1355" s="34"/>
      <c r="F1355" s="34"/>
      <c r="G1355" s="34"/>
      <c r="H1355" s="34"/>
      <c r="I1355" s="34"/>
      <c r="J1355" s="28" t="str">
        <f>IFERROR(__xludf.DUMMYFUNCTION("iferror(if(I1355="""","""",unique(query('tbl driver 2'!$K$2:$L1508,""SELECT L WHERE K = '""&amp;I1355&amp;""'""))),"""")"),"")</f>
        <v/>
      </c>
      <c r="K1355" s="31"/>
      <c r="L1355" s="39"/>
      <c r="M1355" s="39"/>
      <c r="N1355" s="28" t="str">
        <f>IFERROR(__xludf.DUMMYFUNCTION("IF(OR(C1355="""",M1355=""""),"""",IFERROR(IF(M1355="""","""",query('tbl user'!$A$2:$D1508,""SELECT A WHERE D = '""&amp;M1355&amp;""'"")),""USER TIDAK DIKETAHUI""))"),"")</f>
        <v/>
      </c>
    </row>
    <row r="1356">
      <c r="A1356" s="23"/>
      <c r="B1356" s="24" t="str">
        <f t="shared" si="4"/>
        <v/>
      </c>
      <c r="C1356" s="28"/>
      <c r="D1356" s="28"/>
      <c r="E1356" s="34"/>
      <c r="F1356" s="34"/>
      <c r="G1356" s="34"/>
      <c r="H1356" s="34"/>
      <c r="I1356" s="34"/>
      <c r="J1356" s="28" t="str">
        <f>IFERROR(__xludf.DUMMYFUNCTION("iferror(if(I1356="""","""",unique(query('tbl driver 2'!$K$2:$L1508,""SELECT L WHERE K = '""&amp;I1356&amp;""'""))),"""")"),"")</f>
        <v/>
      </c>
      <c r="K1356" s="31"/>
      <c r="L1356" s="39"/>
      <c r="M1356" s="39"/>
      <c r="N1356" s="28" t="str">
        <f>IFERROR(__xludf.DUMMYFUNCTION("IF(OR(C1356="""",M1356=""""),"""",IFERROR(IF(M1356="""","""",query('tbl user'!$A$2:$D1508,""SELECT A WHERE D = '""&amp;M1356&amp;""'"")),""USER TIDAK DIKETAHUI""))"),"")</f>
        <v/>
      </c>
    </row>
    <row r="1357">
      <c r="A1357" s="23"/>
      <c r="B1357" s="24" t="str">
        <f t="shared" si="4"/>
        <v/>
      </c>
      <c r="C1357" s="28"/>
      <c r="D1357" s="28"/>
      <c r="E1357" s="34"/>
      <c r="F1357" s="34"/>
      <c r="G1357" s="34"/>
      <c r="H1357" s="34"/>
      <c r="I1357" s="34"/>
      <c r="J1357" s="28" t="str">
        <f>IFERROR(__xludf.DUMMYFUNCTION("iferror(if(I1357="""","""",unique(query('tbl driver 2'!$K$2:$L1508,""SELECT L WHERE K = '""&amp;I1357&amp;""'""))),"""")"),"")</f>
        <v/>
      </c>
      <c r="K1357" s="31"/>
      <c r="L1357" s="39"/>
      <c r="M1357" s="39"/>
      <c r="N1357" s="28" t="str">
        <f>IFERROR(__xludf.DUMMYFUNCTION("IF(OR(C1357="""",M1357=""""),"""",IFERROR(IF(M1357="""","""",query('tbl user'!$A$2:$D1508,""SELECT A WHERE D = '""&amp;M1357&amp;""'"")),""USER TIDAK DIKETAHUI""))"),"")</f>
        <v/>
      </c>
    </row>
    <row r="1358">
      <c r="A1358" s="23"/>
      <c r="B1358" s="24" t="str">
        <f t="shared" si="4"/>
        <v/>
      </c>
      <c r="C1358" s="28"/>
      <c r="D1358" s="28"/>
      <c r="E1358" s="34"/>
      <c r="F1358" s="34"/>
      <c r="G1358" s="34"/>
      <c r="H1358" s="34"/>
      <c r="I1358" s="34"/>
      <c r="J1358" s="28" t="str">
        <f>IFERROR(__xludf.DUMMYFUNCTION("iferror(if(I1358="""","""",unique(query('tbl driver 2'!$K$2:$L1508,""SELECT L WHERE K = '""&amp;I1358&amp;""'""))),"""")"),"")</f>
        <v/>
      </c>
      <c r="K1358" s="31"/>
      <c r="L1358" s="39"/>
      <c r="M1358" s="39"/>
      <c r="N1358" s="28" t="str">
        <f>IFERROR(__xludf.DUMMYFUNCTION("IF(OR(C1358="""",M1358=""""),"""",IFERROR(IF(M1358="""","""",query('tbl user'!$A$2:$D1508,""SELECT A WHERE D = '""&amp;M1358&amp;""'"")),""USER TIDAK DIKETAHUI""))"),"")</f>
        <v/>
      </c>
    </row>
    <row r="1359">
      <c r="A1359" s="23"/>
      <c r="B1359" s="24" t="str">
        <f t="shared" si="4"/>
        <v/>
      </c>
      <c r="C1359" s="28"/>
      <c r="D1359" s="28"/>
      <c r="E1359" s="34"/>
      <c r="F1359" s="34"/>
      <c r="G1359" s="34"/>
      <c r="H1359" s="34"/>
      <c r="I1359" s="34"/>
      <c r="J1359" s="28" t="str">
        <f>IFERROR(__xludf.DUMMYFUNCTION("iferror(if(I1359="""","""",unique(query('tbl driver 2'!$K$2:$L1508,""SELECT L WHERE K = '""&amp;I1359&amp;""'""))),"""")"),"")</f>
        <v/>
      </c>
      <c r="K1359" s="31"/>
      <c r="L1359" s="39"/>
      <c r="M1359" s="39"/>
      <c r="N1359" s="28" t="str">
        <f>IFERROR(__xludf.DUMMYFUNCTION("IF(OR(C1359="""",M1359=""""),"""",IFERROR(IF(M1359="""","""",query('tbl user'!$A$2:$D1508,""SELECT A WHERE D = '""&amp;M1359&amp;""'"")),""USER TIDAK DIKETAHUI""))"),"")</f>
        <v/>
      </c>
    </row>
    <row r="1360">
      <c r="A1360" s="23"/>
      <c r="B1360" s="24" t="str">
        <f t="shared" si="4"/>
        <v/>
      </c>
      <c r="C1360" s="28"/>
      <c r="D1360" s="28"/>
      <c r="E1360" s="34"/>
      <c r="F1360" s="34"/>
      <c r="G1360" s="34"/>
      <c r="H1360" s="34"/>
      <c r="I1360" s="34"/>
      <c r="J1360" s="28" t="str">
        <f>IFERROR(__xludf.DUMMYFUNCTION("iferror(if(I1360="""","""",unique(query('tbl driver 2'!$K$2:$L1508,""SELECT L WHERE K = '""&amp;I1360&amp;""'""))),"""")"),"")</f>
        <v/>
      </c>
      <c r="K1360" s="31"/>
      <c r="L1360" s="39"/>
      <c r="M1360" s="39"/>
      <c r="N1360" s="28" t="str">
        <f>IFERROR(__xludf.DUMMYFUNCTION("IF(OR(C1360="""",M1360=""""),"""",IFERROR(IF(M1360="""","""",query('tbl user'!$A$2:$D1508,""SELECT A WHERE D = '""&amp;M1360&amp;""'"")),""USER TIDAK DIKETAHUI""))"),"")</f>
        <v/>
      </c>
    </row>
    <row r="1361">
      <c r="A1361" s="23"/>
      <c r="B1361" s="24" t="str">
        <f t="shared" si="4"/>
        <v/>
      </c>
      <c r="C1361" s="28"/>
      <c r="D1361" s="28"/>
      <c r="E1361" s="34"/>
      <c r="F1361" s="34"/>
      <c r="G1361" s="34"/>
      <c r="H1361" s="34"/>
      <c r="I1361" s="34"/>
      <c r="J1361" s="28" t="str">
        <f>IFERROR(__xludf.DUMMYFUNCTION("iferror(if(I1361="""","""",unique(query('tbl driver 2'!$K$2:$L1508,""SELECT L WHERE K = '""&amp;I1361&amp;""'""))),"""")"),"")</f>
        <v/>
      </c>
      <c r="K1361" s="31"/>
      <c r="L1361" s="39"/>
      <c r="M1361" s="39"/>
      <c r="N1361" s="28" t="str">
        <f>IFERROR(__xludf.DUMMYFUNCTION("IF(OR(C1361="""",M1361=""""),"""",IFERROR(IF(M1361="""","""",query('tbl user'!$A$2:$D1508,""SELECT A WHERE D = '""&amp;M1361&amp;""'"")),""USER TIDAK DIKETAHUI""))"),"")</f>
        <v/>
      </c>
    </row>
    <row r="1362">
      <c r="A1362" s="23"/>
      <c r="B1362" s="24" t="str">
        <f t="shared" si="4"/>
        <v/>
      </c>
      <c r="C1362" s="28"/>
      <c r="D1362" s="28"/>
      <c r="E1362" s="34"/>
      <c r="F1362" s="34"/>
      <c r="G1362" s="34"/>
      <c r="H1362" s="34"/>
      <c r="I1362" s="34"/>
      <c r="J1362" s="28" t="str">
        <f>IFERROR(__xludf.DUMMYFUNCTION("iferror(if(I1362="""","""",unique(query('tbl driver 2'!$K$2:$L1508,""SELECT L WHERE K = '""&amp;I1362&amp;""'""))),"""")"),"")</f>
        <v/>
      </c>
      <c r="K1362" s="31"/>
      <c r="L1362" s="39"/>
      <c r="M1362" s="39"/>
      <c r="N1362" s="28" t="str">
        <f>IFERROR(__xludf.DUMMYFUNCTION("IF(OR(C1362="""",M1362=""""),"""",IFERROR(IF(M1362="""","""",query('tbl user'!$A$2:$D1508,""SELECT A WHERE D = '""&amp;M1362&amp;""'"")),""USER TIDAK DIKETAHUI""))"),"")</f>
        <v/>
      </c>
    </row>
    <row r="1363">
      <c r="A1363" s="23"/>
      <c r="B1363" s="24" t="str">
        <f t="shared" si="4"/>
        <v/>
      </c>
      <c r="C1363" s="28"/>
      <c r="D1363" s="28"/>
      <c r="E1363" s="34"/>
      <c r="F1363" s="34"/>
      <c r="G1363" s="34"/>
      <c r="H1363" s="34"/>
      <c r="I1363" s="34"/>
      <c r="J1363" s="28" t="str">
        <f>IFERROR(__xludf.DUMMYFUNCTION("iferror(if(I1363="""","""",unique(query('tbl driver 2'!$K$2:$L1508,""SELECT L WHERE K = '""&amp;I1363&amp;""'""))),"""")"),"")</f>
        <v/>
      </c>
      <c r="K1363" s="31"/>
      <c r="L1363" s="39"/>
      <c r="M1363" s="39"/>
      <c r="N1363" s="28" t="str">
        <f>IFERROR(__xludf.DUMMYFUNCTION("IF(OR(C1363="""",M1363=""""),"""",IFERROR(IF(M1363="""","""",query('tbl user'!$A$2:$D1508,""SELECT A WHERE D = '""&amp;M1363&amp;""'"")),""USER TIDAK DIKETAHUI""))"),"")</f>
        <v/>
      </c>
    </row>
    <row r="1364">
      <c r="A1364" s="23"/>
      <c r="B1364" s="24" t="str">
        <f t="shared" si="4"/>
        <v/>
      </c>
      <c r="C1364" s="28"/>
      <c r="D1364" s="28"/>
      <c r="E1364" s="34"/>
      <c r="F1364" s="34"/>
      <c r="G1364" s="34"/>
      <c r="H1364" s="34"/>
      <c r="I1364" s="34"/>
      <c r="J1364" s="28" t="str">
        <f>IFERROR(__xludf.DUMMYFUNCTION("iferror(if(I1364="""","""",unique(query('tbl driver 2'!$K$2:$L1508,""SELECT L WHERE K = '""&amp;I1364&amp;""'""))),"""")"),"")</f>
        <v/>
      </c>
      <c r="K1364" s="31"/>
      <c r="L1364" s="39"/>
      <c r="M1364" s="39"/>
      <c r="N1364" s="28" t="str">
        <f>IFERROR(__xludf.DUMMYFUNCTION("IF(OR(C1364="""",M1364=""""),"""",IFERROR(IF(M1364="""","""",query('tbl user'!$A$2:$D1508,""SELECT A WHERE D = '""&amp;M1364&amp;""'"")),""USER TIDAK DIKETAHUI""))"),"")</f>
        <v/>
      </c>
    </row>
    <row r="1365">
      <c r="A1365" s="23"/>
      <c r="B1365" s="24" t="str">
        <f t="shared" si="4"/>
        <v/>
      </c>
      <c r="C1365" s="28"/>
      <c r="D1365" s="28"/>
      <c r="E1365" s="34"/>
      <c r="F1365" s="34"/>
      <c r="G1365" s="34"/>
      <c r="H1365" s="34"/>
      <c r="I1365" s="34"/>
      <c r="J1365" s="28" t="str">
        <f>IFERROR(__xludf.DUMMYFUNCTION("iferror(if(I1365="""","""",unique(query('tbl driver 2'!$K$2:$L1508,""SELECT L WHERE K = '""&amp;I1365&amp;""'""))),"""")"),"")</f>
        <v/>
      </c>
      <c r="K1365" s="31"/>
      <c r="L1365" s="39"/>
      <c r="M1365" s="39"/>
      <c r="N1365" s="28" t="str">
        <f>IFERROR(__xludf.DUMMYFUNCTION("IF(OR(C1365="""",M1365=""""),"""",IFERROR(IF(M1365="""","""",query('tbl user'!$A$2:$D1508,""SELECT A WHERE D = '""&amp;M1365&amp;""'"")),""USER TIDAK DIKETAHUI""))"),"")</f>
        <v/>
      </c>
    </row>
    <row r="1366">
      <c r="A1366" s="23"/>
      <c r="B1366" s="24" t="str">
        <f t="shared" si="4"/>
        <v/>
      </c>
      <c r="C1366" s="28"/>
      <c r="D1366" s="28"/>
      <c r="E1366" s="34"/>
      <c r="F1366" s="34"/>
      <c r="G1366" s="34"/>
      <c r="H1366" s="34"/>
      <c r="I1366" s="34"/>
      <c r="J1366" s="28" t="str">
        <f>IFERROR(__xludf.DUMMYFUNCTION("iferror(if(I1366="""","""",unique(query('tbl driver 2'!$K$2:$L1508,""SELECT L WHERE K = '""&amp;I1366&amp;""'""))),"""")"),"")</f>
        <v/>
      </c>
      <c r="K1366" s="31"/>
      <c r="L1366" s="39"/>
      <c r="M1366" s="39"/>
      <c r="N1366" s="28" t="str">
        <f>IFERROR(__xludf.DUMMYFUNCTION("IF(OR(C1366="""",M1366=""""),"""",IFERROR(IF(M1366="""","""",query('tbl user'!$A$2:$D1508,""SELECT A WHERE D = '""&amp;M1366&amp;""'"")),""USER TIDAK DIKETAHUI""))"),"")</f>
        <v/>
      </c>
    </row>
    <row r="1367">
      <c r="A1367" s="23"/>
      <c r="B1367" s="24" t="str">
        <f t="shared" si="4"/>
        <v/>
      </c>
      <c r="C1367" s="28"/>
      <c r="D1367" s="28"/>
      <c r="E1367" s="34"/>
      <c r="F1367" s="34"/>
      <c r="G1367" s="34"/>
      <c r="H1367" s="34"/>
      <c r="I1367" s="34"/>
      <c r="J1367" s="28" t="str">
        <f>IFERROR(__xludf.DUMMYFUNCTION("iferror(if(I1367="""","""",unique(query('tbl driver 2'!$K$2:$L1508,""SELECT L WHERE K = '""&amp;I1367&amp;""'""))),"""")"),"")</f>
        <v/>
      </c>
      <c r="K1367" s="31"/>
      <c r="L1367" s="39"/>
      <c r="M1367" s="39"/>
      <c r="N1367" s="28" t="str">
        <f>IFERROR(__xludf.DUMMYFUNCTION("IF(OR(C1367="""",M1367=""""),"""",IFERROR(IF(M1367="""","""",query('tbl user'!$A$2:$D1508,""SELECT A WHERE D = '""&amp;M1367&amp;""'"")),""USER TIDAK DIKETAHUI""))"),"")</f>
        <v/>
      </c>
    </row>
    <row r="1368">
      <c r="A1368" s="23"/>
      <c r="B1368" s="24" t="str">
        <f t="shared" si="4"/>
        <v/>
      </c>
      <c r="C1368" s="28"/>
      <c r="D1368" s="28"/>
      <c r="E1368" s="34"/>
      <c r="F1368" s="34"/>
      <c r="G1368" s="34"/>
      <c r="H1368" s="34"/>
      <c r="I1368" s="34"/>
      <c r="J1368" s="28" t="str">
        <f>IFERROR(__xludf.DUMMYFUNCTION("iferror(if(I1368="""","""",unique(query('tbl driver 2'!$K$2:$L1508,""SELECT L WHERE K = '""&amp;I1368&amp;""'""))),"""")"),"")</f>
        <v/>
      </c>
      <c r="K1368" s="31"/>
      <c r="L1368" s="39"/>
      <c r="M1368" s="39"/>
      <c r="N1368" s="28" t="str">
        <f>IFERROR(__xludf.DUMMYFUNCTION("IF(OR(C1368="""",M1368=""""),"""",IFERROR(IF(M1368="""","""",query('tbl user'!$A$2:$D1508,""SELECT A WHERE D = '""&amp;M1368&amp;""'"")),""USER TIDAK DIKETAHUI""))"),"")</f>
        <v/>
      </c>
    </row>
    <row r="1369">
      <c r="A1369" s="23"/>
      <c r="B1369" s="24" t="str">
        <f t="shared" si="4"/>
        <v/>
      </c>
      <c r="C1369" s="28"/>
      <c r="D1369" s="28"/>
      <c r="E1369" s="34"/>
      <c r="F1369" s="34"/>
      <c r="G1369" s="34"/>
      <c r="H1369" s="34"/>
      <c r="I1369" s="34"/>
      <c r="J1369" s="28" t="str">
        <f>IFERROR(__xludf.DUMMYFUNCTION("iferror(if(I1369="""","""",unique(query('tbl driver 2'!$K$2:$L1508,""SELECT L WHERE K = '""&amp;I1369&amp;""'""))),"""")"),"")</f>
        <v/>
      </c>
      <c r="K1369" s="31"/>
      <c r="L1369" s="39"/>
      <c r="M1369" s="39"/>
      <c r="N1369" s="28" t="str">
        <f>IFERROR(__xludf.DUMMYFUNCTION("IF(OR(C1369="""",M1369=""""),"""",IFERROR(IF(M1369="""","""",query('tbl user'!$A$2:$D1508,""SELECT A WHERE D = '""&amp;M1369&amp;""'"")),""USER TIDAK DIKETAHUI""))"),"")</f>
        <v/>
      </c>
    </row>
    <row r="1370">
      <c r="A1370" s="23"/>
      <c r="B1370" s="24" t="str">
        <f t="shared" si="4"/>
        <v/>
      </c>
      <c r="C1370" s="28"/>
      <c r="D1370" s="28"/>
      <c r="E1370" s="34"/>
      <c r="F1370" s="34"/>
      <c r="G1370" s="34"/>
      <c r="H1370" s="34"/>
      <c r="I1370" s="34"/>
      <c r="J1370" s="28" t="str">
        <f>IFERROR(__xludf.DUMMYFUNCTION("iferror(if(I1370="""","""",unique(query('tbl driver 2'!$K$2:$L1508,""SELECT L WHERE K = '""&amp;I1370&amp;""'""))),"""")"),"")</f>
        <v/>
      </c>
      <c r="K1370" s="31"/>
      <c r="L1370" s="39"/>
      <c r="M1370" s="39"/>
      <c r="N1370" s="28" t="str">
        <f>IFERROR(__xludf.DUMMYFUNCTION("IF(OR(C1370="""",M1370=""""),"""",IFERROR(IF(M1370="""","""",query('tbl user'!$A$2:$D1508,""SELECT A WHERE D = '""&amp;M1370&amp;""'"")),""USER TIDAK DIKETAHUI""))"),"")</f>
        <v/>
      </c>
    </row>
    <row r="1371">
      <c r="A1371" s="23"/>
      <c r="B1371" s="24" t="str">
        <f t="shared" si="4"/>
        <v/>
      </c>
      <c r="C1371" s="28"/>
      <c r="D1371" s="28"/>
      <c r="E1371" s="34"/>
      <c r="F1371" s="34"/>
      <c r="G1371" s="34"/>
      <c r="H1371" s="34"/>
      <c r="I1371" s="34"/>
      <c r="J1371" s="28" t="str">
        <f>IFERROR(__xludf.DUMMYFUNCTION("iferror(if(I1371="""","""",unique(query('tbl driver 2'!$K$2:$L1508,""SELECT L WHERE K = '""&amp;I1371&amp;""'""))),"""")"),"")</f>
        <v/>
      </c>
      <c r="K1371" s="31"/>
      <c r="L1371" s="39"/>
      <c r="M1371" s="39"/>
      <c r="N1371" s="28" t="str">
        <f>IFERROR(__xludf.DUMMYFUNCTION("IF(OR(C1371="""",M1371=""""),"""",IFERROR(IF(M1371="""","""",query('tbl user'!$A$2:$D1508,""SELECT A WHERE D = '""&amp;M1371&amp;""'"")),""USER TIDAK DIKETAHUI""))"),"")</f>
        <v/>
      </c>
    </row>
    <row r="1372">
      <c r="A1372" s="23"/>
      <c r="B1372" s="24" t="str">
        <f t="shared" si="4"/>
        <v/>
      </c>
      <c r="C1372" s="28"/>
      <c r="D1372" s="28"/>
      <c r="E1372" s="34"/>
      <c r="F1372" s="34"/>
      <c r="G1372" s="34"/>
      <c r="H1372" s="34"/>
      <c r="I1372" s="34"/>
      <c r="J1372" s="28" t="str">
        <f>IFERROR(__xludf.DUMMYFUNCTION("iferror(if(I1372="""","""",unique(query('tbl driver 2'!$K$2:$L1508,""SELECT L WHERE K = '""&amp;I1372&amp;""'""))),"""")"),"")</f>
        <v/>
      </c>
      <c r="K1372" s="31"/>
      <c r="L1372" s="39"/>
      <c r="M1372" s="39"/>
      <c r="N1372" s="28" t="str">
        <f>IFERROR(__xludf.DUMMYFUNCTION("IF(OR(C1372="""",M1372=""""),"""",IFERROR(IF(M1372="""","""",query('tbl user'!$A$2:$D1508,""SELECT A WHERE D = '""&amp;M1372&amp;""'"")),""USER TIDAK DIKETAHUI""))"),"")</f>
        <v/>
      </c>
    </row>
    <row r="1373">
      <c r="A1373" s="23"/>
      <c r="B1373" s="24" t="str">
        <f t="shared" si="4"/>
        <v/>
      </c>
      <c r="C1373" s="28"/>
      <c r="D1373" s="28"/>
      <c r="E1373" s="34"/>
      <c r="F1373" s="34"/>
      <c r="G1373" s="34"/>
      <c r="H1373" s="34"/>
      <c r="I1373" s="34"/>
      <c r="J1373" s="28" t="str">
        <f>IFERROR(__xludf.DUMMYFUNCTION("iferror(if(I1373="""","""",unique(query('tbl driver 2'!$K$2:$L1508,""SELECT L WHERE K = '""&amp;I1373&amp;""'""))),"""")"),"")</f>
        <v/>
      </c>
      <c r="K1373" s="31"/>
      <c r="L1373" s="39"/>
      <c r="M1373" s="39"/>
      <c r="N1373" s="28" t="str">
        <f>IFERROR(__xludf.DUMMYFUNCTION("IF(OR(C1373="""",M1373=""""),"""",IFERROR(IF(M1373="""","""",query('tbl user'!$A$2:$D1508,""SELECT A WHERE D = '""&amp;M1373&amp;""'"")),""USER TIDAK DIKETAHUI""))"),"")</f>
        <v/>
      </c>
    </row>
    <row r="1374">
      <c r="A1374" s="23"/>
      <c r="B1374" s="24" t="str">
        <f t="shared" si="4"/>
        <v/>
      </c>
      <c r="C1374" s="28"/>
      <c r="D1374" s="28"/>
      <c r="E1374" s="34"/>
      <c r="F1374" s="34"/>
      <c r="G1374" s="34"/>
      <c r="H1374" s="34"/>
      <c r="I1374" s="34"/>
      <c r="J1374" s="28" t="str">
        <f>IFERROR(__xludf.DUMMYFUNCTION("iferror(if(I1374="""","""",unique(query('tbl driver 2'!$K$2:$L1508,""SELECT L WHERE K = '""&amp;I1374&amp;""'""))),"""")"),"")</f>
        <v/>
      </c>
      <c r="K1374" s="31"/>
      <c r="L1374" s="39"/>
      <c r="M1374" s="39"/>
      <c r="N1374" s="28" t="str">
        <f>IFERROR(__xludf.DUMMYFUNCTION("IF(OR(C1374="""",M1374=""""),"""",IFERROR(IF(M1374="""","""",query('tbl user'!$A$2:$D1508,""SELECT A WHERE D = '""&amp;M1374&amp;""'"")),""USER TIDAK DIKETAHUI""))"),"")</f>
        <v/>
      </c>
    </row>
    <row r="1375">
      <c r="A1375" s="23"/>
      <c r="B1375" s="24" t="str">
        <f t="shared" si="4"/>
        <v/>
      </c>
      <c r="C1375" s="28"/>
      <c r="D1375" s="28"/>
      <c r="E1375" s="34"/>
      <c r="F1375" s="34"/>
      <c r="G1375" s="34"/>
      <c r="H1375" s="34"/>
      <c r="I1375" s="34"/>
      <c r="J1375" s="28" t="str">
        <f>IFERROR(__xludf.DUMMYFUNCTION("iferror(if(I1375="""","""",unique(query('tbl driver 2'!$K$2:$L1508,""SELECT L WHERE K = '""&amp;I1375&amp;""'""))),"""")"),"")</f>
        <v/>
      </c>
      <c r="K1375" s="31"/>
      <c r="L1375" s="39"/>
      <c r="M1375" s="39"/>
      <c r="N1375" s="28" t="str">
        <f>IFERROR(__xludf.DUMMYFUNCTION("IF(OR(C1375="""",M1375=""""),"""",IFERROR(IF(M1375="""","""",query('tbl user'!$A$2:$D1508,""SELECT A WHERE D = '""&amp;M1375&amp;""'"")),""USER TIDAK DIKETAHUI""))"),"")</f>
        <v/>
      </c>
    </row>
    <row r="1376">
      <c r="A1376" s="23"/>
      <c r="B1376" s="24" t="str">
        <f t="shared" si="4"/>
        <v/>
      </c>
      <c r="C1376" s="28"/>
      <c r="D1376" s="28"/>
      <c r="E1376" s="34"/>
      <c r="F1376" s="34"/>
      <c r="G1376" s="34"/>
      <c r="H1376" s="34"/>
      <c r="I1376" s="34"/>
      <c r="J1376" s="28" t="str">
        <f>IFERROR(__xludf.DUMMYFUNCTION("iferror(if(I1376="""","""",unique(query('tbl driver 2'!$K$2:$L1508,""SELECT L WHERE K = '""&amp;I1376&amp;""'""))),"""")"),"")</f>
        <v/>
      </c>
      <c r="K1376" s="31"/>
      <c r="L1376" s="39"/>
      <c r="M1376" s="39"/>
      <c r="N1376" s="28" t="str">
        <f>IFERROR(__xludf.DUMMYFUNCTION("IF(OR(C1376="""",M1376=""""),"""",IFERROR(IF(M1376="""","""",query('tbl user'!$A$2:$D1508,""SELECT A WHERE D = '""&amp;M1376&amp;""'"")),""USER TIDAK DIKETAHUI""))"),"")</f>
        <v/>
      </c>
    </row>
    <row r="1377">
      <c r="A1377" s="23"/>
      <c r="B1377" s="24" t="str">
        <f t="shared" si="4"/>
        <v/>
      </c>
      <c r="C1377" s="28"/>
      <c r="D1377" s="28"/>
      <c r="E1377" s="34"/>
      <c r="F1377" s="34"/>
      <c r="G1377" s="34"/>
      <c r="H1377" s="34"/>
      <c r="I1377" s="34"/>
      <c r="J1377" s="28" t="str">
        <f>IFERROR(__xludf.DUMMYFUNCTION("iferror(if(I1377="""","""",unique(query('tbl driver 2'!$K$2:$L1508,""SELECT L WHERE K = '""&amp;I1377&amp;""'""))),"""")"),"")</f>
        <v/>
      </c>
      <c r="K1377" s="31"/>
      <c r="L1377" s="39"/>
      <c r="M1377" s="39"/>
      <c r="N1377" s="28" t="str">
        <f>IFERROR(__xludf.DUMMYFUNCTION("IF(OR(C1377="""",M1377=""""),"""",IFERROR(IF(M1377="""","""",query('tbl user'!$A$2:$D1508,""SELECT A WHERE D = '""&amp;M1377&amp;""'"")),""USER TIDAK DIKETAHUI""))"),"")</f>
        <v/>
      </c>
    </row>
    <row r="1378">
      <c r="A1378" s="23"/>
      <c r="B1378" s="24" t="str">
        <f t="shared" si="4"/>
        <v/>
      </c>
      <c r="C1378" s="28"/>
      <c r="D1378" s="28"/>
      <c r="E1378" s="34"/>
      <c r="F1378" s="34"/>
      <c r="G1378" s="34"/>
      <c r="H1378" s="34"/>
      <c r="I1378" s="34"/>
      <c r="J1378" s="28" t="str">
        <f>IFERROR(__xludf.DUMMYFUNCTION("iferror(if(I1378="""","""",unique(query('tbl driver 2'!$K$2:$L1508,""SELECT L WHERE K = '""&amp;I1378&amp;""'""))),"""")"),"")</f>
        <v/>
      </c>
      <c r="K1378" s="31"/>
      <c r="L1378" s="39"/>
      <c r="M1378" s="39"/>
      <c r="N1378" s="28" t="str">
        <f>IFERROR(__xludf.DUMMYFUNCTION("IF(OR(C1378="""",M1378=""""),"""",IFERROR(IF(M1378="""","""",query('tbl user'!$A$2:$D1508,""SELECT A WHERE D = '""&amp;M1378&amp;""'"")),""USER TIDAK DIKETAHUI""))"),"")</f>
        <v/>
      </c>
    </row>
    <row r="1379">
      <c r="A1379" s="23"/>
      <c r="B1379" s="24" t="str">
        <f t="shared" si="4"/>
        <v/>
      </c>
      <c r="C1379" s="28"/>
      <c r="D1379" s="28"/>
      <c r="E1379" s="34"/>
      <c r="F1379" s="34"/>
      <c r="G1379" s="34"/>
      <c r="H1379" s="34"/>
      <c r="I1379" s="34"/>
      <c r="J1379" s="28" t="str">
        <f>IFERROR(__xludf.DUMMYFUNCTION("iferror(if(I1379="""","""",unique(query('tbl driver 2'!$K$2:$L1508,""SELECT L WHERE K = '""&amp;I1379&amp;""'""))),"""")"),"")</f>
        <v/>
      </c>
      <c r="K1379" s="31"/>
      <c r="L1379" s="39"/>
      <c r="M1379" s="39"/>
      <c r="N1379" s="28" t="str">
        <f>IFERROR(__xludf.DUMMYFUNCTION("IF(OR(C1379="""",M1379=""""),"""",IFERROR(IF(M1379="""","""",query('tbl user'!$A$2:$D1508,""SELECT A WHERE D = '""&amp;M1379&amp;""'"")),""USER TIDAK DIKETAHUI""))"),"")</f>
        <v/>
      </c>
    </row>
    <row r="1380">
      <c r="A1380" s="23"/>
      <c r="B1380" s="24" t="str">
        <f t="shared" si="4"/>
        <v/>
      </c>
      <c r="C1380" s="28"/>
      <c r="D1380" s="28"/>
      <c r="E1380" s="34"/>
      <c r="F1380" s="34"/>
      <c r="G1380" s="34"/>
      <c r="H1380" s="34"/>
      <c r="I1380" s="34"/>
      <c r="J1380" s="28" t="str">
        <f>IFERROR(__xludf.DUMMYFUNCTION("iferror(if(I1380="""","""",unique(query('tbl driver 2'!$K$2:$L1508,""SELECT L WHERE K = '""&amp;I1380&amp;""'""))),"""")"),"")</f>
        <v/>
      </c>
      <c r="K1380" s="31"/>
      <c r="L1380" s="39"/>
      <c r="M1380" s="39"/>
      <c r="N1380" s="28" t="str">
        <f>IFERROR(__xludf.DUMMYFUNCTION("IF(OR(C1380="""",M1380=""""),"""",IFERROR(IF(M1380="""","""",query('tbl user'!$A$2:$D1508,""SELECT A WHERE D = '""&amp;M1380&amp;""'"")),""USER TIDAK DIKETAHUI""))"),"")</f>
        <v/>
      </c>
    </row>
    <row r="1381">
      <c r="A1381" s="23"/>
      <c r="B1381" s="24" t="str">
        <f t="shared" si="4"/>
        <v/>
      </c>
      <c r="C1381" s="28"/>
      <c r="D1381" s="28"/>
      <c r="E1381" s="34"/>
      <c r="F1381" s="34"/>
      <c r="G1381" s="34"/>
      <c r="H1381" s="34"/>
      <c r="I1381" s="34"/>
      <c r="J1381" s="28" t="str">
        <f>IFERROR(__xludf.DUMMYFUNCTION("iferror(if(I1381="""","""",unique(query('tbl driver 2'!$K$2:$L1508,""SELECT L WHERE K = '""&amp;I1381&amp;""'""))),"""")"),"")</f>
        <v/>
      </c>
      <c r="K1381" s="31"/>
      <c r="L1381" s="39"/>
      <c r="M1381" s="39"/>
      <c r="N1381" s="28" t="str">
        <f>IFERROR(__xludf.DUMMYFUNCTION("IF(OR(C1381="""",M1381=""""),"""",IFERROR(IF(M1381="""","""",query('tbl user'!$A$2:$D1508,""SELECT A WHERE D = '""&amp;M1381&amp;""'"")),""USER TIDAK DIKETAHUI""))"),"")</f>
        <v/>
      </c>
    </row>
    <row r="1382">
      <c r="A1382" s="23"/>
      <c r="B1382" s="24" t="str">
        <f t="shared" si="4"/>
        <v/>
      </c>
      <c r="C1382" s="28"/>
      <c r="D1382" s="28"/>
      <c r="E1382" s="34"/>
      <c r="F1382" s="34"/>
      <c r="G1382" s="34"/>
      <c r="H1382" s="34"/>
      <c r="I1382" s="34"/>
      <c r="J1382" s="28" t="str">
        <f>IFERROR(__xludf.DUMMYFUNCTION("iferror(if(I1382="""","""",unique(query('tbl driver 2'!$K$2:$L1508,""SELECT L WHERE K = '""&amp;I1382&amp;""'""))),"""")"),"")</f>
        <v/>
      </c>
      <c r="K1382" s="31"/>
      <c r="L1382" s="39"/>
      <c r="M1382" s="39"/>
      <c r="N1382" s="28" t="str">
        <f>IFERROR(__xludf.DUMMYFUNCTION("IF(OR(C1382="""",M1382=""""),"""",IFERROR(IF(M1382="""","""",query('tbl user'!$A$2:$D1508,""SELECT A WHERE D = '""&amp;M1382&amp;""'"")),""USER TIDAK DIKETAHUI""))"),"")</f>
        <v/>
      </c>
    </row>
    <row r="1383">
      <c r="A1383" s="23"/>
      <c r="B1383" s="24" t="str">
        <f t="shared" si="4"/>
        <v/>
      </c>
      <c r="C1383" s="28"/>
      <c r="D1383" s="28"/>
      <c r="E1383" s="34"/>
      <c r="F1383" s="34"/>
      <c r="G1383" s="34"/>
      <c r="H1383" s="34"/>
      <c r="I1383" s="34"/>
      <c r="J1383" s="28" t="str">
        <f>IFERROR(__xludf.DUMMYFUNCTION("iferror(if(I1383="""","""",unique(query('tbl driver 2'!$K$2:$L1508,""SELECT L WHERE K = '""&amp;I1383&amp;""'""))),"""")"),"")</f>
        <v/>
      </c>
      <c r="K1383" s="31"/>
      <c r="L1383" s="39"/>
      <c r="M1383" s="39"/>
      <c r="N1383" s="28" t="str">
        <f>IFERROR(__xludf.DUMMYFUNCTION("IF(OR(C1383="""",M1383=""""),"""",IFERROR(IF(M1383="""","""",query('tbl user'!$A$2:$D1508,""SELECT A WHERE D = '""&amp;M1383&amp;""'"")),""USER TIDAK DIKETAHUI""))"),"")</f>
        <v/>
      </c>
    </row>
    <row r="1384">
      <c r="A1384" s="23"/>
      <c r="B1384" s="24" t="str">
        <f t="shared" si="4"/>
        <v/>
      </c>
      <c r="C1384" s="28"/>
      <c r="D1384" s="28"/>
      <c r="E1384" s="34"/>
      <c r="F1384" s="34"/>
      <c r="G1384" s="34"/>
      <c r="H1384" s="34"/>
      <c r="I1384" s="34"/>
      <c r="J1384" s="28" t="str">
        <f>IFERROR(__xludf.DUMMYFUNCTION("iferror(if(I1384="""","""",unique(query('tbl driver 2'!$K$2:$L1508,""SELECT L WHERE K = '""&amp;I1384&amp;""'""))),"""")"),"")</f>
        <v/>
      </c>
      <c r="K1384" s="31"/>
      <c r="L1384" s="39"/>
      <c r="M1384" s="39"/>
      <c r="N1384" s="28" t="str">
        <f>IFERROR(__xludf.DUMMYFUNCTION("IF(OR(C1384="""",M1384=""""),"""",IFERROR(IF(M1384="""","""",query('tbl user'!$A$2:$D1508,""SELECT A WHERE D = '""&amp;M1384&amp;""'"")),""USER TIDAK DIKETAHUI""))"),"")</f>
        <v/>
      </c>
    </row>
    <row r="1385">
      <c r="A1385" s="23"/>
      <c r="B1385" s="24" t="str">
        <f t="shared" si="4"/>
        <v/>
      </c>
      <c r="C1385" s="28"/>
      <c r="D1385" s="28"/>
      <c r="E1385" s="34"/>
      <c r="F1385" s="34"/>
      <c r="G1385" s="34"/>
      <c r="H1385" s="34"/>
      <c r="I1385" s="34"/>
      <c r="J1385" s="28" t="str">
        <f>IFERROR(__xludf.DUMMYFUNCTION("iferror(if(I1385="""","""",unique(query('tbl driver 2'!$K$2:$L1508,""SELECT L WHERE K = '""&amp;I1385&amp;""'""))),"""")"),"")</f>
        <v/>
      </c>
      <c r="K1385" s="31"/>
      <c r="L1385" s="39"/>
      <c r="M1385" s="39"/>
      <c r="N1385" s="28" t="str">
        <f>IFERROR(__xludf.DUMMYFUNCTION("IF(OR(C1385="""",M1385=""""),"""",IFERROR(IF(M1385="""","""",query('tbl user'!$A$2:$D1508,""SELECT A WHERE D = '""&amp;M1385&amp;""'"")),""USER TIDAK DIKETAHUI""))"),"")</f>
        <v/>
      </c>
    </row>
    <row r="1386">
      <c r="A1386" s="23"/>
      <c r="B1386" s="24" t="str">
        <f t="shared" si="4"/>
        <v/>
      </c>
      <c r="C1386" s="28"/>
      <c r="D1386" s="28"/>
      <c r="E1386" s="34"/>
      <c r="F1386" s="34"/>
      <c r="G1386" s="34"/>
      <c r="H1386" s="34"/>
      <c r="I1386" s="34"/>
      <c r="J1386" s="28" t="str">
        <f>IFERROR(__xludf.DUMMYFUNCTION("iferror(if(I1386="""","""",unique(query('tbl driver 2'!$K$2:$L1508,""SELECT L WHERE K = '""&amp;I1386&amp;""'""))),"""")"),"")</f>
        <v/>
      </c>
      <c r="K1386" s="31"/>
      <c r="L1386" s="39"/>
      <c r="M1386" s="39"/>
      <c r="N1386" s="28" t="str">
        <f>IFERROR(__xludf.DUMMYFUNCTION("IF(OR(C1386="""",M1386=""""),"""",IFERROR(IF(M1386="""","""",query('tbl user'!$A$2:$D1508,""SELECT A WHERE D = '""&amp;M1386&amp;""'"")),""USER TIDAK DIKETAHUI""))"),"")</f>
        <v/>
      </c>
    </row>
    <row r="1387">
      <c r="A1387" s="23"/>
      <c r="B1387" s="24" t="str">
        <f t="shared" si="4"/>
        <v/>
      </c>
      <c r="C1387" s="28"/>
      <c r="D1387" s="28"/>
      <c r="E1387" s="34"/>
      <c r="F1387" s="34"/>
      <c r="G1387" s="34"/>
      <c r="H1387" s="34"/>
      <c r="I1387" s="34"/>
      <c r="J1387" s="28" t="str">
        <f>IFERROR(__xludf.DUMMYFUNCTION("iferror(if(I1387="""","""",unique(query('tbl driver 2'!$K$2:$L1508,""SELECT L WHERE K = '""&amp;I1387&amp;""'""))),"""")"),"")</f>
        <v/>
      </c>
      <c r="K1387" s="31"/>
      <c r="L1387" s="39"/>
      <c r="M1387" s="39"/>
      <c r="N1387" s="28" t="str">
        <f>IFERROR(__xludf.DUMMYFUNCTION("IF(OR(C1387="""",M1387=""""),"""",IFERROR(IF(M1387="""","""",query('tbl user'!$A$2:$D1508,""SELECT A WHERE D = '""&amp;M1387&amp;""'"")),""USER TIDAK DIKETAHUI""))"),"")</f>
        <v/>
      </c>
    </row>
    <row r="1388">
      <c r="A1388" s="23"/>
      <c r="B1388" s="24" t="str">
        <f t="shared" si="4"/>
        <v/>
      </c>
      <c r="C1388" s="28"/>
      <c r="D1388" s="28"/>
      <c r="E1388" s="34"/>
      <c r="F1388" s="34"/>
      <c r="G1388" s="34"/>
      <c r="H1388" s="34"/>
      <c r="I1388" s="34"/>
      <c r="J1388" s="28" t="str">
        <f>IFERROR(__xludf.DUMMYFUNCTION("iferror(if(I1388="""","""",unique(query('tbl driver 2'!$K$2:$L1508,""SELECT L WHERE K = '""&amp;I1388&amp;""'""))),"""")"),"")</f>
        <v/>
      </c>
      <c r="K1388" s="31"/>
      <c r="L1388" s="39"/>
      <c r="M1388" s="39"/>
      <c r="N1388" s="28" t="str">
        <f>IFERROR(__xludf.DUMMYFUNCTION("IF(OR(C1388="""",M1388=""""),"""",IFERROR(IF(M1388="""","""",query('tbl user'!$A$2:$D1508,""SELECT A WHERE D = '""&amp;M1388&amp;""'"")),""USER TIDAK DIKETAHUI""))"),"")</f>
        <v/>
      </c>
    </row>
    <row r="1389">
      <c r="A1389" s="23"/>
      <c r="B1389" s="24" t="str">
        <f t="shared" si="4"/>
        <v/>
      </c>
      <c r="C1389" s="28"/>
      <c r="D1389" s="28"/>
      <c r="E1389" s="34"/>
      <c r="F1389" s="34"/>
      <c r="G1389" s="34"/>
      <c r="H1389" s="34"/>
      <c r="I1389" s="34"/>
      <c r="J1389" s="28" t="str">
        <f>IFERROR(__xludf.DUMMYFUNCTION("iferror(if(I1389="""","""",unique(query('tbl driver 2'!$K$2:$L1508,""SELECT L WHERE K = '""&amp;I1389&amp;""'""))),"""")"),"")</f>
        <v/>
      </c>
      <c r="K1389" s="31"/>
      <c r="L1389" s="39"/>
      <c r="M1389" s="39"/>
      <c r="N1389" s="28" t="str">
        <f>IFERROR(__xludf.DUMMYFUNCTION("IF(OR(C1389="""",M1389=""""),"""",IFERROR(IF(M1389="""","""",query('tbl user'!$A$2:$D1508,""SELECT A WHERE D = '""&amp;M1389&amp;""'"")),""USER TIDAK DIKETAHUI""))"),"")</f>
        <v/>
      </c>
    </row>
    <row r="1390">
      <c r="A1390" s="23"/>
      <c r="B1390" s="24" t="str">
        <f t="shared" si="4"/>
        <v/>
      </c>
      <c r="C1390" s="28"/>
      <c r="D1390" s="28"/>
      <c r="E1390" s="34"/>
      <c r="F1390" s="34"/>
      <c r="G1390" s="34"/>
      <c r="H1390" s="34"/>
      <c r="I1390" s="34"/>
      <c r="J1390" s="28" t="str">
        <f>IFERROR(__xludf.DUMMYFUNCTION("iferror(if(I1390="""","""",unique(query('tbl driver 2'!$K$2:$L1508,""SELECT L WHERE K = '""&amp;I1390&amp;""'""))),"""")"),"")</f>
        <v/>
      </c>
      <c r="K1390" s="31"/>
      <c r="L1390" s="39"/>
      <c r="M1390" s="39"/>
      <c r="N1390" s="28" t="str">
        <f>IFERROR(__xludf.DUMMYFUNCTION("IF(OR(C1390="""",M1390=""""),"""",IFERROR(IF(M1390="""","""",query('tbl user'!$A$2:$D1508,""SELECT A WHERE D = '""&amp;M1390&amp;""'"")),""USER TIDAK DIKETAHUI""))"),"")</f>
        <v/>
      </c>
    </row>
    <row r="1391">
      <c r="A1391" s="23"/>
      <c r="B1391" s="24" t="str">
        <f t="shared" si="4"/>
        <v/>
      </c>
      <c r="C1391" s="28"/>
      <c r="D1391" s="28"/>
      <c r="E1391" s="34"/>
      <c r="F1391" s="34"/>
      <c r="G1391" s="34"/>
      <c r="H1391" s="34"/>
      <c r="I1391" s="34"/>
      <c r="J1391" s="28" t="str">
        <f>IFERROR(__xludf.DUMMYFUNCTION("iferror(if(I1391="""","""",unique(query('tbl driver 2'!$K$2:$L1508,""SELECT L WHERE K = '""&amp;I1391&amp;""'""))),"""")"),"")</f>
        <v/>
      </c>
      <c r="K1391" s="31"/>
      <c r="L1391" s="39"/>
      <c r="M1391" s="39"/>
      <c r="N1391" s="28" t="str">
        <f>IFERROR(__xludf.DUMMYFUNCTION("IF(OR(C1391="""",M1391=""""),"""",IFERROR(IF(M1391="""","""",query('tbl user'!$A$2:$D1508,""SELECT A WHERE D = '""&amp;M1391&amp;""'"")),""USER TIDAK DIKETAHUI""))"),"")</f>
        <v/>
      </c>
    </row>
    <row r="1392">
      <c r="A1392" s="23"/>
      <c r="B1392" s="24" t="str">
        <f t="shared" si="4"/>
        <v/>
      </c>
      <c r="C1392" s="28"/>
      <c r="D1392" s="28"/>
      <c r="E1392" s="34"/>
      <c r="F1392" s="34"/>
      <c r="G1392" s="34"/>
      <c r="H1392" s="34"/>
      <c r="I1392" s="34"/>
      <c r="J1392" s="28" t="str">
        <f>IFERROR(__xludf.DUMMYFUNCTION("iferror(if(I1392="""","""",unique(query('tbl driver 2'!$K$2:$L1508,""SELECT L WHERE K = '""&amp;I1392&amp;""'""))),"""")"),"")</f>
        <v/>
      </c>
      <c r="K1392" s="31"/>
      <c r="L1392" s="39"/>
      <c r="M1392" s="39"/>
      <c r="N1392" s="28" t="str">
        <f>IFERROR(__xludf.DUMMYFUNCTION("IF(OR(C1392="""",M1392=""""),"""",IFERROR(IF(M1392="""","""",query('tbl user'!$A$2:$D1508,""SELECT A WHERE D = '""&amp;M1392&amp;""'"")),""USER TIDAK DIKETAHUI""))"),"")</f>
        <v/>
      </c>
    </row>
    <row r="1393">
      <c r="A1393" s="23"/>
      <c r="B1393" s="24" t="str">
        <f t="shared" si="4"/>
        <v/>
      </c>
      <c r="C1393" s="28"/>
      <c r="D1393" s="28"/>
      <c r="E1393" s="34"/>
      <c r="F1393" s="34"/>
      <c r="G1393" s="34"/>
      <c r="H1393" s="34"/>
      <c r="I1393" s="34"/>
      <c r="J1393" s="28" t="str">
        <f>IFERROR(__xludf.DUMMYFUNCTION("iferror(if(I1393="""","""",unique(query('tbl driver 2'!$K$2:$L1508,""SELECT L WHERE K = '""&amp;I1393&amp;""'""))),"""")"),"")</f>
        <v/>
      </c>
      <c r="K1393" s="31"/>
      <c r="L1393" s="39"/>
      <c r="M1393" s="39"/>
      <c r="N1393" s="28" t="str">
        <f>IFERROR(__xludf.DUMMYFUNCTION("IF(OR(C1393="""",M1393=""""),"""",IFERROR(IF(M1393="""","""",query('tbl user'!$A$2:$D1508,""SELECT A WHERE D = '""&amp;M1393&amp;""'"")),""USER TIDAK DIKETAHUI""))"),"")</f>
        <v/>
      </c>
    </row>
    <row r="1394">
      <c r="A1394" s="23"/>
      <c r="B1394" s="24" t="str">
        <f t="shared" si="4"/>
        <v/>
      </c>
      <c r="C1394" s="28"/>
      <c r="D1394" s="28"/>
      <c r="E1394" s="34"/>
      <c r="F1394" s="34"/>
      <c r="G1394" s="34"/>
      <c r="H1394" s="34"/>
      <c r="I1394" s="34"/>
      <c r="J1394" s="28" t="str">
        <f>IFERROR(__xludf.DUMMYFUNCTION("iferror(if(I1394="""","""",unique(query('tbl driver 2'!$K$2:$L1508,""SELECT L WHERE K = '""&amp;I1394&amp;""'""))),"""")"),"")</f>
        <v/>
      </c>
      <c r="K1394" s="31"/>
      <c r="L1394" s="39"/>
      <c r="M1394" s="39"/>
      <c r="N1394" s="28" t="str">
        <f>IFERROR(__xludf.DUMMYFUNCTION("IF(OR(C1394="""",M1394=""""),"""",IFERROR(IF(M1394="""","""",query('tbl user'!$A$2:$D1508,""SELECT A WHERE D = '""&amp;M1394&amp;""'"")),""USER TIDAK DIKETAHUI""))"),"")</f>
        <v/>
      </c>
    </row>
    <row r="1395">
      <c r="A1395" s="23"/>
      <c r="B1395" s="24" t="str">
        <f t="shared" si="4"/>
        <v/>
      </c>
      <c r="C1395" s="28"/>
      <c r="D1395" s="28"/>
      <c r="E1395" s="34"/>
      <c r="F1395" s="34"/>
      <c r="G1395" s="34"/>
      <c r="H1395" s="34"/>
      <c r="I1395" s="34"/>
      <c r="J1395" s="28" t="str">
        <f>IFERROR(__xludf.DUMMYFUNCTION("iferror(if(I1395="""","""",unique(query('tbl driver 2'!$K$2:$L1508,""SELECT L WHERE K = '""&amp;I1395&amp;""'""))),"""")"),"")</f>
        <v/>
      </c>
      <c r="K1395" s="31"/>
      <c r="L1395" s="39"/>
      <c r="M1395" s="39"/>
      <c r="N1395" s="28" t="str">
        <f>IFERROR(__xludf.DUMMYFUNCTION("IF(OR(C1395="""",M1395=""""),"""",IFERROR(IF(M1395="""","""",query('tbl user'!$A$2:$D1508,""SELECT A WHERE D = '""&amp;M1395&amp;""'"")),""USER TIDAK DIKETAHUI""))"),"")</f>
        <v/>
      </c>
    </row>
    <row r="1396">
      <c r="A1396" s="23"/>
      <c r="B1396" s="24" t="str">
        <f t="shared" si="4"/>
        <v/>
      </c>
      <c r="C1396" s="28"/>
      <c r="D1396" s="28"/>
      <c r="E1396" s="34"/>
      <c r="F1396" s="34"/>
      <c r="G1396" s="34"/>
      <c r="H1396" s="34"/>
      <c r="I1396" s="34"/>
      <c r="J1396" s="28" t="str">
        <f>IFERROR(__xludf.DUMMYFUNCTION("iferror(if(I1396="""","""",unique(query('tbl driver 2'!$K$2:$L1508,""SELECT L WHERE K = '""&amp;I1396&amp;""'""))),"""")"),"")</f>
        <v/>
      </c>
      <c r="K1396" s="31"/>
      <c r="L1396" s="39"/>
      <c r="M1396" s="39"/>
      <c r="N1396" s="28" t="str">
        <f>IFERROR(__xludf.DUMMYFUNCTION("IF(OR(C1396="""",M1396=""""),"""",IFERROR(IF(M1396="""","""",query('tbl user'!$A$2:$D1508,""SELECT A WHERE D = '""&amp;M1396&amp;""'"")),""USER TIDAK DIKETAHUI""))"),"")</f>
        <v/>
      </c>
    </row>
    <row r="1397">
      <c r="A1397" s="23"/>
      <c r="B1397" s="24" t="str">
        <f t="shared" si="4"/>
        <v/>
      </c>
      <c r="C1397" s="28"/>
      <c r="D1397" s="28"/>
      <c r="E1397" s="34"/>
      <c r="F1397" s="34"/>
      <c r="G1397" s="34"/>
      <c r="H1397" s="34"/>
      <c r="I1397" s="34"/>
      <c r="J1397" s="28" t="str">
        <f>IFERROR(__xludf.DUMMYFUNCTION("iferror(if(I1397="""","""",unique(query('tbl driver 2'!$K$2:$L1508,""SELECT L WHERE K = '""&amp;I1397&amp;""'""))),"""")"),"")</f>
        <v/>
      </c>
      <c r="K1397" s="31"/>
      <c r="L1397" s="39"/>
      <c r="M1397" s="39"/>
      <c r="N1397" s="28" t="str">
        <f>IFERROR(__xludf.DUMMYFUNCTION("IF(OR(C1397="""",M1397=""""),"""",IFERROR(IF(M1397="""","""",query('tbl user'!$A$2:$D1508,""SELECT A WHERE D = '""&amp;M1397&amp;""'"")),""USER TIDAK DIKETAHUI""))"),"")</f>
        <v/>
      </c>
    </row>
    <row r="1398">
      <c r="A1398" s="23"/>
      <c r="B1398" s="24" t="str">
        <f t="shared" si="4"/>
        <v/>
      </c>
      <c r="C1398" s="28"/>
      <c r="D1398" s="28"/>
      <c r="E1398" s="34"/>
      <c r="F1398" s="34"/>
      <c r="G1398" s="34"/>
      <c r="H1398" s="34"/>
      <c r="I1398" s="34"/>
      <c r="J1398" s="28" t="str">
        <f>IFERROR(__xludf.DUMMYFUNCTION("iferror(if(I1398="""","""",unique(query('tbl driver 2'!$K$2:$L1508,""SELECT L WHERE K = '""&amp;I1398&amp;""'""))),"""")"),"")</f>
        <v/>
      </c>
      <c r="K1398" s="31"/>
      <c r="L1398" s="39"/>
      <c r="M1398" s="39"/>
      <c r="N1398" s="28" t="str">
        <f>IFERROR(__xludf.DUMMYFUNCTION("IF(OR(C1398="""",M1398=""""),"""",IFERROR(IF(M1398="""","""",query('tbl user'!$A$2:$D1508,""SELECT A WHERE D = '""&amp;M1398&amp;""'"")),""USER TIDAK DIKETAHUI""))"),"")</f>
        <v/>
      </c>
    </row>
    <row r="1399">
      <c r="A1399" s="23"/>
      <c r="B1399" s="24" t="str">
        <f t="shared" si="4"/>
        <v/>
      </c>
      <c r="C1399" s="28"/>
      <c r="D1399" s="28"/>
      <c r="E1399" s="34"/>
      <c r="F1399" s="34"/>
      <c r="G1399" s="34"/>
      <c r="H1399" s="34"/>
      <c r="I1399" s="34"/>
      <c r="J1399" s="28" t="str">
        <f>IFERROR(__xludf.DUMMYFUNCTION("iferror(if(I1399="""","""",unique(query('tbl driver 2'!$K$2:$L1508,""SELECT L WHERE K = '""&amp;I1399&amp;""'""))),"""")"),"")</f>
        <v/>
      </c>
      <c r="K1399" s="31"/>
      <c r="L1399" s="39"/>
      <c r="M1399" s="39"/>
      <c r="N1399" s="28" t="str">
        <f>IFERROR(__xludf.DUMMYFUNCTION("IF(OR(C1399="""",M1399=""""),"""",IFERROR(IF(M1399="""","""",query('tbl user'!$A$2:$D1508,""SELECT A WHERE D = '""&amp;M1399&amp;""'"")),""USER TIDAK DIKETAHUI""))"),"")</f>
        <v/>
      </c>
    </row>
    <row r="1400">
      <c r="A1400" s="23"/>
      <c r="B1400" s="24" t="str">
        <f t="shared" si="4"/>
        <v/>
      </c>
      <c r="C1400" s="28"/>
      <c r="D1400" s="28"/>
      <c r="E1400" s="34"/>
      <c r="F1400" s="34"/>
      <c r="G1400" s="34"/>
      <c r="H1400" s="34"/>
      <c r="I1400" s="34"/>
      <c r="J1400" s="28" t="str">
        <f>IFERROR(__xludf.DUMMYFUNCTION("iferror(if(I1400="""","""",unique(query('tbl driver 2'!$K$2:$L1508,""SELECT L WHERE K = '""&amp;I1400&amp;""'""))),"""")"),"")</f>
        <v/>
      </c>
      <c r="K1400" s="31"/>
      <c r="L1400" s="39"/>
      <c r="M1400" s="39"/>
      <c r="N1400" s="28" t="str">
        <f>IFERROR(__xludf.DUMMYFUNCTION("IF(OR(C1400="""",M1400=""""),"""",IFERROR(IF(M1400="""","""",query('tbl user'!$A$2:$D1508,""SELECT A WHERE D = '""&amp;M1400&amp;""'"")),""USER TIDAK DIKETAHUI""))"),"")</f>
        <v/>
      </c>
    </row>
    <row r="1401">
      <c r="A1401" s="23"/>
      <c r="B1401" s="24" t="str">
        <f t="shared" si="4"/>
        <v/>
      </c>
      <c r="C1401" s="28"/>
      <c r="D1401" s="28"/>
      <c r="E1401" s="34"/>
      <c r="F1401" s="34"/>
      <c r="G1401" s="34"/>
      <c r="H1401" s="34"/>
      <c r="I1401" s="34"/>
      <c r="J1401" s="28" t="str">
        <f>IFERROR(__xludf.DUMMYFUNCTION("iferror(if(I1401="""","""",unique(query('tbl driver 2'!$K$2:$L1508,""SELECT L WHERE K = '""&amp;I1401&amp;""'""))),"""")"),"")</f>
        <v/>
      </c>
      <c r="K1401" s="31"/>
      <c r="L1401" s="39"/>
      <c r="M1401" s="39"/>
      <c r="N1401" s="28" t="str">
        <f>IFERROR(__xludf.DUMMYFUNCTION("IF(OR(C1401="""",M1401=""""),"""",IFERROR(IF(M1401="""","""",query('tbl user'!$A$2:$D1508,""SELECT A WHERE D = '""&amp;M1401&amp;""'"")),""USER TIDAK DIKETAHUI""))"),"")</f>
        <v/>
      </c>
    </row>
    <row r="1402">
      <c r="A1402" s="23"/>
      <c r="B1402" s="24" t="str">
        <f t="shared" si="4"/>
        <v/>
      </c>
      <c r="C1402" s="28"/>
      <c r="D1402" s="28"/>
      <c r="E1402" s="34"/>
      <c r="F1402" s="34"/>
      <c r="G1402" s="34"/>
      <c r="H1402" s="34"/>
      <c r="I1402" s="34"/>
      <c r="J1402" s="28" t="str">
        <f>IFERROR(__xludf.DUMMYFUNCTION("iferror(if(I1402="""","""",unique(query('tbl driver 2'!$K$2:$L1508,""SELECT L WHERE K = '""&amp;I1402&amp;""'""))),"""")"),"")</f>
        <v/>
      </c>
      <c r="K1402" s="31"/>
      <c r="L1402" s="39"/>
      <c r="M1402" s="39"/>
      <c r="N1402" s="28" t="str">
        <f>IFERROR(__xludf.DUMMYFUNCTION("IF(OR(C1402="""",M1402=""""),"""",IFERROR(IF(M1402="""","""",query('tbl user'!$A$2:$D1508,""SELECT A WHERE D = '""&amp;M1402&amp;""'"")),""USER TIDAK DIKETAHUI""))"),"")</f>
        <v/>
      </c>
    </row>
    <row r="1403">
      <c r="A1403" s="23"/>
      <c r="B1403" s="24" t="str">
        <f t="shared" si="4"/>
        <v/>
      </c>
      <c r="C1403" s="28"/>
      <c r="D1403" s="28"/>
      <c r="E1403" s="34"/>
      <c r="F1403" s="34"/>
      <c r="G1403" s="34"/>
      <c r="H1403" s="34"/>
      <c r="I1403" s="34"/>
      <c r="J1403" s="28" t="str">
        <f>IFERROR(__xludf.DUMMYFUNCTION("iferror(if(I1403="""","""",unique(query('tbl driver 2'!$K$2:$L1508,""SELECT L WHERE K = '""&amp;I1403&amp;""'""))),"""")"),"")</f>
        <v/>
      </c>
      <c r="K1403" s="31"/>
      <c r="L1403" s="39"/>
      <c r="M1403" s="39"/>
      <c r="N1403" s="28" t="str">
        <f>IFERROR(__xludf.DUMMYFUNCTION("IF(OR(C1403="""",M1403=""""),"""",IFERROR(IF(M1403="""","""",query('tbl user'!$A$2:$D1508,""SELECT A WHERE D = '""&amp;M1403&amp;""'"")),""USER TIDAK DIKETAHUI""))"),"")</f>
        <v/>
      </c>
    </row>
    <row r="1404">
      <c r="A1404" s="23"/>
      <c r="B1404" s="24" t="str">
        <f t="shared" si="4"/>
        <v/>
      </c>
      <c r="C1404" s="28"/>
      <c r="D1404" s="28"/>
      <c r="E1404" s="34"/>
      <c r="F1404" s="34"/>
      <c r="G1404" s="34"/>
      <c r="H1404" s="34"/>
      <c r="I1404" s="34"/>
      <c r="J1404" s="28" t="str">
        <f>IFERROR(__xludf.DUMMYFUNCTION("iferror(if(I1404="""","""",unique(query('tbl driver 2'!$K$2:$L1508,""SELECT L WHERE K = '""&amp;I1404&amp;""'""))),"""")"),"")</f>
        <v/>
      </c>
      <c r="K1404" s="31"/>
      <c r="L1404" s="39"/>
      <c r="M1404" s="39"/>
      <c r="N1404" s="28" t="str">
        <f>IFERROR(__xludf.DUMMYFUNCTION("IF(OR(C1404="""",M1404=""""),"""",IFERROR(IF(M1404="""","""",query('tbl user'!$A$2:$D1508,""SELECT A WHERE D = '""&amp;M1404&amp;""'"")),""USER TIDAK DIKETAHUI""))"),"")</f>
        <v/>
      </c>
    </row>
    <row r="1405">
      <c r="A1405" s="23"/>
      <c r="B1405" s="24" t="str">
        <f t="shared" si="4"/>
        <v/>
      </c>
      <c r="C1405" s="28"/>
      <c r="D1405" s="28"/>
      <c r="E1405" s="34"/>
      <c r="F1405" s="34"/>
      <c r="G1405" s="34"/>
      <c r="H1405" s="34"/>
      <c r="I1405" s="34"/>
      <c r="J1405" s="28" t="str">
        <f>IFERROR(__xludf.DUMMYFUNCTION("iferror(if(I1405="""","""",unique(query('tbl driver 2'!$K$2:$L1508,""SELECT L WHERE K = '""&amp;I1405&amp;""'""))),"""")"),"")</f>
        <v/>
      </c>
      <c r="K1405" s="31"/>
      <c r="L1405" s="39"/>
      <c r="M1405" s="39"/>
      <c r="N1405" s="28" t="str">
        <f>IFERROR(__xludf.DUMMYFUNCTION("IF(OR(C1405="""",M1405=""""),"""",IFERROR(IF(M1405="""","""",query('tbl user'!$A$2:$D1508,""SELECT A WHERE D = '""&amp;M1405&amp;""'"")),""USER TIDAK DIKETAHUI""))"),"")</f>
        <v/>
      </c>
    </row>
    <row r="1406">
      <c r="A1406" s="23"/>
      <c r="B1406" s="24" t="str">
        <f t="shared" si="4"/>
        <v/>
      </c>
      <c r="C1406" s="28"/>
      <c r="D1406" s="28"/>
      <c r="E1406" s="34"/>
      <c r="F1406" s="34"/>
      <c r="G1406" s="34"/>
      <c r="H1406" s="34"/>
      <c r="I1406" s="34"/>
      <c r="J1406" s="28" t="str">
        <f>IFERROR(__xludf.DUMMYFUNCTION("iferror(if(I1406="""","""",unique(query('tbl driver 2'!$K$2:$L1508,""SELECT L WHERE K = '""&amp;I1406&amp;""'""))),"""")"),"")</f>
        <v/>
      </c>
      <c r="K1406" s="31"/>
      <c r="L1406" s="39"/>
      <c r="M1406" s="39"/>
      <c r="N1406" s="28" t="str">
        <f>IFERROR(__xludf.DUMMYFUNCTION("IF(OR(C1406="""",M1406=""""),"""",IFERROR(IF(M1406="""","""",query('tbl user'!$A$2:$D1508,""SELECT A WHERE D = '""&amp;M1406&amp;""'"")),""USER TIDAK DIKETAHUI""))"),"")</f>
        <v/>
      </c>
    </row>
    <row r="1407">
      <c r="A1407" s="23"/>
      <c r="B1407" s="24" t="str">
        <f t="shared" si="4"/>
        <v/>
      </c>
      <c r="C1407" s="28"/>
      <c r="D1407" s="28"/>
      <c r="E1407" s="34"/>
      <c r="F1407" s="34"/>
      <c r="G1407" s="34"/>
      <c r="H1407" s="34"/>
      <c r="I1407" s="34"/>
      <c r="J1407" s="28" t="str">
        <f>IFERROR(__xludf.DUMMYFUNCTION("iferror(if(I1407="""","""",unique(query('tbl driver 2'!$K$2:$L1508,""SELECT L WHERE K = '""&amp;I1407&amp;""'""))),"""")"),"")</f>
        <v/>
      </c>
      <c r="K1407" s="31"/>
      <c r="L1407" s="39"/>
      <c r="M1407" s="39"/>
      <c r="N1407" s="28" t="str">
        <f>IFERROR(__xludf.DUMMYFUNCTION("IF(OR(C1407="""",M1407=""""),"""",IFERROR(IF(M1407="""","""",query('tbl user'!$A$2:$D1508,""SELECT A WHERE D = '""&amp;M1407&amp;""'"")),""USER TIDAK DIKETAHUI""))"),"")</f>
        <v/>
      </c>
    </row>
    <row r="1408">
      <c r="A1408" s="23"/>
      <c r="B1408" s="24" t="str">
        <f t="shared" si="4"/>
        <v/>
      </c>
      <c r="C1408" s="28"/>
      <c r="D1408" s="28"/>
      <c r="E1408" s="34"/>
      <c r="F1408" s="34"/>
      <c r="G1408" s="34"/>
      <c r="H1408" s="34"/>
      <c r="I1408" s="34"/>
      <c r="J1408" s="28" t="str">
        <f>IFERROR(__xludf.DUMMYFUNCTION("iferror(if(I1408="""","""",unique(query('tbl driver 2'!$K$2:$L1508,""SELECT L WHERE K = '""&amp;I1408&amp;""'""))),"""")"),"")</f>
        <v/>
      </c>
      <c r="K1408" s="31"/>
      <c r="L1408" s="39"/>
      <c r="M1408" s="39"/>
      <c r="N1408" s="28" t="str">
        <f>IFERROR(__xludf.DUMMYFUNCTION("IF(OR(C1408="""",M1408=""""),"""",IFERROR(IF(M1408="""","""",query('tbl user'!$A$2:$D1508,""SELECT A WHERE D = '""&amp;M1408&amp;""'"")),""USER TIDAK DIKETAHUI""))"),"")</f>
        <v/>
      </c>
    </row>
    <row r="1409">
      <c r="A1409" s="23"/>
      <c r="B1409" s="24" t="str">
        <f t="shared" si="4"/>
        <v/>
      </c>
      <c r="C1409" s="28"/>
      <c r="D1409" s="28"/>
      <c r="E1409" s="34"/>
      <c r="F1409" s="34"/>
      <c r="G1409" s="34"/>
      <c r="H1409" s="34"/>
      <c r="I1409" s="34"/>
      <c r="J1409" s="28" t="str">
        <f>IFERROR(__xludf.DUMMYFUNCTION("iferror(if(I1409="""","""",unique(query('tbl driver 2'!$K$2:$L1508,""SELECT L WHERE K = '""&amp;I1409&amp;""'""))),"""")"),"")</f>
        <v/>
      </c>
      <c r="K1409" s="31"/>
      <c r="L1409" s="39"/>
      <c r="M1409" s="39"/>
      <c r="N1409" s="28" t="str">
        <f>IFERROR(__xludf.DUMMYFUNCTION("IF(OR(C1409="""",M1409=""""),"""",IFERROR(IF(M1409="""","""",query('tbl user'!$A$2:$D1508,""SELECT A WHERE D = '""&amp;M1409&amp;""'"")),""USER TIDAK DIKETAHUI""))"),"")</f>
        <v/>
      </c>
    </row>
    <row r="1410">
      <c r="A1410" s="23"/>
      <c r="B1410" s="24" t="str">
        <f t="shared" si="4"/>
        <v/>
      </c>
      <c r="C1410" s="28"/>
      <c r="D1410" s="28"/>
      <c r="E1410" s="34"/>
      <c r="F1410" s="34"/>
      <c r="G1410" s="34"/>
      <c r="H1410" s="34"/>
      <c r="I1410" s="34"/>
      <c r="J1410" s="28" t="str">
        <f>IFERROR(__xludf.DUMMYFUNCTION("iferror(if(I1410="""","""",unique(query('tbl driver 2'!$K$2:$L1508,""SELECT L WHERE K = '""&amp;I1410&amp;""'""))),"""")"),"")</f>
        <v/>
      </c>
      <c r="K1410" s="31"/>
      <c r="L1410" s="39"/>
      <c r="M1410" s="39"/>
      <c r="N1410" s="28" t="str">
        <f>IFERROR(__xludf.DUMMYFUNCTION("IF(OR(C1410="""",M1410=""""),"""",IFERROR(IF(M1410="""","""",query('tbl user'!$A$2:$D1508,""SELECT A WHERE D = '""&amp;M1410&amp;""'"")),""USER TIDAK DIKETAHUI""))"),"")</f>
        <v/>
      </c>
    </row>
    <row r="1411">
      <c r="A1411" s="23"/>
      <c r="B1411" s="24" t="str">
        <f t="shared" si="4"/>
        <v/>
      </c>
      <c r="C1411" s="28"/>
      <c r="D1411" s="28"/>
      <c r="E1411" s="34"/>
      <c r="F1411" s="34"/>
      <c r="G1411" s="34"/>
      <c r="H1411" s="34"/>
      <c r="I1411" s="34"/>
      <c r="J1411" s="28" t="str">
        <f>IFERROR(__xludf.DUMMYFUNCTION("iferror(if(I1411="""","""",unique(query('tbl driver 2'!$K$2:$L1508,""SELECT L WHERE K = '""&amp;I1411&amp;""'""))),"""")"),"")</f>
        <v/>
      </c>
      <c r="K1411" s="31"/>
      <c r="L1411" s="39"/>
      <c r="M1411" s="39"/>
      <c r="N1411" s="28" t="str">
        <f>IFERROR(__xludf.DUMMYFUNCTION("IF(OR(C1411="""",M1411=""""),"""",IFERROR(IF(M1411="""","""",query('tbl user'!$A$2:$D1508,""SELECT A WHERE D = '""&amp;M1411&amp;""'"")),""USER TIDAK DIKETAHUI""))"),"")</f>
        <v/>
      </c>
    </row>
    <row r="1412">
      <c r="A1412" s="23"/>
      <c r="B1412" s="24" t="str">
        <f t="shared" si="4"/>
        <v/>
      </c>
      <c r="C1412" s="28"/>
      <c r="D1412" s="28"/>
      <c r="E1412" s="34"/>
      <c r="F1412" s="34"/>
      <c r="G1412" s="34"/>
      <c r="H1412" s="34"/>
      <c r="I1412" s="34"/>
      <c r="J1412" s="28" t="str">
        <f>IFERROR(__xludf.DUMMYFUNCTION("iferror(if(I1412="""","""",unique(query('tbl driver 2'!$K$2:$L1508,""SELECT L WHERE K = '""&amp;I1412&amp;""'""))),"""")"),"")</f>
        <v/>
      </c>
      <c r="K1412" s="31"/>
      <c r="L1412" s="39"/>
      <c r="M1412" s="39"/>
      <c r="N1412" s="28" t="str">
        <f>IFERROR(__xludf.DUMMYFUNCTION("IF(OR(C1412="""",M1412=""""),"""",IFERROR(IF(M1412="""","""",query('tbl user'!$A$2:$D1508,""SELECT A WHERE D = '""&amp;M1412&amp;""'"")),""USER TIDAK DIKETAHUI""))"),"")</f>
        <v/>
      </c>
    </row>
    <row r="1413">
      <c r="A1413" s="23"/>
      <c r="B1413" s="24" t="str">
        <f t="shared" si="4"/>
        <v/>
      </c>
      <c r="C1413" s="28"/>
      <c r="D1413" s="28"/>
      <c r="E1413" s="34"/>
      <c r="F1413" s="34"/>
      <c r="G1413" s="34"/>
      <c r="H1413" s="34"/>
      <c r="I1413" s="34"/>
      <c r="J1413" s="28" t="str">
        <f>IFERROR(__xludf.DUMMYFUNCTION("iferror(if(I1413="""","""",unique(query('tbl driver 2'!$K$2:$L1508,""SELECT L WHERE K = '""&amp;I1413&amp;""'""))),"""")"),"")</f>
        <v/>
      </c>
      <c r="K1413" s="31"/>
      <c r="L1413" s="39"/>
      <c r="M1413" s="39"/>
      <c r="N1413" s="28" t="str">
        <f>IFERROR(__xludf.DUMMYFUNCTION("IF(OR(C1413="""",M1413=""""),"""",IFERROR(IF(M1413="""","""",query('tbl user'!$A$2:$D1508,""SELECT A WHERE D = '""&amp;M1413&amp;""'"")),""USER TIDAK DIKETAHUI""))"),"")</f>
        <v/>
      </c>
    </row>
    <row r="1414">
      <c r="A1414" s="23"/>
      <c r="B1414" s="24" t="str">
        <f t="shared" si="4"/>
        <v/>
      </c>
      <c r="C1414" s="28"/>
      <c r="D1414" s="28"/>
      <c r="E1414" s="34"/>
      <c r="F1414" s="34"/>
      <c r="G1414" s="34"/>
      <c r="H1414" s="34"/>
      <c r="I1414" s="34"/>
      <c r="J1414" s="28" t="str">
        <f>IFERROR(__xludf.DUMMYFUNCTION("iferror(if(I1414="""","""",unique(query('tbl driver 2'!$K$2:$L1508,""SELECT L WHERE K = '""&amp;I1414&amp;""'""))),"""")"),"")</f>
        <v/>
      </c>
      <c r="K1414" s="31"/>
      <c r="L1414" s="39"/>
      <c r="M1414" s="39"/>
      <c r="N1414" s="28" t="str">
        <f>IFERROR(__xludf.DUMMYFUNCTION("IF(OR(C1414="""",M1414=""""),"""",IFERROR(IF(M1414="""","""",query('tbl user'!$A$2:$D1508,""SELECT A WHERE D = '""&amp;M1414&amp;""'"")),""USER TIDAK DIKETAHUI""))"),"")</f>
        <v/>
      </c>
    </row>
    <row r="1415">
      <c r="A1415" s="23"/>
      <c r="B1415" s="24" t="str">
        <f t="shared" si="4"/>
        <v/>
      </c>
      <c r="C1415" s="28"/>
      <c r="D1415" s="28"/>
      <c r="E1415" s="34"/>
      <c r="F1415" s="34"/>
      <c r="G1415" s="34"/>
      <c r="H1415" s="34"/>
      <c r="I1415" s="34"/>
      <c r="J1415" s="28" t="str">
        <f>IFERROR(__xludf.DUMMYFUNCTION("iferror(if(I1415="""","""",unique(query('tbl driver 2'!$K$2:$L1508,""SELECT L WHERE K = '""&amp;I1415&amp;""'""))),"""")"),"")</f>
        <v/>
      </c>
      <c r="K1415" s="31"/>
      <c r="L1415" s="39"/>
      <c r="M1415" s="39"/>
      <c r="N1415" s="28" t="str">
        <f>IFERROR(__xludf.DUMMYFUNCTION("IF(OR(C1415="""",M1415=""""),"""",IFERROR(IF(M1415="""","""",query('tbl user'!$A$2:$D1508,""SELECT A WHERE D = '""&amp;M1415&amp;""'"")),""USER TIDAK DIKETAHUI""))"),"")</f>
        <v/>
      </c>
    </row>
    <row r="1416">
      <c r="A1416" s="23"/>
      <c r="B1416" s="24" t="str">
        <f t="shared" si="4"/>
        <v/>
      </c>
      <c r="C1416" s="28"/>
      <c r="D1416" s="28"/>
      <c r="E1416" s="34"/>
      <c r="F1416" s="34"/>
      <c r="G1416" s="34"/>
      <c r="H1416" s="34"/>
      <c r="I1416" s="34"/>
      <c r="J1416" s="28" t="str">
        <f>IFERROR(__xludf.DUMMYFUNCTION("iferror(if(I1416="""","""",unique(query('tbl driver 2'!$K$2:$L1508,""SELECT L WHERE K = '""&amp;I1416&amp;""'""))),"""")"),"")</f>
        <v/>
      </c>
      <c r="K1416" s="31"/>
      <c r="L1416" s="39"/>
      <c r="M1416" s="39"/>
      <c r="N1416" s="28" t="str">
        <f>IFERROR(__xludf.DUMMYFUNCTION("IF(OR(C1416="""",M1416=""""),"""",IFERROR(IF(M1416="""","""",query('tbl user'!$A$2:$D1508,""SELECT A WHERE D = '""&amp;M1416&amp;""'"")),""USER TIDAK DIKETAHUI""))"),"")</f>
        <v/>
      </c>
    </row>
    <row r="1417">
      <c r="A1417" s="23"/>
      <c r="B1417" s="24" t="str">
        <f t="shared" si="4"/>
        <v/>
      </c>
      <c r="C1417" s="28"/>
      <c r="D1417" s="28"/>
      <c r="E1417" s="34"/>
      <c r="F1417" s="34"/>
      <c r="G1417" s="34"/>
      <c r="H1417" s="34"/>
      <c r="I1417" s="34"/>
      <c r="J1417" s="28" t="str">
        <f>IFERROR(__xludf.DUMMYFUNCTION("iferror(if(I1417="""","""",unique(query('tbl driver 2'!$K$2:$L1508,""SELECT L WHERE K = '""&amp;I1417&amp;""'""))),"""")"),"")</f>
        <v/>
      </c>
      <c r="K1417" s="31"/>
      <c r="L1417" s="39"/>
      <c r="M1417" s="39"/>
      <c r="N1417" s="28" t="str">
        <f>IFERROR(__xludf.DUMMYFUNCTION("IF(OR(C1417="""",M1417=""""),"""",IFERROR(IF(M1417="""","""",query('tbl user'!$A$2:$D1508,""SELECT A WHERE D = '""&amp;M1417&amp;""'"")),""USER TIDAK DIKETAHUI""))"),"")</f>
        <v/>
      </c>
    </row>
    <row r="1418">
      <c r="A1418" s="23"/>
      <c r="B1418" s="24" t="str">
        <f t="shared" si="4"/>
        <v/>
      </c>
      <c r="C1418" s="28"/>
      <c r="D1418" s="28"/>
      <c r="E1418" s="34"/>
      <c r="F1418" s="34"/>
      <c r="G1418" s="34"/>
      <c r="H1418" s="34"/>
      <c r="I1418" s="34"/>
      <c r="J1418" s="28" t="str">
        <f>IFERROR(__xludf.DUMMYFUNCTION("iferror(if(I1418="""","""",unique(query('tbl driver 2'!$K$2:$L1508,""SELECT L WHERE K = '""&amp;I1418&amp;""'""))),"""")"),"")</f>
        <v/>
      </c>
      <c r="K1418" s="31"/>
      <c r="L1418" s="39"/>
      <c r="M1418" s="39"/>
      <c r="N1418" s="28" t="str">
        <f>IFERROR(__xludf.DUMMYFUNCTION("IF(OR(C1418="""",M1418=""""),"""",IFERROR(IF(M1418="""","""",query('tbl user'!$A$2:$D1508,""SELECT A WHERE D = '""&amp;M1418&amp;""'"")),""USER TIDAK DIKETAHUI""))"),"")</f>
        <v/>
      </c>
    </row>
    <row r="1419">
      <c r="A1419" s="23"/>
      <c r="B1419" s="24" t="str">
        <f t="shared" si="4"/>
        <v/>
      </c>
      <c r="C1419" s="28"/>
      <c r="D1419" s="28"/>
      <c r="E1419" s="34"/>
      <c r="F1419" s="34"/>
      <c r="G1419" s="34"/>
      <c r="H1419" s="34"/>
      <c r="I1419" s="34"/>
      <c r="J1419" s="28" t="str">
        <f>IFERROR(__xludf.DUMMYFUNCTION("iferror(if(I1419="""","""",unique(query('tbl driver 2'!$K$2:$L1508,""SELECT L WHERE K = '""&amp;I1419&amp;""'""))),"""")"),"")</f>
        <v/>
      </c>
      <c r="K1419" s="31"/>
      <c r="L1419" s="39"/>
      <c r="M1419" s="39"/>
      <c r="N1419" s="28" t="str">
        <f>IFERROR(__xludf.DUMMYFUNCTION("IF(OR(C1419="""",M1419=""""),"""",IFERROR(IF(M1419="""","""",query('tbl user'!$A$2:$D1508,""SELECT A WHERE D = '""&amp;M1419&amp;""'"")),""USER TIDAK DIKETAHUI""))"),"")</f>
        <v/>
      </c>
    </row>
    <row r="1420">
      <c r="A1420" s="23"/>
      <c r="B1420" s="24" t="str">
        <f t="shared" si="4"/>
        <v/>
      </c>
      <c r="C1420" s="28"/>
      <c r="D1420" s="28"/>
      <c r="E1420" s="34"/>
      <c r="F1420" s="34"/>
      <c r="G1420" s="34"/>
      <c r="H1420" s="34"/>
      <c r="I1420" s="34"/>
      <c r="J1420" s="28" t="str">
        <f>IFERROR(__xludf.DUMMYFUNCTION("iferror(if(I1420="""","""",unique(query('tbl driver 2'!$K$2:$L1508,""SELECT L WHERE K = '""&amp;I1420&amp;""'""))),"""")"),"")</f>
        <v/>
      </c>
      <c r="K1420" s="31"/>
      <c r="L1420" s="39"/>
      <c r="M1420" s="39"/>
      <c r="N1420" s="28" t="str">
        <f>IFERROR(__xludf.DUMMYFUNCTION("IF(OR(C1420="""",M1420=""""),"""",IFERROR(IF(M1420="""","""",query('tbl user'!$A$2:$D1508,""SELECT A WHERE D = '""&amp;M1420&amp;""'"")),""USER TIDAK DIKETAHUI""))"),"")</f>
        <v/>
      </c>
    </row>
    <row r="1421">
      <c r="A1421" s="23"/>
      <c r="B1421" s="24" t="str">
        <f t="shared" si="4"/>
        <v/>
      </c>
      <c r="C1421" s="28"/>
      <c r="D1421" s="28"/>
      <c r="E1421" s="34"/>
      <c r="F1421" s="34"/>
      <c r="G1421" s="34"/>
      <c r="H1421" s="34"/>
      <c r="I1421" s="34"/>
      <c r="J1421" s="28" t="str">
        <f>IFERROR(__xludf.DUMMYFUNCTION("iferror(if(I1421="""","""",unique(query('tbl driver 2'!$K$2:$L1508,""SELECT L WHERE K = '""&amp;I1421&amp;""'""))),"""")"),"")</f>
        <v/>
      </c>
      <c r="K1421" s="31"/>
      <c r="L1421" s="39"/>
      <c r="M1421" s="39"/>
      <c r="N1421" s="28" t="str">
        <f>IFERROR(__xludf.DUMMYFUNCTION("IF(OR(C1421="""",M1421=""""),"""",IFERROR(IF(M1421="""","""",query('tbl user'!$A$2:$D1508,""SELECT A WHERE D = '""&amp;M1421&amp;""'"")),""USER TIDAK DIKETAHUI""))"),"")</f>
        <v/>
      </c>
    </row>
    <row r="1422">
      <c r="A1422" s="23"/>
      <c r="B1422" s="24" t="str">
        <f t="shared" si="4"/>
        <v/>
      </c>
      <c r="C1422" s="28"/>
      <c r="D1422" s="28"/>
      <c r="E1422" s="34"/>
      <c r="F1422" s="34"/>
      <c r="G1422" s="34"/>
      <c r="H1422" s="34"/>
      <c r="I1422" s="34"/>
      <c r="J1422" s="28" t="str">
        <f>IFERROR(__xludf.DUMMYFUNCTION("iferror(if(I1422="""","""",unique(query('tbl driver 2'!$K$2:$L1508,""SELECT L WHERE K = '""&amp;I1422&amp;""'""))),"""")"),"")</f>
        <v/>
      </c>
      <c r="K1422" s="31"/>
      <c r="L1422" s="39"/>
      <c r="M1422" s="39"/>
      <c r="N1422" s="28" t="str">
        <f>IFERROR(__xludf.DUMMYFUNCTION("IF(OR(C1422="""",M1422=""""),"""",IFERROR(IF(M1422="""","""",query('tbl user'!$A$2:$D1508,""SELECT A WHERE D = '""&amp;M1422&amp;""'"")),""USER TIDAK DIKETAHUI""))"),"")</f>
        <v/>
      </c>
    </row>
    <row r="1423">
      <c r="A1423" s="23"/>
      <c r="B1423" s="24" t="str">
        <f t="shared" si="4"/>
        <v/>
      </c>
      <c r="C1423" s="28"/>
      <c r="D1423" s="28"/>
      <c r="E1423" s="34"/>
      <c r="F1423" s="34"/>
      <c r="G1423" s="34"/>
      <c r="H1423" s="34"/>
      <c r="I1423" s="34"/>
      <c r="J1423" s="28" t="str">
        <f>IFERROR(__xludf.DUMMYFUNCTION("iferror(if(I1423="""","""",unique(query('tbl driver 2'!$K$2:$L1508,""SELECT L WHERE K = '""&amp;I1423&amp;""'""))),"""")"),"")</f>
        <v/>
      </c>
      <c r="K1423" s="31"/>
      <c r="L1423" s="39"/>
      <c r="M1423" s="39"/>
      <c r="N1423" s="28" t="str">
        <f>IFERROR(__xludf.DUMMYFUNCTION("IF(OR(C1423="""",M1423=""""),"""",IFERROR(IF(M1423="""","""",query('tbl user'!$A$2:$D1508,""SELECT A WHERE D = '""&amp;M1423&amp;""'"")),""USER TIDAK DIKETAHUI""))"),"")</f>
        <v/>
      </c>
    </row>
    <row r="1424">
      <c r="A1424" s="23"/>
      <c r="B1424" s="24" t="str">
        <f t="shared" si="4"/>
        <v/>
      </c>
      <c r="C1424" s="28"/>
      <c r="D1424" s="28"/>
      <c r="E1424" s="34"/>
      <c r="F1424" s="34"/>
      <c r="G1424" s="34"/>
      <c r="H1424" s="34"/>
      <c r="I1424" s="34"/>
      <c r="J1424" s="28" t="str">
        <f>IFERROR(__xludf.DUMMYFUNCTION("iferror(if(I1424="""","""",unique(query('tbl driver 2'!$K$2:$L1508,""SELECT L WHERE K = '""&amp;I1424&amp;""'""))),"""")"),"")</f>
        <v/>
      </c>
      <c r="K1424" s="31"/>
      <c r="L1424" s="39"/>
      <c r="M1424" s="39"/>
      <c r="N1424" s="28" t="str">
        <f>IFERROR(__xludf.DUMMYFUNCTION("IF(OR(C1424="""",M1424=""""),"""",IFERROR(IF(M1424="""","""",query('tbl user'!$A$2:$D1508,""SELECT A WHERE D = '""&amp;M1424&amp;""'"")),""USER TIDAK DIKETAHUI""))"),"")</f>
        <v/>
      </c>
    </row>
    <row r="1425">
      <c r="A1425" s="23"/>
      <c r="B1425" s="24" t="str">
        <f t="shared" si="4"/>
        <v/>
      </c>
      <c r="C1425" s="28"/>
      <c r="D1425" s="28"/>
      <c r="E1425" s="34"/>
      <c r="F1425" s="34"/>
      <c r="G1425" s="34"/>
      <c r="H1425" s="34"/>
      <c r="I1425" s="34"/>
      <c r="J1425" s="28" t="str">
        <f>IFERROR(__xludf.DUMMYFUNCTION("iferror(if(I1425="""","""",unique(query('tbl driver 2'!$K$2:$L1508,""SELECT L WHERE K = '""&amp;I1425&amp;""'""))),"""")"),"")</f>
        <v/>
      </c>
      <c r="K1425" s="31"/>
      <c r="L1425" s="39"/>
      <c r="M1425" s="39"/>
      <c r="N1425" s="28" t="str">
        <f>IFERROR(__xludf.DUMMYFUNCTION("IF(OR(C1425="""",M1425=""""),"""",IFERROR(IF(M1425="""","""",query('tbl user'!$A$2:$D1508,""SELECT A WHERE D = '""&amp;M1425&amp;""'"")),""USER TIDAK DIKETAHUI""))"),"")</f>
        <v/>
      </c>
    </row>
    <row r="1426">
      <c r="A1426" s="23"/>
      <c r="B1426" s="24" t="str">
        <f t="shared" si="4"/>
        <v/>
      </c>
      <c r="C1426" s="28"/>
      <c r="D1426" s="28"/>
      <c r="E1426" s="34"/>
      <c r="F1426" s="34"/>
      <c r="G1426" s="34"/>
      <c r="H1426" s="34"/>
      <c r="I1426" s="34"/>
      <c r="J1426" s="28" t="str">
        <f>IFERROR(__xludf.DUMMYFUNCTION("iferror(if(I1426="""","""",unique(query('tbl driver 2'!$K$2:$L1508,""SELECT L WHERE K = '""&amp;I1426&amp;""'""))),"""")"),"")</f>
        <v/>
      </c>
      <c r="K1426" s="31"/>
      <c r="L1426" s="39"/>
      <c r="M1426" s="39"/>
      <c r="N1426" s="28" t="str">
        <f>IFERROR(__xludf.DUMMYFUNCTION("IF(OR(C1426="""",M1426=""""),"""",IFERROR(IF(M1426="""","""",query('tbl user'!$A$2:$D1508,""SELECT A WHERE D = '""&amp;M1426&amp;""'"")),""USER TIDAK DIKETAHUI""))"),"")</f>
        <v/>
      </c>
    </row>
    <row r="1427">
      <c r="A1427" s="23"/>
      <c r="B1427" s="24" t="str">
        <f t="shared" si="4"/>
        <v/>
      </c>
      <c r="C1427" s="28"/>
      <c r="D1427" s="28"/>
      <c r="E1427" s="34"/>
      <c r="F1427" s="34"/>
      <c r="G1427" s="34"/>
      <c r="H1427" s="34"/>
      <c r="I1427" s="34"/>
      <c r="J1427" s="28" t="str">
        <f>IFERROR(__xludf.DUMMYFUNCTION("iferror(if(I1427="""","""",unique(query('tbl driver 2'!$K$2:$L1508,""SELECT L WHERE K = '""&amp;I1427&amp;""'""))),"""")"),"")</f>
        <v/>
      </c>
      <c r="K1427" s="31"/>
      <c r="L1427" s="39"/>
      <c r="M1427" s="39"/>
      <c r="N1427" s="28" t="str">
        <f>IFERROR(__xludf.DUMMYFUNCTION("IF(OR(C1427="""",M1427=""""),"""",IFERROR(IF(M1427="""","""",query('tbl user'!$A$2:$D1508,""SELECT A WHERE D = '""&amp;M1427&amp;""'"")),""USER TIDAK DIKETAHUI""))"),"")</f>
        <v/>
      </c>
    </row>
    <row r="1428">
      <c r="A1428" s="23"/>
      <c r="B1428" s="24" t="str">
        <f t="shared" si="4"/>
        <v/>
      </c>
      <c r="C1428" s="28"/>
      <c r="D1428" s="28"/>
      <c r="E1428" s="34"/>
      <c r="F1428" s="34"/>
      <c r="G1428" s="34"/>
      <c r="H1428" s="34"/>
      <c r="I1428" s="34"/>
      <c r="J1428" s="28" t="str">
        <f>IFERROR(__xludf.DUMMYFUNCTION("iferror(if(I1428="""","""",unique(query('tbl driver 2'!$K$2:$L1508,""SELECT L WHERE K = '""&amp;I1428&amp;""'""))),"""")"),"")</f>
        <v/>
      </c>
      <c r="K1428" s="31"/>
      <c r="L1428" s="39"/>
      <c r="M1428" s="39"/>
      <c r="N1428" s="28" t="str">
        <f>IFERROR(__xludf.DUMMYFUNCTION("IF(OR(C1428="""",M1428=""""),"""",IFERROR(IF(M1428="""","""",query('tbl user'!$A$2:$D1508,""SELECT A WHERE D = '""&amp;M1428&amp;""'"")),""USER TIDAK DIKETAHUI""))"),"")</f>
        <v/>
      </c>
    </row>
    <row r="1429">
      <c r="A1429" s="23"/>
      <c r="B1429" s="24" t="str">
        <f t="shared" si="4"/>
        <v/>
      </c>
      <c r="C1429" s="28"/>
      <c r="D1429" s="28"/>
      <c r="E1429" s="34"/>
      <c r="F1429" s="34"/>
      <c r="G1429" s="34"/>
      <c r="H1429" s="34"/>
      <c r="I1429" s="34"/>
      <c r="J1429" s="28" t="str">
        <f>IFERROR(__xludf.DUMMYFUNCTION("iferror(if(I1429="""","""",unique(query('tbl driver 2'!$K$2:$L1508,""SELECT L WHERE K = '""&amp;I1429&amp;""'""))),"""")"),"")</f>
        <v/>
      </c>
      <c r="K1429" s="31"/>
      <c r="L1429" s="39"/>
      <c r="M1429" s="39"/>
      <c r="N1429" s="28" t="str">
        <f>IFERROR(__xludf.DUMMYFUNCTION("IF(OR(C1429="""",M1429=""""),"""",IFERROR(IF(M1429="""","""",query('tbl user'!$A$2:$D1508,""SELECT A WHERE D = '""&amp;M1429&amp;""'"")),""USER TIDAK DIKETAHUI""))"),"")</f>
        <v/>
      </c>
    </row>
    <row r="1430">
      <c r="A1430" s="23"/>
      <c r="B1430" s="24" t="str">
        <f t="shared" si="4"/>
        <v/>
      </c>
      <c r="C1430" s="28"/>
      <c r="D1430" s="28"/>
      <c r="E1430" s="34"/>
      <c r="F1430" s="34"/>
      <c r="G1430" s="34"/>
      <c r="H1430" s="34"/>
      <c r="I1430" s="34"/>
      <c r="J1430" s="28" t="str">
        <f>IFERROR(__xludf.DUMMYFUNCTION("iferror(if(I1430="""","""",unique(query('tbl driver 2'!$K$2:$L1508,""SELECT L WHERE K = '""&amp;I1430&amp;""'""))),"""")"),"")</f>
        <v/>
      </c>
      <c r="K1430" s="31"/>
      <c r="L1430" s="39"/>
      <c r="M1430" s="39"/>
      <c r="N1430" s="28" t="str">
        <f>IFERROR(__xludf.DUMMYFUNCTION("IF(OR(C1430="""",M1430=""""),"""",IFERROR(IF(M1430="""","""",query('tbl user'!$A$2:$D1508,""SELECT A WHERE D = '""&amp;M1430&amp;""'"")),""USER TIDAK DIKETAHUI""))"),"")</f>
        <v/>
      </c>
    </row>
    <row r="1431">
      <c r="A1431" s="23"/>
      <c r="B1431" s="24" t="str">
        <f t="shared" si="4"/>
        <v/>
      </c>
      <c r="C1431" s="28"/>
      <c r="D1431" s="28"/>
      <c r="E1431" s="34"/>
      <c r="F1431" s="34"/>
      <c r="G1431" s="34"/>
      <c r="H1431" s="34"/>
      <c r="I1431" s="34"/>
      <c r="J1431" s="28" t="str">
        <f>IFERROR(__xludf.DUMMYFUNCTION("iferror(if(I1431="""","""",unique(query('tbl driver 2'!$K$2:$L1508,""SELECT L WHERE K = '""&amp;I1431&amp;""'""))),"""")"),"")</f>
        <v/>
      </c>
      <c r="K1431" s="31"/>
      <c r="L1431" s="39"/>
      <c r="M1431" s="39"/>
      <c r="N1431" s="28" t="str">
        <f>IFERROR(__xludf.DUMMYFUNCTION("IF(OR(C1431="""",M1431=""""),"""",IFERROR(IF(M1431="""","""",query('tbl user'!$A$2:$D1508,""SELECT A WHERE D = '""&amp;M1431&amp;""'"")),""USER TIDAK DIKETAHUI""))"),"")</f>
        <v/>
      </c>
    </row>
    <row r="1432">
      <c r="A1432" s="23"/>
      <c r="B1432" s="24" t="str">
        <f t="shared" si="4"/>
        <v/>
      </c>
      <c r="C1432" s="28"/>
      <c r="D1432" s="28"/>
      <c r="E1432" s="34"/>
      <c r="F1432" s="34"/>
      <c r="G1432" s="34"/>
      <c r="H1432" s="34"/>
      <c r="I1432" s="34"/>
      <c r="J1432" s="28" t="str">
        <f>IFERROR(__xludf.DUMMYFUNCTION("iferror(if(I1432="""","""",unique(query('tbl driver 2'!$K$2:$L1508,""SELECT L WHERE K = '""&amp;I1432&amp;""'""))),"""")"),"")</f>
        <v/>
      </c>
      <c r="K1432" s="31"/>
      <c r="L1432" s="39"/>
      <c r="M1432" s="39"/>
      <c r="N1432" s="28" t="str">
        <f>IFERROR(__xludf.DUMMYFUNCTION("IF(OR(C1432="""",M1432=""""),"""",IFERROR(IF(M1432="""","""",query('tbl user'!$A$2:$D1508,""SELECT A WHERE D = '""&amp;M1432&amp;""'"")),""USER TIDAK DIKETAHUI""))"),"")</f>
        <v/>
      </c>
    </row>
    <row r="1433">
      <c r="A1433" s="23"/>
      <c r="B1433" s="24" t="str">
        <f t="shared" si="4"/>
        <v/>
      </c>
      <c r="C1433" s="28"/>
      <c r="D1433" s="28"/>
      <c r="E1433" s="34"/>
      <c r="F1433" s="34"/>
      <c r="G1433" s="34"/>
      <c r="H1433" s="34"/>
      <c r="I1433" s="34"/>
      <c r="J1433" s="28" t="str">
        <f>IFERROR(__xludf.DUMMYFUNCTION("iferror(if(I1433="""","""",unique(query('tbl driver 2'!$K$2:$L1508,""SELECT L WHERE K = '""&amp;I1433&amp;""'""))),"""")"),"")</f>
        <v/>
      </c>
      <c r="K1433" s="31"/>
      <c r="L1433" s="39"/>
      <c r="M1433" s="39"/>
      <c r="N1433" s="28" t="str">
        <f>IFERROR(__xludf.DUMMYFUNCTION("IF(OR(C1433="""",M1433=""""),"""",IFERROR(IF(M1433="""","""",query('tbl user'!$A$2:$D1508,""SELECT A WHERE D = '""&amp;M1433&amp;""'"")),""USER TIDAK DIKETAHUI""))"),"")</f>
        <v/>
      </c>
    </row>
    <row r="1434">
      <c r="A1434" s="23"/>
      <c r="B1434" s="24" t="str">
        <f t="shared" si="4"/>
        <v/>
      </c>
      <c r="C1434" s="28"/>
      <c r="D1434" s="28"/>
      <c r="E1434" s="34"/>
      <c r="F1434" s="34"/>
      <c r="G1434" s="34"/>
      <c r="H1434" s="34"/>
      <c r="I1434" s="34"/>
      <c r="J1434" s="28" t="str">
        <f>IFERROR(__xludf.DUMMYFUNCTION("iferror(if(I1434="""","""",unique(query('tbl driver 2'!$K$2:$L1508,""SELECT L WHERE K = '""&amp;I1434&amp;""'""))),"""")"),"")</f>
        <v/>
      </c>
      <c r="K1434" s="31"/>
      <c r="L1434" s="39"/>
      <c r="M1434" s="39"/>
      <c r="N1434" s="28" t="str">
        <f>IFERROR(__xludf.DUMMYFUNCTION("IF(OR(C1434="""",M1434=""""),"""",IFERROR(IF(M1434="""","""",query('tbl user'!$A$2:$D1508,""SELECT A WHERE D = '""&amp;M1434&amp;""'"")),""USER TIDAK DIKETAHUI""))"),"")</f>
        <v/>
      </c>
    </row>
    <row r="1435">
      <c r="A1435" s="23"/>
      <c r="B1435" s="24" t="str">
        <f t="shared" si="4"/>
        <v/>
      </c>
      <c r="C1435" s="28"/>
      <c r="D1435" s="28"/>
      <c r="E1435" s="34"/>
      <c r="F1435" s="34"/>
      <c r="G1435" s="34"/>
      <c r="H1435" s="34"/>
      <c r="I1435" s="34"/>
      <c r="J1435" s="28" t="str">
        <f>IFERROR(__xludf.DUMMYFUNCTION("iferror(if(I1435="""","""",unique(query('tbl driver 2'!$K$2:$L1508,""SELECT L WHERE K = '""&amp;I1435&amp;""'""))),"""")"),"")</f>
        <v/>
      </c>
      <c r="K1435" s="31"/>
      <c r="L1435" s="39"/>
      <c r="M1435" s="39"/>
      <c r="N1435" s="28" t="str">
        <f>IFERROR(__xludf.DUMMYFUNCTION("IF(OR(C1435="""",M1435=""""),"""",IFERROR(IF(M1435="""","""",query('tbl user'!$A$2:$D1508,""SELECT A WHERE D = '""&amp;M1435&amp;""'"")),""USER TIDAK DIKETAHUI""))"),"")</f>
        <v/>
      </c>
    </row>
    <row r="1436">
      <c r="A1436" s="23"/>
      <c r="B1436" s="24" t="str">
        <f t="shared" si="4"/>
        <v/>
      </c>
      <c r="C1436" s="28"/>
      <c r="D1436" s="28"/>
      <c r="E1436" s="34"/>
      <c r="F1436" s="34"/>
      <c r="G1436" s="34"/>
      <c r="H1436" s="34"/>
      <c r="I1436" s="34"/>
      <c r="J1436" s="28" t="str">
        <f>IFERROR(__xludf.DUMMYFUNCTION("iferror(if(I1436="""","""",unique(query('tbl driver 2'!$K$2:$L1508,""SELECT L WHERE K = '""&amp;I1436&amp;""'""))),"""")"),"")</f>
        <v/>
      </c>
      <c r="K1436" s="31"/>
      <c r="L1436" s="39"/>
      <c r="M1436" s="39"/>
      <c r="N1436" s="28" t="str">
        <f>IFERROR(__xludf.DUMMYFUNCTION("IF(OR(C1436="""",M1436=""""),"""",IFERROR(IF(M1436="""","""",query('tbl user'!$A$2:$D1508,""SELECT A WHERE D = '""&amp;M1436&amp;""'"")),""USER TIDAK DIKETAHUI""))"),"")</f>
        <v/>
      </c>
    </row>
    <row r="1437">
      <c r="A1437" s="23"/>
      <c r="B1437" s="24" t="str">
        <f t="shared" si="4"/>
        <v/>
      </c>
      <c r="C1437" s="28"/>
      <c r="D1437" s="28"/>
      <c r="E1437" s="34"/>
      <c r="F1437" s="34"/>
      <c r="G1437" s="34"/>
      <c r="H1437" s="34"/>
      <c r="I1437" s="34"/>
      <c r="J1437" s="28" t="str">
        <f>IFERROR(__xludf.DUMMYFUNCTION("iferror(if(I1437="""","""",unique(query('tbl driver 2'!$K$2:$L1508,""SELECT L WHERE K = '""&amp;I1437&amp;""'""))),"""")"),"")</f>
        <v/>
      </c>
      <c r="K1437" s="31"/>
      <c r="L1437" s="39"/>
      <c r="M1437" s="39"/>
      <c r="N1437" s="28" t="str">
        <f>IFERROR(__xludf.DUMMYFUNCTION("IF(OR(C1437="""",M1437=""""),"""",IFERROR(IF(M1437="""","""",query('tbl user'!$A$2:$D1508,""SELECT A WHERE D = '""&amp;M1437&amp;""'"")),""USER TIDAK DIKETAHUI""))"),"")</f>
        <v/>
      </c>
    </row>
    <row r="1438">
      <c r="A1438" s="23"/>
      <c r="B1438" s="24" t="str">
        <f t="shared" si="4"/>
        <v/>
      </c>
      <c r="C1438" s="28"/>
      <c r="D1438" s="28"/>
      <c r="E1438" s="34"/>
      <c r="F1438" s="34"/>
      <c r="G1438" s="34"/>
      <c r="H1438" s="34"/>
      <c r="I1438" s="34"/>
      <c r="J1438" s="28" t="str">
        <f>IFERROR(__xludf.DUMMYFUNCTION("iferror(if(I1438="""","""",unique(query('tbl driver 2'!$K$2:$L1508,""SELECT L WHERE K = '""&amp;I1438&amp;""'""))),"""")"),"")</f>
        <v/>
      </c>
      <c r="K1438" s="31"/>
      <c r="L1438" s="39"/>
      <c r="M1438" s="39"/>
      <c r="N1438" s="28" t="str">
        <f>IFERROR(__xludf.DUMMYFUNCTION("IF(OR(C1438="""",M1438=""""),"""",IFERROR(IF(M1438="""","""",query('tbl user'!$A$2:$D1508,""SELECT A WHERE D = '""&amp;M1438&amp;""'"")),""USER TIDAK DIKETAHUI""))"),"")</f>
        <v/>
      </c>
    </row>
    <row r="1439">
      <c r="A1439" s="23"/>
      <c r="B1439" s="24" t="str">
        <f t="shared" si="4"/>
        <v/>
      </c>
      <c r="C1439" s="28"/>
      <c r="D1439" s="28"/>
      <c r="E1439" s="34"/>
      <c r="F1439" s="34"/>
      <c r="G1439" s="34"/>
      <c r="H1439" s="34"/>
      <c r="I1439" s="34"/>
      <c r="J1439" s="28" t="str">
        <f>IFERROR(__xludf.DUMMYFUNCTION("iferror(if(I1439="""","""",unique(query('tbl driver 2'!$K$2:$L1508,""SELECT L WHERE K = '""&amp;I1439&amp;""'""))),"""")"),"")</f>
        <v/>
      </c>
      <c r="K1439" s="31"/>
      <c r="L1439" s="39"/>
      <c r="M1439" s="39"/>
      <c r="N1439" s="28" t="str">
        <f>IFERROR(__xludf.DUMMYFUNCTION("IF(OR(C1439="""",M1439=""""),"""",IFERROR(IF(M1439="""","""",query('tbl user'!$A$2:$D1508,""SELECT A WHERE D = '""&amp;M1439&amp;""'"")),""USER TIDAK DIKETAHUI""))"),"")</f>
        <v/>
      </c>
    </row>
    <row r="1440">
      <c r="A1440" s="23"/>
      <c r="B1440" s="24" t="str">
        <f t="shared" si="4"/>
        <v/>
      </c>
      <c r="C1440" s="28"/>
      <c r="D1440" s="28"/>
      <c r="E1440" s="34"/>
      <c r="F1440" s="34"/>
      <c r="G1440" s="34"/>
      <c r="H1440" s="34"/>
      <c r="I1440" s="34"/>
      <c r="J1440" s="28" t="str">
        <f>IFERROR(__xludf.DUMMYFUNCTION("iferror(if(I1440="""","""",unique(query('tbl driver 2'!$K$2:$L1508,""SELECT L WHERE K = '""&amp;I1440&amp;""'""))),"""")"),"")</f>
        <v/>
      </c>
      <c r="K1440" s="31"/>
      <c r="L1440" s="39"/>
      <c r="M1440" s="39"/>
      <c r="N1440" s="28" t="str">
        <f>IFERROR(__xludf.DUMMYFUNCTION("IF(OR(C1440="""",M1440=""""),"""",IFERROR(IF(M1440="""","""",query('tbl user'!$A$2:$D1508,""SELECT A WHERE D = '""&amp;M1440&amp;""'"")),""USER TIDAK DIKETAHUI""))"),"")</f>
        <v/>
      </c>
    </row>
    <row r="1441">
      <c r="A1441" s="23"/>
      <c r="B1441" s="24" t="str">
        <f t="shared" si="4"/>
        <v/>
      </c>
      <c r="C1441" s="28"/>
      <c r="D1441" s="28"/>
      <c r="E1441" s="34"/>
      <c r="F1441" s="34"/>
      <c r="G1441" s="34"/>
      <c r="H1441" s="34"/>
      <c r="I1441" s="34"/>
      <c r="J1441" s="28" t="str">
        <f>IFERROR(__xludf.DUMMYFUNCTION("iferror(if(I1441="""","""",unique(query('tbl driver 2'!$K$2:$L1508,""SELECT L WHERE K = '""&amp;I1441&amp;""'""))),"""")"),"")</f>
        <v/>
      </c>
      <c r="K1441" s="31"/>
      <c r="L1441" s="39"/>
      <c r="M1441" s="39"/>
      <c r="N1441" s="28" t="str">
        <f>IFERROR(__xludf.DUMMYFUNCTION("IF(OR(C1441="""",M1441=""""),"""",IFERROR(IF(M1441="""","""",query('tbl user'!$A$2:$D1508,""SELECT A WHERE D = '""&amp;M1441&amp;""'"")),""USER TIDAK DIKETAHUI""))"),"")</f>
        <v/>
      </c>
    </row>
    <row r="1442">
      <c r="A1442" s="23"/>
      <c r="B1442" s="24" t="str">
        <f t="shared" si="4"/>
        <v/>
      </c>
      <c r="C1442" s="28"/>
      <c r="D1442" s="28"/>
      <c r="E1442" s="34"/>
      <c r="F1442" s="34"/>
      <c r="G1442" s="34"/>
      <c r="H1442" s="34"/>
      <c r="I1442" s="34"/>
      <c r="J1442" s="28" t="str">
        <f>IFERROR(__xludf.DUMMYFUNCTION("iferror(if(I1442="""","""",unique(query('tbl driver 2'!$K$2:$L1508,""SELECT L WHERE K = '""&amp;I1442&amp;""'""))),"""")"),"")</f>
        <v/>
      </c>
      <c r="K1442" s="31"/>
      <c r="L1442" s="39"/>
      <c r="M1442" s="39"/>
      <c r="N1442" s="28" t="str">
        <f>IFERROR(__xludf.DUMMYFUNCTION("IF(OR(C1442="""",M1442=""""),"""",IFERROR(IF(M1442="""","""",query('tbl user'!$A$2:$D1508,""SELECT A WHERE D = '""&amp;M1442&amp;""'"")),""USER TIDAK DIKETAHUI""))"),"")</f>
        <v/>
      </c>
    </row>
    <row r="1443">
      <c r="A1443" s="23"/>
      <c r="B1443" s="24" t="str">
        <f t="shared" si="4"/>
        <v/>
      </c>
      <c r="C1443" s="28"/>
      <c r="D1443" s="28"/>
      <c r="E1443" s="34"/>
      <c r="F1443" s="34"/>
      <c r="G1443" s="34"/>
      <c r="H1443" s="34"/>
      <c r="I1443" s="34"/>
      <c r="J1443" s="28" t="str">
        <f>IFERROR(__xludf.DUMMYFUNCTION("iferror(if(I1443="""","""",unique(query('tbl driver 2'!$K$2:$L1508,""SELECT L WHERE K = '""&amp;I1443&amp;""'""))),"""")"),"")</f>
        <v/>
      </c>
      <c r="K1443" s="31"/>
      <c r="L1443" s="39"/>
      <c r="M1443" s="39"/>
      <c r="N1443" s="28" t="str">
        <f>IFERROR(__xludf.DUMMYFUNCTION("IF(OR(C1443="""",M1443=""""),"""",IFERROR(IF(M1443="""","""",query('tbl user'!$A$2:$D1508,""SELECT A WHERE D = '""&amp;M1443&amp;""'"")),""USER TIDAK DIKETAHUI""))"),"")</f>
        <v/>
      </c>
    </row>
    <row r="1444">
      <c r="A1444" s="23"/>
      <c r="B1444" s="24" t="str">
        <f t="shared" si="4"/>
        <v/>
      </c>
      <c r="C1444" s="28"/>
      <c r="D1444" s="28"/>
      <c r="E1444" s="34"/>
      <c r="F1444" s="34"/>
      <c r="G1444" s="34"/>
      <c r="H1444" s="34"/>
      <c r="I1444" s="34"/>
      <c r="J1444" s="28" t="str">
        <f>IFERROR(__xludf.DUMMYFUNCTION("iferror(if(I1444="""","""",unique(query('tbl driver 2'!$K$2:$L1508,""SELECT L WHERE K = '""&amp;I1444&amp;""'""))),"""")"),"")</f>
        <v/>
      </c>
      <c r="K1444" s="31"/>
      <c r="L1444" s="39"/>
      <c r="M1444" s="39"/>
      <c r="N1444" s="28" t="str">
        <f>IFERROR(__xludf.DUMMYFUNCTION("IF(OR(C1444="""",M1444=""""),"""",IFERROR(IF(M1444="""","""",query('tbl user'!$A$2:$D1508,""SELECT A WHERE D = '""&amp;M1444&amp;""'"")),""USER TIDAK DIKETAHUI""))"),"")</f>
        <v/>
      </c>
    </row>
    <row r="1445">
      <c r="A1445" s="23"/>
      <c r="B1445" s="24" t="str">
        <f t="shared" si="4"/>
        <v/>
      </c>
      <c r="C1445" s="28"/>
      <c r="D1445" s="28"/>
      <c r="E1445" s="34"/>
      <c r="F1445" s="34"/>
      <c r="G1445" s="34"/>
      <c r="H1445" s="34"/>
      <c r="I1445" s="34"/>
      <c r="J1445" s="28" t="str">
        <f>IFERROR(__xludf.DUMMYFUNCTION("iferror(if(I1445="""","""",unique(query('tbl driver 2'!$K$2:$L1508,""SELECT L WHERE K = '""&amp;I1445&amp;""'""))),"""")"),"")</f>
        <v/>
      </c>
      <c r="K1445" s="31"/>
      <c r="L1445" s="39"/>
      <c r="M1445" s="39"/>
      <c r="N1445" s="28" t="str">
        <f>IFERROR(__xludf.DUMMYFUNCTION("IF(OR(C1445="""",M1445=""""),"""",IFERROR(IF(M1445="""","""",query('tbl user'!$A$2:$D1508,""SELECT A WHERE D = '""&amp;M1445&amp;""'"")),""USER TIDAK DIKETAHUI""))"),"")</f>
        <v/>
      </c>
    </row>
    <row r="1446">
      <c r="A1446" s="23"/>
      <c r="B1446" s="24" t="str">
        <f t="shared" si="4"/>
        <v/>
      </c>
      <c r="C1446" s="28"/>
      <c r="D1446" s="28"/>
      <c r="E1446" s="34"/>
      <c r="F1446" s="34"/>
      <c r="G1446" s="34"/>
      <c r="H1446" s="34"/>
      <c r="I1446" s="34"/>
      <c r="J1446" s="28" t="str">
        <f>IFERROR(__xludf.DUMMYFUNCTION("iferror(if(I1446="""","""",unique(query('tbl driver 2'!$K$2:$L1508,""SELECT L WHERE K = '""&amp;I1446&amp;""'""))),"""")"),"")</f>
        <v/>
      </c>
      <c r="K1446" s="31"/>
      <c r="L1446" s="39"/>
      <c r="M1446" s="39"/>
      <c r="N1446" s="28" t="str">
        <f>IFERROR(__xludf.DUMMYFUNCTION("IF(OR(C1446="""",M1446=""""),"""",IFERROR(IF(M1446="""","""",query('tbl user'!$A$2:$D1508,""SELECT A WHERE D = '""&amp;M1446&amp;""'"")),""USER TIDAK DIKETAHUI""))"),"")</f>
        <v/>
      </c>
    </row>
    <row r="1447">
      <c r="A1447" s="23"/>
      <c r="B1447" s="24" t="str">
        <f t="shared" si="4"/>
        <v/>
      </c>
      <c r="C1447" s="28"/>
      <c r="D1447" s="28"/>
      <c r="E1447" s="34"/>
      <c r="F1447" s="34"/>
      <c r="G1447" s="34"/>
      <c r="H1447" s="34"/>
      <c r="I1447" s="34"/>
      <c r="J1447" s="28" t="str">
        <f>IFERROR(__xludf.DUMMYFUNCTION("iferror(if(I1447="""","""",unique(query('tbl driver 2'!$K$2:$L1508,""SELECT L WHERE K = '""&amp;I1447&amp;""'""))),"""")"),"")</f>
        <v/>
      </c>
      <c r="K1447" s="31"/>
      <c r="L1447" s="39"/>
      <c r="M1447" s="39"/>
      <c r="N1447" s="28" t="str">
        <f>IFERROR(__xludf.DUMMYFUNCTION("IF(OR(C1447="""",M1447=""""),"""",IFERROR(IF(M1447="""","""",query('tbl user'!$A$2:$D1508,""SELECT A WHERE D = '""&amp;M1447&amp;""'"")),""USER TIDAK DIKETAHUI""))"),"")</f>
        <v/>
      </c>
    </row>
    <row r="1448">
      <c r="A1448" s="23"/>
      <c r="B1448" s="24" t="str">
        <f t="shared" si="4"/>
        <v/>
      </c>
      <c r="C1448" s="28"/>
      <c r="D1448" s="28"/>
      <c r="E1448" s="34"/>
      <c r="F1448" s="34"/>
      <c r="G1448" s="34"/>
      <c r="H1448" s="34"/>
      <c r="I1448" s="34"/>
      <c r="J1448" s="28" t="str">
        <f>IFERROR(__xludf.DUMMYFUNCTION("iferror(if(I1448="""","""",unique(query('tbl driver 2'!$K$2:$L1508,""SELECT L WHERE K = '""&amp;I1448&amp;""'""))),"""")"),"")</f>
        <v/>
      </c>
      <c r="K1448" s="31"/>
      <c r="L1448" s="39"/>
      <c r="M1448" s="39"/>
      <c r="N1448" s="28" t="str">
        <f>IFERROR(__xludf.DUMMYFUNCTION("IF(OR(C1448="""",M1448=""""),"""",IFERROR(IF(M1448="""","""",query('tbl user'!$A$2:$D1508,""SELECT A WHERE D = '""&amp;M1448&amp;""'"")),""USER TIDAK DIKETAHUI""))"),"")</f>
        <v/>
      </c>
    </row>
    <row r="1449">
      <c r="A1449" s="23"/>
      <c r="B1449" s="24" t="str">
        <f t="shared" si="4"/>
        <v/>
      </c>
      <c r="C1449" s="28"/>
      <c r="D1449" s="28"/>
      <c r="E1449" s="34"/>
      <c r="F1449" s="34"/>
      <c r="G1449" s="34"/>
      <c r="H1449" s="34"/>
      <c r="I1449" s="34"/>
      <c r="J1449" s="28" t="str">
        <f>IFERROR(__xludf.DUMMYFUNCTION("iferror(if(I1449="""","""",unique(query('tbl driver 2'!$K$2:$L1508,""SELECT L WHERE K = '""&amp;I1449&amp;""'""))),"""")"),"")</f>
        <v/>
      </c>
      <c r="K1449" s="31"/>
      <c r="L1449" s="39"/>
      <c r="M1449" s="39"/>
      <c r="N1449" s="28" t="str">
        <f>IFERROR(__xludf.DUMMYFUNCTION("IF(OR(C1449="""",M1449=""""),"""",IFERROR(IF(M1449="""","""",query('tbl user'!$A$2:$D1508,""SELECT A WHERE D = '""&amp;M1449&amp;""'"")),""USER TIDAK DIKETAHUI""))"),"")</f>
        <v/>
      </c>
    </row>
    <row r="1450">
      <c r="A1450" s="23"/>
      <c r="B1450" s="24" t="str">
        <f t="shared" si="4"/>
        <v/>
      </c>
      <c r="C1450" s="28"/>
      <c r="D1450" s="28"/>
      <c r="E1450" s="34"/>
      <c r="F1450" s="34"/>
      <c r="G1450" s="34"/>
      <c r="H1450" s="34"/>
      <c r="I1450" s="34"/>
      <c r="J1450" s="28" t="str">
        <f>IFERROR(__xludf.DUMMYFUNCTION("iferror(if(I1450="""","""",unique(query('tbl driver 2'!$K$2:$L1508,""SELECT L WHERE K = '""&amp;I1450&amp;""'""))),"""")"),"")</f>
        <v/>
      </c>
      <c r="K1450" s="31"/>
      <c r="L1450" s="39"/>
      <c r="M1450" s="39"/>
      <c r="N1450" s="28" t="str">
        <f>IFERROR(__xludf.DUMMYFUNCTION("IF(OR(C1450="""",M1450=""""),"""",IFERROR(IF(M1450="""","""",query('tbl user'!$A$2:$D1508,""SELECT A WHERE D = '""&amp;M1450&amp;""'"")),""USER TIDAK DIKETAHUI""))"),"")</f>
        <v/>
      </c>
    </row>
    <row r="1451">
      <c r="A1451" s="23"/>
      <c r="B1451" s="24" t="str">
        <f t="shared" si="4"/>
        <v/>
      </c>
      <c r="C1451" s="28"/>
      <c r="D1451" s="28"/>
      <c r="E1451" s="34"/>
      <c r="F1451" s="34"/>
      <c r="G1451" s="34"/>
      <c r="H1451" s="34"/>
      <c r="I1451" s="34"/>
      <c r="J1451" s="28" t="str">
        <f>IFERROR(__xludf.DUMMYFUNCTION("iferror(if(I1451="""","""",unique(query('tbl driver 2'!$K$2:$L1508,""SELECT L WHERE K = '""&amp;I1451&amp;""'""))),"""")"),"")</f>
        <v/>
      </c>
      <c r="K1451" s="31"/>
      <c r="L1451" s="39"/>
      <c r="M1451" s="39"/>
      <c r="N1451" s="28" t="str">
        <f>IFERROR(__xludf.DUMMYFUNCTION("IF(OR(C1451="""",M1451=""""),"""",IFERROR(IF(M1451="""","""",query('tbl user'!$A$2:$D1508,""SELECT A WHERE D = '""&amp;M1451&amp;""'"")),""USER TIDAK DIKETAHUI""))"),"")</f>
        <v/>
      </c>
    </row>
    <row r="1452">
      <c r="A1452" s="23"/>
      <c r="B1452" s="24" t="str">
        <f t="shared" si="4"/>
        <v/>
      </c>
      <c r="C1452" s="28"/>
      <c r="D1452" s="28"/>
      <c r="E1452" s="34"/>
      <c r="F1452" s="34"/>
      <c r="G1452" s="34"/>
      <c r="H1452" s="34"/>
      <c r="I1452" s="34"/>
      <c r="J1452" s="28" t="str">
        <f>IFERROR(__xludf.DUMMYFUNCTION("iferror(if(I1452="""","""",unique(query('tbl driver 2'!$K$2:$L1508,""SELECT L WHERE K = '""&amp;I1452&amp;""'""))),"""")"),"")</f>
        <v/>
      </c>
      <c r="K1452" s="31"/>
      <c r="L1452" s="39"/>
      <c r="M1452" s="39"/>
      <c r="N1452" s="28" t="str">
        <f>IFERROR(__xludf.DUMMYFUNCTION("IF(OR(C1452="""",M1452=""""),"""",IFERROR(IF(M1452="""","""",query('tbl user'!$A$2:$D1508,""SELECT A WHERE D = '""&amp;M1452&amp;""'"")),""USER TIDAK DIKETAHUI""))"),"")</f>
        <v/>
      </c>
    </row>
    <row r="1453">
      <c r="A1453" s="23"/>
      <c r="B1453" s="24" t="str">
        <f t="shared" si="4"/>
        <v/>
      </c>
      <c r="C1453" s="28"/>
      <c r="D1453" s="28"/>
      <c r="E1453" s="34"/>
      <c r="F1453" s="34"/>
      <c r="G1453" s="34"/>
      <c r="H1453" s="34"/>
      <c r="I1453" s="34"/>
      <c r="J1453" s="28" t="str">
        <f>IFERROR(__xludf.DUMMYFUNCTION("iferror(if(I1453="""","""",unique(query('tbl driver 2'!$K$2:$L1508,""SELECT L WHERE K = '""&amp;I1453&amp;""'""))),"""")"),"")</f>
        <v/>
      </c>
      <c r="K1453" s="31"/>
      <c r="L1453" s="39"/>
      <c r="M1453" s="39"/>
      <c r="N1453" s="28" t="str">
        <f>IFERROR(__xludf.DUMMYFUNCTION("IF(OR(C1453="""",M1453=""""),"""",IFERROR(IF(M1453="""","""",query('tbl user'!$A$2:$D1508,""SELECT A WHERE D = '""&amp;M1453&amp;""'"")),""USER TIDAK DIKETAHUI""))"),"")</f>
        <v/>
      </c>
    </row>
    <row r="1454">
      <c r="A1454" s="23"/>
      <c r="B1454" s="24" t="str">
        <f t="shared" si="4"/>
        <v/>
      </c>
      <c r="C1454" s="28"/>
      <c r="D1454" s="28"/>
      <c r="E1454" s="34"/>
      <c r="F1454" s="34"/>
      <c r="G1454" s="34"/>
      <c r="H1454" s="34"/>
      <c r="I1454" s="34"/>
      <c r="J1454" s="28" t="str">
        <f>IFERROR(__xludf.DUMMYFUNCTION("iferror(if(I1454="""","""",unique(query('tbl driver 2'!$K$2:$L1508,""SELECT L WHERE K = '""&amp;I1454&amp;""'""))),"""")"),"")</f>
        <v/>
      </c>
      <c r="K1454" s="31"/>
      <c r="L1454" s="39"/>
      <c r="M1454" s="39"/>
      <c r="N1454" s="28" t="str">
        <f>IFERROR(__xludf.DUMMYFUNCTION("IF(OR(C1454="""",M1454=""""),"""",IFERROR(IF(M1454="""","""",query('tbl user'!$A$2:$D1508,""SELECT A WHERE D = '""&amp;M1454&amp;""'"")),""USER TIDAK DIKETAHUI""))"),"")</f>
        <v/>
      </c>
    </row>
    <row r="1455">
      <c r="A1455" s="23"/>
      <c r="B1455" s="24" t="str">
        <f t="shared" si="4"/>
        <v/>
      </c>
      <c r="C1455" s="28"/>
      <c r="D1455" s="28"/>
      <c r="E1455" s="34"/>
      <c r="F1455" s="34"/>
      <c r="G1455" s="34"/>
      <c r="H1455" s="34"/>
      <c r="I1455" s="34"/>
      <c r="J1455" s="28" t="str">
        <f>IFERROR(__xludf.DUMMYFUNCTION("iferror(if(I1455="""","""",unique(query('tbl driver 2'!$K$2:$L1508,""SELECT L WHERE K = '""&amp;I1455&amp;""'""))),"""")"),"")</f>
        <v/>
      </c>
      <c r="K1455" s="31"/>
      <c r="L1455" s="39"/>
      <c r="M1455" s="39"/>
      <c r="N1455" s="28" t="str">
        <f>IFERROR(__xludf.DUMMYFUNCTION("IF(OR(C1455="""",M1455=""""),"""",IFERROR(IF(M1455="""","""",query('tbl user'!$A$2:$D1508,""SELECT A WHERE D = '""&amp;M1455&amp;""'"")),""USER TIDAK DIKETAHUI""))"),"")</f>
        <v/>
      </c>
    </row>
    <row r="1456">
      <c r="A1456" s="23"/>
      <c r="B1456" s="24" t="str">
        <f t="shared" si="4"/>
        <v/>
      </c>
      <c r="C1456" s="28"/>
      <c r="D1456" s="28"/>
      <c r="E1456" s="34"/>
      <c r="F1456" s="34"/>
      <c r="G1456" s="34"/>
      <c r="H1456" s="34"/>
      <c r="I1456" s="34"/>
      <c r="J1456" s="28" t="str">
        <f>IFERROR(__xludf.DUMMYFUNCTION("iferror(if(I1456="""","""",unique(query('tbl driver 2'!$K$2:$L1508,""SELECT L WHERE K = '""&amp;I1456&amp;""'""))),"""")"),"")</f>
        <v/>
      </c>
      <c r="K1456" s="31"/>
      <c r="L1456" s="39"/>
      <c r="M1456" s="39"/>
      <c r="N1456" s="28" t="str">
        <f>IFERROR(__xludf.DUMMYFUNCTION("IF(OR(C1456="""",M1456=""""),"""",IFERROR(IF(M1456="""","""",query('tbl user'!$A$2:$D1508,""SELECT A WHERE D = '""&amp;M1456&amp;""'"")),""USER TIDAK DIKETAHUI""))"),"")</f>
        <v/>
      </c>
    </row>
    <row r="1457">
      <c r="A1457" s="23"/>
      <c r="B1457" s="24" t="str">
        <f t="shared" si="4"/>
        <v/>
      </c>
      <c r="C1457" s="28"/>
      <c r="D1457" s="28"/>
      <c r="E1457" s="34"/>
      <c r="F1457" s="34"/>
      <c r="G1457" s="34"/>
      <c r="H1457" s="34"/>
      <c r="I1457" s="34"/>
      <c r="J1457" s="28" t="str">
        <f>IFERROR(__xludf.DUMMYFUNCTION("iferror(if(I1457="""","""",unique(query('tbl driver 2'!$K$2:$L1508,""SELECT L WHERE K = '""&amp;I1457&amp;""'""))),"""")"),"")</f>
        <v/>
      </c>
      <c r="K1457" s="31"/>
      <c r="L1457" s="39"/>
      <c r="M1457" s="39"/>
      <c r="N1457" s="28" t="str">
        <f>IFERROR(__xludf.DUMMYFUNCTION("IF(OR(C1457="""",M1457=""""),"""",IFERROR(IF(M1457="""","""",query('tbl user'!$A$2:$D1508,""SELECT A WHERE D = '""&amp;M1457&amp;""'"")),""USER TIDAK DIKETAHUI""))"),"")</f>
        <v/>
      </c>
    </row>
    <row r="1458">
      <c r="A1458" s="23"/>
      <c r="B1458" s="24" t="str">
        <f t="shared" si="4"/>
        <v/>
      </c>
      <c r="C1458" s="28"/>
      <c r="D1458" s="28"/>
      <c r="E1458" s="34"/>
      <c r="F1458" s="34"/>
      <c r="G1458" s="34"/>
      <c r="H1458" s="34"/>
      <c r="I1458" s="34"/>
      <c r="J1458" s="28" t="str">
        <f>IFERROR(__xludf.DUMMYFUNCTION("iferror(if(I1458="""","""",unique(query('tbl driver 2'!$K$2:$L1508,""SELECT L WHERE K = '""&amp;I1458&amp;""'""))),"""")"),"")</f>
        <v/>
      </c>
      <c r="K1458" s="31"/>
      <c r="L1458" s="39"/>
      <c r="M1458" s="39"/>
      <c r="N1458" s="28" t="str">
        <f>IFERROR(__xludf.DUMMYFUNCTION("IF(OR(C1458="""",M1458=""""),"""",IFERROR(IF(M1458="""","""",query('tbl user'!$A$2:$D1508,""SELECT A WHERE D = '""&amp;M1458&amp;""'"")),""USER TIDAK DIKETAHUI""))"),"")</f>
        <v/>
      </c>
    </row>
    <row r="1459">
      <c r="A1459" s="23"/>
      <c r="B1459" s="24" t="str">
        <f t="shared" si="4"/>
        <v/>
      </c>
      <c r="C1459" s="28"/>
      <c r="D1459" s="28"/>
      <c r="E1459" s="34"/>
      <c r="F1459" s="34"/>
      <c r="G1459" s="34"/>
      <c r="H1459" s="34"/>
      <c r="I1459" s="34"/>
      <c r="J1459" s="28" t="str">
        <f>IFERROR(__xludf.DUMMYFUNCTION("iferror(if(I1459="""","""",unique(query('tbl driver 2'!$K$2:$L1508,""SELECT L WHERE K = '""&amp;I1459&amp;""'""))),"""")"),"")</f>
        <v/>
      </c>
      <c r="K1459" s="31"/>
      <c r="L1459" s="39"/>
      <c r="M1459" s="39"/>
      <c r="N1459" s="28" t="str">
        <f>IFERROR(__xludf.DUMMYFUNCTION("IF(OR(C1459="""",M1459=""""),"""",IFERROR(IF(M1459="""","""",query('tbl user'!$A$2:$D1508,""SELECT A WHERE D = '""&amp;M1459&amp;""'"")),""USER TIDAK DIKETAHUI""))"),"")</f>
        <v/>
      </c>
    </row>
    <row r="1460">
      <c r="A1460" s="23"/>
      <c r="B1460" s="24" t="str">
        <f t="shared" si="4"/>
        <v/>
      </c>
      <c r="C1460" s="28"/>
      <c r="D1460" s="28"/>
      <c r="E1460" s="34"/>
      <c r="F1460" s="34"/>
      <c r="G1460" s="34"/>
      <c r="H1460" s="34"/>
      <c r="I1460" s="34"/>
      <c r="J1460" s="28" t="str">
        <f>IFERROR(__xludf.DUMMYFUNCTION("iferror(if(I1460="""","""",unique(query('tbl driver 2'!$K$2:$L1508,""SELECT L WHERE K = '""&amp;I1460&amp;""'""))),"""")"),"")</f>
        <v/>
      </c>
      <c r="K1460" s="31"/>
      <c r="L1460" s="39"/>
      <c r="M1460" s="39"/>
      <c r="N1460" s="28" t="str">
        <f>IFERROR(__xludf.DUMMYFUNCTION("IF(OR(C1460="""",M1460=""""),"""",IFERROR(IF(M1460="""","""",query('tbl user'!$A$2:$D1508,""SELECT A WHERE D = '""&amp;M1460&amp;""'"")),""USER TIDAK DIKETAHUI""))"),"")</f>
        <v/>
      </c>
    </row>
    <row r="1461">
      <c r="A1461" s="23"/>
      <c r="B1461" s="24" t="str">
        <f t="shared" si="4"/>
        <v/>
      </c>
      <c r="C1461" s="28"/>
      <c r="D1461" s="28"/>
      <c r="E1461" s="34"/>
      <c r="F1461" s="34"/>
      <c r="G1461" s="34"/>
      <c r="H1461" s="34"/>
      <c r="I1461" s="34"/>
      <c r="J1461" s="28" t="str">
        <f>IFERROR(__xludf.DUMMYFUNCTION("iferror(if(I1461="""","""",unique(query('tbl driver 2'!$K$2:$L1508,""SELECT L WHERE K = '""&amp;I1461&amp;""'""))),"""")"),"")</f>
        <v/>
      </c>
      <c r="K1461" s="31"/>
      <c r="L1461" s="39"/>
      <c r="M1461" s="39"/>
      <c r="N1461" s="28" t="str">
        <f>IFERROR(__xludf.DUMMYFUNCTION("IF(OR(C1461="""",M1461=""""),"""",IFERROR(IF(M1461="""","""",query('tbl user'!$A$2:$D1508,""SELECT A WHERE D = '""&amp;M1461&amp;""'"")),""USER TIDAK DIKETAHUI""))"),"")</f>
        <v/>
      </c>
    </row>
    <row r="1462">
      <c r="A1462" s="23"/>
      <c r="B1462" s="24" t="str">
        <f t="shared" si="4"/>
        <v/>
      </c>
      <c r="C1462" s="28"/>
      <c r="D1462" s="28"/>
      <c r="E1462" s="34"/>
      <c r="F1462" s="34"/>
      <c r="G1462" s="34"/>
      <c r="H1462" s="34"/>
      <c r="I1462" s="34"/>
      <c r="J1462" s="28" t="str">
        <f>IFERROR(__xludf.DUMMYFUNCTION("iferror(if(I1462="""","""",unique(query('tbl driver 2'!$K$2:$L1508,""SELECT L WHERE K = '""&amp;I1462&amp;""'""))),"""")"),"")</f>
        <v/>
      </c>
      <c r="K1462" s="31"/>
      <c r="L1462" s="39"/>
      <c r="M1462" s="39"/>
      <c r="N1462" s="28" t="str">
        <f>IFERROR(__xludf.DUMMYFUNCTION("IF(OR(C1462="""",M1462=""""),"""",IFERROR(IF(M1462="""","""",query('tbl user'!$A$2:$D1508,""SELECT A WHERE D = '""&amp;M1462&amp;""'"")),""USER TIDAK DIKETAHUI""))"),"")</f>
        <v/>
      </c>
    </row>
    <row r="1463">
      <c r="A1463" s="23"/>
      <c r="B1463" s="24" t="str">
        <f t="shared" si="4"/>
        <v/>
      </c>
      <c r="C1463" s="28"/>
      <c r="D1463" s="28"/>
      <c r="E1463" s="34"/>
      <c r="F1463" s="34"/>
      <c r="G1463" s="34"/>
      <c r="H1463" s="34"/>
      <c r="I1463" s="34"/>
      <c r="J1463" s="28" t="str">
        <f>IFERROR(__xludf.DUMMYFUNCTION("iferror(if(I1463="""","""",unique(query('tbl driver 2'!$K$2:$L1508,""SELECT L WHERE K = '""&amp;I1463&amp;""'""))),"""")"),"")</f>
        <v/>
      </c>
      <c r="K1463" s="31"/>
      <c r="L1463" s="39"/>
      <c r="M1463" s="39"/>
      <c r="N1463" s="28" t="str">
        <f>IFERROR(__xludf.DUMMYFUNCTION("IF(OR(C1463="""",M1463=""""),"""",IFERROR(IF(M1463="""","""",query('tbl user'!$A$2:$D1508,""SELECT A WHERE D = '""&amp;M1463&amp;""'"")),""USER TIDAK DIKETAHUI""))"),"")</f>
        <v/>
      </c>
    </row>
    <row r="1464">
      <c r="A1464" s="23"/>
      <c r="B1464" s="24" t="str">
        <f t="shared" si="4"/>
        <v/>
      </c>
      <c r="C1464" s="28"/>
      <c r="D1464" s="28"/>
      <c r="E1464" s="34"/>
      <c r="F1464" s="34"/>
      <c r="G1464" s="34"/>
      <c r="H1464" s="34"/>
      <c r="I1464" s="34"/>
      <c r="J1464" s="28" t="str">
        <f>IFERROR(__xludf.DUMMYFUNCTION("iferror(if(I1464="""","""",unique(query('tbl driver 2'!$K$2:$L1508,""SELECT L WHERE K = '""&amp;I1464&amp;""'""))),"""")"),"")</f>
        <v/>
      </c>
      <c r="K1464" s="31"/>
      <c r="L1464" s="39"/>
      <c r="M1464" s="39"/>
      <c r="N1464" s="28" t="str">
        <f>IFERROR(__xludf.DUMMYFUNCTION("IF(OR(C1464="""",M1464=""""),"""",IFERROR(IF(M1464="""","""",query('tbl user'!$A$2:$D1508,""SELECT A WHERE D = '""&amp;M1464&amp;""'"")),""USER TIDAK DIKETAHUI""))"),"")</f>
        <v/>
      </c>
    </row>
    <row r="1465">
      <c r="A1465" s="23"/>
      <c r="B1465" s="24" t="str">
        <f t="shared" si="4"/>
        <v/>
      </c>
      <c r="C1465" s="28"/>
      <c r="D1465" s="28"/>
      <c r="E1465" s="34"/>
      <c r="F1465" s="34"/>
      <c r="G1465" s="34"/>
      <c r="H1465" s="34"/>
      <c r="I1465" s="34"/>
      <c r="J1465" s="28" t="str">
        <f>IFERROR(__xludf.DUMMYFUNCTION("iferror(if(I1465="""","""",unique(query('tbl driver 2'!$K$2:$L1508,""SELECT L WHERE K = '""&amp;I1465&amp;""'""))),"""")"),"")</f>
        <v/>
      </c>
      <c r="K1465" s="31"/>
      <c r="L1465" s="39"/>
      <c r="M1465" s="39"/>
      <c r="N1465" s="28" t="str">
        <f>IFERROR(__xludf.DUMMYFUNCTION("IF(OR(C1465="""",M1465=""""),"""",IFERROR(IF(M1465="""","""",query('tbl user'!$A$2:$D1508,""SELECT A WHERE D = '""&amp;M1465&amp;""'"")),""USER TIDAK DIKETAHUI""))"),"")</f>
        <v/>
      </c>
    </row>
    <row r="1466">
      <c r="A1466" s="23"/>
      <c r="B1466" s="24" t="str">
        <f t="shared" si="4"/>
        <v/>
      </c>
      <c r="C1466" s="28"/>
      <c r="D1466" s="28"/>
      <c r="E1466" s="34"/>
      <c r="F1466" s="34"/>
      <c r="G1466" s="34"/>
      <c r="H1466" s="34"/>
      <c r="I1466" s="34"/>
      <c r="J1466" s="28" t="str">
        <f>IFERROR(__xludf.DUMMYFUNCTION("iferror(if(I1466="""","""",unique(query('tbl driver 2'!$K$2:$L1508,""SELECT L WHERE K = '""&amp;I1466&amp;""'""))),"""")"),"")</f>
        <v/>
      </c>
      <c r="K1466" s="31"/>
      <c r="L1466" s="39"/>
      <c r="M1466" s="39"/>
      <c r="N1466" s="28" t="str">
        <f>IFERROR(__xludf.DUMMYFUNCTION("IF(OR(C1466="""",M1466=""""),"""",IFERROR(IF(M1466="""","""",query('tbl user'!$A$2:$D1508,""SELECT A WHERE D = '""&amp;M1466&amp;""'"")),""USER TIDAK DIKETAHUI""))"),"")</f>
        <v/>
      </c>
    </row>
    <row r="1467">
      <c r="A1467" s="23"/>
      <c r="B1467" s="24" t="str">
        <f t="shared" si="4"/>
        <v/>
      </c>
      <c r="C1467" s="28"/>
      <c r="D1467" s="28"/>
      <c r="E1467" s="34"/>
      <c r="F1467" s="34"/>
      <c r="G1467" s="34"/>
      <c r="H1467" s="34"/>
      <c r="I1467" s="34"/>
      <c r="J1467" s="28" t="str">
        <f>IFERROR(__xludf.DUMMYFUNCTION("iferror(if(I1467="""","""",unique(query('tbl driver 2'!$K$2:$L1508,""SELECT L WHERE K = '""&amp;I1467&amp;""'""))),"""")"),"")</f>
        <v/>
      </c>
      <c r="K1467" s="31"/>
      <c r="L1467" s="39"/>
      <c r="M1467" s="39"/>
      <c r="N1467" s="28" t="str">
        <f>IFERROR(__xludf.DUMMYFUNCTION("IF(OR(C1467="""",M1467=""""),"""",IFERROR(IF(M1467="""","""",query('tbl user'!$A$2:$D1508,""SELECT A WHERE D = '""&amp;M1467&amp;""'"")),""USER TIDAK DIKETAHUI""))"),"")</f>
        <v/>
      </c>
    </row>
    <row r="1468">
      <c r="A1468" s="23"/>
      <c r="B1468" s="24" t="str">
        <f t="shared" si="4"/>
        <v/>
      </c>
      <c r="C1468" s="28"/>
      <c r="D1468" s="28"/>
      <c r="E1468" s="34"/>
      <c r="F1468" s="34"/>
      <c r="G1468" s="34"/>
      <c r="H1468" s="34"/>
      <c r="I1468" s="34"/>
      <c r="J1468" s="28" t="str">
        <f>IFERROR(__xludf.DUMMYFUNCTION("iferror(if(I1468="""","""",unique(query('tbl driver 2'!$K$2:$L1508,""SELECT L WHERE K = '""&amp;I1468&amp;""'""))),"""")"),"")</f>
        <v/>
      </c>
      <c r="K1468" s="31"/>
      <c r="L1468" s="39"/>
      <c r="M1468" s="39"/>
      <c r="N1468" s="28" t="str">
        <f>IFERROR(__xludf.DUMMYFUNCTION("IF(OR(C1468="""",M1468=""""),"""",IFERROR(IF(M1468="""","""",query('tbl user'!$A$2:$D1508,""SELECT A WHERE D = '""&amp;M1468&amp;""'"")),""USER TIDAK DIKETAHUI""))"),"")</f>
        <v/>
      </c>
    </row>
    <row r="1469">
      <c r="A1469" s="23"/>
      <c r="B1469" s="24" t="str">
        <f t="shared" si="4"/>
        <v/>
      </c>
      <c r="C1469" s="28"/>
      <c r="D1469" s="28"/>
      <c r="E1469" s="34"/>
      <c r="F1469" s="34"/>
      <c r="G1469" s="34"/>
      <c r="H1469" s="34"/>
      <c r="I1469" s="34"/>
      <c r="J1469" s="28" t="str">
        <f>IFERROR(__xludf.DUMMYFUNCTION("iferror(if(I1469="""","""",unique(query('tbl driver 2'!$K$2:$L1508,""SELECT L WHERE K = '""&amp;I1469&amp;""'""))),"""")"),"")</f>
        <v/>
      </c>
      <c r="K1469" s="31"/>
      <c r="L1469" s="39"/>
      <c r="M1469" s="39"/>
      <c r="N1469" s="28" t="str">
        <f>IFERROR(__xludf.DUMMYFUNCTION("IF(OR(C1469="""",M1469=""""),"""",IFERROR(IF(M1469="""","""",query('tbl user'!$A$2:$D1508,""SELECT A WHERE D = '""&amp;M1469&amp;""'"")),""USER TIDAK DIKETAHUI""))"),"")</f>
        <v/>
      </c>
    </row>
    <row r="1470">
      <c r="A1470" s="23"/>
      <c r="B1470" s="24" t="str">
        <f t="shared" si="4"/>
        <v/>
      </c>
      <c r="C1470" s="28"/>
      <c r="D1470" s="28"/>
      <c r="E1470" s="34"/>
      <c r="F1470" s="34"/>
      <c r="G1470" s="34"/>
      <c r="H1470" s="34"/>
      <c r="I1470" s="34"/>
      <c r="J1470" s="28" t="str">
        <f>IFERROR(__xludf.DUMMYFUNCTION("iferror(if(I1470="""","""",unique(query('tbl driver 2'!$K$2:$L1508,""SELECT L WHERE K = '""&amp;I1470&amp;""'""))),"""")"),"")</f>
        <v/>
      </c>
      <c r="K1470" s="31"/>
      <c r="L1470" s="39"/>
      <c r="M1470" s="39"/>
      <c r="N1470" s="28" t="str">
        <f>IFERROR(__xludf.DUMMYFUNCTION("IF(OR(C1470="""",M1470=""""),"""",IFERROR(IF(M1470="""","""",query('tbl user'!$A$2:$D1508,""SELECT A WHERE D = '""&amp;M1470&amp;""'"")),""USER TIDAK DIKETAHUI""))"),"")</f>
        <v/>
      </c>
    </row>
    <row r="1471">
      <c r="A1471" s="23"/>
      <c r="B1471" s="24" t="str">
        <f t="shared" si="4"/>
        <v/>
      </c>
      <c r="C1471" s="28"/>
      <c r="D1471" s="28"/>
      <c r="E1471" s="34"/>
      <c r="F1471" s="34"/>
      <c r="G1471" s="34"/>
      <c r="H1471" s="34"/>
      <c r="I1471" s="34"/>
      <c r="J1471" s="28" t="str">
        <f>IFERROR(__xludf.DUMMYFUNCTION("iferror(if(I1471="""","""",unique(query('tbl driver 2'!$K$2:$L1508,""SELECT L WHERE K = '""&amp;I1471&amp;""'""))),"""")"),"")</f>
        <v/>
      </c>
      <c r="K1471" s="31"/>
      <c r="L1471" s="39"/>
      <c r="M1471" s="39"/>
      <c r="N1471" s="28" t="str">
        <f>IFERROR(__xludf.DUMMYFUNCTION("IF(OR(C1471="""",M1471=""""),"""",IFERROR(IF(M1471="""","""",query('tbl user'!$A$2:$D1508,""SELECT A WHERE D = '""&amp;M1471&amp;""'"")),""USER TIDAK DIKETAHUI""))"),"")</f>
        <v/>
      </c>
    </row>
    <row r="1472">
      <c r="A1472" s="23"/>
      <c r="B1472" s="24" t="str">
        <f t="shared" si="4"/>
        <v/>
      </c>
      <c r="C1472" s="28"/>
      <c r="D1472" s="28"/>
      <c r="E1472" s="34"/>
      <c r="F1472" s="34"/>
      <c r="G1472" s="34"/>
      <c r="H1472" s="34"/>
      <c r="I1472" s="34"/>
      <c r="J1472" s="28" t="str">
        <f>IFERROR(__xludf.DUMMYFUNCTION("iferror(if(I1472="""","""",unique(query('tbl driver 2'!$K$2:$L1508,""SELECT L WHERE K = '""&amp;I1472&amp;""'""))),"""")"),"")</f>
        <v/>
      </c>
      <c r="K1472" s="31"/>
      <c r="L1472" s="39"/>
      <c r="M1472" s="39"/>
      <c r="N1472" s="28" t="str">
        <f>IFERROR(__xludf.DUMMYFUNCTION("IF(OR(C1472="""",M1472=""""),"""",IFERROR(IF(M1472="""","""",query('tbl user'!$A$2:$D1508,""SELECT A WHERE D = '""&amp;M1472&amp;""'"")),""USER TIDAK DIKETAHUI""))"),"")</f>
        <v/>
      </c>
    </row>
    <row r="1473">
      <c r="A1473" s="23"/>
      <c r="B1473" s="24" t="str">
        <f t="shared" si="4"/>
        <v/>
      </c>
      <c r="C1473" s="28"/>
      <c r="D1473" s="28"/>
      <c r="E1473" s="34"/>
      <c r="F1473" s="34"/>
      <c r="G1473" s="34"/>
      <c r="H1473" s="34"/>
      <c r="I1473" s="34"/>
      <c r="J1473" s="28" t="str">
        <f>IFERROR(__xludf.DUMMYFUNCTION("iferror(if(I1473="""","""",unique(query('tbl driver 2'!$K$2:$L1508,""SELECT L WHERE K = '""&amp;I1473&amp;""'""))),"""")"),"")</f>
        <v/>
      </c>
      <c r="K1473" s="31"/>
      <c r="L1473" s="39"/>
      <c r="M1473" s="39"/>
      <c r="N1473" s="28" t="str">
        <f>IFERROR(__xludf.DUMMYFUNCTION("IF(OR(C1473="""",M1473=""""),"""",IFERROR(IF(M1473="""","""",query('tbl user'!$A$2:$D1508,""SELECT A WHERE D = '""&amp;M1473&amp;""'"")),""USER TIDAK DIKETAHUI""))"),"")</f>
        <v/>
      </c>
    </row>
    <row r="1474">
      <c r="A1474" s="23"/>
      <c r="B1474" s="24" t="str">
        <f t="shared" si="4"/>
        <v/>
      </c>
      <c r="C1474" s="28"/>
      <c r="D1474" s="28"/>
      <c r="E1474" s="34"/>
      <c r="F1474" s="34"/>
      <c r="G1474" s="34"/>
      <c r="H1474" s="34"/>
      <c r="I1474" s="34"/>
      <c r="J1474" s="28" t="str">
        <f>IFERROR(__xludf.DUMMYFUNCTION("iferror(if(I1474="""","""",unique(query('tbl driver 2'!$K$2:$L1508,""SELECT L WHERE K = '""&amp;I1474&amp;""'""))),"""")"),"")</f>
        <v/>
      </c>
      <c r="K1474" s="31"/>
      <c r="L1474" s="39"/>
      <c r="M1474" s="39"/>
      <c r="N1474" s="28" t="str">
        <f>IFERROR(__xludf.DUMMYFUNCTION("IF(OR(C1474="""",M1474=""""),"""",IFERROR(IF(M1474="""","""",query('tbl user'!$A$2:$D1508,""SELECT A WHERE D = '""&amp;M1474&amp;""'"")),""USER TIDAK DIKETAHUI""))"),"")</f>
        <v/>
      </c>
    </row>
    <row r="1475">
      <c r="A1475" s="23"/>
      <c r="B1475" s="24" t="str">
        <f t="shared" si="4"/>
        <v/>
      </c>
      <c r="C1475" s="28"/>
      <c r="D1475" s="28"/>
      <c r="E1475" s="34"/>
      <c r="F1475" s="34"/>
      <c r="G1475" s="34"/>
      <c r="H1475" s="34"/>
      <c r="I1475" s="34"/>
      <c r="J1475" s="28" t="str">
        <f>IFERROR(__xludf.DUMMYFUNCTION("iferror(if(I1475="""","""",unique(query('tbl driver 2'!$K$2:$L1508,""SELECT L WHERE K = '""&amp;I1475&amp;""'""))),"""")"),"")</f>
        <v/>
      </c>
      <c r="K1475" s="31"/>
      <c r="L1475" s="39"/>
      <c r="M1475" s="39"/>
      <c r="N1475" s="28" t="str">
        <f>IFERROR(__xludf.DUMMYFUNCTION("IF(OR(C1475="""",M1475=""""),"""",IFERROR(IF(M1475="""","""",query('tbl user'!$A$2:$D1508,""SELECT A WHERE D = '""&amp;M1475&amp;""'"")),""USER TIDAK DIKETAHUI""))"),"")</f>
        <v/>
      </c>
    </row>
    <row r="1476">
      <c r="A1476" s="23"/>
      <c r="B1476" s="24" t="str">
        <f t="shared" si="4"/>
        <v/>
      </c>
      <c r="C1476" s="28"/>
      <c r="D1476" s="28"/>
      <c r="E1476" s="34"/>
      <c r="F1476" s="34"/>
      <c r="G1476" s="34"/>
      <c r="H1476" s="34"/>
      <c r="I1476" s="34"/>
      <c r="J1476" s="28" t="str">
        <f>IFERROR(__xludf.DUMMYFUNCTION("iferror(if(I1476="""","""",unique(query('tbl driver 2'!$K$2:$L1508,""SELECT L WHERE K = '""&amp;I1476&amp;""'""))),"""")"),"")</f>
        <v/>
      </c>
      <c r="K1476" s="31"/>
      <c r="L1476" s="39"/>
      <c r="M1476" s="39"/>
      <c r="N1476" s="28" t="str">
        <f>IFERROR(__xludf.DUMMYFUNCTION("IF(OR(C1476="""",M1476=""""),"""",IFERROR(IF(M1476="""","""",query('tbl user'!$A$2:$D1508,""SELECT A WHERE D = '""&amp;M1476&amp;""'"")),""USER TIDAK DIKETAHUI""))"),"")</f>
        <v/>
      </c>
    </row>
    <row r="1477">
      <c r="A1477" s="23"/>
      <c r="B1477" s="24" t="str">
        <f t="shared" si="4"/>
        <v/>
      </c>
      <c r="C1477" s="28"/>
      <c r="D1477" s="28"/>
      <c r="E1477" s="34"/>
      <c r="F1477" s="34"/>
      <c r="G1477" s="34"/>
      <c r="H1477" s="34"/>
      <c r="I1477" s="34"/>
      <c r="J1477" s="28" t="str">
        <f>IFERROR(__xludf.DUMMYFUNCTION("iferror(if(I1477="""","""",unique(query('tbl driver 2'!$K$2:$L1508,""SELECT L WHERE K = '""&amp;I1477&amp;""'""))),"""")"),"")</f>
        <v/>
      </c>
      <c r="K1477" s="31"/>
      <c r="L1477" s="39"/>
      <c r="M1477" s="39"/>
      <c r="N1477" s="28" t="str">
        <f>IFERROR(__xludf.DUMMYFUNCTION("IF(OR(C1477="""",M1477=""""),"""",IFERROR(IF(M1477="""","""",query('tbl user'!$A$2:$D1508,""SELECT A WHERE D = '""&amp;M1477&amp;""'"")),""USER TIDAK DIKETAHUI""))"),"")</f>
        <v/>
      </c>
    </row>
    <row r="1478">
      <c r="A1478" s="23"/>
      <c r="B1478" s="24" t="str">
        <f t="shared" si="4"/>
        <v/>
      </c>
      <c r="C1478" s="28"/>
      <c r="D1478" s="28"/>
      <c r="E1478" s="34"/>
      <c r="F1478" s="34"/>
      <c r="G1478" s="34"/>
      <c r="H1478" s="34"/>
      <c r="I1478" s="34"/>
      <c r="J1478" s="28" t="str">
        <f>IFERROR(__xludf.DUMMYFUNCTION("iferror(if(I1478="""","""",unique(query('tbl driver 2'!$K$2:$L1508,""SELECT L WHERE K = '""&amp;I1478&amp;""'""))),"""")"),"")</f>
        <v/>
      </c>
      <c r="K1478" s="31"/>
      <c r="L1478" s="39"/>
      <c r="M1478" s="39"/>
      <c r="N1478" s="28" t="str">
        <f>IFERROR(__xludf.DUMMYFUNCTION("IF(OR(C1478="""",M1478=""""),"""",IFERROR(IF(M1478="""","""",query('tbl user'!$A$2:$D1508,""SELECT A WHERE D = '""&amp;M1478&amp;""'"")),""USER TIDAK DIKETAHUI""))"),"")</f>
        <v/>
      </c>
    </row>
    <row r="1479">
      <c r="A1479" s="23"/>
      <c r="B1479" s="24" t="str">
        <f t="shared" si="4"/>
        <v/>
      </c>
      <c r="C1479" s="28"/>
      <c r="D1479" s="28"/>
      <c r="E1479" s="34"/>
      <c r="F1479" s="34"/>
      <c r="G1479" s="34"/>
      <c r="H1479" s="34"/>
      <c r="I1479" s="34"/>
      <c r="J1479" s="28" t="str">
        <f>IFERROR(__xludf.DUMMYFUNCTION("iferror(if(I1479="""","""",unique(query('tbl driver 2'!$K$2:$L1508,""SELECT L WHERE K = '""&amp;I1479&amp;""'""))),"""")"),"")</f>
        <v/>
      </c>
      <c r="K1479" s="31"/>
      <c r="L1479" s="39"/>
      <c r="M1479" s="39"/>
      <c r="N1479" s="28" t="str">
        <f>IFERROR(__xludf.DUMMYFUNCTION("IF(OR(C1479="""",M1479=""""),"""",IFERROR(IF(M1479="""","""",query('tbl user'!$A$2:$D1508,""SELECT A WHERE D = '""&amp;M1479&amp;""'"")),""USER TIDAK DIKETAHUI""))"),"")</f>
        <v/>
      </c>
    </row>
    <row r="1480">
      <c r="A1480" s="23"/>
      <c r="B1480" s="24" t="str">
        <f t="shared" si="4"/>
        <v/>
      </c>
      <c r="C1480" s="28"/>
      <c r="D1480" s="28"/>
      <c r="E1480" s="34"/>
      <c r="F1480" s="34"/>
      <c r="G1480" s="34"/>
      <c r="H1480" s="34"/>
      <c r="I1480" s="34"/>
      <c r="J1480" s="28" t="str">
        <f>IFERROR(__xludf.DUMMYFUNCTION("iferror(if(I1480="""","""",unique(query('tbl driver 2'!$K$2:$L1508,""SELECT L WHERE K = '""&amp;I1480&amp;""'""))),"""")"),"")</f>
        <v/>
      </c>
      <c r="K1480" s="31"/>
      <c r="L1480" s="39"/>
      <c r="M1480" s="39"/>
      <c r="N1480" s="28" t="str">
        <f>IFERROR(__xludf.DUMMYFUNCTION("IF(OR(C1480="""",M1480=""""),"""",IFERROR(IF(M1480="""","""",query('tbl user'!$A$2:$D1508,""SELECT A WHERE D = '""&amp;M1480&amp;""'"")),""USER TIDAK DIKETAHUI""))"),"")</f>
        <v/>
      </c>
    </row>
    <row r="1481">
      <c r="A1481" s="23"/>
      <c r="B1481" s="24" t="str">
        <f t="shared" si="4"/>
        <v/>
      </c>
      <c r="C1481" s="28"/>
      <c r="D1481" s="28"/>
      <c r="E1481" s="34"/>
      <c r="F1481" s="34"/>
      <c r="G1481" s="34"/>
      <c r="H1481" s="34"/>
      <c r="I1481" s="34"/>
      <c r="J1481" s="28" t="str">
        <f>IFERROR(__xludf.DUMMYFUNCTION("iferror(if(I1481="""","""",unique(query('tbl driver 2'!$K$2:$L1508,""SELECT L WHERE K = '""&amp;I1481&amp;""'""))),"""")"),"")</f>
        <v/>
      </c>
      <c r="K1481" s="31"/>
      <c r="L1481" s="39"/>
      <c r="M1481" s="39"/>
      <c r="N1481" s="28" t="str">
        <f>IFERROR(__xludf.DUMMYFUNCTION("IF(OR(C1481="""",M1481=""""),"""",IFERROR(IF(M1481="""","""",query('tbl user'!$A$2:$D1508,""SELECT A WHERE D = '""&amp;M1481&amp;""'"")),""USER TIDAK DIKETAHUI""))"),"")</f>
        <v/>
      </c>
    </row>
    <row r="1482">
      <c r="A1482" s="23"/>
      <c r="B1482" s="24" t="str">
        <f t="shared" si="4"/>
        <v/>
      </c>
      <c r="C1482" s="28"/>
      <c r="D1482" s="28"/>
      <c r="E1482" s="34"/>
      <c r="F1482" s="34"/>
      <c r="G1482" s="34"/>
      <c r="H1482" s="34"/>
      <c r="I1482" s="34"/>
      <c r="J1482" s="28" t="str">
        <f>IFERROR(__xludf.DUMMYFUNCTION("iferror(if(I1482="""","""",unique(query('tbl driver 2'!$K$2:$L1508,""SELECT L WHERE K = '""&amp;I1482&amp;""'""))),"""")"),"")</f>
        <v/>
      </c>
      <c r="K1482" s="31"/>
      <c r="L1482" s="39"/>
      <c r="M1482" s="39"/>
      <c r="N1482" s="28" t="str">
        <f>IFERROR(__xludf.DUMMYFUNCTION("IF(OR(C1482="""",M1482=""""),"""",IFERROR(IF(M1482="""","""",query('tbl user'!$A$2:$D1508,""SELECT A WHERE D = '""&amp;M1482&amp;""'"")),""USER TIDAK DIKETAHUI""))"),"")</f>
        <v/>
      </c>
    </row>
    <row r="1483">
      <c r="A1483" s="23"/>
      <c r="B1483" s="24" t="str">
        <f t="shared" si="4"/>
        <v/>
      </c>
      <c r="C1483" s="28"/>
      <c r="D1483" s="28"/>
      <c r="E1483" s="34"/>
      <c r="F1483" s="34"/>
      <c r="G1483" s="34"/>
      <c r="H1483" s="34"/>
      <c r="I1483" s="34"/>
      <c r="J1483" s="28" t="str">
        <f>IFERROR(__xludf.DUMMYFUNCTION("iferror(if(I1483="""","""",unique(query('tbl driver 2'!$K$2:$L1508,""SELECT L WHERE K = '""&amp;I1483&amp;""'""))),"""")"),"")</f>
        <v/>
      </c>
      <c r="K1483" s="31"/>
      <c r="L1483" s="39"/>
      <c r="M1483" s="39"/>
      <c r="N1483" s="28" t="str">
        <f>IFERROR(__xludf.DUMMYFUNCTION("IF(OR(C1483="""",M1483=""""),"""",IFERROR(IF(M1483="""","""",query('tbl user'!$A$2:$D1508,""SELECT A WHERE D = '""&amp;M1483&amp;""'"")),""USER TIDAK DIKETAHUI""))"),"")</f>
        <v/>
      </c>
    </row>
    <row r="1484">
      <c r="A1484" s="23"/>
      <c r="B1484" s="24" t="str">
        <f t="shared" si="4"/>
        <v/>
      </c>
      <c r="C1484" s="28"/>
      <c r="D1484" s="28"/>
      <c r="E1484" s="34"/>
      <c r="F1484" s="34"/>
      <c r="G1484" s="34"/>
      <c r="H1484" s="34"/>
      <c r="I1484" s="34"/>
      <c r="J1484" s="28" t="str">
        <f>IFERROR(__xludf.DUMMYFUNCTION("iferror(if(I1484="""","""",unique(query('tbl driver 2'!$K$2:$L1508,""SELECT L WHERE K = '""&amp;I1484&amp;""'""))),"""")"),"")</f>
        <v/>
      </c>
      <c r="K1484" s="31"/>
      <c r="L1484" s="39"/>
      <c r="M1484" s="39"/>
      <c r="N1484" s="28" t="str">
        <f>IFERROR(__xludf.DUMMYFUNCTION("IF(OR(C1484="""",M1484=""""),"""",IFERROR(IF(M1484="""","""",query('tbl user'!$A$2:$D1508,""SELECT A WHERE D = '""&amp;M1484&amp;""'"")),""USER TIDAK DIKETAHUI""))"),"")</f>
        <v/>
      </c>
    </row>
    <row r="1485">
      <c r="A1485" s="23"/>
      <c r="B1485" s="24" t="str">
        <f t="shared" si="4"/>
        <v/>
      </c>
      <c r="C1485" s="28"/>
      <c r="D1485" s="28"/>
      <c r="E1485" s="34"/>
      <c r="F1485" s="34"/>
      <c r="G1485" s="34"/>
      <c r="H1485" s="34"/>
      <c r="I1485" s="34"/>
      <c r="J1485" s="28" t="str">
        <f>IFERROR(__xludf.DUMMYFUNCTION("iferror(if(I1485="""","""",unique(query('tbl driver 2'!$K$2:$L1508,""SELECT L WHERE K = '""&amp;I1485&amp;""'""))),"""")"),"")</f>
        <v/>
      </c>
      <c r="K1485" s="31"/>
      <c r="L1485" s="39"/>
      <c r="M1485" s="39"/>
      <c r="N1485" s="28" t="str">
        <f>IFERROR(__xludf.DUMMYFUNCTION("IF(OR(C1485="""",M1485=""""),"""",IFERROR(IF(M1485="""","""",query('tbl user'!$A$2:$D1508,""SELECT A WHERE D = '""&amp;M1485&amp;""'"")),""USER TIDAK DIKETAHUI""))"),"")</f>
        <v/>
      </c>
    </row>
    <row r="1486">
      <c r="A1486" s="23"/>
      <c r="B1486" s="24" t="str">
        <f t="shared" si="4"/>
        <v/>
      </c>
      <c r="C1486" s="28"/>
      <c r="D1486" s="28"/>
      <c r="E1486" s="34"/>
      <c r="F1486" s="34"/>
      <c r="G1486" s="34"/>
      <c r="H1486" s="34"/>
      <c r="I1486" s="34"/>
      <c r="J1486" s="28" t="str">
        <f>IFERROR(__xludf.DUMMYFUNCTION("iferror(if(I1486="""","""",unique(query('tbl driver 2'!$K$2:$L1508,""SELECT L WHERE K = '""&amp;I1486&amp;""'""))),"""")"),"")</f>
        <v/>
      </c>
      <c r="K1486" s="31"/>
      <c r="L1486" s="39"/>
      <c r="M1486" s="39"/>
      <c r="N1486" s="28" t="str">
        <f>IFERROR(__xludf.DUMMYFUNCTION("IF(OR(C1486="""",M1486=""""),"""",IFERROR(IF(M1486="""","""",query('tbl user'!$A$2:$D1508,""SELECT A WHERE D = '""&amp;M1486&amp;""'"")),""USER TIDAK DIKETAHUI""))"),"")</f>
        <v/>
      </c>
    </row>
    <row r="1487">
      <c r="A1487" s="23"/>
      <c r="B1487" s="24" t="str">
        <f t="shared" si="4"/>
        <v/>
      </c>
      <c r="C1487" s="28"/>
      <c r="D1487" s="28"/>
      <c r="E1487" s="34"/>
      <c r="F1487" s="34"/>
      <c r="G1487" s="34"/>
      <c r="H1487" s="34"/>
      <c r="I1487" s="34"/>
      <c r="J1487" s="28" t="str">
        <f>IFERROR(__xludf.DUMMYFUNCTION("iferror(if(I1487="""","""",unique(query('tbl driver 2'!$K$2:$L1508,""SELECT L WHERE K = '""&amp;I1487&amp;""'""))),"""")"),"")</f>
        <v/>
      </c>
      <c r="K1487" s="31"/>
      <c r="L1487" s="39"/>
      <c r="M1487" s="39"/>
      <c r="N1487" s="28" t="str">
        <f>IFERROR(__xludf.DUMMYFUNCTION("IF(OR(C1487="""",M1487=""""),"""",IFERROR(IF(M1487="""","""",query('tbl user'!$A$2:$D1508,""SELECT A WHERE D = '""&amp;M1487&amp;""'"")),""USER TIDAK DIKETAHUI""))"),"")</f>
        <v/>
      </c>
    </row>
    <row r="1488">
      <c r="A1488" s="23"/>
      <c r="B1488" s="24" t="str">
        <f t="shared" si="4"/>
        <v/>
      </c>
      <c r="C1488" s="28"/>
      <c r="D1488" s="28"/>
      <c r="E1488" s="34"/>
      <c r="F1488" s="34"/>
      <c r="G1488" s="34"/>
      <c r="H1488" s="34"/>
      <c r="I1488" s="34"/>
      <c r="J1488" s="28" t="str">
        <f>IFERROR(__xludf.DUMMYFUNCTION("iferror(if(I1488="""","""",unique(query('tbl driver 2'!$K$2:$L1508,""SELECT L WHERE K = '""&amp;I1488&amp;""'""))),"""")"),"")</f>
        <v/>
      </c>
      <c r="K1488" s="31"/>
      <c r="L1488" s="39"/>
      <c r="M1488" s="39"/>
      <c r="N1488" s="28" t="str">
        <f>IFERROR(__xludf.DUMMYFUNCTION("IF(OR(C1488="""",M1488=""""),"""",IFERROR(IF(M1488="""","""",query('tbl user'!$A$2:$D1508,""SELECT A WHERE D = '""&amp;M1488&amp;""'"")),""USER TIDAK DIKETAHUI""))"),"")</f>
        <v/>
      </c>
    </row>
    <row r="1489">
      <c r="A1489" s="23"/>
      <c r="B1489" s="24" t="str">
        <f t="shared" si="4"/>
        <v/>
      </c>
      <c r="C1489" s="28"/>
      <c r="D1489" s="28"/>
      <c r="E1489" s="34"/>
      <c r="F1489" s="34"/>
      <c r="G1489" s="34"/>
      <c r="H1489" s="34"/>
      <c r="I1489" s="34"/>
      <c r="J1489" s="28" t="str">
        <f>IFERROR(__xludf.DUMMYFUNCTION("iferror(if(I1489="""","""",unique(query('tbl driver 2'!$K$2:$L1508,""SELECT L WHERE K = '""&amp;I1489&amp;""'""))),"""")"),"")</f>
        <v/>
      </c>
      <c r="K1489" s="31"/>
      <c r="L1489" s="39"/>
      <c r="M1489" s="39"/>
      <c r="N1489" s="28" t="str">
        <f>IFERROR(__xludf.DUMMYFUNCTION("IF(OR(C1489="""",M1489=""""),"""",IFERROR(IF(M1489="""","""",query('tbl user'!$A$2:$D1508,""SELECT A WHERE D = '""&amp;M1489&amp;""'"")),""USER TIDAK DIKETAHUI""))"),"")</f>
        <v/>
      </c>
    </row>
    <row r="1490">
      <c r="A1490" s="23"/>
      <c r="B1490" s="24" t="str">
        <f t="shared" si="4"/>
        <v/>
      </c>
      <c r="C1490" s="28"/>
      <c r="D1490" s="28"/>
      <c r="E1490" s="34"/>
      <c r="F1490" s="34"/>
      <c r="G1490" s="34"/>
      <c r="H1490" s="34"/>
      <c r="I1490" s="34"/>
      <c r="J1490" s="28" t="str">
        <f>IFERROR(__xludf.DUMMYFUNCTION("iferror(if(I1490="""","""",unique(query('tbl driver 2'!$K$2:$L1508,""SELECT L WHERE K = '""&amp;I1490&amp;""'""))),"""")"),"")</f>
        <v/>
      </c>
      <c r="K1490" s="31"/>
      <c r="L1490" s="39"/>
      <c r="M1490" s="39"/>
      <c r="N1490" s="28" t="str">
        <f>IFERROR(__xludf.DUMMYFUNCTION("IF(OR(C1490="""",M1490=""""),"""",IFERROR(IF(M1490="""","""",query('tbl user'!$A$2:$D1508,""SELECT A WHERE D = '""&amp;M1490&amp;""'"")),""USER TIDAK DIKETAHUI""))"),"")</f>
        <v/>
      </c>
    </row>
    <row r="1491">
      <c r="A1491" s="23"/>
      <c r="B1491" s="24" t="str">
        <f t="shared" si="4"/>
        <v/>
      </c>
      <c r="C1491" s="28"/>
      <c r="D1491" s="28"/>
      <c r="E1491" s="34"/>
      <c r="F1491" s="34"/>
      <c r="G1491" s="34"/>
      <c r="H1491" s="34"/>
      <c r="I1491" s="34"/>
      <c r="J1491" s="28" t="str">
        <f>IFERROR(__xludf.DUMMYFUNCTION("iferror(if(I1491="""","""",unique(query('tbl driver 2'!$K$2:$L1508,""SELECT L WHERE K = '""&amp;I1491&amp;""'""))),"""")"),"")</f>
        <v/>
      </c>
      <c r="K1491" s="31"/>
      <c r="L1491" s="39"/>
      <c r="M1491" s="39"/>
      <c r="N1491" s="28" t="str">
        <f>IFERROR(__xludf.DUMMYFUNCTION("IF(OR(C1491="""",M1491=""""),"""",IFERROR(IF(M1491="""","""",query('tbl user'!$A$2:$D1508,""SELECT A WHERE D = '""&amp;M1491&amp;""'"")),""USER TIDAK DIKETAHUI""))"),"")</f>
        <v/>
      </c>
    </row>
    <row r="1492">
      <c r="A1492" s="23"/>
      <c r="B1492" s="24" t="str">
        <f t="shared" si="4"/>
        <v/>
      </c>
      <c r="C1492" s="28"/>
      <c r="D1492" s="28"/>
      <c r="E1492" s="34"/>
      <c r="F1492" s="34"/>
      <c r="G1492" s="34"/>
      <c r="H1492" s="34"/>
      <c r="I1492" s="34"/>
      <c r="J1492" s="28" t="str">
        <f>IFERROR(__xludf.DUMMYFUNCTION("iferror(if(I1492="""","""",unique(query('tbl driver 2'!$K$2:$L1508,""SELECT L WHERE K = '""&amp;I1492&amp;""'""))),"""")"),"")</f>
        <v/>
      </c>
      <c r="K1492" s="31"/>
      <c r="L1492" s="39"/>
      <c r="M1492" s="39"/>
      <c r="N1492" s="28" t="str">
        <f>IFERROR(__xludf.DUMMYFUNCTION("IF(OR(C1492="""",M1492=""""),"""",IFERROR(IF(M1492="""","""",query('tbl user'!$A$2:$D1508,""SELECT A WHERE D = '""&amp;M1492&amp;""'"")),""USER TIDAK DIKETAHUI""))"),"")</f>
        <v/>
      </c>
    </row>
    <row r="1493">
      <c r="A1493" s="23"/>
      <c r="B1493" s="24" t="str">
        <f t="shared" si="4"/>
        <v/>
      </c>
      <c r="C1493" s="28"/>
      <c r="D1493" s="28"/>
      <c r="E1493" s="34"/>
      <c r="F1493" s="34"/>
      <c r="G1493" s="34"/>
      <c r="H1493" s="34"/>
      <c r="I1493" s="34"/>
      <c r="J1493" s="28" t="str">
        <f>IFERROR(__xludf.DUMMYFUNCTION("iferror(if(I1493="""","""",unique(query('tbl driver 2'!$K$2:$L1508,""SELECT L WHERE K = '""&amp;I1493&amp;""'""))),"""")"),"")</f>
        <v/>
      </c>
      <c r="K1493" s="31"/>
      <c r="L1493" s="39"/>
      <c r="M1493" s="39"/>
      <c r="N1493" s="28" t="str">
        <f>IFERROR(__xludf.DUMMYFUNCTION("IF(OR(C1493="""",M1493=""""),"""",IFERROR(IF(M1493="""","""",query('tbl user'!$A$2:$D1508,""SELECT A WHERE D = '""&amp;M1493&amp;""'"")),""USER TIDAK DIKETAHUI""))"),"")</f>
        <v/>
      </c>
    </row>
    <row r="1494">
      <c r="A1494" s="23"/>
      <c r="B1494" s="24" t="str">
        <f t="shared" si="4"/>
        <v/>
      </c>
      <c r="C1494" s="28"/>
      <c r="D1494" s="28"/>
      <c r="E1494" s="34"/>
      <c r="F1494" s="34"/>
      <c r="G1494" s="34"/>
      <c r="H1494" s="34"/>
      <c r="I1494" s="34"/>
      <c r="J1494" s="28" t="str">
        <f>IFERROR(__xludf.DUMMYFUNCTION("iferror(if(I1494="""","""",unique(query('tbl driver 2'!$K$2:$L1508,""SELECT L WHERE K = '""&amp;I1494&amp;""'""))),"""")"),"")</f>
        <v/>
      </c>
      <c r="K1494" s="31"/>
      <c r="L1494" s="39"/>
      <c r="M1494" s="39"/>
      <c r="N1494" s="28" t="str">
        <f>IFERROR(__xludf.DUMMYFUNCTION("IF(OR(C1494="""",M1494=""""),"""",IFERROR(IF(M1494="""","""",query('tbl user'!$A$2:$D1508,""SELECT A WHERE D = '""&amp;M1494&amp;""'"")),""USER TIDAK DIKETAHUI""))"),"")</f>
        <v/>
      </c>
    </row>
    <row r="1495">
      <c r="A1495" s="23"/>
      <c r="B1495" s="24" t="str">
        <f t="shared" si="4"/>
        <v/>
      </c>
      <c r="C1495" s="28"/>
      <c r="D1495" s="28"/>
      <c r="E1495" s="34"/>
      <c r="F1495" s="34"/>
      <c r="G1495" s="34"/>
      <c r="H1495" s="34"/>
      <c r="I1495" s="34"/>
      <c r="J1495" s="28" t="str">
        <f>IFERROR(__xludf.DUMMYFUNCTION("iferror(if(I1495="""","""",unique(query('tbl driver 2'!$K$2:$L1508,""SELECT L WHERE K = '""&amp;I1495&amp;""'""))),"""")"),"")</f>
        <v/>
      </c>
      <c r="K1495" s="31"/>
      <c r="L1495" s="39"/>
      <c r="M1495" s="39"/>
      <c r="N1495" s="28" t="str">
        <f>IFERROR(__xludf.DUMMYFUNCTION("IF(OR(C1495="""",M1495=""""),"""",IFERROR(IF(M1495="""","""",query('tbl user'!$A$2:$D1508,""SELECT A WHERE D = '""&amp;M1495&amp;""'"")),""USER TIDAK DIKETAHUI""))"),"")</f>
        <v/>
      </c>
    </row>
    <row r="1496">
      <c r="A1496" s="23"/>
      <c r="B1496" s="24" t="str">
        <f t="shared" si="4"/>
        <v/>
      </c>
      <c r="C1496" s="28"/>
      <c r="D1496" s="28"/>
      <c r="E1496" s="34"/>
      <c r="F1496" s="34"/>
      <c r="G1496" s="34"/>
      <c r="H1496" s="34"/>
      <c r="I1496" s="34"/>
      <c r="J1496" s="28" t="str">
        <f>IFERROR(__xludf.DUMMYFUNCTION("iferror(if(I1496="""","""",unique(query('tbl driver 2'!$K$2:$L1508,""SELECT L WHERE K = '""&amp;I1496&amp;""'""))),"""")"),"")</f>
        <v/>
      </c>
      <c r="K1496" s="31"/>
      <c r="L1496" s="39"/>
      <c r="M1496" s="39"/>
      <c r="N1496" s="28" t="str">
        <f>IFERROR(__xludf.DUMMYFUNCTION("IF(OR(C1496="""",M1496=""""),"""",IFERROR(IF(M1496="""","""",query('tbl user'!$A$2:$D1508,""SELECT A WHERE D = '""&amp;M1496&amp;""'"")),""USER TIDAK DIKETAHUI""))"),"")</f>
        <v/>
      </c>
    </row>
    <row r="1497">
      <c r="A1497" s="23"/>
      <c r="B1497" s="24" t="str">
        <f t="shared" si="4"/>
        <v/>
      </c>
      <c r="C1497" s="28"/>
      <c r="D1497" s="28"/>
      <c r="E1497" s="34"/>
      <c r="F1497" s="34"/>
      <c r="G1497" s="34"/>
      <c r="H1497" s="34"/>
      <c r="I1497" s="34"/>
      <c r="J1497" s="28" t="str">
        <f>IFERROR(__xludf.DUMMYFUNCTION("iferror(if(I1497="""","""",unique(query('tbl driver 2'!$K$2:$L1508,""SELECT L WHERE K = '""&amp;I1497&amp;""'""))),"""")"),"")</f>
        <v/>
      </c>
      <c r="K1497" s="31"/>
      <c r="L1497" s="39"/>
      <c r="M1497" s="39"/>
      <c r="N1497" s="28" t="str">
        <f>IFERROR(__xludf.DUMMYFUNCTION("IF(OR(C1497="""",M1497=""""),"""",IFERROR(IF(M1497="""","""",query('tbl user'!$A$2:$D1508,""SELECT A WHERE D = '""&amp;M1497&amp;""'"")),""USER TIDAK DIKETAHUI""))"),"")</f>
        <v/>
      </c>
    </row>
    <row r="1498">
      <c r="A1498" s="23"/>
      <c r="B1498" s="24" t="str">
        <f t="shared" si="4"/>
        <v/>
      </c>
      <c r="C1498" s="28"/>
      <c r="D1498" s="28"/>
      <c r="E1498" s="34"/>
      <c r="F1498" s="34"/>
      <c r="G1498" s="34"/>
      <c r="H1498" s="34"/>
      <c r="I1498" s="34"/>
      <c r="J1498" s="28" t="str">
        <f>IFERROR(__xludf.DUMMYFUNCTION("iferror(if(I1498="""","""",unique(query('tbl driver 2'!$K$2:$L1508,""SELECT L WHERE K = '""&amp;I1498&amp;""'""))),"""")"),"")</f>
        <v/>
      </c>
      <c r="K1498" s="31"/>
      <c r="L1498" s="39"/>
      <c r="M1498" s="39"/>
      <c r="N1498" s="28" t="str">
        <f>IFERROR(__xludf.DUMMYFUNCTION("IF(OR(C1498="""",M1498=""""),"""",IFERROR(IF(M1498="""","""",query('tbl user'!$A$2:$D1508,""SELECT A WHERE D = '""&amp;M1498&amp;""'"")),""USER TIDAK DIKETAHUI""))"),"")</f>
        <v/>
      </c>
    </row>
    <row r="1499">
      <c r="A1499" s="23"/>
      <c r="B1499" s="24" t="str">
        <f t="shared" si="4"/>
        <v/>
      </c>
      <c r="C1499" s="28"/>
      <c r="D1499" s="28"/>
      <c r="E1499" s="34"/>
      <c r="F1499" s="34"/>
      <c r="G1499" s="34"/>
      <c r="H1499" s="34"/>
      <c r="I1499" s="34"/>
      <c r="J1499" s="28" t="str">
        <f>IFERROR(__xludf.DUMMYFUNCTION("iferror(if(I1499="""","""",unique(query('tbl driver 2'!$K$2:$L1508,""SELECT L WHERE K = '""&amp;I1499&amp;""'""))),"""")"),"")</f>
        <v/>
      </c>
      <c r="K1499" s="31"/>
      <c r="L1499" s="39"/>
      <c r="M1499" s="39"/>
      <c r="N1499" s="28" t="str">
        <f>IFERROR(__xludf.DUMMYFUNCTION("IF(OR(C1499="""",M1499=""""),"""",IFERROR(IF(M1499="""","""",query('tbl user'!$A$2:$D1508,""SELECT A WHERE D = '""&amp;M1499&amp;""'"")),""USER TIDAK DIKETAHUI""))"),"")</f>
        <v/>
      </c>
    </row>
    <row r="1500">
      <c r="A1500" s="23"/>
      <c r="B1500" s="24" t="str">
        <f t="shared" si="4"/>
        <v/>
      </c>
      <c r="C1500" s="28"/>
      <c r="D1500" s="28"/>
      <c r="E1500" s="34"/>
      <c r="F1500" s="34"/>
      <c r="G1500" s="34"/>
      <c r="H1500" s="34"/>
      <c r="I1500" s="34"/>
      <c r="J1500" s="28" t="str">
        <f>IFERROR(__xludf.DUMMYFUNCTION("iferror(if(I1500="""","""",unique(query('tbl driver 2'!$K$2:$L1508,""SELECT L WHERE K = '""&amp;I1500&amp;""'""))),"""")"),"")</f>
        <v/>
      </c>
      <c r="K1500" s="31"/>
      <c r="L1500" s="39"/>
      <c r="M1500" s="39"/>
      <c r="N1500" s="28" t="str">
        <f>IFERROR(__xludf.DUMMYFUNCTION("IF(OR(C1500="""",M1500=""""),"""",IFERROR(IF(M1500="""","""",query('tbl user'!$A$2:$D1508,""SELECT A WHERE D = '""&amp;M1500&amp;""'"")),""USER TIDAK DIKETAHUI""))"),"")</f>
        <v/>
      </c>
    </row>
    <row r="1501">
      <c r="A1501" s="23"/>
      <c r="B1501" s="24" t="str">
        <f t="shared" si="4"/>
        <v/>
      </c>
      <c r="C1501" s="28"/>
      <c r="D1501" s="28"/>
      <c r="E1501" s="34"/>
      <c r="F1501" s="34"/>
      <c r="G1501" s="34"/>
      <c r="H1501" s="34"/>
      <c r="I1501" s="34"/>
      <c r="J1501" s="28" t="str">
        <f>IFERROR(__xludf.DUMMYFUNCTION("iferror(if(I1501="""","""",unique(query('tbl driver 2'!$K$2:$L1508,""SELECT L WHERE K = '""&amp;I1501&amp;""'""))),"""")"),"")</f>
        <v/>
      </c>
      <c r="K1501" s="31"/>
      <c r="L1501" s="39"/>
      <c r="M1501" s="39"/>
      <c r="N1501" s="28" t="str">
        <f>IFERROR(__xludf.DUMMYFUNCTION("IF(OR(C1501="""",M1501=""""),"""",IFERROR(IF(M1501="""","""",query('tbl user'!$A$2:$D1508,""SELECT A WHERE D = '""&amp;M1501&amp;""'"")),""USER TIDAK DIKETAHUI""))"),"")</f>
        <v/>
      </c>
    </row>
    <row r="1502">
      <c r="A1502" s="23"/>
      <c r="B1502" s="24" t="str">
        <f t="shared" si="4"/>
        <v/>
      </c>
      <c r="C1502" s="28"/>
      <c r="D1502" s="28"/>
      <c r="E1502" s="34"/>
      <c r="F1502" s="34"/>
      <c r="G1502" s="34"/>
      <c r="H1502" s="34"/>
      <c r="I1502" s="34"/>
      <c r="J1502" s="28" t="str">
        <f>IFERROR(__xludf.DUMMYFUNCTION("iferror(if(I1502="""","""",unique(query('tbl driver 2'!$K$2:$L1508,""SELECT L WHERE K = '""&amp;I1502&amp;""'""))),"""")"),"")</f>
        <v/>
      </c>
      <c r="K1502" s="31"/>
      <c r="L1502" s="39"/>
      <c r="M1502" s="39"/>
      <c r="N1502" s="28" t="str">
        <f>IFERROR(__xludf.DUMMYFUNCTION("IF(OR(C1502="""",M1502=""""),"""",IFERROR(IF(M1502="""","""",query('tbl user'!$A$2:$D1508,""SELECT A WHERE D = '""&amp;M1502&amp;""'"")),""USER TIDAK DIKETAHUI""))"),"")</f>
        <v/>
      </c>
    </row>
    <row r="1503">
      <c r="A1503" s="23"/>
      <c r="B1503" s="24" t="str">
        <f t="shared" si="4"/>
        <v/>
      </c>
      <c r="C1503" s="28"/>
      <c r="D1503" s="28"/>
      <c r="E1503" s="34"/>
      <c r="F1503" s="34"/>
      <c r="G1503" s="34"/>
      <c r="H1503" s="34"/>
      <c r="I1503" s="34"/>
      <c r="J1503" s="28" t="str">
        <f>IFERROR(__xludf.DUMMYFUNCTION("iferror(if(I1503="""","""",unique(query('tbl driver 2'!$K$2:$L1508,""SELECT L WHERE K = '""&amp;I1503&amp;""'""))),"""")"),"")</f>
        <v/>
      </c>
      <c r="K1503" s="31"/>
      <c r="L1503" s="39"/>
      <c r="M1503" s="39"/>
      <c r="N1503" s="28" t="str">
        <f>IFERROR(__xludf.DUMMYFUNCTION("IF(OR(C1503="""",M1503=""""),"""",IFERROR(IF(M1503="""","""",query('tbl user'!$A$2:$D1508,""SELECT A WHERE D = '""&amp;M1503&amp;""'"")),""USER TIDAK DIKETAHUI""))"),"")</f>
        <v/>
      </c>
    </row>
    <row r="1504">
      <c r="A1504" s="23"/>
      <c r="B1504" s="24" t="str">
        <f t="shared" si="4"/>
        <v/>
      </c>
      <c r="C1504" s="28"/>
      <c r="D1504" s="28"/>
      <c r="E1504" s="34"/>
      <c r="F1504" s="34"/>
      <c r="G1504" s="34"/>
      <c r="H1504" s="34"/>
      <c r="I1504" s="34"/>
      <c r="J1504" s="28" t="str">
        <f>IFERROR(__xludf.DUMMYFUNCTION("iferror(if(I1504="""","""",unique(query('tbl driver 2'!$K$2:$L1508,""SELECT L WHERE K = '""&amp;I1504&amp;""'""))),"""")"),"")</f>
        <v/>
      </c>
      <c r="K1504" s="31"/>
      <c r="L1504" s="39"/>
      <c r="M1504" s="39"/>
      <c r="N1504" s="28" t="str">
        <f>IFERROR(__xludf.DUMMYFUNCTION("IF(OR(C1504="""",M1504=""""),"""",IFERROR(IF(M1504="""","""",query('tbl user'!$A$2:$D1508,""SELECT A WHERE D = '""&amp;M1504&amp;""'"")),""USER TIDAK DIKETAHUI""))"),"")</f>
        <v/>
      </c>
    </row>
    <row r="1505">
      <c r="A1505" s="23"/>
      <c r="B1505" s="24" t="str">
        <f t="shared" si="4"/>
        <v/>
      </c>
      <c r="C1505" s="28"/>
      <c r="D1505" s="28"/>
      <c r="E1505" s="34"/>
      <c r="F1505" s="34"/>
      <c r="G1505" s="34"/>
      <c r="H1505" s="34"/>
      <c r="I1505" s="34"/>
      <c r="J1505" s="28" t="str">
        <f>IFERROR(__xludf.DUMMYFUNCTION("iferror(if(I1505="""","""",unique(query('tbl driver 2'!$K$2:$L1508,""SELECT L WHERE K = '""&amp;I1505&amp;""'""))),"""")"),"")</f>
        <v/>
      </c>
      <c r="K1505" s="31"/>
      <c r="L1505" s="39"/>
      <c r="M1505" s="39"/>
      <c r="N1505" s="28" t="str">
        <f>IFERROR(__xludf.DUMMYFUNCTION("IF(OR(C1505="""",M1505=""""),"""",IFERROR(IF(M1505="""","""",query('tbl user'!$A$2:$D1508,""SELECT A WHERE D = '""&amp;M1505&amp;""'"")),""USER TIDAK DIKETAHUI""))"),"")</f>
        <v/>
      </c>
    </row>
    <row r="1506">
      <c r="A1506" s="23"/>
      <c r="B1506" s="24" t="str">
        <f t="shared" si="4"/>
        <v/>
      </c>
      <c r="C1506" s="28"/>
      <c r="D1506" s="28"/>
      <c r="E1506" s="34"/>
      <c r="F1506" s="34"/>
      <c r="G1506" s="34"/>
      <c r="H1506" s="34"/>
      <c r="I1506" s="34"/>
      <c r="J1506" s="28" t="str">
        <f>IFERROR(__xludf.DUMMYFUNCTION("iferror(if(I1506="""","""",unique(query('tbl driver 2'!$K$2:$L1508,""SELECT L WHERE K = '""&amp;I1506&amp;""'""))),"""")"),"")</f>
        <v/>
      </c>
      <c r="K1506" s="31"/>
      <c r="L1506" s="39"/>
      <c r="M1506" s="39"/>
      <c r="N1506" s="28" t="str">
        <f>IFERROR(__xludf.DUMMYFUNCTION("IF(OR(C1506="""",M1506=""""),"""",IFERROR(IF(M1506="""","""",query('tbl user'!$A$2:$D1508,""SELECT A WHERE D = '""&amp;M1506&amp;""'"")),""USER TIDAK DIKETAHUI""))"),"")</f>
        <v/>
      </c>
    </row>
    <row r="1507">
      <c r="A1507" s="23"/>
      <c r="B1507" s="24" t="str">
        <f t="shared" si="4"/>
        <v/>
      </c>
      <c r="C1507" s="28"/>
      <c r="D1507" s="28"/>
      <c r="E1507" s="34"/>
      <c r="F1507" s="34"/>
      <c r="G1507" s="34"/>
      <c r="H1507" s="34"/>
      <c r="I1507" s="34"/>
      <c r="J1507" s="28" t="str">
        <f>IFERROR(__xludf.DUMMYFUNCTION("iferror(if(I1507="""","""",unique(query('tbl driver 2'!$K$2:$L1508,""SELECT L WHERE K = '""&amp;I1507&amp;""'""))),"""")"),"")</f>
        <v/>
      </c>
      <c r="K1507" s="31"/>
      <c r="L1507" s="39"/>
      <c r="M1507" s="39"/>
      <c r="N1507" s="28" t="str">
        <f>IFERROR(__xludf.DUMMYFUNCTION("IF(OR(C1507="""",M1507=""""),"""",IFERROR(IF(M1507="""","""",query('tbl user'!$A$2:$D1508,""SELECT A WHERE D = '""&amp;M1507&amp;""'"")),""USER TIDAK DIKETAHUI""))"),"")</f>
        <v/>
      </c>
    </row>
    <row r="1508">
      <c r="A1508" s="23"/>
      <c r="B1508" s="24" t="str">
        <f t="shared" si="4"/>
        <v/>
      </c>
      <c r="C1508" s="28"/>
      <c r="D1508" s="28"/>
      <c r="E1508" s="34"/>
      <c r="F1508" s="34"/>
      <c r="G1508" s="34"/>
      <c r="H1508" s="34"/>
      <c r="I1508" s="34"/>
      <c r="J1508" s="28" t="str">
        <f>IFERROR(__xludf.DUMMYFUNCTION("iferror(if(I1508="""","""",unique(query('tbl driver 2'!$K$2:$L1508,""SELECT L WHERE K = '""&amp;I1508&amp;""'""))),"""")"),"")</f>
        <v/>
      </c>
      <c r="K1508" s="31"/>
      <c r="L1508" s="39"/>
      <c r="M1508" s="39"/>
      <c r="N1508" s="28" t="str">
        <f>IFERROR(__xludf.DUMMYFUNCTION("IF(OR(C1508="""",M1508=""""),"""",IFERROR(IF(M1508="""","""",query('tbl user'!$A$2:$D1508,""SELECT A WHERE D = '""&amp;M1508&amp;""'"")),""USER TIDAK DIKETAHUI""))"),"")</f>
        <v/>
      </c>
    </row>
  </sheetData>
  <mergeCells count="4">
    <mergeCell ref="A1:A2"/>
    <mergeCell ref="B1:B2"/>
    <mergeCell ref="L1:L2"/>
    <mergeCell ref="M1:M2"/>
  </mergeCells>
  <dataValidations>
    <dataValidation type="list" allowBlank="1" sqref="I3:I1508">
      <formula1>'tbl driver 2'!$K$2:$K1508</formula1>
    </dataValidation>
    <dataValidation type="list" allowBlank="1" showErrorMessage="1" sqref="G3:G1508">
      <formula1>'tbl equipment'!$C$2:$C1508</formula1>
    </dataValidation>
    <dataValidation type="list" allowBlank="1" showErrorMessage="1" sqref="F3:F1508">
      <formula1>'tbl tempat insiden'!$B$2:$B1508</formula1>
    </dataValidation>
    <dataValidation type="list" allowBlank="1" showErrorMessage="1" sqref="H3:H1508">
      <formula1>'tbl departemen kecelakaan'!$B$2:$B1508</formula1>
    </dataValidation>
    <dataValidation type="list" allowBlank="1" showErrorMessage="1" sqref="E3:E1508">
      <formula1>'tbl kategori kecelakaan'!$B$2:$B1508</formula1>
    </dataValidation>
    <dataValidation type="custom" allowBlank="1" showDropDown="1" showErrorMessage="1" sqref="C3:C1508">
      <formula1>OR(NOT(ISERROR(DATEVALUE(C3))), AND(ISNUMBER(C3), LEFT(CELL("format", C3))="D"))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38"/>
    <col customWidth="1" hidden="1" min="2" max="2" width="30.38"/>
    <col customWidth="1" min="3" max="3" width="30.38"/>
    <col customWidth="1" min="4" max="4" width="82.75"/>
  </cols>
  <sheetData>
    <row r="1" ht="34.5" customHeight="1">
      <c r="A1" s="41" t="s">
        <v>254</v>
      </c>
      <c r="B1" s="42" t="s">
        <v>255</v>
      </c>
      <c r="C1" s="43" t="s">
        <v>256</v>
      </c>
      <c r="D1" s="44" t="s">
        <v>12</v>
      </c>
    </row>
    <row r="2">
      <c r="A2" s="45" t="s">
        <v>257</v>
      </c>
      <c r="B2" s="46">
        <f>IF(A2="","",0)</f>
        <v>0</v>
      </c>
      <c r="C2" s="47">
        <v>12345.0</v>
      </c>
      <c r="D2" s="48" t="s">
        <v>258</v>
      </c>
    </row>
    <row r="3">
      <c r="A3" s="45" t="s">
        <v>259</v>
      </c>
      <c r="B3" s="46">
        <f t="shared" ref="B3:B208" si="1">if(A3="","",B2+1)</f>
        <v>1</v>
      </c>
      <c r="C3" s="47">
        <v>12345.0</v>
      </c>
      <c r="D3" s="48" t="s">
        <v>260</v>
      </c>
    </row>
    <row r="4">
      <c r="A4" s="45" t="s">
        <v>259</v>
      </c>
      <c r="B4" s="46">
        <f t="shared" si="1"/>
        <v>2</v>
      </c>
      <c r="C4" s="47">
        <v>12345.0</v>
      </c>
      <c r="D4" s="48" t="s">
        <v>261</v>
      </c>
    </row>
    <row r="5">
      <c r="A5" s="45" t="s">
        <v>257</v>
      </c>
      <c r="B5" s="46">
        <f t="shared" si="1"/>
        <v>3</v>
      </c>
      <c r="C5" s="47">
        <v>121212.0</v>
      </c>
      <c r="D5" s="48" t="s">
        <v>151</v>
      </c>
    </row>
    <row r="6">
      <c r="A6" s="47" t="s">
        <v>262</v>
      </c>
      <c r="B6" s="49">
        <f t="shared" si="1"/>
        <v>4</v>
      </c>
      <c r="C6" s="47">
        <v>12345.0</v>
      </c>
      <c r="D6" s="48" t="s">
        <v>151</v>
      </c>
    </row>
    <row r="7">
      <c r="A7" s="49"/>
      <c r="B7" s="49" t="str">
        <f t="shared" si="1"/>
        <v/>
      </c>
      <c r="C7" s="49"/>
      <c r="D7" s="50"/>
    </row>
    <row r="8">
      <c r="A8" s="49"/>
      <c r="B8" s="49" t="str">
        <f t="shared" si="1"/>
        <v/>
      </c>
      <c r="C8" s="49"/>
      <c r="D8" s="50"/>
    </row>
    <row r="9">
      <c r="A9" s="49"/>
      <c r="B9" s="49" t="str">
        <f t="shared" si="1"/>
        <v/>
      </c>
      <c r="C9" s="49"/>
      <c r="D9" s="50"/>
    </row>
    <row r="10">
      <c r="A10" s="49"/>
      <c r="B10" s="49" t="str">
        <f t="shared" si="1"/>
        <v/>
      </c>
      <c r="C10" s="49"/>
      <c r="D10" s="50"/>
    </row>
    <row r="11">
      <c r="A11" s="49"/>
      <c r="B11" s="49" t="str">
        <f t="shared" si="1"/>
        <v/>
      </c>
      <c r="C11" s="49"/>
      <c r="D11" s="50"/>
    </row>
    <row r="12">
      <c r="A12" s="49"/>
      <c r="B12" s="49" t="str">
        <f t="shared" si="1"/>
        <v/>
      </c>
      <c r="C12" s="49"/>
      <c r="D12" s="50"/>
    </row>
    <row r="13">
      <c r="A13" s="49"/>
      <c r="B13" s="49" t="str">
        <f t="shared" si="1"/>
        <v/>
      </c>
      <c r="C13" s="49"/>
      <c r="D13" s="50"/>
    </row>
    <row r="14">
      <c r="A14" s="49"/>
      <c r="B14" s="49" t="str">
        <f t="shared" si="1"/>
        <v/>
      </c>
      <c r="C14" s="49"/>
      <c r="D14" s="50"/>
    </row>
    <row r="15">
      <c r="A15" s="49"/>
      <c r="B15" s="49" t="str">
        <f t="shared" si="1"/>
        <v/>
      </c>
      <c r="C15" s="49"/>
      <c r="D15" s="50"/>
    </row>
    <row r="16">
      <c r="A16" s="49"/>
      <c r="B16" s="49" t="str">
        <f t="shared" si="1"/>
        <v/>
      </c>
      <c r="C16" s="49"/>
      <c r="D16" s="50"/>
    </row>
    <row r="17">
      <c r="A17" s="49"/>
      <c r="B17" s="49" t="str">
        <f t="shared" si="1"/>
        <v/>
      </c>
      <c r="C17" s="49"/>
      <c r="D17" s="50"/>
    </row>
    <row r="18">
      <c r="A18" s="49"/>
      <c r="B18" s="49" t="str">
        <f t="shared" si="1"/>
        <v/>
      </c>
      <c r="C18" s="49"/>
      <c r="D18" s="50"/>
    </row>
    <row r="19">
      <c r="A19" s="49"/>
      <c r="B19" s="49" t="str">
        <f t="shared" si="1"/>
        <v/>
      </c>
      <c r="C19" s="49"/>
      <c r="D19" s="50"/>
    </row>
    <row r="20">
      <c r="A20" s="49"/>
      <c r="B20" s="49" t="str">
        <f t="shared" si="1"/>
        <v/>
      </c>
      <c r="C20" s="49"/>
      <c r="D20" s="50"/>
    </row>
    <row r="21">
      <c r="A21" s="49"/>
      <c r="B21" s="49" t="str">
        <f t="shared" si="1"/>
        <v/>
      </c>
      <c r="C21" s="49"/>
      <c r="D21" s="50"/>
    </row>
    <row r="22">
      <c r="A22" s="49"/>
      <c r="B22" s="49" t="str">
        <f t="shared" si="1"/>
        <v/>
      </c>
      <c r="C22" s="49"/>
      <c r="D22" s="50"/>
    </row>
    <row r="23">
      <c r="A23" s="49"/>
      <c r="B23" s="49" t="str">
        <f t="shared" si="1"/>
        <v/>
      </c>
      <c r="C23" s="49"/>
      <c r="D23" s="50"/>
    </row>
    <row r="24">
      <c r="A24" s="49"/>
      <c r="B24" s="49" t="str">
        <f t="shared" si="1"/>
        <v/>
      </c>
      <c r="C24" s="49"/>
      <c r="D24" s="50"/>
    </row>
    <row r="25">
      <c r="A25" s="49"/>
      <c r="B25" s="49" t="str">
        <f t="shared" si="1"/>
        <v/>
      </c>
      <c r="C25" s="49"/>
      <c r="D25" s="50"/>
    </row>
    <row r="26">
      <c r="A26" s="49"/>
      <c r="B26" s="49" t="str">
        <f t="shared" si="1"/>
        <v/>
      </c>
      <c r="C26" s="49"/>
      <c r="D26" s="50"/>
    </row>
    <row r="27">
      <c r="A27" s="49"/>
      <c r="B27" s="49" t="str">
        <f t="shared" si="1"/>
        <v/>
      </c>
      <c r="C27" s="49"/>
      <c r="D27" s="50"/>
    </row>
    <row r="28">
      <c r="A28" s="49"/>
      <c r="B28" s="49" t="str">
        <f t="shared" si="1"/>
        <v/>
      </c>
      <c r="C28" s="49"/>
      <c r="D28" s="50"/>
    </row>
    <row r="29">
      <c r="A29" s="49"/>
      <c r="B29" s="49" t="str">
        <f t="shared" si="1"/>
        <v/>
      </c>
      <c r="C29" s="49"/>
      <c r="D29" s="50"/>
    </row>
    <row r="30">
      <c r="A30" s="49"/>
      <c r="B30" s="49" t="str">
        <f t="shared" si="1"/>
        <v/>
      </c>
      <c r="C30" s="49"/>
      <c r="D30" s="50"/>
    </row>
    <row r="31">
      <c r="A31" s="49"/>
      <c r="B31" s="49" t="str">
        <f t="shared" si="1"/>
        <v/>
      </c>
      <c r="C31" s="49"/>
      <c r="D31" s="50"/>
    </row>
    <row r="32">
      <c r="A32" s="49"/>
      <c r="B32" s="49" t="str">
        <f t="shared" si="1"/>
        <v/>
      </c>
      <c r="C32" s="49"/>
      <c r="D32" s="50"/>
    </row>
    <row r="33">
      <c r="A33" s="49"/>
      <c r="B33" s="49" t="str">
        <f t="shared" si="1"/>
        <v/>
      </c>
      <c r="C33" s="49"/>
      <c r="D33" s="50"/>
    </row>
    <row r="34">
      <c r="A34" s="49"/>
      <c r="B34" s="49" t="str">
        <f t="shared" si="1"/>
        <v/>
      </c>
      <c r="C34" s="49"/>
      <c r="D34" s="50"/>
    </row>
    <row r="35">
      <c r="A35" s="49"/>
      <c r="B35" s="49" t="str">
        <f t="shared" si="1"/>
        <v/>
      </c>
      <c r="C35" s="49"/>
      <c r="D35" s="50"/>
    </row>
    <row r="36">
      <c r="A36" s="49"/>
      <c r="B36" s="49" t="str">
        <f t="shared" si="1"/>
        <v/>
      </c>
      <c r="C36" s="49"/>
      <c r="D36" s="50"/>
    </row>
    <row r="37">
      <c r="A37" s="49"/>
      <c r="B37" s="49" t="str">
        <f t="shared" si="1"/>
        <v/>
      </c>
      <c r="C37" s="49"/>
      <c r="D37" s="50"/>
    </row>
    <row r="38">
      <c r="A38" s="49"/>
      <c r="B38" s="49" t="str">
        <f t="shared" si="1"/>
        <v/>
      </c>
      <c r="C38" s="49"/>
      <c r="D38" s="50"/>
    </row>
    <row r="39">
      <c r="A39" s="49"/>
      <c r="B39" s="49" t="str">
        <f t="shared" si="1"/>
        <v/>
      </c>
      <c r="C39" s="49"/>
      <c r="D39" s="50"/>
    </row>
    <row r="40">
      <c r="A40" s="49"/>
      <c r="B40" s="49" t="str">
        <f t="shared" si="1"/>
        <v/>
      </c>
      <c r="C40" s="49"/>
      <c r="D40" s="50"/>
    </row>
    <row r="41">
      <c r="A41" s="49"/>
      <c r="B41" s="49" t="str">
        <f t="shared" si="1"/>
        <v/>
      </c>
      <c r="C41" s="49"/>
      <c r="D41" s="50"/>
    </row>
    <row r="42">
      <c r="A42" s="49"/>
      <c r="B42" s="49" t="str">
        <f t="shared" si="1"/>
        <v/>
      </c>
      <c r="C42" s="49"/>
      <c r="D42" s="50"/>
    </row>
    <row r="43">
      <c r="A43" s="49"/>
      <c r="B43" s="49" t="str">
        <f t="shared" si="1"/>
        <v/>
      </c>
      <c r="C43" s="49"/>
      <c r="D43" s="50"/>
    </row>
    <row r="44">
      <c r="A44" s="49"/>
      <c r="B44" s="49" t="str">
        <f t="shared" si="1"/>
        <v/>
      </c>
      <c r="C44" s="49"/>
      <c r="D44" s="50"/>
    </row>
    <row r="45">
      <c r="A45" s="49"/>
      <c r="B45" s="49" t="str">
        <f t="shared" si="1"/>
        <v/>
      </c>
      <c r="C45" s="49"/>
      <c r="D45" s="50"/>
    </row>
    <row r="46">
      <c r="A46" s="49"/>
      <c r="B46" s="49" t="str">
        <f t="shared" si="1"/>
        <v/>
      </c>
      <c r="C46" s="49"/>
      <c r="D46" s="50"/>
    </row>
    <row r="47">
      <c r="A47" s="49"/>
      <c r="B47" s="49" t="str">
        <f t="shared" si="1"/>
        <v/>
      </c>
      <c r="C47" s="49"/>
      <c r="D47" s="50"/>
    </row>
    <row r="48">
      <c r="A48" s="49"/>
      <c r="B48" s="49" t="str">
        <f t="shared" si="1"/>
        <v/>
      </c>
      <c r="C48" s="49"/>
      <c r="D48" s="50"/>
    </row>
    <row r="49">
      <c r="A49" s="49"/>
      <c r="B49" s="49" t="str">
        <f t="shared" si="1"/>
        <v/>
      </c>
      <c r="C49" s="49"/>
      <c r="D49" s="50"/>
    </row>
    <row r="50">
      <c r="A50" s="49"/>
      <c r="B50" s="49" t="str">
        <f t="shared" si="1"/>
        <v/>
      </c>
      <c r="C50" s="49"/>
      <c r="D50" s="50"/>
    </row>
    <row r="51">
      <c r="A51" s="49"/>
      <c r="B51" s="49" t="str">
        <f t="shared" si="1"/>
        <v/>
      </c>
      <c r="C51" s="49"/>
      <c r="D51" s="50"/>
    </row>
    <row r="52">
      <c r="A52" s="49"/>
      <c r="B52" s="49" t="str">
        <f t="shared" si="1"/>
        <v/>
      </c>
      <c r="C52" s="49"/>
      <c r="D52" s="50"/>
    </row>
    <row r="53">
      <c r="A53" s="49"/>
      <c r="B53" s="49" t="str">
        <f t="shared" si="1"/>
        <v/>
      </c>
      <c r="C53" s="49"/>
      <c r="D53" s="50"/>
    </row>
    <row r="54">
      <c r="A54" s="49"/>
      <c r="B54" s="49" t="str">
        <f t="shared" si="1"/>
        <v/>
      </c>
      <c r="C54" s="49"/>
      <c r="D54" s="50"/>
    </row>
    <row r="55">
      <c r="A55" s="49"/>
      <c r="B55" s="49" t="str">
        <f t="shared" si="1"/>
        <v/>
      </c>
      <c r="C55" s="49"/>
      <c r="D55" s="50"/>
    </row>
    <row r="56">
      <c r="A56" s="49"/>
      <c r="B56" s="49" t="str">
        <f t="shared" si="1"/>
        <v/>
      </c>
      <c r="C56" s="49"/>
      <c r="D56" s="50"/>
    </row>
    <row r="57">
      <c r="A57" s="49"/>
      <c r="B57" s="49" t="str">
        <f t="shared" si="1"/>
        <v/>
      </c>
      <c r="C57" s="49"/>
      <c r="D57" s="50"/>
    </row>
    <row r="58">
      <c r="A58" s="49"/>
      <c r="B58" s="49" t="str">
        <f t="shared" si="1"/>
        <v/>
      </c>
      <c r="C58" s="49"/>
      <c r="D58" s="50"/>
    </row>
    <row r="59">
      <c r="A59" s="49"/>
      <c r="B59" s="49" t="str">
        <f t="shared" si="1"/>
        <v/>
      </c>
      <c r="C59" s="49"/>
      <c r="D59" s="50"/>
    </row>
    <row r="60">
      <c r="A60" s="49"/>
      <c r="B60" s="49" t="str">
        <f t="shared" si="1"/>
        <v/>
      </c>
      <c r="C60" s="49"/>
      <c r="D60" s="50"/>
    </row>
    <row r="61">
      <c r="A61" s="49"/>
      <c r="B61" s="49" t="str">
        <f t="shared" si="1"/>
        <v/>
      </c>
      <c r="C61" s="49"/>
      <c r="D61" s="50"/>
    </row>
    <row r="62">
      <c r="A62" s="49"/>
      <c r="B62" s="49" t="str">
        <f t="shared" si="1"/>
        <v/>
      </c>
      <c r="C62" s="49"/>
      <c r="D62" s="50"/>
    </row>
    <row r="63">
      <c r="A63" s="49"/>
      <c r="B63" s="49" t="str">
        <f t="shared" si="1"/>
        <v/>
      </c>
      <c r="C63" s="49"/>
      <c r="D63" s="50"/>
    </row>
    <row r="64">
      <c r="A64" s="49"/>
      <c r="B64" s="49" t="str">
        <f t="shared" si="1"/>
        <v/>
      </c>
      <c r="C64" s="49"/>
      <c r="D64" s="50"/>
    </row>
    <row r="65">
      <c r="A65" s="49"/>
      <c r="B65" s="49" t="str">
        <f t="shared" si="1"/>
        <v/>
      </c>
      <c r="C65" s="49"/>
      <c r="D65" s="50"/>
    </row>
    <row r="66">
      <c r="A66" s="49"/>
      <c r="B66" s="49" t="str">
        <f t="shared" si="1"/>
        <v/>
      </c>
      <c r="C66" s="49"/>
      <c r="D66" s="50"/>
    </row>
    <row r="67">
      <c r="A67" s="49"/>
      <c r="B67" s="49" t="str">
        <f t="shared" si="1"/>
        <v/>
      </c>
      <c r="C67" s="49"/>
      <c r="D67" s="50"/>
    </row>
    <row r="68">
      <c r="A68" s="49"/>
      <c r="B68" s="49" t="str">
        <f t="shared" si="1"/>
        <v/>
      </c>
      <c r="C68" s="49"/>
      <c r="D68" s="50"/>
    </row>
    <row r="69">
      <c r="A69" s="49"/>
      <c r="B69" s="49" t="str">
        <f t="shared" si="1"/>
        <v/>
      </c>
      <c r="C69" s="49"/>
      <c r="D69" s="50"/>
    </row>
    <row r="70">
      <c r="A70" s="49"/>
      <c r="B70" s="49" t="str">
        <f t="shared" si="1"/>
        <v/>
      </c>
      <c r="C70" s="49"/>
      <c r="D70" s="50"/>
    </row>
    <row r="71">
      <c r="A71" s="49"/>
      <c r="B71" s="49" t="str">
        <f t="shared" si="1"/>
        <v/>
      </c>
      <c r="C71" s="49"/>
      <c r="D71" s="50"/>
    </row>
    <row r="72">
      <c r="A72" s="49"/>
      <c r="B72" s="49" t="str">
        <f t="shared" si="1"/>
        <v/>
      </c>
      <c r="C72" s="49"/>
      <c r="D72" s="50"/>
    </row>
    <row r="73">
      <c r="A73" s="49"/>
      <c r="B73" s="49" t="str">
        <f t="shared" si="1"/>
        <v/>
      </c>
      <c r="C73" s="49"/>
      <c r="D73" s="50"/>
    </row>
    <row r="74">
      <c r="A74" s="49"/>
      <c r="B74" s="49" t="str">
        <f t="shared" si="1"/>
        <v/>
      </c>
      <c r="C74" s="49"/>
      <c r="D74" s="50"/>
    </row>
    <row r="75">
      <c r="A75" s="49"/>
      <c r="B75" s="49" t="str">
        <f t="shared" si="1"/>
        <v/>
      </c>
      <c r="C75" s="49"/>
      <c r="D75" s="50"/>
    </row>
    <row r="76">
      <c r="A76" s="49"/>
      <c r="B76" s="49" t="str">
        <f t="shared" si="1"/>
        <v/>
      </c>
      <c r="C76" s="49"/>
      <c r="D76" s="50"/>
    </row>
    <row r="77">
      <c r="A77" s="49"/>
      <c r="B77" s="49" t="str">
        <f t="shared" si="1"/>
        <v/>
      </c>
      <c r="C77" s="49"/>
      <c r="D77" s="50"/>
    </row>
    <row r="78">
      <c r="A78" s="49"/>
      <c r="B78" s="49" t="str">
        <f t="shared" si="1"/>
        <v/>
      </c>
      <c r="C78" s="49"/>
      <c r="D78" s="50"/>
    </row>
    <row r="79">
      <c r="A79" s="49"/>
      <c r="B79" s="49" t="str">
        <f t="shared" si="1"/>
        <v/>
      </c>
      <c r="C79" s="49"/>
      <c r="D79" s="50"/>
    </row>
    <row r="80">
      <c r="A80" s="49"/>
      <c r="B80" s="49" t="str">
        <f t="shared" si="1"/>
        <v/>
      </c>
      <c r="C80" s="49"/>
      <c r="D80" s="50"/>
    </row>
    <row r="81">
      <c r="A81" s="49"/>
      <c r="B81" s="49" t="str">
        <f t="shared" si="1"/>
        <v/>
      </c>
      <c r="C81" s="49"/>
      <c r="D81" s="50"/>
    </row>
    <row r="82">
      <c r="A82" s="49"/>
      <c r="B82" s="49" t="str">
        <f t="shared" si="1"/>
        <v/>
      </c>
      <c r="C82" s="49"/>
      <c r="D82" s="50"/>
    </row>
    <row r="83">
      <c r="A83" s="49"/>
      <c r="B83" s="49" t="str">
        <f t="shared" si="1"/>
        <v/>
      </c>
      <c r="C83" s="49"/>
      <c r="D83" s="50"/>
    </row>
    <row r="84">
      <c r="A84" s="49"/>
      <c r="B84" s="49" t="str">
        <f t="shared" si="1"/>
        <v/>
      </c>
      <c r="C84" s="49"/>
      <c r="D84" s="50"/>
    </row>
    <row r="85">
      <c r="A85" s="49"/>
      <c r="B85" s="49" t="str">
        <f t="shared" si="1"/>
        <v/>
      </c>
      <c r="C85" s="49"/>
      <c r="D85" s="50"/>
    </row>
    <row r="86">
      <c r="A86" s="49"/>
      <c r="B86" s="49" t="str">
        <f t="shared" si="1"/>
        <v/>
      </c>
      <c r="C86" s="49"/>
      <c r="D86" s="50"/>
    </row>
    <row r="87">
      <c r="A87" s="49"/>
      <c r="B87" s="49" t="str">
        <f t="shared" si="1"/>
        <v/>
      </c>
      <c r="C87" s="49"/>
      <c r="D87" s="50"/>
    </row>
    <row r="88">
      <c r="A88" s="49"/>
      <c r="B88" s="49" t="str">
        <f t="shared" si="1"/>
        <v/>
      </c>
      <c r="C88" s="49"/>
      <c r="D88" s="50"/>
    </row>
    <row r="89">
      <c r="A89" s="49"/>
      <c r="B89" s="49" t="str">
        <f t="shared" si="1"/>
        <v/>
      </c>
      <c r="C89" s="49"/>
      <c r="D89" s="50"/>
    </row>
    <row r="90">
      <c r="A90" s="49"/>
      <c r="B90" s="49" t="str">
        <f t="shared" si="1"/>
        <v/>
      </c>
      <c r="C90" s="49"/>
      <c r="D90" s="50"/>
    </row>
    <row r="91">
      <c r="A91" s="49"/>
      <c r="B91" s="49" t="str">
        <f t="shared" si="1"/>
        <v/>
      </c>
      <c r="C91" s="49"/>
      <c r="D91" s="50"/>
    </row>
    <row r="92">
      <c r="A92" s="49"/>
      <c r="B92" s="49" t="str">
        <f t="shared" si="1"/>
        <v/>
      </c>
      <c r="C92" s="49"/>
      <c r="D92" s="50"/>
    </row>
    <row r="93">
      <c r="A93" s="49"/>
      <c r="B93" s="49" t="str">
        <f t="shared" si="1"/>
        <v/>
      </c>
      <c r="C93" s="49"/>
      <c r="D93" s="50"/>
    </row>
    <row r="94">
      <c r="A94" s="49"/>
      <c r="B94" s="49" t="str">
        <f t="shared" si="1"/>
        <v/>
      </c>
      <c r="C94" s="49"/>
      <c r="D94" s="50"/>
    </row>
    <row r="95">
      <c r="A95" s="49"/>
      <c r="B95" s="49" t="str">
        <f t="shared" si="1"/>
        <v/>
      </c>
      <c r="C95" s="49"/>
      <c r="D95" s="50"/>
    </row>
    <row r="96">
      <c r="A96" s="49"/>
      <c r="B96" s="49" t="str">
        <f t="shared" si="1"/>
        <v/>
      </c>
      <c r="C96" s="49"/>
      <c r="D96" s="50"/>
    </row>
    <row r="97">
      <c r="A97" s="49"/>
      <c r="B97" s="49" t="str">
        <f t="shared" si="1"/>
        <v/>
      </c>
      <c r="C97" s="49"/>
      <c r="D97" s="50"/>
    </row>
    <row r="98">
      <c r="A98" s="49"/>
      <c r="B98" s="49" t="str">
        <f t="shared" si="1"/>
        <v/>
      </c>
      <c r="C98" s="49"/>
      <c r="D98" s="50"/>
    </row>
    <row r="99">
      <c r="A99" s="49"/>
      <c r="B99" s="49" t="str">
        <f t="shared" si="1"/>
        <v/>
      </c>
      <c r="C99" s="49"/>
      <c r="D99" s="50"/>
    </row>
    <row r="100">
      <c r="A100" s="49"/>
      <c r="B100" s="49" t="str">
        <f t="shared" si="1"/>
        <v/>
      </c>
      <c r="C100" s="49"/>
      <c r="D100" s="50"/>
    </row>
    <row r="101">
      <c r="A101" s="49"/>
      <c r="B101" s="49" t="str">
        <f t="shared" si="1"/>
        <v/>
      </c>
      <c r="C101" s="49"/>
      <c r="D101" s="50"/>
    </row>
    <row r="102">
      <c r="A102" s="49"/>
      <c r="B102" s="49" t="str">
        <f t="shared" si="1"/>
        <v/>
      </c>
      <c r="C102" s="49"/>
      <c r="D102" s="50"/>
    </row>
    <row r="103">
      <c r="A103" s="49"/>
      <c r="B103" s="49" t="str">
        <f t="shared" si="1"/>
        <v/>
      </c>
      <c r="C103" s="49"/>
      <c r="D103" s="50"/>
    </row>
    <row r="104">
      <c r="A104" s="49"/>
      <c r="B104" s="49" t="str">
        <f t="shared" si="1"/>
        <v/>
      </c>
      <c r="C104" s="49"/>
      <c r="D104" s="50"/>
    </row>
    <row r="105">
      <c r="A105" s="49"/>
      <c r="B105" s="49" t="str">
        <f t="shared" si="1"/>
        <v/>
      </c>
      <c r="C105" s="49"/>
      <c r="D105" s="50"/>
    </row>
    <row r="106">
      <c r="A106" s="49"/>
      <c r="B106" s="49" t="str">
        <f t="shared" si="1"/>
        <v/>
      </c>
      <c r="C106" s="49"/>
      <c r="D106" s="50"/>
    </row>
    <row r="107">
      <c r="A107" s="49"/>
      <c r="B107" s="49" t="str">
        <f t="shared" si="1"/>
        <v/>
      </c>
      <c r="C107" s="49"/>
      <c r="D107" s="50"/>
    </row>
    <row r="108">
      <c r="A108" s="49"/>
      <c r="B108" s="49" t="str">
        <f t="shared" si="1"/>
        <v/>
      </c>
      <c r="C108" s="49"/>
      <c r="D108" s="50"/>
    </row>
    <row r="109">
      <c r="A109" s="49"/>
      <c r="B109" s="49" t="str">
        <f t="shared" si="1"/>
        <v/>
      </c>
      <c r="C109" s="49"/>
      <c r="D109" s="50"/>
    </row>
    <row r="110">
      <c r="A110" s="49"/>
      <c r="B110" s="49" t="str">
        <f t="shared" si="1"/>
        <v/>
      </c>
      <c r="C110" s="49"/>
      <c r="D110" s="50"/>
    </row>
    <row r="111">
      <c r="A111" s="49"/>
      <c r="B111" s="49" t="str">
        <f t="shared" si="1"/>
        <v/>
      </c>
      <c r="C111" s="49"/>
      <c r="D111" s="50"/>
    </row>
    <row r="112">
      <c r="A112" s="49"/>
      <c r="B112" s="49" t="str">
        <f t="shared" si="1"/>
        <v/>
      </c>
      <c r="C112" s="49"/>
      <c r="D112" s="50"/>
    </row>
    <row r="113">
      <c r="A113" s="49"/>
      <c r="B113" s="49" t="str">
        <f t="shared" si="1"/>
        <v/>
      </c>
      <c r="C113" s="49"/>
      <c r="D113" s="50"/>
    </row>
    <row r="114">
      <c r="A114" s="49"/>
      <c r="B114" s="49" t="str">
        <f t="shared" si="1"/>
        <v/>
      </c>
      <c r="C114" s="49"/>
      <c r="D114" s="50"/>
    </row>
    <row r="115">
      <c r="A115" s="49"/>
      <c r="B115" s="49" t="str">
        <f t="shared" si="1"/>
        <v/>
      </c>
      <c r="C115" s="49"/>
      <c r="D115" s="50"/>
    </row>
    <row r="116">
      <c r="A116" s="49"/>
      <c r="B116" s="49" t="str">
        <f t="shared" si="1"/>
        <v/>
      </c>
      <c r="C116" s="49"/>
      <c r="D116" s="50"/>
    </row>
    <row r="117">
      <c r="A117" s="49"/>
      <c r="B117" s="49" t="str">
        <f t="shared" si="1"/>
        <v/>
      </c>
      <c r="C117" s="49"/>
      <c r="D117" s="50"/>
    </row>
    <row r="118">
      <c r="A118" s="49"/>
      <c r="B118" s="49" t="str">
        <f t="shared" si="1"/>
        <v/>
      </c>
      <c r="C118" s="49"/>
      <c r="D118" s="50"/>
    </row>
    <row r="119">
      <c r="A119" s="49"/>
      <c r="B119" s="49" t="str">
        <f t="shared" si="1"/>
        <v/>
      </c>
      <c r="C119" s="49"/>
      <c r="D119" s="50"/>
    </row>
    <row r="120">
      <c r="A120" s="49"/>
      <c r="B120" s="49" t="str">
        <f t="shared" si="1"/>
        <v/>
      </c>
      <c r="C120" s="49"/>
      <c r="D120" s="50"/>
    </row>
    <row r="121">
      <c r="A121" s="49"/>
      <c r="B121" s="49" t="str">
        <f t="shared" si="1"/>
        <v/>
      </c>
      <c r="C121" s="49"/>
      <c r="D121" s="50"/>
    </row>
    <row r="122">
      <c r="A122" s="49"/>
      <c r="B122" s="49" t="str">
        <f t="shared" si="1"/>
        <v/>
      </c>
      <c r="C122" s="49"/>
      <c r="D122" s="50"/>
    </row>
    <row r="123">
      <c r="A123" s="49"/>
      <c r="B123" s="49" t="str">
        <f t="shared" si="1"/>
        <v/>
      </c>
      <c r="C123" s="49"/>
      <c r="D123" s="50"/>
    </row>
    <row r="124">
      <c r="A124" s="49"/>
      <c r="B124" s="49" t="str">
        <f t="shared" si="1"/>
        <v/>
      </c>
      <c r="C124" s="49"/>
      <c r="D124" s="50"/>
    </row>
    <row r="125">
      <c r="A125" s="49"/>
      <c r="B125" s="49" t="str">
        <f t="shared" si="1"/>
        <v/>
      </c>
      <c r="C125" s="49"/>
      <c r="D125" s="50"/>
    </row>
    <row r="126">
      <c r="A126" s="49"/>
      <c r="B126" s="49" t="str">
        <f t="shared" si="1"/>
        <v/>
      </c>
      <c r="C126" s="49"/>
      <c r="D126" s="50"/>
    </row>
    <row r="127">
      <c r="A127" s="49"/>
      <c r="B127" s="49" t="str">
        <f t="shared" si="1"/>
        <v/>
      </c>
      <c r="C127" s="49"/>
      <c r="D127" s="50"/>
    </row>
    <row r="128">
      <c r="A128" s="49"/>
      <c r="B128" s="49" t="str">
        <f t="shared" si="1"/>
        <v/>
      </c>
      <c r="C128" s="49"/>
      <c r="D128" s="50"/>
    </row>
    <row r="129">
      <c r="A129" s="49"/>
      <c r="B129" s="49" t="str">
        <f t="shared" si="1"/>
        <v/>
      </c>
      <c r="C129" s="49"/>
      <c r="D129" s="50"/>
    </row>
    <row r="130">
      <c r="A130" s="49"/>
      <c r="B130" s="49" t="str">
        <f t="shared" si="1"/>
        <v/>
      </c>
      <c r="C130" s="49"/>
      <c r="D130" s="50"/>
    </row>
    <row r="131">
      <c r="A131" s="49"/>
      <c r="B131" s="49" t="str">
        <f t="shared" si="1"/>
        <v/>
      </c>
      <c r="C131" s="49"/>
      <c r="D131" s="50"/>
    </row>
    <row r="132">
      <c r="A132" s="49"/>
      <c r="B132" s="49" t="str">
        <f t="shared" si="1"/>
        <v/>
      </c>
      <c r="C132" s="49"/>
      <c r="D132" s="50"/>
    </row>
    <row r="133">
      <c r="A133" s="49"/>
      <c r="B133" s="49" t="str">
        <f t="shared" si="1"/>
        <v/>
      </c>
      <c r="C133" s="49"/>
      <c r="D133" s="50"/>
    </row>
    <row r="134">
      <c r="A134" s="49"/>
      <c r="B134" s="49" t="str">
        <f t="shared" si="1"/>
        <v/>
      </c>
      <c r="C134" s="49"/>
      <c r="D134" s="50"/>
    </row>
    <row r="135">
      <c r="A135" s="49"/>
      <c r="B135" s="49" t="str">
        <f t="shared" si="1"/>
        <v/>
      </c>
      <c r="C135" s="49"/>
      <c r="D135" s="50"/>
    </row>
    <row r="136">
      <c r="A136" s="49"/>
      <c r="B136" s="49" t="str">
        <f t="shared" si="1"/>
        <v/>
      </c>
      <c r="C136" s="49"/>
      <c r="D136" s="50"/>
    </row>
    <row r="137">
      <c r="A137" s="49"/>
      <c r="B137" s="49" t="str">
        <f t="shared" si="1"/>
        <v/>
      </c>
      <c r="C137" s="49"/>
      <c r="D137" s="50"/>
    </row>
    <row r="138">
      <c r="A138" s="49"/>
      <c r="B138" s="49" t="str">
        <f t="shared" si="1"/>
        <v/>
      </c>
      <c r="C138" s="49"/>
      <c r="D138" s="50"/>
    </row>
    <row r="139">
      <c r="A139" s="49"/>
      <c r="B139" s="49" t="str">
        <f t="shared" si="1"/>
        <v/>
      </c>
      <c r="C139" s="49"/>
      <c r="D139" s="50"/>
    </row>
    <row r="140">
      <c r="A140" s="49"/>
      <c r="B140" s="49" t="str">
        <f t="shared" si="1"/>
        <v/>
      </c>
      <c r="C140" s="49"/>
      <c r="D140" s="50"/>
    </row>
    <row r="141">
      <c r="A141" s="49"/>
      <c r="B141" s="49" t="str">
        <f t="shared" si="1"/>
        <v/>
      </c>
      <c r="C141" s="49"/>
      <c r="D141" s="50"/>
    </row>
    <row r="142">
      <c r="A142" s="49"/>
      <c r="B142" s="49" t="str">
        <f t="shared" si="1"/>
        <v/>
      </c>
      <c r="C142" s="49"/>
      <c r="D142" s="50"/>
    </row>
    <row r="143">
      <c r="A143" s="49"/>
      <c r="B143" s="49" t="str">
        <f t="shared" si="1"/>
        <v/>
      </c>
      <c r="C143" s="49"/>
      <c r="D143" s="50"/>
    </row>
    <row r="144">
      <c r="A144" s="49"/>
      <c r="B144" s="49" t="str">
        <f t="shared" si="1"/>
        <v/>
      </c>
      <c r="C144" s="49"/>
      <c r="D144" s="50"/>
    </row>
    <row r="145">
      <c r="A145" s="49"/>
      <c r="B145" s="49" t="str">
        <f t="shared" si="1"/>
        <v/>
      </c>
      <c r="C145" s="49"/>
      <c r="D145" s="50"/>
    </row>
    <row r="146">
      <c r="A146" s="49"/>
      <c r="B146" s="49" t="str">
        <f t="shared" si="1"/>
        <v/>
      </c>
      <c r="C146" s="49"/>
      <c r="D146" s="50"/>
    </row>
    <row r="147">
      <c r="A147" s="49"/>
      <c r="B147" s="49" t="str">
        <f t="shared" si="1"/>
        <v/>
      </c>
      <c r="C147" s="49"/>
      <c r="D147" s="50"/>
    </row>
    <row r="148">
      <c r="A148" s="49"/>
      <c r="B148" s="49" t="str">
        <f t="shared" si="1"/>
        <v/>
      </c>
      <c r="C148" s="49"/>
      <c r="D148" s="50"/>
    </row>
    <row r="149">
      <c r="A149" s="49"/>
      <c r="B149" s="49" t="str">
        <f t="shared" si="1"/>
        <v/>
      </c>
      <c r="C149" s="49"/>
      <c r="D149" s="50"/>
    </row>
    <row r="150">
      <c r="A150" s="49"/>
      <c r="B150" s="49" t="str">
        <f t="shared" si="1"/>
        <v/>
      </c>
      <c r="C150" s="49"/>
      <c r="D150" s="50"/>
    </row>
    <row r="151">
      <c r="A151" s="49"/>
      <c r="B151" s="49" t="str">
        <f t="shared" si="1"/>
        <v/>
      </c>
      <c r="C151" s="49"/>
      <c r="D151" s="50"/>
    </row>
    <row r="152">
      <c r="A152" s="49"/>
      <c r="B152" s="49" t="str">
        <f t="shared" si="1"/>
        <v/>
      </c>
      <c r="C152" s="49"/>
      <c r="D152" s="50"/>
    </row>
    <row r="153">
      <c r="A153" s="49"/>
      <c r="B153" s="49" t="str">
        <f t="shared" si="1"/>
        <v/>
      </c>
      <c r="C153" s="49"/>
      <c r="D153" s="50"/>
    </row>
    <row r="154">
      <c r="A154" s="49"/>
      <c r="B154" s="49" t="str">
        <f t="shared" si="1"/>
        <v/>
      </c>
      <c r="C154" s="49"/>
      <c r="D154" s="50"/>
    </row>
    <row r="155">
      <c r="A155" s="49"/>
      <c r="B155" s="49" t="str">
        <f t="shared" si="1"/>
        <v/>
      </c>
      <c r="C155" s="49"/>
      <c r="D155" s="50"/>
    </row>
    <row r="156">
      <c r="A156" s="49"/>
      <c r="B156" s="49" t="str">
        <f t="shared" si="1"/>
        <v/>
      </c>
      <c r="C156" s="49"/>
      <c r="D156" s="50"/>
    </row>
    <row r="157">
      <c r="A157" s="49"/>
      <c r="B157" s="49" t="str">
        <f t="shared" si="1"/>
        <v/>
      </c>
      <c r="C157" s="49"/>
      <c r="D157" s="50"/>
    </row>
    <row r="158">
      <c r="A158" s="49"/>
      <c r="B158" s="49" t="str">
        <f t="shared" si="1"/>
        <v/>
      </c>
      <c r="C158" s="49"/>
      <c r="D158" s="50"/>
    </row>
    <row r="159">
      <c r="A159" s="49"/>
      <c r="B159" s="49" t="str">
        <f t="shared" si="1"/>
        <v/>
      </c>
      <c r="C159" s="49"/>
      <c r="D159" s="50"/>
    </row>
    <row r="160">
      <c r="A160" s="49"/>
      <c r="B160" s="49" t="str">
        <f t="shared" si="1"/>
        <v/>
      </c>
      <c r="C160" s="49"/>
      <c r="D160" s="50"/>
    </row>
    <row r="161">
      <c r="A161" s="49"/>
      <c r="B161" s="49" t="str">
        <f t="shared" si="1"/>
        <v/>
      </c>
      <c r="C161" s="49"/>
      <c r="D161" s="50"/>
    </row>
    <row r="162">
      <c r="A162" s="49"/>
      <c r="B162" s="49" t="str">
        <f t="shared" si="1"/>
        <v/>
      </c>
      <c r="C162" s="49"/>
      <c r="D162" s="50"/>
    </row>
    <row r="163">
      <c r="A163" s="49"/>
      <c r="B163" s="49" t="str">
        <f t="shared" si="1"/>
        <v/>
      </c>
      <c r="C163" s="49"/>
      <c r="D163" s="50"/>
    </row>
    <row r="164">
      <c r="A164" s="49"/>
      <c r="B164" s="49" t="str">
        <f t="shared" si="1"/>
        <v/>
      </c>
      <c r="C164" s="49"/>
      <c r="D164" s="50"/>
    </row>
    <row r="165">
      <c r="A165" s="49"/>
      <c r="B165" s="49" t="str">
        <f t="shared" si="1"/>
        <v/>
      </c>
      <c r="C165" s="49"/>
      <c r="D165" s="50"/>
    </row>
    <row r="166">
      <c r="A166" s="49"/>
      <c r="B166" s="49" t="str">
        <f t="shared" si="1"/>
        <v/>
      </c>
      <c r="C166" s="49"/>
      <c r="D166" s="50"/>
    </row>
    <row r="167">
      <c r="A167" s="49"/>
      <c r="B167" s="49" t="str">
        <f t="shared" si="1"/>
        <v/>
      </c>
      <c r="C167" s="49"/>
      <c r="D167" s="50"/>
    </row>
    <row r="168">
      <c r="A168" s="49"/>
      <c r="B168" s="49" t="str">
        <f t="shared" si="1"/>
        <v/>
      </c>
      <c r="C168" s="49"/>
      <c r="D168" s="50"/>
    </row>
    <row r="169">
      <c r="A169" s="49"/>
      <c r="B169" s="49" t="str">
        <f t="shared" si="1"/>
        <v/>
      </c>
      <c r="C169" s="49"/>
      <c r="D169" s="50"/>
    </row>
    <row r="170">
      <c r="A170" s="49"/>
      <c r="B170" s="49" t="str">
        <f t="shared" si="1"/>
        <v/>
      </c>
      <c r="C170" s="49"/>
      <c r="D170" s="50"/>
    </row>
    <row r="171">
      <c r="A171" s="49"/>
      <c r="B171" s="49" t="str">
        <f t="shared" si="1"/>
        <v/>
      </c>
      <c r="C171" s="49"/>
      <c r="D171" s="50"/>
    </row>
    <row r="172">
      <c r="A172" s="49"/>
      <c r="B172" s="49" t="str">
        <f t="shared" si="1"/>
        <v/>
      </c>
      <c r="C172" s="49"/>
      <c r="D172" s="50"/>
    </row>
    <row r="173">
      <c r="A173" s="49"/>
      <c r="B173" s="49" t="str">
        <f t="shared" si="1"/>
        <v/>
      </c>
      <c r="C173" s="49"/>
      <c r="D173" s="50"/>
    </row>
    <row r="174">
      <c r="A174" s="49"/>
      <c r="B174" s="49" t="str">
        <f t="shared" si="1"/>
        <v/>
      </c>
      <c r="C174" s="49"/>
      <c r="D174" s="50"/>
    </row>
    <row r="175">
      <c r="A175" s="49"/>
      <c r="B175" s="49" t="str">
        <f t="shared" si="1"/>
        <v/>
      </c>
      <c r="C175" s="49"/>
      <c r="D175" s="50"/>
    </row>
    <row r="176">
      <c r="A176" s="49"/>
      <c r="B176" s="49" t="str">
        <f t="shared" si="1"/>
        <v/>
      </c>
      <c r="C176" s="49"/>
      <c r="D176" s="50"/>
    </row>
    <row r="177">
      <c r="A177" s="49"/>
      <c r="B177" s="49" t="str">
        <f t="shared" si="1"/>
        <v/>
      </c>
      <c r="C177" s="49"/>
      <c r="D177" s="50"/>
    </row>
    <row r="178">
      <c r="A178" s="49"/>
      <c r="B178" s="49" t="str">
        <f t="shared" si="1"/>
        <v/>
      </c>
      <c r="C178" s="49"/>
      <c r="D178" s="50"/>
    </row>
    <row r="179">
      <c r="A179" s="49"/>
      <c r="B179" s="49" t="str">
        <f t="shared" si="1"/>
        <v/>
      </c>
      <c r="C179" s="49"/>
      <c r="D179" s="50"/>
    </row>
    <row r="180">
      <c r="A180" s="49"/>
      <c r="B180" s="49" t="str">
        <f t="shared" si="1"/>
        <v/>
      </c>
      <c r="C180" s="49"/>
      <c r="D180" s="50"/>
    </row>
    <row r="181">
      <c r="A181" s="49"/>
      <c r="B181" s="49" t="str">
        <f t="shared" si="1"/>
        <v/>
      </c>
      <c r="C181" s="49"/>
      <c r="D181" s="50"/>
    </row>
    <row r="182">
      <c r="A182" s="49"/>
      <c r="B182" s="49" t="str">
        <f t="shared" si="1"/>
        <v/>
      </c>
      <c r="C182" s="49"/>
      <c r="D182" s="50"/>
    </row>
    <row r="183">
      <c r="A183" s="49"/>
      <c r="B183" s="49" t="str">
        <f t="shared" si="1"/>
        <v/>
      </c>
      <c r="C183" s="49"/>
      <c r="D183" s="50"/>
    </row>
    <row r="184">
      <c r="A184" s="49"/>
      <c r="B184" s="49" t="str">
        <f t="shared" si="1"/>
        <v/>
      </c>
      <c r="C184" s="49"/>
      <c r="D184" s="50"/>
    </row>
    <row r="185">
      <c r="A185" s="49"/>
      <c r="B185" s="49" t="str">
        <f t="shared" si="1"/>
        <v/>
      </c>
      <c r="C185" s="49"/>
      <c r="D185" s="50"/>
    </row>
    <row r="186">
      <c r="A186" s="49"/>
      <c r="B186" s="49" t="str">
        <f t="shared" si="1"/>
        <v/>
      </c>
      <c r="C186" s="49"/>
      <c r="D186" s="50"/>
    </row>
    <row r="187">
      <c r="A187" s="49"/>
      <c r="B187" s="49" t="str">
        <f t="shared" si="1"/>
        <v/>
      </c>
      <c r="C187" s="49"/>
      <c r="D187" s="50"/>
    </row>
    <row r="188">
      <c r="A188" s="49"/>
      <c r="B188" s="49" t="str">
        <f t="shared" si="1"/>
        <v/>
      </c>
      <c r="C188" s="49"/>
      <c r="D188" s="50"/>
    </row>
    <row r="189">
      <c r="A189" s="49"/>
      <c r="B189" s="49" t="str">
        <f t="shared" si="1"/>
        <v/>
      </c>
      <c r="C189" s="49"/>
      <c r="D189" s="50"/>
    </row>
    <row r="190">
      <c r="A190" s="49"/>
      <c r="B190" s="49" t="str">
        <f t="shared" si="1"/>
        <v/>
      </c>
      <c r="C190" s="49"/>
      <c r="D190" s="50"/>
    </row>
    <row r="191">
      <c r="A191" s="49"/>
      <c r="B191" s="49" t="str">
        <f t="shared" si="1"/>
        <v/>
      </c>
      <c r="C191" s="49"/>
      <c r="D191" s="50"/>
    </row>
    <row r="192">
      <c r="A192" s="49"/>
      <c r="B192" s="49" t="str">
        <f t="shared" si="1"/>
        <v/>
      </c>
      <c r="C192" s="49"/>
      <c r="D192" s="50"/>
    </row>
    <row r="193">
      <c r="A193" s="49"/>
      <c r="B193" s="49" t="str">
        <f t="shared" si="1"/>
        <v/>
      </c>
      <c r="C193" s="49"/>
      <c r="D193" s="50"/>
    </row>
    <row r="194">
      <c r="A194" s="49"/>
      <c r="B194" s="49" t="str">
        <f t="shared" si="1"/>
        <v/>
      </c>
      <c r="C194" s="49"/>
      <c r="D194" s="50"/>
    </row>
    <row r="195">
      <c r="A195" s="49"/>
      <c r="B195" s="49" t="str">
        <f t="shared" si="1"/>
        <v/>
      </c>
      <c r="C195" s="49"/>
      <c r="D195" s="50"/>
    </row>
    <row r="196">
      <c r="A196" s="49"/>
      <c r="B196" s="49" t="str">
        <f t="shared" si="1"/>
        <v/>
      </c>
      <c r="C196" s="49"/>
      <c r="D196" s="50"/>
    </row>
    <row r="197">
      <c r="A197" s="49"/>
      <c r="B197" s="49" t="str">
        <f t="shared" si="1"/>
        <v/>
      </c>
      <c r="C197" s="49"/>
      <c r="D197" s="50"/>
    </row>
    <row r="198">
      <c r="A198" s="49"/>
      <c r="B198" s="49" t="str">
        <f t="shared" si="1"/>
        <v/>
      </c>
      <c r="C198" s="49"/>
      <c r="D198" s="50"/>
    </row>
    <row r="199">
      <c r="A199" s="49"/>
      <c r="B199" s="49" t="str">
        <f t="shared" si="1"/>
        <v/>
      </c>
      <c r="C199" s="49"/>
      <c r="D199" s="50"/>
    </row>
    <row r="200">
      <c r="A200" s="49"/>
      <c r="B200" s="49" t="str">
        <f t="shared" si="1"/>
        <v/>
      </c>
      <c r="C200" s="49"/>
      <c r="D200" s="50"/>
    </row>
    <row r="201">
      <c r="A201" s="49"/>
      <c r="B201" s="49" t="str">
        <f t="shared" si="1"/>
        <v/>
      </c>
      <c r="C201" s="49"/>
      <c r="D201" s="50"/>
    </row>
    <row r="202">
      <c r="A202" s="49"/>
      <c r="B202" s="49" t="str">
        <f t="shared" si="1"/>
        <v/>
      </c>
      <c r="C202" s="49"/>
      <c r="D202" s="50"/>
    </row>
    <row r="203">
      <c r="A203" s="49"/>
      <c r="B203" s="49" t="str">
        <f t="shared" si="1"/>
        <v/>
      </c>
      <c r="C203" s="49"/>
      <c r="D203" s="50"/>
    </row>
    <row r="204">
      <c r="A204" s="49"/>
      <c r="B204" s="49" t="str">
        <f t="shared" si="1"/>
        <v/>
      </c>
      <c r="C204" s="49"/>
      <c r="D204" s="50"/>
    </row>
    <row r="205">
      <c r="A205" s="49"/>
      <c r="B205" s="49" t="str">
        <f t="shared" si="1"/>
        <v/>
      </c>
      <c r="C205" s="49"/>
      <c r="D205" s="50"/>
    </row>
    <row r="206">
      <c r="A206" s="49"/>
      <c r="B206" s="49" t="str">
        <f t="shared" si="1"/>
        <v/>
      </c>
      <c r="C206" s="49"/>
      <c r="D206" s="50"/>
    </row>
    <row r="207">
      <c r="A207" s="49"/>
      <c r="B207" s="49" t="str">
        <f t="shared" si="1"/>
        <v/>
      </c>
      <c r="C207" s="49"/>
      <c r="D207" s="50"/>
    </row>
    <row r="208">
      <c r="A208" s="49"/>
      <c r="B208" s="49" t="str">
        <f t="shared" si="1"/>
        <v/>
      </c>
      <c r="C208" s="49"/>
      <c r="D208" s="50"/>
    </row>
    <row r="209">
      <c r="A209" s="49"/>
      <c r="B209" s="49"/>
      <c r="C209" s="49"/>
      <c r="D209" s="50"/>
    </row>
    <row r="210">
      <c r="A210" s="49"/>
      <c r="B210" s="49"/>
      <c r="C210" s="49"/>
      <c r="D210" s="50"/>
    </row>
    <row r="211">
      <c r="A211" s="49"/>
      <c r="B211" s="49"/>
      <c r="C211" s="49"/>
      <c r="D211" s="50"/>
    </row>
    <row r="212">
      <c r="A212" s="49"/>
      <c r="B212" s="49"/>
      <c r="C212" s="49"/>
      <c r="D212" s="50"/>
    </row>
    <row r="213">
      <c r="A213" s="49"/>
      <c r="B213" s="49"/>
      <c r="C213" s="49"/>
      <c r="D213" s="50"/>
    </row>
    <row r="214">
      <c r="A214" s="49"/>
      <c r="B214" s="49"/>
      <c r="C214" s="49"/>
      <c r="D214" s="50"/>
    </row>
    <row r="215">
      <c r="A215" s="49"/>
      <c r="B215" s="49"/>
      <c r="C215" s="49"/>
      <c r="D215" s="50"/>
    </row>
    <row r="216">
      <c r="A216" s="49"/>
      <c r="B216" s="49"/>
      <c r="C216" s="49"/>
      <c r="D216" s="50"/>
    </row>
    <row r="217">
      <c r="A217" s="49"/>
      <c r="B217" s="49"/>
      <c r="C217" s="49"/>
      <c r="D217" s="50"/>
    </row>
    <row r="218">
      <c r="A218" s="49"/>
      <c r="B218" s="49"/>
      <c r="C218" s="49"/>
      <c r="D218" s="50"/>
    </row>
    <row r="219">
      <c r="A219" s="49"/>
      <c r="B219" s="49"/>
      <c r="C219" s="49"/>
      <c r="D219" s="50"/>
    </row>
    <row r="220">
      <c r="A220" s="49"/>
      <c r="B220" s="49"/>
      <c r="C220" s="49"/>
      <c r="D220" s="50"/>
    </row>
    <row r="221">
      <c r="A221" s="49"/>
      <c r="B221" s="49"/>
      <c r="C221" s="49"/>
      <c r="D221" s="50"/>
    </row>
    <row r="222">
      <c r="A222" s="49"/>
      <c r="B222" s="49"/>
      <c r="C222" s="49"/>
      <c r="D222" s="50"/>
    </row>
    <row r="223">
      <c r="A223" s="49"/>
      <c r="B223" s="49"/>
      <c r="C223" s="49"/>
      <c r="D223" s="50"/>
    </row>
    <row r="224">
      <c r="A224" s="49"/>
      <c r="B224" s="49"/>
      <c r="C224" s="49"/>
      <c r="D224" s="50"/>
    </row>
    <row r="225">
      <c r="A225" s="49"/>
      <c r="B225" s="49"/>
      <c r="C225" s="49"/>
      <c r="D225" s="50"/>
    </row>
    <row r="226">
      <c r="A226" s="49"/>
      <c r="B226" s="49"/>
      <c r="C226" s="49"/>
      <c r="D226" s="50"/>
    </row>
    <row r="227">
      <c r="A227" s="49"/>
      <c r="B227" s="49"/>
      <c r="C227" s="49"/>
      <c r="D227" s="50"/>
    </row>
    <row r="228">
      <c r="A228" s="49"/>
      <c r="B228" s="49"/>
      <c r="C228" s="49"/>
      <c r="D228" s="50"/>
    </row>
    <row r="229">
      <c r="A229" s="49"/>
      <c r="B229" s="49"/>
      <c r="C229" s="49"/>
      <c r="D229" s="50"/>
    </row>
    <row r="230">
      <c r="A230" s="49"/>
      <c r="B230" s="49"/>
      <c r="C230" s="49"/>
      <c r="D230" s="50"/>
    </row>
    <row r="231">
      <c r="A231" s="49"/>
      <c r="B231" s="49"/>
      <c r="C231" s="49"/>
      <c r="D231" s="50"/>
    </row>
    <row r="232">
      <c r="A232" s="49"/>
      <c r="B232" s="49"/>
      <c r="C232" s="49"/>
      <c r="D232" s="50"/>
    </row>
    <row r="233">
      <c r="A233" s="49"/>
      <c r="B233" s="49"/>
      <c r="C233" s="49"/>
      <c r="D233" s="50"/>
    </row>
    <row r="234">
      <c r="A234" s="49"/>
      <c r="B234" s="49"/>
      <c r="C234" s="49"/>
      <c r="D234" s="50"/>
    </row>
    <row r="235">
      <c r="A235" s="49"/>
      <c r="B235" s="49"/>
      <c r="C235" s="49"/>
      <c r="D235" s="50"/>
    </row>
    <row r="236">
      <c r="A236" s="49"/>
      <c r="B236" s="49"/>
      <c r="C236" s="49"/>
      <c r="D236" s="50"/>
    </row>
    <row r="237">
      <c r="A237" s="49"/>
      <c r="B237" s="49"/>
      <c r="C237" s="49"/>
      <c r="D237" s="50"/>
    </row>
    <row r="238">
      <c r="A238" s="49"/>
      <c r="B238" s="49"/>
      <c r="C238" s="49"/>
      <c r="D238" s="50"/>
    </row>
    <row r="239">
      <c r="A239" s="49"/>
      <c r="B239" s="49"/>
      <c r="C239" s="49"/>
      <c r="D239" s="50"/>
    </row>
    <row r="240">
      <c r="A240" s="49"/>
      <c r="B240" s="49"/>
      <c r="C240" s="49"/>
      <c r="D240" s="50"/>
    </row>
    <row r="241">
      <c r="A241" s="49"/>
      <c r="B241" s="49"/>
      <c r="C241" s="49"/>
      <c r="D241" s="50"/>
    </row>
    <row r="242">
      <c r="A242" s="49"/>
      <c r="B242" s="49"/>
      <c r="C242" s="49"/>
      <c r="D242" s="50"/>
    </row>
    <row r="243">
      <c r="A243" s="49"/>
      <c r="B243" s="49"/>
      <c r="C243" s="49"/>
      <c r="D243" s="50"/>
    </row>
    <row r="244">
      <c r="A244" s="49"/>
      <c r="B244" s="49"/>
      <c r="C244" s="49"/>
      <c r="D244" s="50"/>
    </row>
    <row r="245">
      <c r="A245" s="49"/>
      <c r="B245" s="49"/>
      <c r="C245" s="49"/>
      <c r="D245" s="50"/>
    </row>
    <row r="246">
      <c r="A246" s="49"/>
      <c r="B246" s="49"/>
      <c r="C246" s="49"/>
      <c r="D246" s="50"/>
    </row>
    <row r="247">
      <c r="A247" s="49"/>
      <c r="B247" s="49"/>
      <c r="C247" s="49"/>
      <c r="D247" s="50"/>
    </row>
    <row r="248">
      <c r="A248" s="49"/>
      <c r="B248" s="49"/>
      <c r="C248" s="49"/>
      <c r="D248" s="50"/>
    </row>
    <row r="249">
      <c r="A249" s="49"/>
      <c r="B249" s="49"/>
      <c r="C249" s="49"/>
      <c r="D249" s="50"/>
    </row>
    <row r="250">
      <c r="A250" s="49"/>
      <c r="B250" s="49"/>
      <c r="C250" s="49"/>
      <c r="D250" s="50"/>
    </row>
    <row r="251">
      <c r="A251" s="49"/>
      <c r="B251" s="49"/>
      <c r="C251" s="49"/>
      <c r="D251" s="50"/>
    </row>
    <row r="252">
      <c r="A252" s="49"/>
      <c r="B252" s="49"/>
      <c r="C252" s="49"/>
      <c r="D252" s="50"/>
    </row>
    <row r="253">
      <c r="A253" s="49"/>
      <c r="B253" s="49"/>
      <c r="C253" s="49"/>
      <c r="D253" s="50"/>
    </row>
    <row r="254">
      <c r="A254" s="49"/>
      <c r="B254" s="49"/>
      <c r="C254" s="49"/>
      <c r="D254" s="50"/>
    </row>
    <row r="255">
      <c r="A255" s="49"/>
      <c r="B255" s="49"/>
      <c r="C255" s="49"/>
      <c r="D255" s="50"/>
    </row>
    <row r="256">
      <c r="A256" s="49"/>
      <c r="B256" s="49"/>
      <c r="C256" s="49"/>
      <c r="D256" s="50"/>
    </row>
    <row r="257">
      <c r="A257" s="49"/>
      <c r="B257" s="49"/>
      <c r="C257" s="49"/>
      <c r="D257" s="50"/>
    </row>
    <row r="258">
      <c r="A258" s="49"/>
      <c r="B258" s="49"/>
      <c r="C258" s="49"/>
      <c r="D258" s="50"/>
    </row>
    <row r="259">
      <c r="A259" s="49"/>
      <c r="B259" s="49"/>
      <c r="C259" s="49"/>
      <c r="D259" s="50"/>
    </row>
    <row r="260">
      <c r="A260" s="49"/>
      <c r="B260" s="49"/>
      <c r="C260" s="49"/>
      <c r="D260" s="50"/>
    </row>
    <row r="261">
      <c r="A261" s="49"/>
      <c r="B261" s="49"/>
      <c r="C261" s="49"/>
      <c r="D261" s="50"/>
    </row>
    <row r="262">
      <c r="A262" s="49"/>
      <c r="B262" s="49"/>
      <c r="C262" s="49"/>
      <c r="D262" s="50"/>
    </row>
    <row r="263">
      <c r="A263" s="49"/>
      <c r="B263" s="49"/>
      <c r="C263" s="49"/>
      <c r="D263" s="50"/>
    </row>
    <row r="264">
      <c r="A264" s="49"/>
      <c r="B264" s="49"/>
      <c r="C264" s="49"/>
      <c r="D264" s="50"/>
    </row>
    <row r="265">
      <c r="A265" s="49"/>
      <c r="B265" s="49"/>
      <c r="C265" s="49"/>
      <c r="D265" s="50"/>
    </row>
    <row r="266">
      <c r="A266" s="49"/>
      <c r="B266" s="49"/>
      <c r="C266" s="49"/>
      <c r="D266" s="50"/>
    </row>
    <row r="267">
      <c r="A267" s="49"/>
      <c r="B267" s="49"/>
      <c r="C267" s="49"/>
      <c r="D267" s="50"/>
    </row>
    <row r="268">
      <c r="A268" s="49"/>
      <c r="B268" s="49"/>
      <c r="C268" s="49"/>
      <c r="D268" s="50"/>
    </row>
    <row r="269">
      <c r="A269" s="49"/>
      <c r="B269" s="49"/>
      <c r="C269" s="49"/>
      <c r="D269" s="50"/>
    </row>
    <row r="270">
      <c r="A270" s="49"/>
      <c r="B270" s="49"/>
      <c r="C270" s="49"/>
      <c r="D270" s="50"/>
    </row>
    <row r="271">
      <c r="A271" s="49"/>
      <c r="B271" s="49"/>
      <c r="C271" s="49"/>
      <c r="D271" s="50"/>
    </row>
    <row r="272">
      <c r="A272" s="49"/>
      <c r="B272" s="49"/>
      <c r="C272" s="49"/>
      <c r="D272" s="50"/>
    </row>
    <row r="273">
      <c r="A273" s="49"/>
      <c r="B273" s="49"/>
      <c r="C273" s="49"/>
      <c r="D273" s="50"/>
    </row>
    <row r="274">
      <c r="A274" s="49"/>
      <c r="B274" s="49"/>
      <c r="C274" s="49"/>
      <c r="D274" s="50"/>
    </row>
    <row r="275">
      <c r="A275" s="49"/>
      <c r="B275" s="49"/>
      <c r="C275" s="49"/>
      <c r="D275" s="50"/>
    </row>
    <row r="276">
      <c r="A276" s="49"/>
      <c r="B276" s="49"/>
      <c r="C276" s="49"/>
      <c r="D276" s="50"/>
    </row>
    <row r="277">
      <c r="A277" s="49"/>
      <c r="B277" s="49"/>
      <c r="C277" s="49"/>
      <c r="D277" s="50"/>
    </row>
    <row r="278">
      <c r="A278" s="49"/>
      <c r="B278" s="49"/>
      <c r="C278" s="49"/>
      <c r="D278" s="50"/>
    </row>
    <row r="279">
      <c r="A279" s="49"/>
      <c r="B279" s="49"/>
      <c r="C279" s="49"/>
      <c r="D279" s="50"/>
    </row>
    <row r="280">
      <c r="A280" s="49"/>
      <c r="B280" s="49"/>
      <c r="C280" s="49"/>
      <c r="D280" s="50"/>
    </row>
    <row r="281">
      <c r="A281" s="49"/>
      <c r="B281" s="49"/>
      <c r="C281" s="49"/>
      <c r="D281" s="50"/>
    </row>
    <row r="282">
      <c r="A282" s="49"/>
      <c r="B282" s="49"/>
      <c r="C282" s="49"/>
      <c r="D282" s="50"/>
    </row>
    <row r="283">
      <c r="A283" s="49"/>
      <c r="B283" s="49"/>
      <c r="C283" s="49"/>
      <c r="D283" s="50"/>
    </row>
    <row r="284">
      <c r="A284" s="49"/>
      <c r="B284" s="49"/>
      <c r="C284" s="49"/>
      <c r="D284" s="50"/>
    </row>
    <row r="285">
      <c r="A285" s="49"/>
      <c r="B285" s="49"/>
      <c r="C285" s="49"/>
      <c r="D285" s="50"/>
    </row>
    <row r="286">
      <c r="A286" s="49"/>
      <c r="B286" s="49"/>
      <c r="C286" s="49"/>
      <c r="D286" s="50"/>
    </row>
    <row r="287">
      <c r="A287" s="49"/>
      <c r="B287" s="49"/>
      <c r="C287" s="49"/>
      <c r="D287" s="50"/>
    </row>
    <row r="288">
      <c r="A288" s="49"/>
      <c r="B288" s="49"/>
      <c r="C288" s="49"/>
      <c r="D288" s="50"/>
    </row>
    <row r="289">
      <c r="A289" s="49"/>
      <c r="B289" s="49"/>
      <c r="C289" s="49"/>
      <c r="D289" s="50"/>
    </row>
    <row r="290">
      <c r="A290" s="49"/>
      <c r="B290" s="49"/>
      <c r="C290" s="49"/>
      <c r="D290" s="50"/>
    </row>
    <row r="291">
      <c r="A291" s="49"/>
      <c r="B291" s="49"/>
      <c r="C291" s="49"/>
      <c r="D291" s="50"/>
    </row>
    <row r="292">
      <c r="A292" s="49"/>
      <c r="B292" s="49"/>
      <c r="C292" s="49"/>
      <c r="D292" s="50"/>
    </row>
    <row r="293">
      <c r="A293" s="49"/>
      <c r="B293" s="49"/>
      <c r="C293" s="49"/>
      <c r="D293" s="50"/>
    </row>
    <row r="294">
      <c r="A294" s="49"/>
      <c r="B294" s="49"/>
      <c r="C294" s="49"/>
      <c r="D294" s="50"/>
    </row>
    <row r="295">
      <c r="A295" s="49"/>
      <c r="B295" s="49"/>
      <c r="C295" s="49"/>
      <c r="D295" s="50"/>
    </row>
    <row r="296">
      <c r="A296" s="49"/>
      <c r="B296" s="49"/>
      <c r="C296" s="49"/>
      <c r="D296" s="50"/>
    </row>
    <row r="297">
      <c r="A297" s="49"/>
      <c r="B297" s="49"/>
      <c r="C297" s="49"/>
      <c r="D297" s="50"/>
    </row>
    <row r="298">
      <c r="A298" s="49"/>
      <c r="B298" s="49"/>
      <c r="C298" s="49"/>
      <c r="D298" s="50"/>
    </row>
    <row r="299">
      <c r="A299" s="49"/>
      <c r="B299" s="49"/>
      <c r="C299" s="49"/>
      <c r="D299" s="50"/>
    </row>
    <row r="300">
      <c r="A300" s="49"/>
      <c r="B300" s="49"/>
      <c r="C300" s="49"/>
      <c r="D300" s="50"/>
    </row>
    <row r="301">
      <c r="A301" s="49"/>
      <c r="B301" s="49"/>
      <c r="C301" s="49"/>
      <c r="D301" s="50"/>
    </row>
    <row r="302">
      <c r="A302" s="49"/>
      <c r="B302" s="49"/>
      <c r="C302" s="49"/>
      <c r="D302" s="50"/>
    </row>
    <row r="303">
      <c r="A303" s="49"/>
      <c r="B303" s="49"/>
      <c r="C303" s="49"/>
      <c r="D303" s="50"/>
    </row>
    <row r="304">
      <c r="A304" s="49"/>
      <c r="B304" s="49"/>
      <c r="C304" s="49"/>
      <c r="D304" s="50"/>
    </row>
    <row r="305">
      <c r="A305" s="49"/>
      <c r="B305" s="49"/>
      <c r="C305" s="49"/>
      <c r="D305" s="50"/>
    </row>
    <row r="306">
      <c r="A306" s="49"/>
      <c r="B306" s="49"/>
      <c r="C306" s="49"/>
      <c r="D306" s="50"/>
    </row>
    <row r="307">
      <c r="A307" s="49"/>
      <c r="B307" s="49"/>
      <c r="C307" s="49"/>
      <c r="D307" s="50"/>
    </row>
    <row r="308">
      <c r="A308" s="49"/>
      <c r="B308" s="49"/>
      <c r="C308" s="49"/>
      <c r="D308" s="50"/>
    </row>
    <row r="309">
      <c r="A309" s="49"/>
      <c r="B309" s="49"/>
      <c r="C309" s="49"/>
      <c r="D309" s="50"/>
    </row>
    <row r="310">
      <c r="A310" s="49"/>
      <c r="B310" s="49"/>
      <c r="C310" s="49"/>
      <c r="D310" s="50"/>
    </row>
    <row r="311">
      <c r="A311" s="49"/>
      <c r="B311" s="49"/>
      <c r="C311" s="49"/>
      <c r="D311" s="50"/>
    </row>
    <row r="312">
      <c r="A312" s="49"/>
      <c r="B312" s="49"/>
      <c r="C312" s="49"/>
      <c r="D312" s="50"/>
    </row>
    <row r="313">
      <c r="A313" s="49"/>
      <c r="B313" s="49"/>
      <c r="C313" s="49"/>
      <c r="D313" s="50"/>
    </row>
    <row r="314">
      <c r="A314" s="49"/>
      <c r="B314" s="49"/>
      <c r="C314" s="49"/>
      <c r="D314" s="50"/>
    </row>
    <row r="315">
      <c r="A315" s="49"/>
      <c r="B315" s="49"/>
      <c r="C315" s="49"/>
      <c r="D315" s="50"/>
    </row>
    <row r="316">
      <c r="A316" s="49"/>
      <c r="B316" s="49"/>
      <c r="C316" s="49"/>
      <c r="D316" s="50"/>
    </row>
    <row r="317">
      <c r="A317" s="49"/>
      <c r="B317" s="49"/>
      <c r="C317" s="49"/>
      <c r="D317" s="50"/>
    </row>
    <row r="318">
      <c r="A318" s="49"/>
      <c r="B318" s="49"/>
      <c r="C318" s="49"/>
      <c r="D318" s="50"/>
    </row>
    <row r="319">
      <c r="A319" s="49"/>
      <c r="B319" s="49"/>
      <c r="C319" s="49"/>
      <c r="D319" s="50"/>
    </row>
    <row r="320">
      <c r="A320" s="49"/>
      <c r="B320" s="49"/>
      <c r="C320" s="49"/>
      <c r="D320" s="50"/>
    </row>
    <row r="321">
      <c r="A321" s="49"/>
      <c r="B321" s="49"/>
      <c r="C321" s="49"/>
      <c r="D321" s="50"/>
    </row>
    <row r="322">
      <c r="A322" s="49"/>
      <c r="B322" s="49"/>
      <c r="C322" s="49"/>
      <c r="D322" s="50"/>
    </row>
    <row r="323">
      <c r="A323" s="49"/>
      <c r="B323" s="49"/>
      <c r="C323" s="49"/>
      <c r="D323" s="50"/>
    </row>
    <row r="324">
      <c r="A324" s="49"/>
      <c r="B324" s="49"/>
      <c r="C324" s="49"/>
      <c r="D324" s="50"/>
    </row>
    <row r="325">
      <c r="A325" s="49"/>
      <c r="B325" s="49"/>
      <c r="C325" s="49"/>
      <c r="D325" s="50"/>
    </row>
    <row r="326">
      <c r="A326" s="49"/>
      <c r="B326" s="49"/>
      <c r="C326" s="49"/>
      <c r="D326" s="50"/>
    </row>
    <row r="327">
      <c r="A327" s="49"/>
      <c r="B327" s="49"/>
      <c r="C327" s="49"/>
      <c r="D327" s="50"/>
    </row>
    <row r="328">
      <c r="A328" s="49"/>
      <c r="B328" s="49"/>
      <c r="C328" s="49"/>
      <c r="D328" s="50"/>
    </row>
    <row r="329">
      <c r="A329" s="49"/>
      <c r="B329" s="49"/>
      <c r="C329" s="49"/>
      <c r="D329" s="50"/>
    </row>
    <row r="330">
      <c r="A330" s="49"/>
      <c r="B330" s="49"/>
      <c r="C330" s="49"/>
      <c r="D330" s="50"/>
    </row>
    <row r="331">
      <c r="A331" s="49"/>
      <c r="B331" s="49"/>
      <c r="C331" s="49"/>
      <c r="D331" s="50"/>
    </row>
    <row r="332">
      <c r="A332" s="49"/>
      <c r="B332" s="49"/>
      <c r="C332" s="49"/>
      <c r="D332" s="50"/>
    </row>
    <row r="333">
      <c r="A333" s="49"/>
      <c r="B333" s="49"/>
      <c r="C333" s="49"/>
      <c r="D333" s="50"/>
    </row>
    <row r="334">
      <c r="A334" s="49"/>
      <c r="B334" s="49"/>
      <c r="C334" s="49"/>
      <c r="D334" s="50"/>
    </row>
    <row r="335">
      <c r="A335" s="49"/>
      <c r="B335" s="49"/>
      <c r="C335" s="49"/>
      <c r="D335" s="50"/>
    </row>
    <row r="336">
      <c r="A336" s="49"/>
      <c r="B336" s="49"/>
      <c r="C336" s="49"/>
      <c r="D336" s="50"/>
    </row>
    <row r="337">
      <c r="A337" s="49"/>
      <c r="B337" s="49"/>
      <c r="C337" s="49"/>
      <c r="D337" s="50"/>
    </row>
    <row r="338">
      <c r="A338" s="49"/>
      <c r="B338" s="49"/>
      <c r="C338" s="49"/>
      <c r="D338" s="50"/>
    </row>
    <row r="339">
      <c r="A339" s="49"/>
      <c r="B339" s="49"/>
      <c r="C339" s="49"/>
      <c r="D339" s="50"/>
    </row>
    <row r="340">
      <c r="A340" s="49"/>
      <c r="B340" s="49"/>
      <c r="C340" s="49"/>
      <c r="D340" s="50"/>
    </row>
    <row r="341">
      <c r="A341" s="49"/>
      <c r="B341" s="49"/>
      <c r="C341" s="49"/>
      <c r="D341" s="50"/>
    </row>
    <row r="342">
      <c r="A342" s="49"/>
      <c r="B342" s="49"/>
      <c r="C342" s="49"/>
      <c r="D342" s="50"/>
    </row>
    <row r="343">
      <c r="A343" s="49"/>
      <c r="B343" s="49"/>
      <c r="C343" s="49"/>
      <c r="D343" s="50"/>
    </row>
    <row r="344">
      <c r="A344" s="49"/>
      <c r="B344" s="49"/>
      <c r="C344" s="49"/>
      <c r="D344" s="50"/>
    </row>
    <row r="345">
      <c r="A345" s="49"/>
      <c r="B345" s="49"/>
      <c r="C345" s="49"/>
      <c r="D345" s="50"/>
    </row>
    <row r="346">
      <c r="A346" s="49"/>
      <c r="B346" s="49"/>
      <c r="C346" s="49"/>
      <c r="D346" s="50"/>
    </row>
    <row r="347">
      <c r="A347" s="49"/>
      <c r="B347" s="49"/>
      <c r="C347" s="49"/>
      <c r="D347" s="50"/>
    </row>
    <row r="348">
      <c r="A348" s="49"/>
      <c r="B348" s="49"/>
      <c r="C348" s="49"/>
      <c r="D348" s="50"/>
    </row>
    <row r="349">
      <c r="A349" s="49"/>
      <c r="B349" s="49"/>
      <c r="C349" s="49"/>
      <c r="D349" s="50"/>
    </row>
    <row r="350">
      <c r="A350" s="49"/>
      <c r="B350" s="49"/>
      <c r="C350" s="49"/>
      <c r="D350" s="50"/>
    </row>
    <row r="351">
      <c r="A351" s="49"/>
      <c r="B351" s="49"/>
      <c r="C351" s="49"/>
      <c r="D351" s="50"/>
    </row>
    <row r="352">
      <c r="A352" s="49"/>
      <c r="B352" s="49"/>
      <c r="C352" s="49"/>
      <c r="D352" s="50"/>
    </row>
    <row r="353">
      <c r="A353" s="49"/>
      <c r="B353" s="49"/>
      <c r="C353" s="49"/>
      <c r="D353" s="50"/>
    </row>
    <row r="354">
      <c r="A354" s="49"/>
      <c r="B354" s="49"/>
      <c r="C354" s="49"/>
      <c r="D354" s="50"/>
    </row>
    <row r="355">
      <c r="A355" s="49"/>
      <c r="B355" s="49"/>
      <c r="C355" s="49"/>
      <c r="D355" s="50"/>
    </row>
    <row r="356">
      <c r="A356" s="49"/>
      <c r="B356" s="49"/>
      <c r="C356" s="49"/>
      <c r="D356" s="50"/>
    </row>
    <row r="357">
      <c r="A357" s="49"/>
      <c r="B357" s="49"/>
      <c r="C357" s="49"/>
      <c r="D357" s="50"/>
    </row>
    <row r="358">
      <c r="A358" s="49"/>
      <c r="B358" s="49"/>
      <c r="C358" s="49"/>
      <c r="D358" s="50"/>
    </row>
    <row r="359">
      <c r="A359" s="49"/>
      <c r="B359" s="49"/>
      <c r="C359" s="49"/>
      <c r="D359" s="50"/>
    </row>
    <row r="360">
      <c r="A360" s="49"/>
      <c r="B360" s="49"/>
      <c r="C360" s="49"/>
      <c r="D360" s="50"/>
    </row>
    <row r="361">
      <c r="A361" s="49"/>
      <c r="B361" s="49"/>
      <c r="C361" s="49"/>
      <c r="D361" s="50"/>
    </row>
    <row r="362">
      <c r="A362" s="49"/>
      <c r="B362" s="49"/>
      <c r="C362" s="49"/>
      <c r="D362" s="50"/>
    </row>
    <row r="363">
      <c r="A363" s="49"/>
      <c r="B363" s="49"/>
      <c r="C363" s="49"/>
      <c r="D363" s="50"/>
    </row>
    <row r="364">
      <c r="A364" s="49"/>
      <c r="B364" s="49"/>
      <c r="C364" s="49"/>
      <c r="D364" s="50"/>
    </row>
    <row r="365">
      <c r="A365" s="49"/>
      <c r="B365" s="49"/>
      <c r="C365" s="49"/>
      <c r="D365" s="50"/>
    </row>
    <row r="366">
      <c r="A366" s="49"/>
      <c r="B366" s="49"/>
      <c r="C366" s="49"/>
      <c r="D366" s="50"/>
    </row>
    <row r="367">
      <c r="A367" s="49"/>
      <c r="B367" s="49"/>
      <c r="C367" s="49"/>
      <c r="D367" s="50"/>
    </row>
    <row r="368">
      <c r="A368" s="49"/>
      <c r="B368" s="49"/>
      <c r="C368" s="49"/>
      <c r="D368" s="50"/>
    </row>
    <row r="369">
      <c r="A369" s="49"/>
      <c r="B369" s="49"/>
      <c r="C369" s="49"/>
      <c r="D369" s="50"/>
    </row>
    <row r="370">
      <c r="A370" s="49"/>
      <c r="B370" s="49"/>
      <c r="C370" s="49"/>
      <c r="D370" s="50"/>
    </row>
    <row r="371">
      <c r="A371" s="49"/>
      <c r="B371" s="49"/>
      <c r="C371" s="49"/>
      <c r="D371" s="50"/>
    </row>
    <row r="372">
      <c r="A372" s="49"/>
      <c r="B372" s="49"/>
      <c r="C372" s="49"/>
      <c r="D372" s="50"/>
    </row>
    <row r="373">
      <c r="A373" s="49"/>
      <c r="B373" s="49"/>
      <c r="C373" s="49"/>
      <c r="D373" s="50"/>
    </row>
    <row r="374">
      <c r="A374" s="49"/>
      <c r="B374" s="49"/>
      <c r="C374" s="49"/>
      <c r="D374" s="50"/>
    </row>
    <row r="375">
      <c r="A375" s="49"/>
      <c r="B375" s="49"/>
      <c r="C375" s="49"/>
      <c r="D375" s="50"/>
    </row>
    <row r="376">
      <c r="A376" s="49"/>
      <c r="B376" s="49"/>
      <c r="C376" s="49"/>
      <c r="D376" s="50"/>
    </row>
    <row r="377">
      <c r="A377" s="49"/>
      <c r="B377" s="49"/>
      <c r="C377" s="49"/>
      <c r="D377" s="50"/>
    </row>
    <row r="378">
      <c r="A378" s="49"/>
      <c r="B378" s="49"/>
      <c r="C378" s="49"/>
      <c r="D378" s="50"/>
    </row>
    <row r="379">
      <c r="A379" s="49"/>
      <c r="B379" s="49"/>
      <c r="C379" s="49"/>
      <c r="D379" s="50"/>
    </row>
    <row r="380">
      <c r="A380" s="49"/>
      <c r="B380" s="49"/>
      <c r="C380" s="49"/>
      <c r="D380" s="50"/>
    </row>
    <row r="381">
      <c r="A381" s="49"/>
      <c r="B381" s="49"/>
      <c r="C381" s="49"/>
      <c r="D381" s="50"/>
    </row>
    <row r="382">
      <c r="A382" s="49"/>
      <c r="B382" s="49"/>
      <c r="C382" s="49"/>
      <c r="D382" s="50"/>
    </row>
    <row r="383">
      <c r="A383" s="49"/>
      <c r="B383" s="49"/>
      <c r="C383" s="49"/>
      <c r="D383" s="50"/>
    </row>
    <row r="384">
      <c r="A384" s="49"/>
      <c r="B384" s="49"/>
      <c r="C384" s="49"/>
      <c r="D384" s="50"/>
    </row>
    <row r="385">
      <c r="A385" s="49"/>
      <c r="B385" s="49"/>
      <c r="C385" s="49"/>
      <c r="D385" s="50"/>
    </row>
    <row r="386">
      <c r="A386" s="49"/>
      <c r="B386" s="49"/>
      <c r="C386" s="49"/>
      <c r="D386" s="50"/>
    </row>
    <row r="387">
      <c r="A387" s="49"/>
      <c r="B387" s="49"/>
      <c r="C387" s="49"/>
      <c r="D387" s="50"/>
    </row>
    <row r="388">
      <c r="A388" s="49"/>
      <c r="B388" s="49"/>
      <c r="C388" s="49"/>
      <c r="D388" s="50"/>
    </row>
    <row r="389">
      <c r="A389" s="49"/>
      <c r="B389" s="49"/>
      <c r="C389" s="49"/>
      <c r="D389" s="50"/>
    </row>
    <row r="390">
      <c r="A390" s="49"/>
      <c r="B390" s="49"/>
      <c r="C390" s="49"/>
      <c r="D390" s="50"/>
    </row>
    <row r="391">
      <c r="A391" s="49"/>
      <c r="B391" s="49"/>
      <c r="C391" s="49"/>
      <c r="D391" s="50"/>
    </row>
    <row r="392">
      <c r="A392" s="49"/>
      <c r="B392" s="49"/>
      <c r="C392" s="49"/>
      <c r="D392" s="50"/>
    </row>
    <row r="393">
      <c r="A393" s="49"/>
      <c r="B393" s="49"/>
      <c r="C393" s="49"/>
      <c r="D393" s="50"/>
    </row>
    <row r="394">
      <c r="A394" s="49"/>
      <c r="B394" s="49"/>
      <c r="C394" s="49"/>
      <c r="D394" s="50"/>
    </row>
    <row r="395">
      <c r="A395" s="49"/>
      <c r="B395" s="49"/>
      <c r="C395" s="49"/>
      <c r="D395" s="50"/>
    </row>
    <row r="396">
      <c r="A396" s="49"/>
      <c r="B396" s="49"/>
      <c r="C396" s="49"/>
      <c r="D396" s="50"/>
    </row>
    <row r="397">
      <c r="A397" s="49"/>
      <c r="B397" s="49"/>
      <c r="C397" s="49"/>
      <c r="D397" s="50"/>
    </row>
    <row r="398">
      <c r="A398" s="49"/>
      <c r="B398" s="49"/>
      <c r="C398" s="49"/>
      <c r="D398" s="50"/>
    </row>
    <row r="399">
      <c r="A399" s="49"/>
      <c r="B399" s="49"/>
      <c r="C399" s="49"/>
      <c r="D399" s="50"/>
    </row>
    <row r="400">
      <c r="A400" s="49"/>
      <c r="B400" s="49"/>
      <c r="C400" s="49"/>
      <c r="D400" s="50"/>
    </row>
    <row r="401">
      <c r="A401" s="49"/>
      <c r="B401" s="49"/>
      <c r="C401" s="49"/>
      <c r="D401" s="50"/>
    </row>
    <row r="402">
      <c r="A402" s="49"/>
      <c r="B402" s="49"/>
      <c r="C402" s="49"/>
      <c r="D402" s="50"/>
    </row>
    <row r="403">
      <c r="A403" s="49"/>
      <c r="B403" s="49"/>
      <c r="C403" s="49"/>
      <c r="D403" s="50"/>
    </row>
    <row r="404">
      <c r="A404" s="49"/>
      <c r="B404" s="49"/>
      <c r="C404" s="49"/>
      <c r="D404" s="50"/>
    </row>
    <row r="405">
      <c r="A405" s="49"/>
      <c r="B405" s="49"/>
      <c r="C405" s="49"/>
      <c r="D405" s="50"/>
    </row>
    <row r="406">
      <c r="A406" s="49"/>
      <c r="B406" s="49"/>
      <c r="C406" s="49"/>
      <c r="D406" s="50"/>
    </row>
    <row r="407">
      <c r="A407" s="49"/>
      <c r="B407" s="49"/>
      <c r="C407" s="49"/>
      <c r="D407" s="50"/>
    </row>
    <row r="408">
      <c r="A408" s="49"/>
      <c r="B408" s="49"/>
      <c r="C408" s="49"/>
      <c r="D408" s="50"/>
    </row>
    <row r="409">
      <c r="A409" s="49"/>
      <c r="B409" s="49"/>
      <c r="C409" s="49"/>
      <c r="D409" s="50"/>
    </row>
    <row r="410">
      <c r="A410" s="49"/>
      <c r="B410" s="49"/>
      <c r="C410" s="49"/>
      <c r="D410" s="50"/>
    </row>
    <row r="411">
      <c r="A411" s="49"/>
      <c r="B411" s="49"/>
      <c r="C411" s="49"/>
      <c r="D411" s="50"/>
    </row>
    <row r="412">
      <c r="A412" s="49"/>
      <c r="B412" s="49"/>
      <c r="C412" s="49"/>
      <c r="D412" s="50"/>
    </row>
    <row r="413">
      <c r="A413" s="49"/>
      <c r="B413" s="49"/>
      <c r="C413" s="49"/>
      <c r="D413" s="50"/>
    </row>
    <row r="414">
      <c r="A414" s="49"/>
      <c r="B414" s="49"/>
      <c r="C414" s="49"/>
      <c r="D414" s="50"/>
    </row>
    <row r="415">
      <c r="A415" s="49"/>
      <c r="B415" s="49"/>
      <c r="C415" s="49"/>
      <c r="D415" s="50"/>
    </row>
    <row r="416">
      <c r="A416" s="49"/>
      <c r="B416" s="49"/>
      <c r="C416" s="49"/>
      <c r="D416" s="50"/>
    </row>
    <row r="417">
      <c r="A417" s="49"/>
      <c r="B417" s="49"/>
      <c r="C417" s="49"/>
      <c r="D417" s="50"/>
    </row>
    <row r="418">
      <c r="A418" s="49"/>
      <c r="B418" s="49"/>
      <c r="C418" s="49"/>
      <c r="D418" s="50"/>
    </row>
    <row r="419">
      <c r="A419" s="49"/>
      <c r="B419" s="49"/>
      <c r="C419" s="49"/>
      <c r="D419" s="50"/>
    </row>
    <row r="420">
      <c r="A420" s="49"/>
      <c r="B420" s="49"/>
      <c r="C420" s="49"/>
      <c r="D420" s="50"/>
    </row>
    <row r="421">
      <c r="A421" s="49"/>
      <c r="B421" s="49"/>
      <c r="C421" s="49"/>
      <c r="D421" s="50"/>
    </row>
    <row r="422">
      <c r="A422" s="49"/>
      <c r="B422" s="49"/>
      <c r="C422" s="49"/>
      <c r="D422" s="50"/>
    </row>
    <row r="423">
      <c r="A423" s="49"/>
      <c r="B423" s="49"/>
      <c r="C423" s="49"/>
      <c r="D423" s="50"/>
    </row>
    <row r="424">
      <c r="A424" s="49"/>
      <c r="B424" s="49"/>
      <c r="C424" s="49"/>
      <c r="D424" s="50"/>
    </row>
    <row r="425">
      <c r="A425" s="49"/>
      <c r="B425" s="49"/>
      <c r="C425" s="49"/>
      <c r="D425" s="50"/>
    </row>
    <row r="426">
      <c r="A426" s="49"/>
      <c r="B426" s="49"/>
      <c r="C426" s="49"/>
      <c r="D426" s="50"/>
    </row>
    <row r="427">
      <c r="A427" s="49"/>
      <c r="B427" s="49"/>
      <c r="C427" s="49"/>
      <c r="D427" s="50"/>
    </row>
    <row r="428">
      <c r="A428" s="49"/>
      <c r="B428" s="49"/>
      <c r="C428" s="49"/>
      <c r="D428" s="50"/>
    </row>
    <row r="429">
      <c r="A429" s="49"/>
      <c r="B429" s="49"/>
      <c r="C429" s="49"/>
      <c r="D429" s="50"/>
    </row>
    <row r="430">
      <c r="A430" s="49"/>
      <c r="B430" s="49"/>
      <c r="C430" s="49"/>
      <c r="D430" s="50"/>
    </row>
    <row r="431">
      <c r="A431" s="49"/>
      <c r="B431" s="49"/>
      <c r="C431" s="49"/>
      <c r="D431" s="50"/>
    </row>
    <row r="432">
      <c r="A432" s="49"/>
      <c r="B432" s="49"/>
      <c r="C432" s="49"/>
      <c r="D432" s="50"/>
    </row>
    <row r="433">
      <c r="A433" s="49"/>
      <c r="B433" s="49"/>
      <c r="C433" s="49"/>
      <c r="D433" s="50"/>
    </row>
    <row r="434">
      <c r="A434" s="49"/>
      <c r="B434" s="49"/>
      <c r="C434" s="49"/>
      <c r="D434" s="50"/>
    </row>
    <row r="435">
      <c r="A435" s="49"/>
      <c r="B435" s="49"/>
      <c r="C435" s="49"/>
      <c r="D435" s="50"/>
    </row>
    <row r="436">
      <c r="A436" s="49"/>
      <c r="B436" s="49"/>
      <c r="C436" s="49"/>
      <c r="D436" s="50"/>
    </row>
    <row r="437">
      <c r="A437" s="49"/>
      <c r="B437" s="49"/>
      <c r="C437" s="49"/>
      <c r="D437" s="50"/>
    </row>
    <row r="438">
      <c r="A438" s="49"/>
      <c r="B438" s="49"/>
      <c r="C438" s="49"/>
      <c r="D438" s="50"/>
    </row>
    <row r="439">
      <c r="A439" s="49"/>
      <c r="B439" s="49"/>
      <c r="C439" s="49"/>
      <c r="D439" s="50"/>
    </row>
    <row r="440">
      <c r="A440" s="49"/>
      <c r="B440" s="49"/>
      <c r="C440" s="49"/>
      <c r="D440" s="50"/>
    </row>
    <row r="441">
      <c r="A441" s="49"/>
      <c r="B441" s="49"/>
      <c r="C441" s="49"/>
      <c r="D441" s="50"/>
    </row>
    <row r="442">
      <c r="A442" s="49"/>
      <c r="B442" s="49"/>
      <c r="C442" s="49"/>
      <c r="D442" s="50"/>
    </row>
    <row r="443">
      <c r="A443" s="49"/>
      <c r="B443" s="49"/>
      <c r="C443" s="49"/>
      <c r="D443" s="50"/>
    </row>
    <row r="444">
      <c r="A444" s="49"/>
      <c r="B444" s="49"/>
      <c r="C444" s="49"/>
      <c r="D444" s="50"/>
    </row>
    <row r="445">
      <c r="A445" s="49"/>
      <c r="B445" s="49"/>
      <c r="C445" s="49"/>
      <c r="D445" s="50"/>
    </row>
    <row r="446">
      <c r="A446" s="49"/>
      <c r="B446" s="49"/>
      <c r="C446" s="49"/>
      <c r="D446" s="50"/>
    </row>
    <row r="447">
      <c r="A447" s="49"/>
      <c r="B447" s="49"/>
      <c r="C447" s="49"/>
      <c r="D447" s="50"/>
    </row>
    <row r="448">
      <c r="A448" s="49"/>
      <c r="B448" s="49"/>
      <c r="C448" s="49"/>
      <c r="D448" s="50"/>
    </row>
    <row r="449">
      <c r="A449" s="49"/>
      <c r="B449" s="49"/>
      <c r="C449" s="49"/>
      <c r="D449" s="50"/>
    </row>
    <row r="450">
      <c r="A450" s="49"/>
      <c r="B450" s="49"/>
      <c r="C450" s="49"/>
      <c r="D450" s="50"/>
    </row>
    <row r="451">
      <c r="A451" s="49"/>
      <c r="B451" s="49"/>
      <c r="C451" s="49"/>
      <c r="D451" s="50"/>
    </row>
    <row r="452">
      <c r="A452" s="49"/>
      <c r="B452" s="49"/>
      <c r="C452" s="49"/>
      <c r="D452" s="50"/>
    </row>
    <row r="453">
      <c r="A453" s="49"/>
      <c r="B453" s="49"/>
      <c r="C453" s="49"/>
      <c r="D453" s="50"/>
    </row>
    <row r="454">
      <c r="A454" s="49"/>
      <c r="B454" s="49"/>
      <c r="C454" s="49"/>
      <c r="D454" s="50"/>
    </row>
    <row r="455">
      <c r="A455" s="49"/>
      <c r="B455" s="49"/>
      <c r="C455" s="49"/>
      <c r="D455" s="50"/>
    </row>
    <row r="456">
      <c r="A456" s="49"/>
      <c r="B456" s="49"/>
      <c r="C456" s="49"/>
      <c r="D456" s="50"/>
    </row>
    <row r="457">
      <c r="A457" s="49"/>
      <c r="B457" s="49"/>
      <c r="C457" s="49"/>
      <c r="D457" s="50"/>
    </row>
    <row r="458">
      <c r="A458" s="49"/>
      <c r="B458" s="49"/>
      <c r="C458" s="49"/>
      <c r="D458" s="50"/>
    </row>
    <row r="459">
      <c r="A459" s="49"/>
      <c r="B459" s="49"/>
      <c r="C459" s="49"/>
      <c r="D459" s="50"/>
    </row>
    <row r="460">
      <c r="A460" s="49"/>
      <c r="B460" s="49"/>
      <c r="C460" s="49"/>
      <c r="D460" s="50"/>
    </row>
    <row r="461">
      <c r="A461" s="49"/>
      <c r="B461" s="49"/>
      <c r="C461" s="49"/>
      <c r="D461" s="50"/>
    </row>
    <row r="462">
      <c r="A462" s="49"/>
      <c r="B462" s="49"/>
      <c r="C462" s="49"/>
      <c r="D462" s="50"/>
    </row>
    <row r="463">
      <c r="A463" s="49"/>
      <c r="B463" s="49"/>
      <c r="C463" s="49"/>
      <c r="D463" s="50"/>
    </row>
    <row r="464">
      <c r="A464" s="49"/>
      <c r="B464" s="49"/>
      <c r="C464" s="49"/>
      <c r="D464" s="50"/>
    </row>
    <row r="465">
      <c r="A465" s="49"/>
      <c r="B465" s="49"/>
      <c r="C465" s="49"/>
      <c r="D465" s="50"/>
    </row>
    <row r="466">
      <c r="A466" s="49"/>
      <c r="B466" s="49"/>
      <c r="C466" s="49"/>
      <c r="D466" s="50"/>
    </row>
    <row r="467">
      <c r="A467" s="49"/>
      <c r="B467" s="49"/>
      <c r="C467" s="49"/>
      <c r="D467" s="50"/>
    </row>
    <row r="468">
      <c r="A468" s="49"/>
      <c r="B468" s="49"/>
      <c r="C468" s="49"/>
      <c r="D468" s="50"/>
    </row>
    <row r="469">
      <c r="A469" s="49"/>
      <c r="B469" s="49"/>
      <c r="C469" s="49"/>
      <c r="D469" s="50"/>
    </row>
    <row r="470">
      <c r="A470" s="49"/>
      <c r="B470" s="49"/>
      <c r="C470" s="49"/>
      <c r="D470" s="50"/>
    </row>
    <row r="471">
      <c r="A471" s="49"/>
      <c r="B471" s="49"/>
      <c r="C471" s="49"/>
      <c r="D471" s="50"/>
    </row>
    <row r="472">
      <c r="A472" s="49"/>
      <c r="B472" s="49"/>
      <c r="C472" s="49"/>
      <c r="D472" s="50"/>
    </row>
    <row r="473">
      <c r="A473" s="49"/>
      <c r="B473" s="49"/>
      <c r="C473" s="49"/>
      <c r="D473" s="50"/>
    </row>
    <row r="474">
      <c r="A474" s="49"/>
      <c r="B474" s="49"/>
      <c r="C474" s="49"/>
      <c r="D474" s="50"/>
    </row>
    <row r="475">
      <c r="A475" s="49"/>
      <c r="B475" s="49"/>
      <c r="C475" s="49"/>
      <c r="D475" s="50"/>
    </row>
    <row r="476">
      <c r="A476" s="49"/>
      <c r="B476" s="49"/>
      <c r="C476" s="49"/>
      <c r="D476" s="50"/>
    </row>
    <row r="477">
      <c r="A477" s="49"/>
      <c r="B477" s="49"/>
      <c r="C477" s="49"/>
      <c r="D477" s="50"/>
    </row>
    <row r="478">
      <c r="A478" s="49"/>
      <c r="B478" s="49"/>
      <c r="C478" s="49"/>
      <c r="D478" s="50"/>
    </row>
    <row r="479">
      <c r="A479" s="49"/>
      <c r="B479" s="49"/>
      <c r="C479" s="49"/>
      <c r="D479" s="50"/>
    </row>
    <row r="480">
      <c r="A480" s="49"/>
      <c r="B480" s="49"/>
      <c r="C480" s="49"/>
      <c r="D480" s="50"/>
    </row>
    <row r="481">
      <c r="A481" s="49"/>
      <c r="B481" s="49"/>
      <c r="C481" s="49"/>
      <c r="D481" s="50"/>
    </row>
    <row r="482">
      <c r="A482" s="49"/>
      <c r="B482" s="49"/>
      <c r="C482" s="49"/>
      <c r="D482" s="50"/>
    </row>
    <row r="483">
      <c r="A483" s="49"/>
      <c r="B483" s="49"/>
      <c r="C483" s="49"/>
      <c r="D483" s="50"/>
    </row>
    <row r="484">
      <c r="A484" s="49"/>
      <c r="B484" s="49"/>
      <c r="C484" s="49"/>
      <c r="D484" s="50"/>
    </row>
    <row r="485">
      <c r="A485" s="49"/>
      <c r="B485" s="49"/>
      <c r="C485" s="49"/>
      <c r="D485" s="50"/>
    </row>
    <row r="486">
      <c r="A486" s="49"/>
      <c r="B486" s="49"/>
      <c r="C486" s="49"/>
      <c r="D486" s="50"/>
    </row>
    <row r="487">
      <c r="A487" s="49"/>
      <c r="B487" s="49"/>
      <c r="C487" s="49"/>
      <c r="D487" s="50"/>
    </row>
    <row r="488">
      <c r="A488" s="49"/>
      <c r="B488" s="49"/>
      <c r="C488" s="49"/>
      <c r="D488" s="50"/>
    </row>
    <row r="489">
      <c r="A489" s="49"/>
      <c r="B489" s="49"/>
      <c r="C489" s="49"/>
      <c r="D489" s="50"/>
    </row>
    <row r="490">
      <c r="A490" s="49"/>
      <c r="B490" s="49"/>
      <c r="C490" s="49"/>
      <c r="D490" s="50"/>
    </row>
    <row r="491">
      <c r="A491" s="49"/>
      <c r="B491" s="49"/>
      <c r="C491" s="49"/>
      <c r="D491" s="50"/>
    </row>
    <row r="492">
      <c r="A492" s="49"/>
      <c r="B492" s="49"/>
      <c r="C492" s="49"/>
      <c r="D492" s="50"/>
    </row>
    <row r="493">
      <c r="A493" s="49"/>
      <c r="B493" s="49"/>
      <c r="C493" s="49"/>
      <c r="D493" s="50"/>
    </row>
    <row r="494">
      <c r="A494" s="49"/>
      <c r="B494" s="49"/>
      <c r="C494" s="49"/>
      <c r="D494" s="50"/>
    </row>
    <row r="495">
      <c r="A495" s="49"/>
      <c r="B495" s="49"/>
      <c r="C495" s="49"/>
      <c r="D495" s="50"/>
    </row>
    <row r="496">
      <c r="A496" s="49"/>
      <c r="B496" s="49"/>
      <c r="C496" s="49"/>
      <c r="D496" s="50"/>
    </row>
    <row r="497">
      <c r="A497" s="49"/>
      <c r="B497" s="49"/>
      <c r="C497" s="49"/>
      <c r="D497" s="50"/>
    </row>
    <row r="498">
      <c r="A498" s="49"/>
      <c r="B498" s="49"/>
      <c r="C498" s="49"/>
      <c r="D498" s="50"/>
    </row>
    <row r="499">
      <c r="A499" s="49"/>
      <c r="B499" s="49"/>
      <c r="C499" s="49"/>
      <c r="D499" s="50"/>
    </row>
    <row r="500">
      <c r="A500" s="49"/>
      <c r="B500" s="49"/>
      <c r="C500" s="49"/>
      <c r="D500" s="50"/>
    </row>
    <row r="501">
      <c r="A501" s="49"/>
      <c r="B501" s="49"/>
      <c r="C501" s="49"/>
      <c r="D501" s="50"/>
    </row>
    <row r="502">
      <c r="A502" s="49"/>
      <c r="B502" s="49"/>
      <c r="C502" s="49"/>
      <c r="D502" s="50"/>
    </row>
    <row r="503">
      <c r="A503" s="49"/>
      <c r="B503" s="49"/>
      <c r="C503" s="49"/>
      <c r="D503" s="50"/>
    </row>
    <row r="504">
      <c r="A504" s="49"/>
      <c r="B504" s="49"/>
      <c r="C504" s="49"/>
      <c r="D504" s="50"/>
    </row>
    <row r="505">
      <c r="A505" s="49"/>
      <c r="B505" s="49"/>
      <c r="C505" s="49"/>
      <c r="D505" s="50"/>
    </row>
    <row r="506">
      <c r="A506" s="49"/>
      <c r="B506" s="49"/>
      <c r="C506" s="49"/>
      <c r="D506" s="50"/>
    </row>
    <row r="507">
      <c r="A507" s="49"/>
      <c r="B507" s="49"/>
      <c r="C507" s="49"/>
      <c r="D507" s="50"/>
    </row>
    <row r="508">
      <c r="A508" s="49"/>
      <c r="B508" s="49"/>
      <c r="C508" s="49"/>
      <c r="D508" s="50"/>
    </row>
    <row r="509">
      <c r="A509" s="49"/>
      <c r="B509" s="49"/>
      <c r="C509" s="49"/>
      <c r="D509" s="50"/>
    </row>
    <row r="510">
      <c r="A510" s="49"/>
      <c r="B510" s="49"/>
      <c r="C510" s="49"/>
      <c r="D510" s="50"/>
    </row>
    <row r="511">
      <c r="A511" s="49"/>
      <c r="B511" s="49"/>
      <c r="C511" s="49"/>
      <c r="D511" s="50"/>
    </row>
    <row r="512">
      <c r="A512" s="49"/>
      <c r="B512" s="49"/>
      <c r="C512" s="49"/>
      <c r="D512" s="50"/>
    </row>
    <row r="513">
      <c r="A513" s="49"/>
      <c r="B513" s="49"/>
      <c r="C513" s="49"/>
      <c r="D513" s="50"/>
    </row>
    <row r="514">
      <c r="A514" s="49"/>
      <c r="B514" s="49"/>
      <c r="C514" s="49"/>
      <c r="D514" s="50"/>
    </row>
    <row r="515">
      <c r="A515" s="49"/>
      <c r="B515" s="49"/>
      <c r="C515" s="49"/>
      <c r="D515" s="50"/>
    </row>
    <row r="516">
      <c r="A516" s="49"/>
      <c r="B516" s="49"/>
      <c r="C516" s="49"/>
      <c r="D516" s="50"/>
    </row>
    <row r="517">
      <c r="A517" s="49"/>
      <c r="B517" s="49"/>
      <c r="C517" s="49"/>
      <c r="D517" s="50"/>
    </row>
    <row r="518">
      <c r="A518" s="49"/>
      <c r="B518" s="49"/>
      <c r="C518" s="49"/>
      <c r="D518" s="50"/>
    </row>
    <row r="519">
      <c r="A519" s="49"/>
      <c r="B519" s="49"/>
      <c r="C519" s="49"/>
      <c r="D519" s="50"/>
    </row>
    <row r="520">
      <c r="A520" s="49"/>
      <c r="B520" s="49"/>
      <c r="C520" s="49"/>
      <c r="D520" s="50"/>
    </row>
    <row r="521">
      <c r="A521" s="49"/>
      <c r="B521" s="49"/>
      <c r="C521" s="49"/>
      <c r="D521" s="50"/>
    </row>
    <row r="522">
      <c r="A522" s="49"/>
      <c r="B522" s="49"/>
      <c r="C522" s="49"/>
      <c r="D522" s="50"/>
    </row>
    <row r="523">
      <c r="A523" s="49"/>
      <c r="B523" s="49"/>
      <c r="C523" s="49"/>
      <c r="D523" s="50"/>
    </row>
    <row r="524">
      <c r="A524" s="49"/>
      <c r="B524" s="49"/>
      <c r="C524" s="49"/>
      <c r="D524" s="50"/>
    </row>
    <row r="525">
      <c r="A525" s="49"/>
      <c r="B525" s="49"/>
      <c r="C525" s="49"/>
      <c r="D525" s="50"/>
    </row>
    <row r="526">
      <c r="A526" s="49"/>
      <c r="B526" s="49"/>
      <c r="C526" s="49"/>
      <c r="D526" s="50"/>
    </row>
    <row r="527">
      <c r="A527" s="49"/>
      <c r="B527" s="49"/>
      <c r="C527" s="49"/>
      <c r="D527" s="50"/>
    </row>
    <row r="528">
      <c r="A528" s="49"/>
      <c r="B528" s="49"/>
      <c r="C528" s="49"/>
      <c r="D528" s="50"/>
    </row>
    <row r="529">
      <c r="A529" s="49"/>
      <c r="B529" s="49"/>
      <c r="C529" s="49"/>
      <c r="D529" s="50"/>
    </row>
    <row r="530">
      <c r="A530" s="49"/>
      <c r="B530" s="49"/>
      <c r="C530" s="49"/>
      <c r="D530" s="50"/>
    </row>
    <row r="531">
      <c r="A531" s="49"/>
      <c r="B531" s="49"/>
      <c r="C531" s="49"/>
      <c r="D531" s="50"/>
    </row>
    <row r="532">
      <c r="A532" s="49"/>
      <c r="B532" s="49"/>
      <c r="C532" s="49"/>
      <c r="D532" s="50"/>
    </row>
    <row r="533">
      <c r="A533" s="49"/>
      <c r="B533" s="49"/>
      <c r="C533" s="49"/>
      <c r="D533" s="50"/>
    </row>
    <row r="534">
      <c r="A534" s="49"/>
      <c r="B534" s="49"/>
      <c r="C534" s="49"/>
      <c r="D534" s="50"/>
    </row>
    <row r="535">
      <c r="A535" s="49"/>
      <c r="B535" s="49"/>
      <c r="C535" s="49"/>
      <c r="D535" s="50"/>
    </row>
    <row r="536">
      <c r="A536" s="49"/>
      <c r="B536" s="49"/>
      <c r="C536" s="49"/>
      <c r="D536" s="50"/>
    </row>
    <row r="537">
      <c r="A537" s="49"/>
      <c r="B537" s="49"/>
      <c r="C537" s="49"/>
      <c r="D537" s="50"/>
    </row>
    <row r="538">
      <c r="A538" s="49"/>
      <c r="B538" s="49"/>
      <c r="C538" s="49"/>
      <c r="D538" s="50"/>
    </row>
    <row r="539">
      <c r="A539" s="49"/>
      <c r="B539" s="49"/>
      <c r="C539" s="49"/>
      <c r="D539" s="50"/>
    </row>
    <row r="540">
      <c r="A540" s="49"/>
      <c r="B540" s="49"/>
      <c r="C540" s="49"/>
      <c r="D540" s="50"/>
    </row>
    <row r="541">
      <c r="A541" s="49"/>
      <c r="B541" s="49"/>
      <c r="C541" s="49"/>
      <c r="D541" s="50"/>
    </row>
    <row r="542">
      <c r="A542" s="49"/>
      <c r="B542" s="49"/>
      <c r="C542" s="49"/>
      <c r="D542" s="50"/>
    </row>
    <row r="543">
      <c r="A543" s="49"/>
      <c r="B543" s="49"/>
      <c r="C543" s="49"/>
      <c r="D543" s="50"/>
    </row>
    <row r="544">
      <c r="A544" s="49"/>
      <c r="B544" s="49"/>
      <c r="C544" s="49"/>
      <c r="D544" s="50"/>
    </row>
    <row r="545">
      <c r="A545" s="49"/>
      <c r="B545" s="49"/>
      <c r="C545" s="49"/>
      <c r="D545" s="50"/>
    </row>
    <row r="546">
      <c r="A546" s="49"/>
      <c r="B546" s="49"/>
      <c r="C546" s="49"/>
      <c r="D546" s="50"/>
    </row>
    <row r="547">
      <c r="A547" s="49"/>
      <c r="B547" s="49"/>
      <c r="C547" s="49"/>
      <c r="D547" s="50"/>
    </row>
    <row r="548">
      <c r="A548" s="49"/>
      <c r="B548" s="49"/>
      <c r="C548" s="49"/>
      <c r="D548" s="50"/>
    </row>
    <row r="549">
      <c r="A549" s="49"/>
      <c r="B549" s="49"/>
      <c r="C549" s="49"/>
      <c r="D549" s="50"/>
    </row>
    <row r="550">
      <c r="A550" s="49"/>
      <c r="B550" s="49"/>
      <c r="C550" s="49"/>
      <c r="D550" s="50"/>
    </row>
    <row r="551">
      <c r="A551" s="49"/>
      <c r="B551" s="49"/>
      <c r="C551" s="49"/>
      <c r="D551" s="50"/>
    </row>
    <row r="552">
      <c r="A552" s="49"/>
      <c r="B552" s="49"/>
      <c r="C552" s="49"/>
      <c r="D552" s="50"/>
    </row>
    <row r="553">
      <c r="A553" s="49"/>
      <c r="B553" s="49"/>
      <c r="C553" s="49"/>
      <c r="D553" s="50"/>
    </row>
    <row r="554">
      <c r="A554" s="49"/>
      <c r="B554" s="49"/>
      <c r="C554" s="49"/>
      <c r="D554" s="50"/>
    </row>
    <row r="555">
      <c r="A555" s="49"/>
      <c r="B555" s="49"/>
      <c r="C555" s="49"/>
      <c r="D555" s="50"/>
    </row>
    <row r="556">
      <c r="A556" s="49"/>
      <c r="B556" s="49"/>
      <c r="C556" s="49"/>
      <c r="D556" s="50"/>
    </row>
    <row r="557">
      <c r="A557" s="49"/>
      <c r="B557" s="49"/>
      <c r="C557" s="49"/>
      <c r="D557" s="50"/>
    </row>
    <row r="558">
      <c r="A558" s="49"/>
      <c r="B558" s="49"/>
      <c r="C558" s="49"/>
      <c r="D558" s="50"/>
    </row>
    <row r="559">
      <c r="A559" s="49"/>
      <c r="B559" s="49"/>
      <c r="C559" s="49"/>
      <c r="D559" s="50"/>
    </row>
    <row r="560">
      <c r="A560" s="49"/>
      <c r="B560" s="49"/>
      <c r="C560" s="49"/>
      <c r="D560" s="50"/>
    </row>
    <row r="561">
      <c r="A561" s="49"/>
      <c r="B561" s="49"/>
      <c r="C561" s="49"/>
      <c r="D561" s="50"/>
    </row>
    <row r="562">
      <c r="A562" s="49"/>
      <c r="B562" s="49"/>
      <c r="C562" s="49"/>
      <c r="D562" s="50"/>
    </row>
    <row r="563">
      <c r="A563" s="49"/>
      <c r="B563" s="49"/>
      <c r="C563" s="49"/>
      <c r="D563" s="50"/>
    </row>
    <row r="564">
      <c r="A564" s="49"/>
      <c r="B564" s="49"/>
      <c r="C564" s="49"/>
      <c r="D564" s="50"/>
    </row>
    <row r="565">
      <c r="A565" s="49"/>
      <c r="B565" s="49"/>
      <c r="C565" s="49"/>
      <c r="D565" s="50"/>
    </row>
    <row r="566">
      <c r="A566" s="49"/>
      <c r="B566" s="49"/>
      <c r="C566" s="49"/>
      <c r="D566" s="50"/>
    </row>
    <row r="567">
      <c r="A567" s="49"/>
      <c r="B567" s="49"/>
      <c r="C567" s="49"/>
      <c r="D567" s="50"/>
    </row>
    <row r="568">
      <c r="A568" s="49"/>
      <c r="B568" s="49"/>
      <c r="C568" s="49"/>
      <c r="D568" s="50"/>
    </row>
    <row r="569">
      <c r="A569" s="49"/>
      <c r="B569" s="49"/>
      <c r="C569" s="49"/>
      <c r="D569" s="50"/>
    </row>
    <row r="570">
      <c r="A570" s="49"/>
      <c r="B570" s="49"/>
      <c r="C570" s="49"/>
      <c r="D570" s="50"/>
    </row>
    <row r="571">
      <c r="A571" s="49"/>
      <c r="B571" s="49"/>
      <c r="C571" s="49"/>
      <c r="D571" s="50"/>
    </row>
    <row r="572">
      <c r="A572" s="49"/>
      <c r="B572" s="49"/>
      <c r="C572" s="49"/>
      <c r="D572" s="50"/>
    </row>
    <row r="573">
      <c r="A573" s="49"/>
      <c r="B573" s="49"/>
      <c r="C573" s="49"/>
      <c r="D573" s="50"/>
    </row>
    <row r="574">
      <c r="A574" s="49"/>
      <c r="B574" s="49"/>
      <c r="C574" s="49"/>
      <c r="D574" s="50"/>
    </row>
    <row r="575">
      <c r="A575" s="49"/>
      <c r="B575" s="49"/>
      <c r="C575" s="49"/>
      <c r="D575" s="50"/>
    </row>
    <row r="576">
      <c r="A576" s="49"/>
      <c r="B576" s="49"/>
      <c r="C576" s="49"/>
      <c r="D576" s="50"/>
    </row>
    <row r="577">
      <c r="A577" s="49"/>
      <c r="B577" s="49"/>
      <c r="C577" s="49"/>
      <c r="D577" s="50"/>
    </row>
    <row r="578">
      <c r="A578" s="49"/>
      <c r="B578" s="49"/>
      <c r="C578" s="49"/>
      <c r="D578" s="50"/>
    </row>
    <row r="579">
      <c r="A579" s="49"/>
      <c r="B579" s="49"/>
      <c r="C579" s="49"/>
      <c r="D579" s="50"/>
    </row>
    <row r="580">
      <c r="A580" s="49"/>
      <c r="B580" s="49"/>
      <c r="C580" s="49"/>
      <c r="D580" s="50"/>
    </row>
    <row r="581">
      <c r="A581" s="49"/>
      <c r="B581" s="49"/>
      <c r="C581" s="49"/>
      <c r="D581" s="50"/>
    </row>
    <row r="582">
      <c r="A582" s="49"/>
      <c r="B582" s="49"/>
      <c r="C582" s="49"/>
      <c r="D582" s="50"/>
    </row>
    <row r="583">
      <c r="A583" s="49"/>
      <c r="B583" s="49"/>
      <c r="C583" s="49"/>
      <c r="D583" s="50"/>
    </row>
    <row r="584">
      <c r="A584" s="49"/>
      <c r="B584" s="49"/>
      <c r="C584" s="49"/>
      <c r="D584" s="50"/>
    </row>
    <row r="585">
      <c r="A585" s="49"/>
      <c r="B585" s="49"/>
      <c r="C585" s="49"/>
      <c r="D585" s="50"/>
    </row>
    <row r="586">
      <c r="A586" s="49"/>
      <c r="B586" s="49"/>
      <c r="C586" s="49"/>
      <c r="D586" s="50"/>
    </row>
    <row r="587">
      <c r="A587" s="49"/>
      <c r="B587" s="49"/>
      <c r="C587" s="49"/>
      <c r="D587" s="50"/>
    </row>
    <row r="588">
      <c r="A588" s="49"/>
      <c r="B588" s="49"/>
      <c r="C588" s="49"/>
      <c r="D588" s="50"/>
    </row>
    <row r="589">
      <c r="A589" s="49"/>
      <c r="B589" s="49"/>
      <c r="C589" s="49"/>
      <c r="D589" s="50"/>
    </row>
    <row r="590">
      <c r="A590" s="49"/>
      <c r="B590" s="49"/>
      <c r="C590" s="49"/>
      <c r="D590" s="50"/>
    </row>
    <row r="591">
      <c r="A591" s="49"/>
      <c r="B591" s="49"/>
      <c r="C591" s="49"/>
      <c r="D591" s="50"/>
    </row>
    <row r="592">
      <c r="A592" s="49"/>
      <c r="B592" s="49"/>
      <c r="C592" s="49"/>
      <c r="D592" s="50"/>
    </row>
    <row r="593">
      <c r="A593" s="49"/>
      <c r="B593" s="49"/>
      <c r="C593" s="49"/>
      <c r="D593" s="50"/>
    </row>
    <row r="594">
      <c r="A594" s="49"/>
      <c r="B594" s="49"/>
      <c r="C594" s="49"/>
      <c r="D594" s="50"/>
    </row>
    <row r="595">
      <c r="A595" s="49"/>
      <c r="B595" s="49"/>
      <c r="C595" s="49"/>
      <c r="D595" s="50"/>
    </row>
    <row r="596">
      <c r="A596" s="49"/>
      <c r="B596" s="49"/>
      <c r="C596" s="49"/>
      <c r="D596" s="50"/>
    </row>
    <row r="597">
      <c r="A597" s="49"/>
      <c r="B597" s="49"/>
      <c r="C597" s="49"/>
      <c r="D597" s="50"/>
    </row>
    <row r="598">
      <c r="A598" s="49"/>
      <c r="B598" s="49"/>
      <c r="C598" s="49"/>
      <c r="D598" s="50"/>
    </row>
    <row r="599">
      <c r="A599" s="49"/>
      <c r="B599" s="49"/>
      <c r="C599" s="49"/>
      <c r="D599" s="50"/>
    </row>
    <row r="600">
      <c r="A600" s="49"/>
      <c r="B600" s="49"/>
      <c r="C600" s="49"/>
      <c r="D600" s="50"/>
    </row>
    <row r="601">
      <c r="A601" s="49"/>
      <c r="B601" s="49"/>
      <c r="C601" s="49"/>
      <c r="D601" s="50"/>
    </row>
    <row r="602">
      <c r="A602" s="49"/>
      <c r="B602" s="49"/>
      <c r="C602" s="49"/>
      <c r="D602" s="50"/>
    </row>
    <row r="603">
      <c r="A603" s="49"/>
      <c r="B603" s="49"/>
      <c r="C603" s="49"/>
      <c r="D603" s="50"/>
    </row>
    <row r="604">
      <c r="A604" s="49"/>
      <c r="B604" s="49"/>
      <c r="C604" s="49"/>
      <c r="D604" s="50"/>
    </row>
    <row r="605">
      <c r="A605" s="49"/>
      <c r="B605" s="49"/>
      <c r="C605" s="49"/>
      <c r="D605" s="50"/>
    </row>
    <row r="606">
      <c r="A606" s="49"/>
      <c r="B606" s="49"/>
      <c r="C606" s="49"/>
      <c r="D606" s="50"/>
    </row>
    <row r="607">
      <c r="A607" s="49"/>
      <c r="B607" s="49"/>
      <c r="C607" s="49"/>
      <c r="D607" s="50"/>
    </row>
    <row r="608">
      <c r="A608" s="49"/>
      <c r="B608" s="49"/>
      <c r="C608" s="49"/>
      <c r="D608" s="50"/>
    </row>
    <row r="609">
      <c r="A609" s="49"/>
      <c r="B609" s="49"/>
      <c r="C609" s="49"/>
      <c r="D609" s="50"/>
    </row>
    <row r="610">
      <c r="A610" s="49"/>
      <c r="B610" s="49"/>
      <c r="C610" s="49"/>
      <c r="D610" s="50"/>
    </row>
    <row r="611">
      <c r="A611" s="49"/>
      <c r="B611" s="49"/>
      <c r="C611" s="49"/>
      <c r="D611" s="50"/>
    </row>
    <row r="612">
      <c r="A612" s="49"/>
      <c r="B612" s="49"/>
      <c r="C612" s="49"/>
      <c r="D612" s="50"/>
    </row>
    <row r="613">
      <c r="A613" s="49"/>
      <c r="B613" s="49"/>
      <c r="C613" s="49"/>
      <c r="D613" s="50"/>
    </row>
    <row r="614">
      <c r="A614" s="49"/>
      <c r="B614" s="49"/>
      <c r="C614" s="49"/>
      <c r="D614" s="50"/>
    </row>
    <row r="615">
      <c r="A615" s="49"/>
      <c r="B615" s="49"/>
      <c r="C615" s="49"/>
      <c r="D615" s="50"/>
    </row>
    <row r="616">
      <c r="A616" s="49"/>
      <c r="B616" s="49"/>
      <c r="C616" s="49"/>
      <c r="D616" s="50"/>
    </row>
    <row r="617">
      <c r="A617" s="49"/>
      <c r="B617" s="49"/>
      <c r="C617" s="49"/>
      <c r="D617" s="50"/>
    </row>
    <row r="618">
      <c r="A618" s="49"/>
      <c r="B618" s="49"/>
      <c r="C618" s="49"/>
      <c r="D618" s="50"/>
    </row>
    <row r="619">
      <c r="A619" s="49"/>
      <c r="B619" s="49"/>
      <c r="C619" s="49"/>
      <c r="D619" s="50"/>
    </row>
    <row r="620">
      <c r="A620" s="49"/>
      <c r="B620" s="49"/>
      <c r="C620" s="49"/>
      <c r="D620" s="50"/>
    </row>
    <row r="621">
      <c r="A621" s="49"/>
      <c r="B621" s="49"/>
      <c r="C621" s="49"/>
      <c r="D621" s="50"/>
    </row>
    <row r="622">
      <c r="A622" s="49"/>
      <c r="B622" s="49"/>
      <c r="C622" s="49"/>
      <c r="D622" s="50"/>
    </row>
    <row r="623">
      <c r="A623" s="49"/>
      <c r="B623" s="49"/>
      <c r="C623" s="49"/>
      <c r="D623" s="50"/>
    </row>
    <row r="624">
      <c r="A624" s="49"/>
      <c r="B624" s="49"/>
      <c r="C624" s="49"/>
      <c r="D624" s="50"/>
    </row>
    <row r="625">
      <c r="A625" s="49"/>
      <c r="B625" s="49"/>
      <c r="C625" s="49"/>
      <c r="D625" s="50"/>
    </row>
    <row r="626">
      <c r="A626" s="49"/>
      <c r="B626" s="49"/>
      <c r="C626" s="49"/>
      <c r="D626" s="50"/>
    </row>
    <row r="627">
      <c r="A627" s="49"/>
      <c r="B627" s="49"/>
      <c r="C627" s="49"/>
      <c r="D627" s="50"/>
    </row>
    <row r="628">
      <c r="A628" s="49"/>
      <c r="B628" s="49"/>
      <c r="C628" s="49"/>
      <c r="D628" s="50"/>
    </row>
    <row r="629">
      <c r="A629" s="49"/>
      <c r="B629" s="49"/>
      <c r="C629" s="49"/>
      <c r="D629" s="50"/>
    </row>
    <row r="630">
      <c r="A630" s="49"/>
      <c r="B630" s="49"/>
      <c r="C630" s="49"/>
      <c r="D630" s="50"/>
    </row>
    <row r="631">
      <c r="A631" s="49"/>
      <c r="B631" s="49"/>
      <c r="C631" s="49"/>
      <c r="D631" s="50"/>
    </row>
    <row r="632">
      <c r="A632" s="49"/>
      <c r="B632" s="49"/>
      <c r="C632" s="49"/>
      <c r="D632" s="50"/>
    </row>
    <row r="633">
      <c r="A633" s="49"/>
      <c r="B633" s="49"/>
      <c r="C633" s="49"/>
      <c r="D633" s="50"/>
    </row>
    <row r="634">
      <c r="A634" s="49"/>
      <c r="B634" s="49"/>
      <c r="C634" s="49"/>
      <c r="D634" s="50"/>
    </row>
    <row r="635">
      <c r="A635" s="49"/>
      <c r="B635" s="49"/>
      <c r="C635" s="49"/>
      <c r="D635" s="50"/>
    </row>
    <row r="636">
      <c r="A636" s="49"/>
      <c r="B636" s="49"/>
      <c r="C636" s="49"/>
      <c r="D636" s="50"/>
    </row>
    <row r="637">
      <c r="A637" s="49"/>
      <c r="B637" s="49"/>
      <c r="C637" s="49"/>
      <c r="D637" s="50"/>
    </row>
    <row r="638">
      <c r="A638" s="49"/>
      <c r="B638" s="49"/>
      <c r="C638" s="49"/>
      <c r="D638" s="50"/>
    </row>
    <row r="639">
      <c r="A639" s="49"/>
      <c r="B639" s="49"/>
      <c r="C639" s="49"/>
      <c r="D639" s="50"/>
    </row>
    <row r="640">
      <c r="A640" s="49"/>
      <c r="B640" s="49"/>
      <c r="C640" s="49"/>
      <c r="D640" s="50"/>
    </row>
    <row r="641">
      <c r="A641" s="49"/>
      <c r="B641" s="49"/>
      <c r="C641" s="49"/>
      <c r="D641" s="50"/>
    </row>
    <row r="642">
      <c r="A642" s="49"/>
      <c r="B642" s="49"/>
      <c r="C642" s="49"/>
      <c r="D642" s="50"/>
    </row>
    <row r="643">
      <c r="A643" s="49"/>
      <c r="B643" s="49"/>
      <c r="C643" s="49"/>
      <c r="D643" s="50"/>
    </row>
    <row r="644">
      <c r="A644" s="49"/>
      <c r="B644" s="49"/>
      <c r="C644" s="49"/>
      <c r="D644" s="50"/>
    </row>
    <row r="645">
      <c r="A645" s="49"/>
      <c r="B645" s="49"/>
      <c r="C645" s="49"/>
      <c r="D645" s="50"/>
    </row>
    <row r="646">
      <c r="A646" s="49"/>
      <c r="B646" s="49"/>
      <c r="C646" s="49"/>
      <c r="D646" s="50"/>
    </row>
    <row r="647">
      <c r="A647" s="49"/>
      <c r="B647" s="49"/>
      <c r="C647" s="49"/>
      <c r="D647" s="50"/>
    </row>
    <row r="648">
      <c r="A648" s="49"/>
      <c r="B648" s="49"/>
      <c r="C648" s="49"/>
      <c r="D648" s="50"/>
    </row>
    <row r="649">
      <c r="A649" s="49"/>
      <c r="B649" s="49"/>
      <c r="C649" s="49"/>
      <c r="D649" s="50"/>
    </row>
    <row r="650">
      <c r="A650" s="49"/>
      <c r="B650" s="49"/>
      <c r="C650" s="49"/>
      <c r="D650" s="50"/>
    </row>
    <row r="651">
      <c r="A651" s="49"/>
      <c r="B651" s="49"/>
      <c r="C651" s="49"/>
      <c r="D651" s="50"/>
    </row>
    <row r="652">
      <c r="A652" s="49"/>
      <c r="B652" s="49"/>
      <c r="C652" s="49"/>
      <c r="D652" s="50"/>
    </row>
    <row r="653">
      <c r="A653" s="49"/>
      <c r="B653" s="49"/>
      <c r="C653" s="49"/>
      <c r="D653" s="50"/>
    </row>
    <row r="654">
      <c r="A654" s="49"/>
      <c r="B654" s="49"/>
      <c r="C654" s="49"/>
      <c r="D654" s="50"/>
    </row>
    <row r="655">
      <c r="A655" s="49"/>
      <c r="B655" s="49"/>
      <c r="C655" s="49"/>
      <c r="D655" s="50"/>
    </row>
    <row r="656">
      <c r="A656" s="49"/>
      <c r="B656" s="49"/>
      <c r="C656" s="49"/>
      <c r="D656" s="50"/>
    </row>
    <row r="657">
      <c r="A657" s="49"/>
      <c r="B657" s="49"/>
      <c r="C657" s="49"/>
      <c r="D657" s="50"/>
    </row>
    <row r="658">
      <c r="A658" s="49"/>
      <c r="B658" s="49"/>
      <c r="C658" s="49"/>
      <c r="D658" s="50"/>
    </row>
    <row r="659">
      <c r="A659" s="49"/>
      <c r="B659" s="49"/>
      <c r="C659" s="49"/>
      <c r="D659" s="50"/>
    </row>
    <row r="660">
      <c r="A660" s="49"/>
      <c r="B660" s="49"/>
      <c r="C660" s="49"/>
      <c r="D660" s="50"/>
    </row>
    <row r="661">
      <c r="A661" s="49"/>
      <c r="B661" s="49"/>
      <c r="C661" s="49"/>
      <c r="D661" s="50"/>
    </row>
    <row r="662">
      <c r="A662" s="49"/>
      <c r="B662" s="49"/>
      <c r="C662" s="49"/>
      <c r="D662" s="50"/>
    </row>
    <row r="663">
      <c r="A663" s="49"/>
      <c r="B663" s="49"/>
      <c r="C663" s="49"/>
      <c r="D663" s="50"/>
    </row>
    <row r="664">
      <c r="A664" s="49"/>
      <c r="B664" s="49"/>
      <c r="C664" s="49"/>
      <c r="D664" s="50"/>
    </row>
    <row r="665">
      <c r="A665" s="49"/>
      <c r="B665" s="49"/>
      <c r="C665" s="49"/>
      <c r="D665" s="50"/>
    </row>
    <row r="666">
      <c r="A666" s="49"/>
      <c r="B666" s="49"/>
      <c r="C666" s="49"/>
      <c r="D666" s="50"/>
    </row>
    <row r="667">
      <c r="A667" s="49"/>
      <c r="B667" s="49"/>
      <c r="C667" s="49"/>
      <c r="D667" s="50"/>
    </row>
    <row r="668">
      <c r="A668" s="49"/>
      <c r="B668" s="49"/>
      <c r="C668" s="49"/>
      <c r="D668" s="50"/>
    </row>
    <row r="669">
      <c r="A669" s="49"/>
      <c r="B669" s="49"/>
      <c r="C669" s="49"/>
      <c r="D669" s="50"/>
    </row>
    <row r="670">
      <c r="A670" s="49"/>
      <c r="B670" s="49"/>
      <c r="C670" s="49"/>
      <c r="D670" s="50"/>
    </row>
    <row r="671">
      <c r="A671" s="49"/>
      <c r="B671" s="49"/>
      <c r="C671" s="49"/>
      <c r="D671" s="50"/>
    </row>
    <row r="672">
      <c r="A672" s="49"/>
      <c r="B672" s="49"/>
      <c r="C672" s="49"/>
      <c r="D672" s="50"/>
    </row>
    <row r="673">
      <c r="A673" s="49"/>
      <c r="B673" s="49"/>
      <c r="C673" s="49"/>
      <c r="D673" s="50"/>
    </row>
    <row r="674">
      <c r="A674" s="49"/>
      <c r="B674" s="49"/>
      <c r="C674" s="49"/>
      <c r="D674" s="50"/>
    </row>
    <row r="675">
      <c r="A675" s="49"/>
      <c r="B675" s="49"/>
      <c r="C675" s="49"/>
      <c r="D675" s="50"/>
    </row>
    <row r="676">
      <c r="A676" s="49"/>
      <c r="B676" s="49"/>
      <c r="C676" s="49"/>
      <c r="D676" s="50"/>
    </row>
    <row r="677">
      <c r="A677" s="49"/>
      <c r="B677" s="49"/>
      <c r="C677" s="49"/>
      <c r="D677" s="50"/>
    </row>
    <row r="678">
      <c r="A678" s="49"/>
      <c r="B678" s="49"/>
      <c r="C678" s="49"/>
      <c r="D678" s="50"/>
    </row>
    <row r="679">
      <c r="A679" s="49"/>
      <c r="B679" s="49"/>
      <c r="C679" s="49"/>
      <c r="D679" s="50"/>
    </row>
    <row r="680">
      <c r="A680" s="49"/>
      <c r="B680" s="49"/>
      <c r="C680" s="49"/>
      <c r="D680" s="50"/>
    </row>
    <row r="681">
      <c r="A681" s="49"/>
      <c r="B681" s="49"/>
      <c r="C681" s="49"/>
      <c r="D681" s="50"/>
    </row>
    <row r="682">
      <c r="A682" s="49"/>
      <c r="B682" s="49"/>
      <c r="C682" s="49"/>
      <c r="D682" s="50"/>
    </row>
    <row r="683">
      <c r="A683" s="49"/>
      <c r="B683" s="49"/>
      <c r="C683" s="49"/>
      <c r="D683" s="50"/>
    </row>
    <row r="684">
      <c r="A684" s="49"/>
      <c r="B684" s="49"/>
      <c r="C684" s="49"/>
      <c r="D684" s="50"/>
    </row>
    <row r="685">
      <c r="A685" s="49"/>
      <c r="B685" s="49"/>
      <c r="C685" s="49"/>
      <c r="D685" s="50"/>
    </row>
    <row r="686">
      <c r="A686" s="49"/>
      <c r="B686" s="49"/>
      <c r="C686" s="49"/>
      <c r="D686" s="50"/>
    </row>
    <row r="687">
      <c r="A687" s="49"/>
      <c r="B687" s="49"/>
      <c r="C687" s="49"/>
      <c r="D687" s="50"/>
    </row>
    <row r="688">
      <c r="A688" s="49"/>
      <c r="B688" s="49"/>
      <c r="C688" s="49"/>
      <c r="D688" s="50"/>
    </row>
    <row r="689">
      <c r="A689" s="49"/>
      <c r="B689" s="49"/>
      <c r="C689" s="49"/>
      <c r="D689" s="50"/>
    </row>
    <row r="690">
      <c r="A690" s="49"/>
      <c r="B690" s="49"/>
      <c r="C690" s="49"/>
      <c r="D690" s="50"/>
    </row>
    <row r="691">
      <c r="A691" s="49"/>
      <c r="B691" s="49"/>
      <c r="C691" s="49"/>
      <c r="D691" s="50"/>
    </row>
    <row r="692">
      <c r="A692" s="49"/>
      <c r="B692" s="49"/>
      <c r="C692" s="49"/>
      <c r="D692" s="50"/>
    </row>
    <row r="693">
      <c r="A693" s="49"/>
      <c r="B693" s="49"/>
      <c r="C693" s="49"/>
      <c r="D693" s="50"/>
    </row>
    <row r="694">
      <c r="A694" s="49"/>
      <c r="B694" s="49"/>
      <c r="C694" s="49"/>
      <c r="D694" s="50"/>
    </row>
    <row r="695">
      <c r="A695" s="49"/>
      <c r="B695" s="49"/>
      <c r="C695" s="49"/>
      <c r="D695" s="50"/>
    </row>
    <row r="696">
      <c r="A696" s="49"/>
      <c r="B696" s="49"/>
      <c r="C696" s="49"/>
      <c r="D696" s="50"/>
    </row>
    <row r="697">
      <c r="A697" s="49"/>
      <c r="B697" s="49"/>
      <c r="C697" s="49"/>
      <c r="D697" s="50"/>
    </row>
    <row r="698">
      <c r="A698" s="49"/>
      <c r="B698" s="49"/>
      <c r="C698" s="49"/>
      <c r="D698" s="50"/>
    </row>
    <row r="699">
      <c r="A699" s="49"/>
      <c r="B699" s="49"/>
      <c r="C699" s="49"/>
      <c r="D699" s="50"/>
    </row>
    <row r="700">
      <c r="A700" s="49"/>
      <c r="B700" s="49"/>
      <c r="C700" s="49"/>
      <c r="D700" s="50"/>
    </row>
    <row r="701">
      <c r="A701" s="49"/>
      <c r="B701" s="49"/>
      <c r="C701" s="49"/>
      <c r="D701" s="50"/>
    </row>
    <row r="702">
      <c r="A702" s="49"/>
      <c r="B702" s="49"/>
      <c r="C702" s="49"/>
      <c r="D702" s="50"/>
    </row>
    <row r="703">
      <c r="A703" s="49"/>
      <c r="B703" s="49"/>
      <c r="C703" s="49"/>
      <c r="D703" s="50"/>
    </row>
    <row r="704">
      <c r="A704" s="49"/>
      <c r="B704" s="49"/>
      <c r="C704" s="49"/>
      <c r="D704" s="50"/>
    </row>
    <row r="705">
      <c r="A705" s="49"/>
      <c r="B705" s="49"/>
      <c r="C705" s="49"/>
      <c r="D705" s="50"/>
    </row>
    <row r="706">
      <c r="A706" s="49"/>
      <c r="B706" s="49"/>
      <c r="C706" s="49"/>
      <c r="D706" s="50"/>
    </row>
    <row r="707">
      <c r="A707" s="49"/>
      <c r="B707" s="49"/>
      <c r="C707" s="49"/>
      <c r="D707" s="50"/>
    </row>
    <row r="708">
      <c r="A708" s="49"/>
      <c r="B708" s="49"/>
      <c r="C708" s="49"/>
      <c r="D708" s="50"/>
    </row>
    <row r="709">
      <c r="A709" s="49"/>
      <c r="B709" s="49"/>
      <c r="C709" s="49"/>
      <c r="D709" s="50"/>
    </row>
    <row r="710">
      <c r="A710" s="49"/>
      <c r="B710" s="49"/>
      <c r="C710" s="49"/>
      <c r="D710" s="50"/>
    </row>
    <row r="711">
      <c r="A711" s="49"/>
      <c r="B711" s="49"/>
      <c r="C711" s="49"/>
      <c r="D711" s="50"/>
    </row>
    <row r="712">
      <c r="A712" s="49"/>
      <c r="B712" s="49"/>
      <c r="C712" s="49"/>
      <c r="D712" s="50"/>
    </row>
    <row r="713">
      <c r="A713" s="49"/>
      <c r="B713" s="49"/>
      <c r="C713" s="49"/>
      <c r="D713" s="50"/>
    </row>
    <row r="714">
      <c r="A714" s="49"/>
      <c r="B714" s="49"/>
      <c r="C714" s="49"/>
      <c r="D714" s="50"/>
    </row>
    <row r="715">
      <c r="A715" s="49"/>
      <c r="B715" s="49"/>
      <c r="C715" s="49"/>
      <c r="D715" s="50"/>
    </row>
    <row r="716">
      <c r="A716" s="49"/>
      <c r="B716" s="49"/>
      <c r="C716" s="49"/>
      <c r="D716" s="50"/>
    </row>
    <row r="717">
      <c r="A717" s="49"/>
      <c r="B717" s="49"/>
      <c r="C717" s="49"/>
      <c r="D717" s="50"/>
    </row>
    <row r="718">
      <c r="A718" s="49"/>
      <c r="B718" s="49"/>
      <c r="C718" s="49"/>
      <c r="D718" s="50"/>
    </row>
    <row r="719">
      <c r="A719" s="49"/>
      <c r="B719" s="49"/>
      <c r="C719" s="49"/>
      <c r="D719" s="50"/>
    </row>
    <row r="720">
      <c r="A720" s="49"/>
      <c r="B720" s="49"/>
      <c r="C720" s="49"/>
      <c r="D720" s="50"/>
    </row>
    <row r="721">
      <c r="A721" s="49"/>
      <c r="B721" s="49"/>
      <c r="C721" s="49"/>
      <c r="D721" s="50"/>
    </row>
    <row r="722">
      <c r="A722" s="49"/>
      <c r="B722" s="49"/>
      <c r="C722" s="49"/>
      <c r="D722" s="50"/>
    </row>
    <row r="723">
      <c r="A723" s="49"/>
      <c r="B723" s="49"/>
      <c r="C723" s="49"/>
      <c r="D723" s="50"/>
    </row>
    <row r="724">
      <c r="A724" s="49"/>
      <c r="B724" s="49"/>
      <c r="C724" s="49"/>
      <c r="D724" s="50"/>
    </row>
    <row r="725">
      <c r="A725" s="49"/>
      <c r="B725" s="49"/>
      <c r="C725" s="49"/>
      <c r="D725" s="50"/>
    </row>
    <row r="726">
      <c r="A726" s="49"/>
      <c r="B726" s="49"/>
      <c r="C726" s="49"/>
      <c r="D726" s="50"/>
    </row>
    <row r="727">
      <c r="A727" s="49"/>
      <c r="B727" s="49"/>
      <c r="C727" s="49"/>
      <c r="D727" s="50"/>
    </row>
    <row r="728">
      <c r="A728" s="49"/>
      <c r="B728" s="49"/>
      <c r="C728" s="49"/>
      <c r="D728" s="50"/>
    </row>
    <row r="729">
      <c r="A729" s="49"/>
      <c r="B729" s="49"/>
      <c r="C729" s="49"/>
      <c r="D729" s="50"/>
    </row>
    <row r="730">
      <c r="A730" s="49"/>
      <c r="B730" s="49"/>
      <c r="C730" s="49"/>
      <c r="D730" s="50"/>
    </row>
    <row r="731">
      <c r="A731" s="49"/>
      <c r="B731" s="49"/>
      <c r="C731" s="49"/>
      <c r="D731" s="50"/>
    </row>
    <row r="732">
      <c r="A732" s="49"/>
      <c r="B732" s="49"/>
      <c r="C732" s="49"/>
      <c r="D732" s="50"/>
    </row>
    <row r="733">
      <c r="A733" s="49"/>
      <c r="B733" s="49"/>
      <c r="C733" s="49"/>
      <c r="D733" s="50"/>
    </row>
    <row r="734">
      <c r="A734" s="49"/>
      <c r="B734" s="49"/>
      <c r="C734" s="49"/>
      <c r="D734" s="50"/>
    </row>
    <row r="735">
      <c r="A735" s="49"/>
      <c r="B735" s="49"/>
      <c r="C735" s="49"/>
      <c r="D735" s="50"/>
    </row>
    <row r="736">
      <c r="A736" s="49"/>
      <c r="B736" s="49"/>
      <c r="C736" s="49"/>
      <c r="D736" s="50"/>
    </row>
    <row r="737">
      <c r="A737" s="49"/>
      <c r="B737" s="49"/>
      <c r="C737" s="49"/>
      <c r="D737" s="50"/>
    </row>
    <row r="738">
      <c r="A738" s="49"/>
      <c r="B738" s="49"/>
      <c r="C738" s="49"/>
      <c r="D738" s="50"/>
    </row>
    <row r="739">
      <c r="A739" s="49"/>
      <c r="B739" s="49"/>
      <c r="C739" s="49"/>
      <c r="D739" s="50"/>
    </row>
    <row r="740">
      <c r="A740" s="49"/>
      <c r="B740" s="49"/>
      <c r="C740" s="49"/>
      <c r="D740" s="50"/>
    </row>
    <row r="741">
      <c r="A741" s="49"/>
      <c r="B741" s="49"/>
      <c r="C741" s="49"/>
      <c r="D741" s="50"/>
    </row>
    <row r="742">
      <c r="A742" s="49"/>
      <c r="B742" s="49"/>
      <c r="C742" s="49"/>
      <c r="D742" s="50"/>
    </row>
    <row r="743">
      <c r="A743" s="49"/>
      <c r="B743" s="49"/>
      <c r="C743" s="49"/>
      <c r="D743" s="50"/>
    </row>
    <row r="744">
      <c r="A744" s="49"/>
      <c r="B744" s="49"/>
      <c r="C744" s="49"/>
      <c r="D744" s="50"/>
    </row>
    <row r="745">
      <c r="A745" s="49"/>
      <c r="B745" s="49"/>
      <c r="C745" s="49"/>
      <c r="D745" s="50"/>
    </row>
    <row r="746">
      <c r="A746" s="49"/>
      <c r="B746" s="49"/>
      <c r="C746" s="49"/>
      <c r="D746" s="50"/>
    </row>
    <row r="747">
      <c r="A747" s="49"/>
      <c r="B747" s="49"/>
      <c r="C747" s="49"/>
      <c r="D747" s="50"/>
    </row>
    <row r="748">
      <c r="A748" s="49"/>
      <c r="B748" s="49"/>
      <c r="C748" s="49"/>
      <c r="D748" s="50"/>
    </row>
    <row r="749">
      <c r="A749" s="49"/>
      <c r="B749" s="49"/>
      <c r="C749" s="49"/>
      <c r="D749" s="50"/>
    </row>
    <row r="750">
      <c r="A750" s="49"/>
      <c r="B750" s="49"/>
      <c r="C750" s="49"/>
      <c r="D750" s="50"/>
    </row>
    <row r="751">
      <c r="A751" s="49"/>
      <c r="B751" s="49"/>
      <c r="C751" s="49"/>
      <c r="D751" s="50"/>
    </row>
    <row r="752">
      <c r="A752" s="49"/>
      <c r="B752" s="49"/>
      <c r="C752" s="49"/>
      <c r="D752" s="50"/>
    </row>
    <row r="753">
      <c r="A753" s="49"/>
      <c r="B753" s="49"/>
      <c r="C753" s="49"/>
      <c r="D753" s="50"/>
    </row>
    <row r="754">
      <c r="A754" s="49"/>
      <c r="B754" s="49"/>
      <c r="C754" s="49"/>
      <c r="D754" s="50"/>
    </row>
    <row r="755">
      <c r="A755" s="49"/>
      <c r="B755" s="49"/>
      <c r="C755" s="49"/>
      <c r="D755" s="50"/>
    </row>
    <row r="756">
      <c r="A756" s="49"/>
      <c r="B756" s="49"/>
      <c r="C756" s="49"/>
      <c r="D756" s="50"/>
    </row>
    <row r="757">
      <c r="A757" s="49"/>
      <c r="B757" s="49"/>
      <c r="C757" s="49"/>
      <c r="D757" s="50"/>
    </row>
    <row r="758">
      <c r="A758" s="49"/>
      <c r="B758" s="49"/>
      <c r="C758" s="49"/>
      <c r="D758" s="50"/>
    </row>
    <row r="759">
      <c r="A759" s="49"/>
      <c r="B759" s="49"/>
      <c r="C759" s="49"/>
      <c r="D759" s="50"/>
    </row>
    <row r="760">
      <c r="A760" s="49"/>
      <c r="B760" s="49"/>
      <c r="C760" s="49"/>
      <c r="D760" s="50"/>
    </row>
    <row r="761">
      <c r="A761" s="49"/>
      <c r="B761" s="49"/>
      <c r="C761" s="49"/>
      <c r="D761" s="50"/>
    </row>
    <row r="762">
      <c r="A762" s="49"/>
      <c r="B762" s="49"/>
      <c r="C762" s="49"/>
      <c r="D762" s="50"/>
    </row>
    <row r="763">
      <c r="A763" s="49"/>
      <c r="B763" s="49"/>
      <c r="C763" s="49"/>
      <c r="D763" s="50"/>
    </row>
    <row r="764">
      <c r="A764" s="49"/>
      <c r="B764" s="49"/>
      <c r="C764" s="49"/>
      <c r="D764" s="50"/>
    </row>
    <row r="765">
      <c r="A765" s="49"/>
      <c r="B765" s="49"/>
      <c r="C765" s="49"/>
      <c r="D765" s="50"/>
    </row>
    <row r="766">
      <c r="A766" s="49"/>
      <c r="B766" s="49"/>
      <c r="C766" s="49"/>
      <c r="D766" s="50"/>
    </row>
    <row r="767">
      <c r="A767" s="49"/>
      <c r="B767" s="49"/>
      <c r="C767" s="49"/>
      <c r="D767" s="50"/>
    </row>
    <row r="768">
      <c r="A768" s="49"/>
      <c r="B768" s="49"/>
      <c r="C768" s="49"/>
      <c r="D768" s="50"/>
    </row>
    <row r="769">
      <c r="A769" s="49"/>
      <c r="B769" s="49"/>
      <c r="C769" s="49"/>
      <c r="D769" s="50"/>
    </row>
    <row r="770">
      <c r="A770" s="49"/>
      <c r="B770" s="49"/>
      <c r="C770" s="49"/>
      <c r="D770" s="50"/>
    </row>
    <row r="771">
      <c r="A771" s="49"/>
      <c r="B771" s="49"/>
      <c r="C771" s="49"/>
      <c r="D771" s="50"/>
    </row>
    <row r="772">
      <c r="A772" s="49"/>
      <c r="B772" s="49"/>
      <c r="C772" s="49"/>
      <c r="D772" s="50"/>
    </row>
    <row r="773">
      <c r="A773" s="49"/>
      <c r="B773" s="49"/>
      <c r="C773" s="49"/>
      <c r="D773" s="50"/>
    </row>
    <row r="774">
      <c r="A774" s="49"/>
      <c r="B774" s="49"/>
      <c r="C774" s="49"/>
      <c r="D774" s="50"/>
    </row>
    <row r="775">
      <c r="A775" s="49"/>
      <c r="B775" s="49"/>
      <c r="C775" s="49"/>
      <c r="D775" s="50"/>
    </row>
    <row r="776">
      <c r="A776" s="49"/>
      <c r="B776" s="49"/>
      <c r="C776" s="49"/>
      <c r="D776" s="50"/>
    </row>
    <row r="777">
      <c r="A777" s="49"/>
      <c r="B777" s="49"/>
      <c r="C777" s="49"/>
      <c r="D777" s="50"/>
    </row>
    <row r="778">
      <c r="A778" s="49"/>
      <c r="B778" s="49"/>
      <c r="C778" s="49"/>
      <c r="D778" s="50"/>
    </row>
    <row r="779">
      <c r="A779" s="49"/>
      <c r="B779" s="49"/>
      <c r="C779" s="49"/>
      <c r="D779" s="50"/>
    </row>
    <row r="780">
      <c r="A780" s="49"/>
      <c r="B780" s="49"/>
      <c r="C780" s="49"/>
      <c r="D780" s="50"/>
    </row>
    <row r="781">
      <c r="A781" s="49"/>
      <c r="B781" s="49"/>
      <c r="C781" s="49"/>
      <c r="D781" s="50"/>
    </row>
    <row r="782">
      <c r="A782" s="49"/>
      <c r="B782" s="49"/>
      <c r="C782" s="49"/>
      <c r="D782" s="50"/>
    </row>
    <row r="783">
      <c r="A783" s="49"/>
      <c r="B783" s="49"/>
      <c r="C783" s="49"/>
      <c r="D783" s="50"/>
    </row>
    <row r="784">
      <c r="A784" s="49"/>
      <c r="B784" s="49"/>
      <c r="C784" s="49"/>
      <c r="D784" s="50"/>
    </row>
    <row r="785">
      <c r="A785" s="49"/>
      <c r="B785" s="49"/>
      <c r="C785" s="49"/>
      <c r="D785" s="50"/>
    </row>
    <row r="786">
      <c r="A786" s="49"/>
      <c r="B786" s="49"/>
      <c r="C786" s="49"/>
      <c r="D786" s="50"/>
    </row>
    <row r="787">
      <c r="A787" s="49"/>
      <c r="B787" s="49"/>
      <c r="C787" s="49"/>
      <c r="D787" s="50"/>
    </row>
    <row r="788">
      <c r="A788" s="49"/>
      <c r="B788" s="49"/>
      <c r="C788" s="49"/>
      <c r="D788" s="50"/>
    </row>
    <row r="789">
      <c r="A789" s="49"/>
      <c r="B789" s="49"/>
      <c r="C789" s="49"/>
      <c r="D789" s="50"/>
    </row>
    <row r="790">
      <c r="A790" s="49"/>
      <c r="B790" s="49"/>
      <c r="C790" s="49"/>
      <c r="D790" s="50"/>
    </row>
    <row r="791">
      <c r="A791" s="49"/>
      <c r="B791" s="49"/>
      <c r="C791" s="49"/>
      <c r="D791" s="50"/>
    </row>
    <row r="792">
      <c r="A792" s="49"/>
      <c r="B792" s="49"/>
      <c r="C792" s="49"/>
      <c r="D792" s="50"/>
    </row>
    <row r="793">
      <c r="A793" s="49"/>
      <c r="B793" s="49"/>
      <c r="C793" s="49"/>
      <c r="D793" s="50"/>
    </row>
    <row r="794">
      <c r="A794" s="49"/>
      <c r="B794" s="49"/>
      <c r="C794" s="49"/>
      <c r="D794" s="50"/>
    </row>
    <row r="795">
      <c r="A795" s="49"/>
      <c r="B795" s="49"/>
      <c r="C795" s="49"/>
      <c r="D795" s="50"/>
    </row>
    <row r="796">
      <c r="A796" s="49"/>
      <c r="B796" s="49"/>
      <c r="C796" s="49"/>
      <c r="D796" s="50"/>
    </row>
    <row r="797">
      <c r="A797" s="49"/>
      <c r="B797" s="49"/>
      <c r="C797" s="49"/>
      <c r="D797" s="50"/>
    </row>
    <row r="798">
      <c r="A798" s="49"/>
      <c r="B798" s="49"/>
      <c r="C798" s="49"/>
      <c r="D798" s="50"/>
    </row>
    <row r="799">
      <c r="A799" s="49"/>
      <c r="B799" s="49"/>
      <c r="C799" s="49"/>
      <c r="D799" s="50"/>
    </row>
    <row r="800">
      <c r="A800" s="49"/>
      <c r="B800" s="49"/>
      <c r="C800" s="49"/>
      <c r="D800" s="50"/>
    </row>
    <row r="801">
      <c r="A801" s="49"/>
      <c r="B801" s="49"/>
      <c r="C801" s="49"/>
      <c r="D801" s="50"/>
    </row>
    <row r="802">
      <c r="A802" s="49"/>
      <c r="B802" s="49"/>
      <c r="C802" s="49"/>
      <c r="D802" s="50"/>
    </row>
    <row r="803">
      <c r="A803" s="49"/>
      <c r="B803" s="49"/>
      <c r="C803" s="49"/>
      <c r="D803" s="50"/>
    </row>
    <row r="804">
      <c r="A804" s="49"/>
      <c r="B804" s="49"/>
      <c r="C804" s="49"/>
      <c r="D804" s="50"/>
    </row>
    <row r="805">
      <c r="A805" s="49"/>
      <c r="B805" s="49"/>
      <c r="C805" s="49"/>
      <c r="D805" s="50"/>
    </row>
    <row r="806">
      <c r="A806" s="49"/>
      <c r="B806" s="49"/>
      <c r="C806" s="49"/>
      <c r="D806" s="50"/>
    </row>
    <row r="807">
      <c r="A807" s="49"/>
      <c r="B807" s="49"/>
      <c r="C807" s="49"/>
      <c r="D807" s="50"/>
    </row>
    <row r="808">
      <c r="A808" s="49"/>
      <c r="B808" s="49"/>
      <c r="C808" s="49"/>
      <c r="D808" s="50"/>
    </row>
    <row r="809">
      <c r="A809" s="49"/>
      <c r="B809" s="49"/>
      <c r="C809" s="49"/>
      <c r="D809" s="50"/>
    </row>
    <row r="810">
      <c r="A810" s="49"/>
      <c r="B810" s="49"/>
      <c r="C810" s="49"/>
      <c r="D810" s="50"/>
    </row>
    <row r="811">
      <c r="A811" s="49"/>
      <c r="B811" s="49"/>
      <c r="C811" s="49"/>
      <c r="D811" s="50"/>
    </row>
    <row r="812">
      <c r="A812" s="49"/>
      <c r="B812" s="49"/>
      <c r="C812" s="49"/>
      <c r="D812" s="50"/>
    </row>
    <row r="813">
      <c r="A813" s="49"/>
      <c r="B813" s="49"/>
      <c r="C813" s="49"/>
      <c r="D813" s="50"/>
    </row>
    <row r="814">
      <c r="A814" s="49"/>
      <c r="B814" s="49"/>
      <c r="C814" s="49"/>
      <c r="D814" s="50"/>
    </row>
    <row r="815">
      <c r="A815" s="49"/>
      <c r="B815" s="49"/>
      <c r="C815" s="49"/>
      <c r="D815" s="50"/>
    </row>
    <row r="816">
      <c r="A816" s="49"/>
      <c r="B816" s="49"/>
      <c r="C816" s="49"/>
      <c r="D816" s="50"/>
    </row>
    <row r="817">
      <c r="A817" s="49"/>
      <c r="B817" s="49"/>
      <c r="C817" s="49"/>
      <c r="D817" s="50"/>
    </row>
    <row r="818">
      <c r="A818" s="49"/>
      <c r="B818" s="49"/>
      <c r="C818" s="49"/>
      <c r="D818" s="50"/>
    </row>
    <row r="819">
      <c r="A819" s="49"/>
      <c r="B819" s="49"/>
      <c r="C819" s="49"/>
      <c r="D819" s="50"/>
    </row>
    <row r="820">
      <c r="A820" s="49"/>
      <c r="B820" s="49"/>
      <c r="C820" s="49"/>
      <c r="D820" s="50"/>
    </row>
    <row r="821">
      <c r="A821" s="49"/>
      <c r="B821" s="49"/>
      <c r="C821" s="49"/>
      <c r="D821" s="50"/>
    </row>
    <row r="822">
      <c r="A822" s="49"/>
      <c r="B822" s="49"/>
      <c r="C822" s="49"/>
      <c r="D822" s="50"/>
    </row>
    <row r="823">
      <c r="A823" s="49"/>
      <c r="B823" s="49"/>
      <c r="C823" s="49"/>
      <c r="D823" s="50"/>
    </row>
    <row r="824">
      <c r="A824" s="49"/>
      <c r="B824" s="49"/>
      <c r="C824" s="49"/>
      <c r="D824" s="50"/>
    </row>
    <row r="825">
      <c r="A825" s="49"/>
      <c r="B825" s="49"/>
      <c r="C825" s="49"/>
      <c r="D825" s="50"/>
    </row>
    <row r="826">
      <c r="A826" s="49"/>
      <c r="B826" s="49"/>
      <c r="C826" s="49"/>
      <c r="D826" s="50"/>
    </row>
    <row r="827">
      <c r="A827" s="49"/>
      <c r="B827" s="49"/>
      <c r="C827" s="49"/>
      <c r="D827" s="50"/>
    </row>
    <row r="828">
      <c r="A828" s="49"/>
      <c r="B828" s="49"/>
      <c r="C828" s="49"/>
      <c r="D828" s="50"/>
    </row>
    <row r="829">
      <c r="A829" s="49"/>
      <c r="B829" s="49"/>
      <c r="C829" s="49"/>
      <c r="D829" s="50"/>
    </row>
    <row r="830">
      <c r="A830" s="49"/>
      <c r="B830" s="49"/>
      <c r="C830" s="49"/>
      <c r="D830" s="50"/>
    </row>
    <row r="831">
      <c r="A831" s="49"/>
      <c r="B831" s="49"/>
      <c r="C831" s="49"/>
      <c r="D831" s="50"/>
    </row>
    <row r="832">
      <c r="A832" s="49"/>
      <c r="B832" s="49"/>
      <c r="C832" s="49"/>
      <c r="D832" s="50"/>
    </row>
    <row r="833">
      <c r="A833" s="49"/>
      <c r="B833" s="49"/>
      <c r="C833" s="49"/>
      <c r="D833" s="50"/>
    </row>
    <row r="834">
      <c r="A834" s="49"/>
      <c r="B834" s="49"/>
      <c r="C834" s="49"/>
      <c r="D834" s="50"/>
    </row>
    <row r="835">
      <c r="A835" s="49"/>
      <c r="B835" s="49"/>
      <c r="C835" s="49"/>
      <c r="D835" s="50"/>
    </row>
    <row r="836">
      <c r="A836" s="49"/>
      <c r="B836" s="49"/>
      <c r="C836" s="49"/>
      <c r="D836" s="50"/>
    </row>
    <row r="837">
      <c r="A837" s="49"/>
      <c r="B837" s="49"/>
      <c r="C837" s="49"/>
      <c r="D837" s="50"/>
    </row>
    <row r="838">
      <c r="A838" s="49"/>
      <c r="B838" s="49"/>
      <c r="C838" s="49"/>
      <c r="D838" s="50"/>
    </row>
    <row r="839">
      <c r="A839" s="49"/>
      <c r="B839" s="49"/>
      <c r="C839" s="49"/>
      <c r="D839" s="50"/>
    </row>
    <row r="840">
      <c r="A840" s="49"/>
      <c r="B840" s="49"/>
      <c r="C840" s="49"/>
      <c r="D840" s="50"/>
    </row>
    <row r="841">
      <c r="A841" s="49"/>
      <c r="B841" s="49"/>
      <c r="C841" s="49"/>
      <c r="D841" s="50"/>
    </row>
    <row r="842">
      <c r="A842" s="49"/>
      <c r="B842" s="49"/>
      <c r="C842" s="49"/>
      <c r="D842" s="50"/>
    </row>
    <row r="843">
      <c r="A843" s="49"/>
      <c r="B843" s="49"/>
      <c r="C843" s="49"/>
      <c r="D843" s="50"/>
    </row>
    <row r="844">
      <c r="A844" s="49"/>
      <c r="B844" s="49"/>
      <c r="C844" s="49"/>
      <c r="D844" s="50"/>
    </row>
    <row r="845">
      <c r="A845" s="49"/>
      <c r="B845" s="49"/>
      <c r="C845" s="49"/>
      <c r="D845" s="50"/>
    </row>
    <row r="846">
      <c r="A846" s="49"/>
      <c r="B846" s="49"/>
      <c r="C846" s="49"/>
      <c r="D846" s="50"/>
    </row>
    <row r="847">
      <c r="A847" s="49"/>
      <c r="B847" s="49"/>
      <c r="C847" s="49"/>
      <c r="D847" s="50"/>
    </row>
    <row r="848">
      <c r="A848" s="49"/>
      <c r="B848" s="49"/>
      <c r="C848" s="49"/>
      <c r="D848" s="50"/>
    </row>
    <row r="849">
      <c r="A849" s="49"/>
      <c r="B849" s="49"/>
      <c r="C849" s="49"/>
      <c r="D849" s="50"/>
    </row>
    <row r="850">
      <c r="A850" s="49"/>
      <c r="B850" s="49"/>
      <c r="C850" s="49"/>
      <c r="D850" s="50"/>
    </row>
    <row r="851">
      <c r="A851" s="49"/>
      <c r="B851" s="49"/>
      <c r="C851" s="49"/>
      <c r="D851" s="50"/>
    </row>
    <row r="852">
      <c r="A852" s="49"/>
      <c r="B852" s="49"/>
      <c r="C852" s="49"/>
      <c r="D852" s="50"/>
    </row>
    <row r="853">
      <c r="A853" s="49"/>
      <c r="B853" s="49"/>
      <c r="C853" s="49"/>
      <c r="D853" s="50"/>
    </row>
    <row r="854">
      <c r="A854" s="49"/>
      <c r="B854" s="49"/>
      <c r="C854" s="49"/>
      <c r="D854" s="50"/>
    </row>
    <row r="855">
      <c r="A855" s="49"/>
      <c r="B855" s="49"/>
      <c r="C855" s="49"/>
      <c r="D855" s="50"/>
    </row>
    <row r="856">
      <c r="A856" s="49"/>
      <c r="B856" s="49"/>
      <c r="C856" s="49"/>
      <c r="D856" s="50"/>
    </row>
    <row r="857">
      <c r="A857" s="49"/>
      <c r="B857" s="49"/>
      <c r="C857" s="49"/>
      <c r="D857" s="50"/>
    </row>
    <row r="858">
      <c r="A858" s="49"/>
      <c r="B858" s="49"/>
      <c r="C858" s="49"/>
      <c r="D858" s="50"/>
    </row>
    <row r="859">
      <c r="A859" s="49"/>
      <c r="B859" s="49"/>
      <c r="C859" s="49"/>
      <c r="D859" s="50"/>
    </row>
    <row r="860">
      <c r="A860" s="49"/>
      <c r="B860" s="49"/>
      <c r="C860" s="49"/>
      <c r="D860" s="50"/>
    </row>
    <row r="861">
      <c r="A861" s="49"/>
      <c r="B861" s="49"/>
      <c r="C861" s="49"/>
      <c r="D861" s="50"/>
    </row>
    <row r="862">
      <c r="A862" s="49"/>
      <c r="B862" s="49"/>
      <c r="C862" s="49"/>
      <c r="D862" s="50"/>
    </row>
    <row r="863">
      <c r="A863" s="49"/>
      <c r="B863" s="49"/>
      <c r="C863" s="49"/>
      <c r="D863" s="50"/>
    </row>
    <row r="864">
      <c r="A864" s="49"/>
      <c r="B864" s="49"/>
      <c r="C864" s="49"/>
      <c r="D864" s="50"/>
    </row>
    <row r="865">
      <c r="A865" s="49"/>
      <c r="B865" s="49"/>
      <c r="C865" s="49"/>
      <c r="D865" s="50"/>
    </row>
    <row r="866">
      <c r="A866" s="49"/>
      <c r="B866" s="49"/>
      <c r="C866" s="49"/>
      <c r="D866" s="50"/>
    </row>
    <row r="867">
      <c r="A867" s="49"/>
      <c r="B867" s="49"/>
      <c r="C867" s="49"/>
      <c r="D867" s="50"/>
    </row>
    <row r="868">
      <c r="A868" s="49"/>
      <c r="B868" s="49"/>
      <c r="C868" s="49"/>
      <c r="D868" s="50"/>
    </row>
    <row r="869">
      <c r="A869" s="49"/>
      <c r="B869" s="49"/>
      <c r="C869" s="49"/>
      <c r="D869" s="50"/>
    </row>
    <row r="870">
      <c r="A870" s="49"/>
      <c r="B870" s="49"/>
      <c r="C870" s="49"/>
      <c r="D870" s="50"/>
    </row>
    <row r="871">
      <c r="A871" s="49"/>
      <c r="B871" s="49"/>
      <c r="C871" s="49"/>
      <c r="D871" s="50"/>
    </row>
    <row r="872">
      <c r="A872" s="49"/>
      <c r="B872" s="49"/>
      <c r="C872" s="49"/>
      <c r="D872" s="50"/>
    </row>
    <row r="873">
      <c r="A873" s="49"/>
      <c r="B873" s="49"/>
      <c r="C873" s="49"/>
      <c r="D873" s="50"/>
    </row>
    <row r="874">
      <c r="A874" s="49"/>
      <c r="B874" s="49"/>
      <c r="C874" s="49"/>
      <c r="D874" s="50"/>
    </row>
    <row r="875">
      <c r="A875" s="49"/>
      <c r="B875" s="49"/>
      <c r="C875" s="49"/>
      <c r="D875" s="50"/>
    </row>
    <row r="876">
      <c r="A876" s="49"/>
      <c r="B876" s="49"/>
      <c r="C876" s="49"/>
      <c r="D876" s="50"/>
    </row>
    <row r="877">
      <c r="A877" s="49"/>
      <c r="B877" s="49"/>
      <c r="C877" s="49"/>
      <c r="D877" s="50"/>
    </row>
    <row r="878">
      <c r="A878" s="49"/>
      <c r="B878" s="49"/>
      <c r="C878" s="49"/>
      <c r="D878" s="50"/>
    </row>
    <row r="879">
      <c r="A879" s="49"/>
      <c r="B879" s="49"/>
      <c r="C879" s="49"/>
      <c r="D879" s="50"/>
    </row>
    <row r="880">
      <c r="A880" s="49"/>
      <c r="B880" s="49"/>
      <c r="C880" s="49"/>
      <c r="D880" s="50"/>
    </row>
    <row r="881">
      <c r="A881" s="49"/>
      <c r="B881" s="49"/>
      <c r="C881" s="49"/>
      <c r="D881" s="50"/>
    </row>
    <row r="882">
      <c r="A882" s="49"/>
      <c r="B882" s="49"/>
      <c r="C882" s="49"/>
      <c r="D882" s="50"/>
    </row>
    <row r="883">
      <c r="A883" s="49"/>
      <c r="B883" s="49"/>
      <c r="C883" s="49"/>
      <c r="D883" s="50"/>
    </row>
    <row r="884">
      <c r="A884" s="49"/>
      <c r="B884" s="49"/>
      <c r="C884" s="49"/>
      <c r="D884" s="50"/>
    </row>
    <row r="885">
      <c r="A885" s="49"/>
      <c r="B885" s="49"/>
      <c r="C885" s="49"/>
      <c r="D885" s="50"/>
    </row>
    <row r="886">
      <c r="A886" s="49"/>
      <c r="B886" s="49"/>
      <c r="C886" s="49"/>
      <c r="D886" s="50"/>
    </row>
    <row r="887">
      <c r="A887" s="49"/>
      <c r="B887" s="49"/>
      <c r="C887" s="49"/>
      <c r="D887" s="50"/>
    </row>
    <row r="888">
      <c r="A888" s="49"/>
      <c r="B888" s="49"/>
      <c r="C888" s="49"/>
      <c r="D888" s="50"/>
    </row>
    <row r="889">
      <c r="A889" s="49"/>
      <c r="B889" s="49"/>
      <c r="C889" s="49"/>
      <c r="D889" s="50"/>
    </row>
    <row r="890">
      <c r="A890" s="49"/>
      <c r="B890" s="49"/>
      <c r="C890" s="49"/>
      <c r="D890" s="50"/>
    </row>
    <row r="891">
      <c r="A891" s="49"/>
      <c r="B891" s="49"/>
      <c r="C891" s="49"/>
      <c r="D891" s="50"/>
    </row>
    <row r="892">
      <c r="A892" s="49"/>
      <c r="B892" s="49"/>
      <c r="C892" s="49"/>
      <c r="D892" s="50"/>
    </row>
    <row r="893">
      <c r="A893" s="49"/>
      <c r="B893" s="49"/>
      <c r="C893" s="49"/>
      <c r="D893" s="50"/>
    </row>
    <row r="894">
      <c r="A894" s="49"/>
      <c r="B894" s="49"/>
      <c r="C894" s="49"/>
      <c r="D894" s="50"/>
    </row>
    <row r="895">
      <c r="A895" s="49"/>
      <c r="B895" s="49"/>
      <c r="C895" s="49"/>
      <c r="D895" s="50"/>
    </row>
    <row r="896">
      <c r="A896" s="49"/>
      <c r="B896" s="49"/>
      <c r="C896" s="49"/>
      <c r="D896" s="50"/>
    </row>
    <row r="897">
      <c r="A897" s="49"/>
      <c r="B897" s="49"/>
      <c r="C897" s="49"/>
      <c r="D897" s="50"/>
    </row>
    <row r="898">
      <c r="A898" s="49"/>
      <c r="B898" s="49"/>
      <c r="C898" s="49"/>
      <c r="D898" s="50"/>
    </row>
    <row r="899">
      <c r="A899" s="49"/>
      <c r="B899" s="49"/>
      <c r="C899" s="49"/>
      <c r="D899" s="50"/>
    </row>
    <row r="900">
      <c r="A900" s="49"/>
      <c r="B900" s="49"/>
      <c r="C900" s="49"/>
      <c r="D900" s="50"/>
    </row>
    <row r="901">
      <c r="A901" s="49"/>
      <c r="B901" s="49"/>
      <c r="C901" s="49"/>
      <c r="D901" s="50"/>
    </row>
    <row r="902">
      <c r="A902" s="49"/>
      <c r="B902" s="49"/>
      <c r="C902" s="49"/>
      <c r="D902" s="50"/>
    </row>
    <row r="903">
      <c r="A903" s="49"/>
      <c r="B903" s="49"/>
      <c r="C903" s="49"/>
      <c r="D903" s="50"/>
    </row>
    <row r="904">
      <c r="A904" s="49"/>
      <c r="B904" s="49"/>
      <c r="C904" s="49"/>
      <c r="D904" s="50"/>
    </row>
    <row r="905">
      <c r="A905" s="49"/>
      <c r="B905" s="49"/>
      <c r="C905" s="49"/>
      <c r="D905" s="50"/>
    </row>
    <row r="906">
      <c r="A906" s="49"/>
      <c r="B906" s="49"/>
      <c r="C906" s="49"/>
      <c r="D906" s="50"/>
    </row>
    <row r="907">
      <c r="A907" s="49"/>
      <c r="B907" s="49"/>
      <c r="C907" s="49"/>
      <c r="D907" s="50"/>
    </row>
    <row r="908">
      <c r="A908" s="49"/>
      <c r="B908" s="49"/>
      <c r="C908" s="49"/>
      <c r="D908" s="50"/>
    </row>
    <row r="909">
      <c r="A909" s="49"/>
      <c r="B909" s="49"/>
      <c r="C909" s="49"/>
      <c r="D909" s="50"/>
    </row>
    <row r="910">
      <c r="A910" s="49"/>
      <c r="B910" s="49"/>
      <c r="C910" s="49"/>
      <c r="D910" s="50"/>
    </row>
    <row r="911">
      <c r="A911" s="49"/>
      <c r="B911" s="49"/>
      <c r="C911" s="49"/>
      <c r="D911" s="50"/>
    </row>
    <row r="912">
      <c r="A912" s="49"/>
      <c r="B912" s="49"/>
      <c r="C912" s="49"/>
      <c r="D912" s="50"/>
    </row>
    <row r="913">
      <c r="A913" s="49"/>
      <c r="B913" s="49"/>
      <c r="C913" s="49"/>
      <c r="D913" s="50"/>
    </row>
    <row r="914">
      <c r="A914" s="49"/>
      <c r="B914" s="49"/>
      <c r="C914" s="49"/>
      <c r="D914" s="50"/>
    </row>
    <row r="915">
      <c r="A915" s="49"/>
      <c r="B915" s="49"/>
      <c r="C915" s="49"/>
      <c r="D915" s="50"/>
    </row>
    <row r="916">
      <c r="A916" s="49"/>
      <c r="B916" s="49"/>
      <c r="C916" s="49"/>
      <c r="D916" s="50"/>
    </row>
    <row r="917">
      <c r="A917" s="49"/>
      <c r="B917" s="49"/>
      <c r="C917" s="49"/>
      <c r="D917" s="50"/>
    </row>
    <row r="918">
      <c r="A918" s="49"/>
      <c r="B918" s="49"/>
      <c r="C918" s="49"/>
      <c r="D918" s="50"/>
    </row>
    <row r="919">
      <c r="A919" s="49"/>
      <c r="B919" s="49"/>
      <c r="C919" s="49"/>
      <c r="D919" s="50"/>
    </row>
    <row r="920">
      <c r="A920" s="49"/>
      <c r="B920" s="49"/>
      <c r="C920" s="49"/>
      <c r="D920" s="50"/>
    </row>
    <row r="921">
      <c r="A921" s="49"/>
      <c r="B921" s="49"/>
      <c r="C921" s="49"/>
      <c r="D921" s="50"/>
    </row>
    <row r="922">
      <c r="A922" s="49"/>
      <c r="B922" s="49"/>
      <c r="C922" s="49"/>
      <c r="D922" s="50"/>
    </row>
    <row r="923">
      <c r="A923" s="49"/>
      <c r="B923" s="49"/>
      <c r="C923" s="49"/>
      <c r="D923" s="50"/>
    </row>
    <row r="924">
      <c r="A924" s="49"/>
      <c r="B924" s="49"/>
      <c r="C924" s="49"/>
      <c r="D924" s="50"/>
    </row>
    <row r="925">
      <c r="A925" s="49"/>
      <c r="B925" s="49"/>
      <c r="C925" s="49"/>
      <c r="D925" s="50"/>
    </row>
    <row r="926">
      <c r="A926" s="49"/>
      <c r="B926" s="49"/>
      <c r="C926" s="49"/>
      <c r="D926" s="50"/>
    </row>
    <row r="927">
      <c r="A927" s="49"/>
      <c r="B927" s="49"/>
      <c r="C927" s="49"/>
      <c r="D927" s="50"/>
    </row>
    <row r="928">
      <c r="A928" s="49"/>
      <c r="B928" s="49"/>
      <c r="C928" s="49"/>
      <c r="D928" s="50"/>
    </row>
    <row r="929">
      <c r="A929" s="49"/>
      <c r="B929" s="49"/>
      <c r="C929" s="49"/>
      <c r="D929" s="50"/>
    </row>
    <row r="930">
      <c r="A930" s="49"/>
      <c r="B930" s="49"/>
      <c r="C930" s="49"/>
      <c r="D930" s="50"/>
    </row>
    <row r="931">
      <c r="A931" s="49"/>
      <c r="B931" s="49"/>
      <c r="C931" s="49"/>
      <c r="D931" s="50"/>
    </row>
    <row r="932">
      <c r="A932" s="49"/>
      <c r="B932" s="49"/>
      <c r="C932" s="49"/>
      <c r="D932" s="50"/>
    </row>
    <row r="933">
      <c r="A933" s="49"/>
      <c r="B933" s="49"/>
      <c r="C933" s="49"/>
      <c r="D933" s="50"/>
    </row>
    <row r="934">
      <c r="A934" s="49"/>
      <c r="B934" s="49"/>
      <c r="C934" s="49"/>
      <c r="D934" s="50"/>
    </row>
    <row r="935">
      <c r="A935" s="49"/>
      <c r="B935" s="49"/>
      <c r="C935" s="49"/>
      <c r="D935" s="50"/>
    </row>
    <row r="936">
      <c r="A936" s="49"/>
      <c r="B936" s="49"/>
      <c r="C936" s="49"/>
      <c r="D936" s="50"/>
    </row>
    <row r="937">
      <c r="A937" s="49"/>
      <c r="B937" s="49"/>
      <c r="C937" s="49"/>
      <c r="D937" s="50"/>
    </row>
    <row r="938">
      <c r="A938" s="49"/>
      <c r="B938" s="49"/>
      <c r="C938" s="49"/>
      <c r="D938" s="50"/>
    </row>
    <row r="939">
      <c r="A939" s="49"/>
      <c r="B939" s="49"/>
      <c r="C939" s="49"/>
      <c r="D939" s="50"/>
    </row>
    <row r="940">
      <c r="A940" s="49"/>
      <c r="B940" s="49"/>
      <c r="C940" s="49"/>
      <c r="D940" s="50"/>
    </row>
    <row r="941">
      <c r="A941" s="49"/>
      <c r="B941" s="49"/>
      <c r="C941" s="49"/>
      <c r="D941" s="50"/>
    </row>
    <row r="942">
      <c r="A942" s="49"/>
      <c r="B942" s="49"/>
      <c r="C942" s="49"/>
      <c r="D942" s="50"/>
    </row>
    <row r="943">
      <c r="A943" s="49"/>
      <c r="B943" s="49"/>
      <c r="C943" s="49"/>
      <c r="D943" s="50"/>
    </row>
    <row r="944">
      <c r="A944" s="49"/>
      <c r="B944" s="49"/>
      <c r="C944" s="49"/>
      <c r="D944" s="50"/>
    </row>
    <row r="945">
      <c r="A945" s="49"/>
      <c r="B945" s="49"/>
      <c r="C945" s="49"/>
      <c r="D945" s="50"/>
    </row>
    <row r="946">
      <c r="A946" s="49"/>
      <c r="B946" s="49"/>
      <c r="C946" s="49"/>
      <c r="D946" s="50"/>
    </row>
    <row r="947">
      <c r="A947" s="49"/>
      <c r="B947" s="49"/>
      <c r="C947" s="49"/>
      <c r="D947" s="50"/>
    </row>
    <row r="948">
      <c r="A948" s="49"/>
      <c r="B948" s="49"/>
      <c r="C948" s="49"/>
      <c r="D948" s="50"/>
    </row>
    <row r="949">
      <c r="A949" s="49"/>
      <c r="B949" s="49"/>
      <c r="C949" s="49"/>
      <c r="D949" s="50"/>
    </row>
    <row r="950">
      <c r="A950" s="49"/>
      <c r="B950" s="49"/>
      <c r="C950" s="49"/>
      <c r="D950" s="50"/>
    </row>
    <row r="951">
      <c r="A951" s="49"/>
      <c r="B951" s="49"/>
      <c r="C951" s="49"/>
      <c r="D951" s="50"/>
    </row>
    <row r="952">
      <c r="A952" s="49"/>
      <c r="B952" s="49"/>
      <c r="C952" s="49"/>
      <c r="D952" s="50"/>
    </row>
    <row r="953">
      <c r="A953" s="49"/>
      <c r="B953" s="49"/>
      <c r="C953" s="49"/>
      <c r="D953" s="50"/>
    </row>
    <row r="954">
      <c r="A954" s="49"/>
      <c r="B954" s="49"/>
      <c r="C954" s="49"/>
      <c r="D954" s="50"/>
    </row>
    <row r="955">
      <c r="A955" s="49"/>
      <c r="B955" s="49"/>
      <c r="C955" s="49"/>
      <c r="D955" s="50"/>
    </row>
    <row r="956">
      <c r="A956" s="49"/>
      <c r="B956" s="49"/>
      <c r="C956" s="49"/>
      <c r="D956" s="50"/>
    </row>
    <row r="957">
      <c r="A957" s="49"/>
      <c r="B957" s="49"/>
      <c r="C957" s="49"/>
      <c r="D957" s="50"/>
    </row>
    <row r="958">
      <c r="A958" s="49"/>
      <c r="B958" s="49"/>
      <c r="C958" s="49"/>
      <c r="D958" s="50"/>
    </row>
    <row r="959">
      <c r="A959" s="49"/>
      <c r="B959" s="49"/>
      <c r="C959" s="49"/>
      <c r="D959" s="50"/>
    </row>
    <row r="960">
      <c r="A960" s="49"/>
      <c r="B960" s="49"/>
      <c r="C960" s="49"/>
      <c r="D960" s="50"/>
    </row>
    <row r="961">
      <c r="A961" s="49"/>
      <c r="B961" s="49"/>
      <c r="C961" s="49"/>
      <c r="D961" s="50"/>
    </row>
    <row r="962">
      <c r="A962" s="49"/>
      <c r="B962" s="49"/>
      <c r="C962" s="49"/>
      <c r="D962" s="50"/>
    </row>
    <row r="963">
      <c r="A963" s="49"/>
      <c r="B963" s="49"/>
      <c r="C963" s="49"/>
      <c r="D963" s="50"/>
    </row>
    <row r="964">
      <c r="A964" s="49"/>
      <c r="B964" s="49"/>
      <c r="C964" s="49"/>
      <c r="D964" s="50"/>
    </row>
    <row r="965">
      <c r="A965" s="49"/>
      <c r="B965" s="49"/>
      <c r="C965" s="49"/>
      <c r="D965" s="50"/>
    </row>
    <row r="966">
      <c r="A966" s="49"/>
      <c r="B966" s="49"/>
      <c r="C966" s="49"/>
      <c r="D966" s="50"/>
    </row>
    <row r="967">
      <c r="A967" s="49"/>
      <c r="B967" s="49"/>
      <c r="C967" s="49"/>
      <c r="D967" s="50"/>
    </row>
    <row r="968">
      <c r="A968" s="49"/>
      <c r="B968" s="49"/>
      <c r="C968" s="49"/>
      <c r="D968" s="50"/>
    </row>
    <row r="969">
      <c r="A969" s="49"/>
      <c r="B969" s="49"/>
      <c r="C969" s="49"/>
      <c r="D969" s="50"/>
    </row>
    <row r="970">
      <c r="A970" s="49"/>
      <c r="B970" s="49"/>
      <c r="C970" s="49"/>
      <c r="D970" s="50"/>
    </row>
    <row r="971">
      <c r="A971" s="49"/>
      <c r="B971" s="49"/>
      <c r="C971" s="49"/>
      <c r="D971" s="50"/>
    </row>
    <row r="972">
      <c r="A972" s="49"/>
      <c r="B972" s="49"/>
      <c r="C972" s="49"/>
      <c r="D972" s="50"/>
    </row>
    <row r="973">
      <c r="A973" s="49"/>
      <c r="B973" s="49"/>
      <c r="C973" s="49"/>
      <c r="D973" s="50"/>
    </row>
    <row r="974">
      <c r="A974" s="49"/>
      <c r="B974" s="49"/>
      <c r="C974" s="49"/>
      <c r="D974" s="50"/>
    </row>
    <row r="975">
      <c r="A975" s="49"/>
      <c r="B975" s="49"/>
      <c r="C975" s="49"/>
      <c r="D975" s="50"/>
    </row>
    <row r="976">
      <c r="A976" s="49"/>
      <c r="B976" s="49"/>
      <c r="C976" s="49"/>
      <c r="D976" s="50"/>
    </row>
    <row r="977">
      <c r="A977" s="49"/>
      <c r="B977" s="49"/>
      <c r="C977" s="49"/>
      <c r="D977" s="50"/>
    </row>
    <row r="978">
      <c r="A978" s="49"/>
      <c r="B978" s="49"/>
      <c r="C978" s="49"/>
      <c r="D978" s="50"/>
    </row>
    <row r="979">
      <c r="A979" s="49"/>
      <c r="B979" s="49"/>
      <c r="C979" s="49"/>
      <c r="D979" s="50"/>
    </row>
    <row r="980">
      <c r="A980" s="49"/>
      <c r="B980" s="49"/>
      <c r="C980" s="49"/>
      <c r="D980" s="50"/>
    </row>
    <row r="981">
      <c r="A981" s="49"/>
      <c r="B981" s="49"/>
      <c r="C981" s="49"/>
      <c r="D981" s="50"/>
    </row>
    <row r="982">
      <c r="A982" s="49"/>
      <c r="B982" s="49"/>
      <c r="C982" s="49"/>
      <c r="D982" s="50"/>
    </row>
    <row r="983">
      <c r="A983" s="49"/>
      <c r="B983" s="49"/>
      <c r="C983" s="49"/>
      <c r="D983" s="50"/>
    </row>
    <row r="984">
      <c r="A984" s="49"/>
      <c r="B984" s="49"/>
      <c r="C984" s="49"/>
      <c r="D984" s="50"/>
    </row>
    <row r="985">
      <c r="A985" s="49"/>
      <c r="B985" s="49"/>
      <c r="C985" s="49"/>
      <c r="D985" s="50"/>
    </row>
    <row r="986">
      <c r="A986" s="49"/>
      <c r="B986" s="49"/>
      <c r="C986" s="49"/>
      <c r="D986" s="50"/>
    </row>
    <row r="987">
      <c r="A987" s="49"/>
      <c r="B987" s="49"/>
      <c r="C987" s="49"/>
      <c r="D987" s="50"/>
    </row>
    <row r="988">
      <c r="A988" s="49"/>
      <c r="B988" s="49"/>
      <c r="C988" s="49"/>
      <c r="D988" s="50"/>
    </row>
    <row r="989">
      <c r="A989" s="49"/>
      <c r="B989" s="49"/>
      <c r="C989" s="49"/>
      <c r="D989" s="50"/>
    </row>
    <row r="990">
      <c r="A990" s="49"/>
      <c r="B990" s="49"/>
      <c r="C990" s="49"/>
      <c r="D990" s="50"/>
    </row>
    <row r="991">
      <c r="A991" s="49"/>
      <c r="B991" s="49"/>
      <c r="C991" s="49"/>
      <c r="D991" s="50"/>
    </row>
    <row r="992">
      <c r="A992" s="49"/>
      <c r="B992" s="49"/>
      <c r="C992" s="49"/>
      <c r="D992" s="50"/>
    </row>
    <row r="993">
      <c r="A993" s="49"/>
      <c r="B993" s="49"/>
      <c r="C993" s="49"/>
      <c r="D993" s="50"/>
    </row>
    <row r="994">
      <c r="A994" s="49"/>
      <c r="B994" s="49"/>
      <c r="C994" s="49"/>
      <c r="D994" s="50"/>
    </row>
    <row r="995">
      <c r="A995" s="49"/>
      <c r="B995" s="49"/>
      <c r="C995" s="49"/>
      <c r="D995" s="50"/>
    </row>
    <row r="996">
      <c r="A996" s="49"/>
      <c r="B996" s="49"/>
      <c r="C996" s="49"/>
      <c r="D996" s="50"/>
    </row>
    <row r="997">
      <c r="A997" s="49"/>
      <c r="B997" s="49"/>
      <c r="C997" s="49"/>
      <c r="D997" s="50"/>
    </row>
    <row r="998">
      <c r="A998" s="49"/>
      <c r="B998" s="49"/>
      <c r="C998" s="49"/>
      <c r="D998" s="50"/>
    </row>
    <row r="999">
      <c r="A999" s="49"/>
      <c r="B999" s="49"/>
      <c r="C999" s="49"/>
      <c r="D999" s="50"/>
    </row>
    <row r="1000">
      <c r="A1000" s="49"/>
      <c r="B1000" s="49"/>
      <c r="C1000" s="49"/>
      <c r="D1000" s="50"/>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88"/>
    <col customWidth="1" min="2" max="2" width="35.25"/>
    <col customWidth="1" min="3" max="3" width="13.0"/>
  </cols>
  <sheetData>
    <row r="1">
      <c r="A1" s="51" t="str">
        <f>IFERROR(__xludf.DUMMYFUNCTION("IMPORTRANGE(""https://docs.google.com/spreadsheets/d/1CDBo-9hz0-Vc7e-hgjG1qdIZ07-PEdLlMatzssJhTJU/edit?usp=sharing"",""tbl equipment!A:C"")"),"Equipment Category")</f>
        <v>Equipment Category</v>
      </c>
      <c r="B1" s="51" t="str">
        <f>IFERROR(__xludf.DUMMYFUNCTION("""COMPUTED_VALUE"""),"Equipment Name")</f>
        <v>Equipment Name</v>
      </c>
      <c r="C1" s="51" t="str">
        <f>IFERROR(__xludf.DUMMYFUNCTION("""COMPUTED_VALUE"""),"Name")</f>
        <v>Name</v>
      </c>
    </row>
    <row r="2">
      <c r="A2" s="51" t="str">
        <f>IFERROR(__xludf.DUMMYFUNCTION("""COMPUTED_VALUE"""),"DUMP TRUCK")</f>
        <v>DUMP TRUCK</v>
      </c>
      <c r="B2" s="51" t="str">
        <f>IFERROR(__xludf.DUMMYFUNCTION("""COMPUTED_VALUE"""),"HINO FM 260 JD")</f>
        <v>HINO FM 260 JD</v>
      </c>
      <c r="C2" s="51" t="str">
        <f>IFERROR(__xludf.DUMMYFUNCTION("""COMPUTED_VALUE"""),"xDT-118")</f>
        <v>xDT-118</v>
      </c>
    </row>
    <row r="3">
      <c r="A3" s="51" t="str">
        <f>IFERROR(__xludf.DUMMYFUNCTION("""COMPUTED_VALUE"""),"DUMP TRUCK")</f>
        <v>DUMP TRUCK</v>
      </c>
      <c r="B3" s="51" t="str">
        <f>IFERROR(__xludf.DUMMYFUNCTION("""COMPUTED_VALUE"""),"HINO FM 260 JD")</f>
        <v>HINO FM 260 JD</v>
      </c>
      <c r="C3" s="51" t="str">
        <f>IFERROR(__xludf.DUMMYFUNCTION("""COMPUTED_VALUE"""),"xDT-135")</f>
        <v>xDT-135</v>
      </c>
    </row>
    <row r="4">
      <c r="A4" s="51" t="str">
        <f>IFERROR(__xludf.DUMMYFUNCTION("""COMPUTED_VALUE"""),"DUMP TRUCK")</f>
        <v>DUMP TRUCK</v>
      </c>
      <c r="B4" s="51" t="str">
        <f>IFERROR(__xludf.DUMMYFUNCTION("""COMPUTED_VALUE"""),"HINO FM 260 JD")</f>
        <v>HINO FM 260 JD</v>
      </c>
      <c r="C4" s="51" t="str">
        <f>IFERROR(__xludf.DUMMYFUNCTION("""COMPUTED_VALUE"""),"xDT-168")</f>
        <v>xDT-168</v>
      </c>
    </row>
    <row r="5">
      <c r="A5" s="51" t="str">
        <f>IFERROR(__xludf.DUMMYFUNCTION("""COMPUTED_VALUE"""),"DUMP TRUCK")</f>
        <v>DUMP TRUCK</v>
      </c>
      <c r="B5" s="51" t="str">
        <f>IFERROR(__xludf.DUMMYFUNCTION("""COMPUTED_VALUE"""),"NISSAN CWA 260 X")</f>
        <v>NISSAN CWA 260 X</v>
      </c>
      <c r="C5" s="51" t="str">
        <f>IFERROR(__xludf.DUMMYFUNCTION("""COMPUTED_VALUE"""),"DT-01")</f>
        <v>DT-01</v>
      </c>
    </row>
    <row r="6">
      <c r="A6" s="51" t="str">
        <f>IFERROR(__xludf.DUMMYFUNCTION("""COMPUTED_VALUE"""),"DUMP TRUCK")</f>
        <v>DUMP TRUCK</v>
      </c>
      <c r="B6" s="51" t="str">
        <f>IFERROR(__xludf.DUMMYFUNCTION("""COMPUTED_VALUE"""),"HINO FM 260 Ti")</f>
        <v>HINO FM 260 Ti</v>
      </c>
      <c r="C6" s="51" t="str">
        <f>IFERROR(__xludf.DUMMYFUNCTION("""COMPUTED_VALUE"""),"DT-08")</f>
        <v>DT-08</v>
      </c>
    </row>
    <row r="7">
      <c r="A7" s="51" t="str">
        <f>IFERROR(__xludf.DUMMYFUNCTION("""COMPUTED_VALUE"""),"DUMP TRUCK")</f>
        <v>DUMP TRUCK</v>
      </c>
      <c r="B7" s="51" t="str">
        <f>IFERROR(__xludf.DUMMYFUNCTION("""COMPUTED_VALUE"""),"NISSAN CWA 260 X")</f>
        <v>NISSAN CWA 260 X</v>
      </c>
      <c r="C7" s="51" t="str">
        <f>IFERROR(__xludf.DUMMYFUNCTION("""COMPUTED_VALUE"""),"DT-09")</f>
        <v>DT-09</v>
      </c>
    </row>
    <row r="8">
      <c r="A8" s="51" t="str">
        <f>IFERROR(__xludf.DUMMYFUNCTION("""COMPUTED_VALUE"""),"DUMP TRUCK")</f>
        <v>DUMP TRUCK</v>
      </c>
      <c r="B8" s="51" t="str">
        <f>IFERROR(__xludf.DUMMYFUNCTION("""COMPUTED_VALUE"""),"NISSAN CWA 260 X")</f>
        <v>NISSAN CWA 260 X</v>
      </c>
      <c r="C8" s="51" t="str">
        <f>IFERROR(__xludf.DUMMYFUNCTION("""COMPUTED_VALUE"""),"DT-10")</f>
        <v>DT-10</v>
      </c>
    </row>
    <row r="9">
      <c r="A9" s="51" t="str">
        <f>IFERROR(__xludf.DUMMYFUNCTION("""COMPUTED_VALUE"""),"DUMP TRUCK")</f>
        <v>DUMP TRUCK</v>
      </c>
      <c r="B9" s="51" t="str">
        <f>IFERROR(__xludf.DUMMYFUNCTION("""COMPUTED_VALUE"""),"NISSAN CWA 260 X")</f>
        <v>NISSAN CWA 260 X</v>
      </c>
      <c r="C9" s="51" t="str">
        <f>IFERROR(__xludf.DUMMYFUNCTION("""COMPUTED_VALUE"""),"DT-16")</f>
        <v>DT-16</v>
      </c>
    </row>
    <row r="10">
      <c r="A10" s="51" t="str">
        <f>IFERROR(__xludf.DUMMYFUNCTION("""COMPUTED_VALUE"""),"DUMP TRUCK")</f>
        <v>DUMP TRUCK</v>
      </c>
      <c r="B10" s="51" t="str">
        <f>IFERROR(__xludf.DUMMYFUNCTION("""COMPUTED_VALUE"""),"NISSAN CWA 260 X")</f>
        <v>NISSAN CWA 260 X</v>
      </c>
      <c r="C10" s="51" t="str">
        <f>IFERROR(__xludf.DUMMYFUNCTION("""COMPUTED_VALUE"""),"DT-21")</f>
        <v>DT-21</v>
      </c>
    </row>
    <row r="11">
      <c r="A11" s="51" t="str">
        <f>IFERROR(__xludf.DUMMYFUNCTION("""COMPUTED_VALUE"""),"DUMP TRUCK")</f>
        <v>DUMP TRUCK</v>
      </c>
      <c r="B11" s="51" t="str">
        <f>IFERROR(__xludf.DUMMYFUNCTION("""COMPUTED_VALUE"""),"NISSAN CWA 260 X")</f>
        <v>NISSAN CWA 260 X</v>
      </c>
      <c r="C11" s="51" t="str">
        <f>IFERROR(__xludf.DUMMYFUNCTION("""COMPUTED_VALUE"""),"DT-22")</f>
        <v>DT-22</v>
      </c>
    </row>
    <row r="12">
      <c r="A12" s="51" t="str">
        <f>IFERROR(__xludf.DUMMYFUNCTION("""COMPUTED_VALUE"""),"DUMP TRUCK")</f>
        <v>DUMP TRUCK</v>
      </c>
      <c r="B12" s="51" t="str">
        <f>IFERROR(__xludf.DUMMYFUNCTION("""COMPUTED_VALUE"""),"NISSAN CWA 260 X")</f>
        <v>NISSAN CWA 260 X</v>
      </c>
      <c r="C12" s="51" t="str">
        <f>IFERROR(__xludf.DUMMYFUNCTION("""COMPUTED_VALUE"""),"DT-24")</f>
        <v>DT-24</v>
      </c>
    </row>
    <row r="13">
      <c r="A13" s="51" t="str">
        <f>IFERROR(__xludf.DUMMYFUNCTION("""COMPUTED_VALUE"""),"DUMP TRUCK")</f>
        <v>DUMP TRUCK</v>
      </c>
      <c r="B13" s="51" t="str">
        <f>IFERROR(__xludf.DUMMYFUNCTION("""COMPUTED_VALUE"""),"HINO FM 260 Ti")</f>
        <v>HINO FM 260 Ti</v>
      </c>
      <c r="C13" s="51" t="str">
        <f>IFERROR(__xludf.DUMMYFUNCTION("""COMPUTED_VALUE"""),"DT-29")</f>
        <v>DT-29</v>
      </c>
    </row>
    <row r="14">
      <c r="A14" s="51" t="str">
        <f>IFERROR(__xludf.DUMMYFUNCTION("""COMPUTED_VALUE"""),"DUMP TRUCK")</f>
        <v>DUMP TRUCK</v>
      </c>
      <c r="B14" s="51" t="str">
        <f>IFERROR(__xludf.DUMMYFUNCTION("""COMPUTED_VALUE"""),"HINO FM 260 Ti")</f>
        <v>HINO FM 260 Ti</v>
      </c>
      <c r="C14" s="51" t="str">
        <f>IFERROR(__xludf.DUMMYFUNCTION("""COMPUTED_VALUE"""),"DT-30")</f>
        <v>DT-30</v>
      </c>
    </row>
    <row r="15">
      <c r="A15" s="51" t="str">
        <f>IFERROR(__xludf.DUMMYFUNCTION("""COMPUTED_VALUE"""),"DUMP TRUCK")</f>
        <v>DUMP TRUCK</v>
      </c>
      <c r="B15" s="51" t="str">
        <f>IFERROR(__xludf.DUMMYFUNCTION("""COMPUTED_VALUE"""),"HINO FM 260 Ti")</f>
        <v>HINO FM 260 Ti</v>
      </c>
      <c r="C15" s="51" t="str">
        <f>IFERROR(__xludf.DUMMYFUNCTION("""COMPUTED_VALUE"""),"DT-31")</f>
        <v>DT-31</v>
      </c>
    </row>
    <row r="16">
      <c r="A16" s="51" t="str">
        <f>IFERROR(__xludf.DUMMYFUNCTION("""COMPUTED_VALUE"""),"DUMP TRUCK")</f>
        <v>DUMP TRUCK</v>
      </c>
      <c r="B16" s="51" t="str">
        <f>IFERROR(__xludf.DUMMYFUNCTION("""COMPUTED_VALUE"""),"HINO FM 260 Ti")</f>
        <v>HINO FM 260 Ti</v>
      </c>
      <c r="C16" s="51" t="str">
        <f>IFERROR(__xludf.DUMMYFUNCTION("""COMPUTED_VALUE"""),"DT-44")</f>
        <v>DT-44</v>
      </c>
    </row>
    <row r="17">
      <c r="A17" s="51" t="str">
        <f>IFERROR(__xludf.DUMMYFUNCTION("""COMPUTED_VALUE"""),"DUMP TRUCK")</f>
        <v>DUMP TRUCK</v>
      </c>
      <c r="B17" s="51" t="str">
        <f>IFERROR(__xludf.DUMMYFUNCTION("""COMPUTED_VALUE"""),"HINO FM 260 Ti")</f>
        <v>HINO FM 260 Ti</v>
      </c>
      <c r="C17" s="51" t="str">
        <f>IFERROR(__xludf.DUMMYFUNCTION("""COMPUTED_VALUE"""),"DT-48")</f>
        <v>DT-48</v>
      </c>
    </row>
    <row r="18">
      <c r="A18" s="51" t="str">
        <f>IFERROR(__xludf.DUMMYFUNCTION("""COMPUTED_VALUE"""),"DUMP TRUCK")</f>
        <v>DUMP TRUCK</v>
      </c>
      <c r="B18" s="51" t="str">
        <f>IFERROR(__xludf.DUMMYFUNCTION("""COMPUTED_VALUE"""),"HINO FM 260 Ti")</f>
        <v>HINO FM 260 Ti</v>
      </c>
      <c r="C18" s="51" t="str">
        <f>IFERROR(__xludf.DUMMYFUNCTION("""COMPUTED_VALUE"""),"DT-52")</f>
        <v>DT-52</v>
      </c>
    </row>
    <row r="19">
      <c r="A19" s="51" t="str">
        <f>IFERROR(__xludf.DUMMYFUNCTION("""COMPUTED_VALUE"""),"DUMP TRUCK")</f>
        <v>DUMP TRUCK</v>
      </c>
      <c r="B19" s="51" t="str">
        <f>IFERROR(__xludf.DUMMYFUNCTION("""COMPUTED_VALUE"""),"HINO FM 260 Ti")</f>
        <v>HINO FM 260 Ti</v>
      </c>
      <c r="C19" s="51" t="str">
        <f>IFERROR(__xludf.DUMMYFUNCTION("""COMPUTED_VALUE"""),"DT-54")</f>
        <v>DT-54</v>
      </c>
    </row>
    <row r="20">
      <c r="A20" s="51" t="str">
        <f>IFERROR(__xludf.DUMMYFUNCTION("""COMPUTED_VALUE"""),"DUMP TRUCK")</f>
        <v>DUMP TRUCK</v>
      </c>
      <c r="B20" s="51" t="str">
        <f>IFERROR(__xludf.DUMMYFUNCTION("""COMPUTED_VALUE"""),"HINO FM 260 Ti")</f>
        <v>HINO FM 260 Ti</v>
      </c>
      <c r="C20" s="51" t="str">
        <f>IFERROR(__xludf.DUMMYFUNCTION("""COMPUTED_VALUE"""),"DT-59")</f>
        <v>DT-59</v>
      </c>
    </row>
    <row r="21">
      <c r="A21" s="51" t="str">
        <f>IFERROR(__xludf.DUMMYFUNCTION("""COMPUTED_VALUE"""),"DUMP TRUCK")</f>
        <v>DUMP TRUCK</v>
      </c>
      <c r="B21" s="51" t="str">
        <f>IFERROR(__xludf.DUMMYFUNCTION("""COMPUTED_VALUE"""),"HINO FM 260 Ti")</f>
        <v>HINO FM 260 Ti</v>
      </c>
      <c r="C21" s="51" t="str">
        <f>IFERROR(__xludf.DUMMYFUNCTION("""COMPUTED_VALUE"""),"DT-60")</f>
        <v>DT-60</v>
      </c>
    </row>
    <row r="22">
      <c r="A22" s="51" t="str">
        <f>IFERROR(__xludf.DUMMYFUNCTION("""COMPUTED_VALUE"""),"DUMP TRUCK")</f>
        <v>DUMP TRUCK</v>
      </c>
      <c r="B22" s="51" t="str">
        <f>IFERROR(__xludf.DUMMYFUNCTION("""COMPUTED_VALUE"""),"HINO FM 260 Ti")</f>
        <v>HINO FM 260 Ti</v>
      </c>
      <c r="C22" s="51" t="str">
        <f>IFERROR(__xludf.DUMMYFUNCTION("""COMPUTED_VALUE"""),"DT-61")</f>
        <v>DT-61</v>
      </c>
    </row>
    <row r="23">
      <c r="A23" s="51" t="str">
        <f>IFERROR(__xludf.DUMMYFUNCTION("""COMPUTED_VALUE"""),"DUMP TRUCK")</f>
        <v>DUMP TRUCK</v>
      </c>
      <c r="B23" s="51" t="str">
        <f>IFERROR(__xludf.DUMMYFUNCTION("""COMPUTED_VALUE"""),"HINO FM 260 Ti")</f>
        <v>HINO FM 260 Ti</v>
      </c>
      <c r="C23" s="51" t="str">
        <f>IFERROR(__xludf.DUMMYFUNCTION("""COMPUTED_VALUE"""),"DT-64")</f>
        <v>DT-64</v>
      </c>
    </row>
    <row r="24">
      <c r="A24" s="51" t="str">
        <f>IFERROR(__xludf.DUMMYFUNCTION("""COMPUTED_VALUE"""),"DUMP TRUCK")</f>
        <v>DUMP TRUCK</v>
      </c>
      <c r="B24" s="51" t="str">
        <f>IFERROR(__xludf.DUMMYFUNCTION("""COMPUTED_VALUE"""),"HINO FM 260 Ti")</f>
        <v>HINO FM 260 Ti</v>
      </c>
      <c r="C24" s="51" t="str">
        <f>IFERROR(__xludf.DUMMYFUNCTION("""COMPUTED_VALUE"""),"DT-65")</f>
        <v>DT-65</v>
      </c>
    </row>
    <row r="25">
      <c r="A25" s="51" t="str">
        <f>IFERROR(__xludf.DUMMYFUNCTION("""COMPUTED_VALUE"""),"DUMP TRUCK")</f>
        <v>DUMP TRUCK</v>
      </c>
      <c r="B25" s="51" t="str">
        <f>IFERROR(__xludf.DUMMYFUNCTION("""COMPUTED_VALUE"""),"HINO FM 260 Ti")</f>
        <v>HINO FM 260 Ti</v>
      </c>
      <c r="C25" s="51" t="str">
        <f>IFERROR(__xludf.DUMMYFUNCTION("""COMPUTED_VALUE"""),"DT-66")</f>
        <v>DT-66</v>
      </c>
    </row>
    <row r="26">
      <c r="A26" s="51" t="str">
        <f>IFERROR(__xludf.DUMMYFUNCTION("""COMPUTED_VALUE"""),"DUMP TRUCK")</f>
        <v>DUMP TRUCK</v>
      </c>
      <c r="B26" s="51" t="str">
        <f>IFERROR(__xludf.DUMMYFUNCTION("""COMPUTED_VALUE"""),"HINO FM 260 Ti")</f>
        <v>HINO FM 260 Ti</v>
      </c>
      <c r="C26" s="51" t="str">
        <f>IFERROR(__xludf.DUMMYFUNCTION("""COMPUTED_VALUE"""),"DT-67")</f>
        <v>DT-67</v>
      </c>
    </row>
    <row r="27">
      <c r="A27" s="51" t="str">
        <f>IFERROR(__xludf.DUMMYFUNCTION("""COMPUTED_VALUE"""),"DUMP TRUCK")</f>
        <v>DUMP TRUCK</v>
      </c>
      <c r="B27" s="51" t="str">
        <f>IFERROR(__xludf.DUMMYFUNCTION("""COMPUTED_VALUE"""),"HINO FM 260 Ti")</f>
        <v>HINO FM 260 Ti</v>
      </c>
      <c r="C27" s="51" t="str">
        <f>IFERROR(__xludf.DUMMYFUNCTION("""COMPUTED_VALUE"""),"DT-68")</f>
        <v>DT-68</v>
      </c>
    </row>
    <row r="28">
      <c r="A28" s="51" t="str">
        <f>IFERROR(__xludf.DUMMYFUNCTION("""COMPUTED_VALUE"""),"DUMP TRUCK")</f>
        <v>DUMP TRUCK</v>
      </c>
      <c r="B28" s="51" t="str">
        <f>IFERROR(__xludf.DUMMYFUNCTION("""COMPUTED_VALUE"""),"HINO FM 260 Ti")</f>
        <v>HINO FM 260 Ti</v>
      </c>
      <c r="C28" s="51" t="str">
        <f>IFERROR(__xludf.DUMMYFUNCTION("""COMPUTED_VALUE"""),"DT-72")</f>
        <v>DT-72</v>
      </c>
    </row>
    <row r="29">
      <c r="A29" s="51" t="str">
        <f>IFERROR(__xludf.DUMMYFUNCTION("""COMPUTED_VALUE"""),"DUMP TRUCK")</f>
        <v>DUMP TRUCK</v>
      </c>
      <c r="B29" s="51" t="str">
        <f>IFERROR(__xludf.DUMMYFUNCTION("""COMPUTED_VALUE"""),"HINO FM 260 JD")</f>
        <v>HINO FM 260 JD</v>
      </c>
      <c r="C29" s="51" t="str">
        <f>IFERROR(__xludf.DUMMYFUNCTION("""COMPUTED_VALUE"""),"DT-74")</f>
        <v>DT-74</v>
      </c>
    </row>
    <row r="30">
      <c r="A30" s="51" t="str">
        <f>IFERROR(__xludf.DUMMYFUNCTION("""COMPUTED_VALUE"""),"DUMP TRUCK")</f>
        <v>DUMP TRUCK</v>
      </c>
      <c r="B30" s="51" t="str">
        <f>IFERROR(__xludf.DUMMYFUNCTION("""COMPUTED_VALUE"""),"HINO FM 260 Ti")</f>
        <v>HINO FM 260 Ti</v>
      </c>
      <c r="C30" s="51" t="str">
        <f>IFERROR(__xludf.DUMMYFUNCTION("""COMPUTED_VALUE"""),"DT-75")</f>
        <v>DT-75</v>
      </c>
    </row>
    <row r="31">
      <c r="A31" s="51" t="str">
        <f>IFERROR(__xludf.DUMMYFUNCTION("""COMPUTED_VALUE"""),"DUMP TRUCK")</f>
        <v>DUMP TRUCK</v>
      </c>
      <c r="B31" s="51" t="str">
        <f>IFERROR(__xludf.DUMMYFUNCTION("""COMPUTED_VALUE"""),"HINO FM 260 JD")</f>
        <v>HINO FM 260 JD</v>
      </c>
      <c r="C31" s="51" t="str">
        <f>IFERROR(__xludf.DUMMYFUNCTION("""COMPUTED_VALUE"""),"DT-76")</f>
        <v>DT-76</v>
      </c>
    </row>
    <row r="32">
      <c r="A32" s="51" t="str">
        <f>IFERROR(__xludf.DUMMYFUNCTION("""COMPUTED_VALUE"""),"DUMP TRUCK")</f>
        <v>DUMP TRUCK</v>
      </c>
      <c r="B32" s="51" t="str">
        <f>IFERROR(__xludf.DUMMYFUNCTION("""COMPUTED_VALUE"""),"HINO FM 260 Ti")</f>
        <v>HINO FM 260 Ti</v>
      </c>
      <c r="C32" s="51" t="str">
        <f>IFERROR(__xludf.DUMMYFUNCTION("""COMPUTED_VALUE"""),"DT-78")</f>
        <v>DT-78</v>
      </c>
    </row>
    <row r="33">
      <c r="A33" s="51" t="str">
        <f>IFERROR(__xludf.DUMMYFUNCTION("""COMPUTED_VALUE"""),"DUMP TRUCK")</f>
        <v>DUMP TRUCK</v>
      </c>
      <c r="B33" s="51" t="str">
        <f>IFERROR(__xludf.DUMMYFUNCTION("""COMPUTED_VALUE"""),"HINO FM 260 Ti")</f>
        <v>HINO FM 260 Ti</v>
      </c>
      <c r="C33" s="51" t="str">
        <f>IFERROR(__xludf.DUMMYFUNCTION("""COMPUTED_VALUE"""),"DT-79")</f>
        <v>DT-79</v>
      </c>
    </row>
    <row r="34">
      <c r="A34" s="51" t="str">
        <f>IFERROR(__xludf.DUMMYFUNCTION("""COMPUTED_VALUE"""),"DUMP TRUCK")</f>
        <v>DUMP TRUCK</v>
      </c>
      <c r="B34" s="51" t="str">
        <f>IFERROR(__xludf.DUMMYFUNCTION("""COMPUTED_VALUE"""),"HINO FM 260 Ti")</f>
        <v>HINO FM 260 Ti</v>
      </c>
      <c r="C34" s="51" t="str">
        <f>IFERROR(__xludf.DUMMYFUNCTION("""COMPUTED_VALUE"""),"DT-81")</f>
        <v>DT-81</v>
      </c>
    </row>
    <row r="35">
      <c r="A35" s="51" t="str">
        <f>IFERROR(__xludf.DUMMYFUNCTION("""COMPUTED_VALUE"""),"DUMP TRUCK")</f>
        <v>DUMP TRUCK</v>
      </c>
      <c r="B35" s="51" t="str">
        <f>IFERROR(__xludf.DUMMYFUNCTION("""COMPUTED_VALUE"""),"HINO FM 260 Ti")</f>
        <v>HINO FM 260 Ti</v>
      </c>
      <c r="C35" s="51" t="str">
        <f>IFERROR(__xludf.DUMMYFUNCTION("""COMPUTED_VALUE"""),"DT-82")</f>
        <v>DT-82</v>
      </c>
    </row>
    <row r="36">
      <c r="A36" s="51" t="str">
        <f>IFERROR(__xludf.DUMMYFUNCTION("""COMPUTED_VALUE"""),"DUMP TRUCK")</f>
        <v>DUMP TRUCK</v>
      </c>
      <c r="B36" s="51" t="str">
        <f>IFERROR(__xludf.DUMMYFUNCTION("""COMPUTED_VALUE"""),"HINO FM 260 Ti")</f>
        <v>HINO FM 260 Ti</v>
      </c>
      <c r="C36" s="51" t="str">
        <f>IFERROR(__xludf.DUMMYFUNCTION("""COMPUTED_VALUE"""),"DT-83")</f>
        <v>DT-83</v>
      </c>
    </row>
    <row r="37">
      <c r="A37" s="51" t="str">
        <f>IFERROR(__xludf.DUMMYFUNCTION("""COMPUTED_VALUE"""),"DUMP TRUCK")</f>
        <v>DUMP TRUCK</v>
      </c>
      <c r="B37" s="51" t="str">
        <f>IFERROR(__xludf.DUMMYFUNCTION("""COMPUTED_VALUE"""),"HINO FM 260 Ti")</f>
        <v>HINO FM 260 Ti</v>
      </c>
      <c r="C37" s="51" t="str">
        <f>IFERROR(__xludf.DUMMYFUNCTION("""COMPUTED_VALUE"""),"DT-86")</f>
        <v>DT-86</v>
      </c>
    </row>
    <row r="38">
      <c r="A38" s="51" t="str">
        <f>IFERROR(__xludf.DUMMYFUNCTION("""COMPUTED_VALUE"""),"DUMP TRUCK")</f>
        <v>DUMP TRUCK</v>
      </c>
      <c r="B38" s="51" t="str">
        <f>IFERROR(__xludf.DUMMYFUNCTION("""COMPUTED_VALUE"""),"HINO FM 260 Ti")</f>
        <v>HINO FM 260 Ti</v>
      </c>
      <c r="C38" s="51" t="str">
        <f>IFERROR(__xludf.DUMMYFUNCTION("""COMPUTED_VALUE"""),"MH-01")</f>
        <v>MH-01</v>
      </c>
    </row>
    <row r="39">
      <c r="A39" s="51" t="str">
        <f>IFERROR(__xludf.DUMMYFUNCTION("""COMPUTED_VALUE"""),"DUMP TRUCK")</f>
        <v>DUMP TRUCK</v>
      </c>
      <c r="B39" s="51" t="str">
        <f>IFERROR(__xludf.DUMMYFUNCTION("""COMPUTED_VALUE"""),"HINO FM 260 Ti")</f>
        <v>HINO FM 260 Ti</v>
      </c>
      <c r="C39" s="51" t="str">
        <f>IFERROR(__xludf.DUMMYFUNCTION("""COMPUTED_VALUE"""),"DT-89")</f>
        <v>DT-89</v>
      </c>
    </row>
    <row r="40">
      <c r="A40" s="51" t="str">
        <f>IFERROR(__xludf.DUMMYFUNCTION("""COMPUTED_VALUE"""),"DUMP TRUCK")</f>
        <v>DUMP TRUCK</v>
      </c>
      <c r="B40" s="51" t="str">
        <f>IFERROR(__xludf.DUMMYFUNCTION("""COMPUTED_VALUE"""),"HINO FM 260 Ti")</f>
        <v>HINO FM 260 Ti</v>
      </c>
      <c r="C40" s="51" t="str">
        <f>IFERROR(__xludf.DUMMYFUNCTION("""COMPUTED_VALUE"""),"DT-92")</f>
        <v>DT-92</v>
      </c>
    </row>
    <row r="41">
      <c r="A41" s="51" t="str">
        <f>IFERROR(__xludf.DUMMYFUNCTION("""COMPUTED_VALUE"""),"DUMP TRUCK")</f>
        <v>DUMP TRUCK</v>
      </c>
      <c r="B41" s="51" t="str">
        <f>IFERROR(__xludf.DUMMYFUNCTION("""COMPUTED_VALUE"""),"HINO FM 260 JD")</f>
        <v>HINO FM 260 JD</v>
      </c>
      <c r="C41" s="51" t="str">
        <f>IFERROR(__xludf.DUMMYFUNCTION("""COMPUTED_VALUE"""),"DT-95")</f>
        <v>DT-95</v>
      </c>
    </row>
    <row r="42">
      <c r="A42" s="51" t="str">
        <f>IFERROR(__xludf.DUMMYFUNCTION("""COMPUTED_VALUE"""),"DUMP TRUCK")</f>
        <v>DUMP TRUCK</v>
      </c>
      <c r="B42" s="51" t="str">
        <f>IFERROR(__xludf.DUMMYFUNCTION("""COMPUTED_VALUE"""),"HINO FM 260 JD")</f>
        <v>HINO FM 260 JD</v>
      </c>
      <c r="C42" s="51" t="str">
        <f>IFERROR(__xludf.DUMMYFUNCTION("""COMPUTED_VALUE"""),"DT-97")</f>
        <v>DT-97</v>
      </c>
    </row>
    <row r="43">
      <c r="A43" s="51" t="str">
        <f>IFERROR(__xludf.DUMMYFUNCTION("""COMPUTED_VALUE"""),"DUMP TRUCK")</f>
        <v>DUMP TRUCK</v>
      </c>
      <c r="B43" s="51" t="str">
        <f>IFERROR(__xludf.DUMMYFUNCTION("""COMPUTED_VALUE"""),"HINO FM 260 JD")</f>
        <v>HINO FM 260 JD</v>
      </c>
      <c r="C43" s="51" t="str">
        <f>IFERROR(__xludf.DUMMYFUNCTION("""COMPUTED_VALUE"""),"DT-98")</f>
        <v>DT-98</v>
      </c>
    </row>
    <row r="44">
      <c r="A44" s="51" t="str">
        <f>IFERROR(__xludf.DUMMYFUNCTION("""COMPUTED_VALUE"""),"DUMP TRUCK")</f>
        <v>DUMP TRUCK</v>
      </c>
      <c r="B44" s="51" t="str">
        <f>IFERROR(__xludf.DUMMYFUNCTION("""COMPUTED_VALUE"""),"HINO FM 260 JD")</f>
        <v>HINO FM 260 JD</v>
      </c>
      <c r="C44" s="51" t="str">
        <f>IFERROR(__xludf.DUMMYFUNCTION("""COMPUTED_VALUE"""),"DT-99")</f>
        <v>DT-99</v>
      </c>
    </row>
    <row r="45">
      <c r="A45" s="51" t="str">
        <f>IFERROR(__xludf.DUMMYFUNCTION("""COMPUTED_VALUE"""),"DUMP TRUCK")</f>
        <v>DUMP TRUCK</v>
      </c>
      <c r="B45" s="51" t="str">
        <f>IFERROR(__xludf.DUMMYFUNCTION("""COMPUTED_VALUE"""),"HINO FM 260 JD")</f>
        <v>HINO FM 260 JD</v>
      </c>
      <c r="C45" s="51" t="str">
        <f>IFERROR(__xludf.DUMMYFUNCTION("""COMPUTED_VALUE"""),"DT-100")</f>
        <v>DT-100</v>
      </c>
    </row>
    <row r="46">
      <c r="A46" s="51" t="str">
        <f>IFERROR(__xludf.DUMMYFUNCTION("""COMPUTED_VALUE"""),"DUMP TRUCK")</f>
        <v>DUMP TRUCK</v>
      </c>
      <c r="B46" s="51" t="str">
        <f>IFERROR(__xludf.DUMMYFUNCTION("""COMPUTED_VALUE"""),"HINO FM 260 JD")</f>
        <v>HINO FM 260 JD</v>
      </c>
      <c r="C46" s="51" t="str">
        <f>IFERROR(__xludf.DUMMYFUNCTION("""COMPUTED_VALUE"""),"DT-101")</f>
        <v>DT-101</v>
      </c>
    </row>
    <row r="47">
      <c r="A47" s="51" t="str">
        <f>IFERROR(__xludf.DUMMYFUNCTION("""COMPUTED_VALUE"""),"DUMP TRUCK")</f>
        <v>DUMP TRUCK</v>
      </c>
      <c r="B47" s="51" t="str">
        <f>IFERROR(__xludf.DUMMYFUNCTION("""COMPUTED_VALUE"""),"HINO FM 260 JD")</f>
        <v>HINO FM 260 JD</v>
      </c>
      <c r="C47" s="51" t="str">
        <f>IFERROR(__xludf.DUMMYFUNCTION("""COMPUTED_VALUE"""),"DT-102")</f>
        <v>DT-102</v>
      </c>
    </row>
    <row r="48">
      <c r="A48" s="51" t="str">
        <f>IFERROR(__xludf.DUMMYFUNCTION("""COMPUTED_VALUE"""),"DUMP TRUCK")</f>
        <v>DUMP TRUCK</v>
      </c>
      <c r="B48" s="51" t="str">
        <f>IFERROR(__xludf.DUMMYFUNCTION("""COMPUTED_VALUE"""),"HINO FM 260 JD")</f>
        <v>HINO FM 260 JD</v>
      </c>
      <c r="C48" s="51" t="str">
        <f>IFERROR(__xludf.DUMMYFUNCTION("""COMPUTED_VALUE"""),"DT-103")</f>
        <v>DT-103</v>
      </c>
    </row>
    <row r="49">
      <c r="A49" s="51" t="str">
        <f>IFERROR(__xludf.DUMMYFUNCTION("""COMPUTED_VALUE"""),"DUMP TRUCK")</f>
        <v>DUMP TRUCK</v>
      </c>
      <c r="B49" s="51" t="str">
        <f>IFERROR(__xludf.DUMMYFUNCTION("""COMPUTED_VALUE"""),"HINO FM 260 JD")</f>
        <v>HINO FM 260 JD</v>
      </c>
      <c r="C49" s="51" t="str">
        <f>IFERROR(__xludf.DUMMYFUNCTION("""COMPUTED_VALUE"""),"DT-106")</f>
        <v>DT-106</v>
      </c>
    </row>
    <row r="50">
      <c r="A50" s="51" t="str">
        <f>IFERROR(__xludf.DUMMYFUNCTION("""COMPUTED_VALUE"""),"DUMP TRUCK")</f>
        <v>DUMP TRUCK</v>
      </c>
      <c r="B50" s="51" t="str">
        <f>IFERROR(__xludf.DUMMYFUNCTION("""COMPUTED_VALUE"""),"HINO FM 260 JD")</f>
        <v>HINO FM 260 JD</v>
      </c>
      <c r="C50" s="51" t="str">
        <f>IFERROR(__xludf.DUMMYFUNCTION("""COMPUTED_VALUE"""),"DT-107")</f>
        <v>DT-107</v>
      </c>
    </row>
    <row r="51">
      <c r="A51" s="51" t="str">
        <f>IFERROR(__xludf.DUMMYFUNCTION("""COMPUTED_VALUE"""),"DUMP TRUCK")</f>
        <v>DUMP TRUCK</v>
      </c>
      <c r="B51" s="51" t="str">
        <f>IFERROR(__xludf.DUMMYFUNCTION("""COMPUTED_VALUE"""),"HINO FM 260 JD")</f>
        <v>HINO FM 260 JD</v>
      </c>
      <c r="C51" s="51" t="str">
        <f>IFERROR(__xludf.DUMMYFUNCTION("""COMPUTED_VALUE"""),"DT-108")</f>
        <v>DT-108</v>
      </c>
    </row>
    <row r="52">
      <c r="A52" s="51" t="str">
        <f>IFERROR(__xludf.DUMMYFUNCTION("""COMPUTED_VALUE"""),"DUMP TRUCK")</f>
        <v>DUMP TRUCK</v>
      </c>
      <c r="B52" s="51" t="str">
        <f>IFERROR(__xludf.DUMMYFUNCTION("""COMPUTED_VALUE"""),"HINO FM 260 JD")</f>
        <v>HINO FM 260 JD</v>
      </c>
      <c r="C52" s="51" t="str">
        <f>IFERROR(__xludf.DUMMYFUNCTION("""COMPUTED_VALUE"""),"DT-109")</f>
        <v>DT-109</v>
      </c>
    </row>
    <row r="53">
      <c r="A53" s="51" t="str">
        <f>IFERROR(__xludf.DUMMYFUNCTION("""COMPUTED_VALUE"""),"DUMP TRUCK")</f>
        <v>DUMP TRUCK</v>
      </c>
      <c r="B53" s="51" t="str">
        <f>IFERROR(__xludf.DUMMYFUNCTION("""COMPUTED_VALUE"""),"HINO FM 260 JD")</f>
        <v>HINO FM 260 JD</v>
      </c>
      <c r="C53" s="51" t="str">
        <f>IFERROR(__xludf.DUMMYFUNCTION("""COMPUTED_VALUE"""),"DT-110")</f>
        <v>DT-110</v>
      </c>
    </row>
    <row r="54">
      <c r="A54" s="51" t="str">
        <f>IFERROR(__xludf.DUMMYFUNCTION("""COMPUTED_VALUE"""),"DUMP TRUCK")</f>
        <v>DUMP TRUCK</v>
      </c>
      <c r="B54" s="51" t="str">
        <f>IFERROR(__xludf.DUMMYFUNCTION("""COMPUTED_VALUE"""),"HINO FM 260 JD")</f>
        <v>HINO FM 260 JD</v>
      </c>
      <c r="C54" s="51" t="str">
        <f>IFERROR(__xludf.DUMMYFUNCTION("""COMPUTED_VALUE"""),"DT-111")</f>
        <v>DT-111</v>
      </c>
    </row>
    <row r="55">
      <c r="A55" s="51" t="str">
        <f>IFERROR(__xludf.DUMMYFUNCTION("""COMPUTED_VALUE"""),"DUMP TRUCK")</f>
        <v>DUMP TRUCK</v>
      </c>
      <c r="B55" s="51" t="str">
        <f>IFERROR(__xludf.DUMMYFUNCTION("""COMPUTED_VALUE"""),"HINO FM 260 JD")</f>
        <v>HINO FM 260 JD</v>
      </c>
      <c r="C55" s="51" t="str">
        <f>IFERROR(__xludf.DUMMYFUNCTION("""COMPUTED_VALUE"""),"DT-112")</f>
        <v>DT-112</v>
      </c>
    </row>
    <row r="56">
      <c r="A56" s="51" t="str">
        <f>IFERROR(__xludf.DUMMYFUNCTION("""COMPUTED_VALUE"""),"DUMP TRUCK")</f>
        <v>DUMP TRUCK</v>
      </c>
      <c r="B56" s="51" t="str">
        <f>IFERROR(__xludf.DUMMYFUNCTION("""COMPUTED_VALUE"""),"HINO FM 260 JD")</f>
        <v>HINO FM 260 JD</v>
      </c>
      <c r="C56" s="51" t="str">
        <f>IFERROR(__xludf.DUMMYFUNCTION("""COMPUTED_VALUE"""),"DT-113")</f>
        <v>DT-113</v>
      </c>
    </row>
    <row r="57">
      <c r="A57" s="51" t="str">
        <f>IFERROR(__xludf.DUMMYFUNCTION("""COMPUTED_VALUE"""),"DUMP TRUCK")</f>
        <v>DUMP TRUCK</v>
      </c>
      <c r="B57" s="51" t="str">
        <f>IFERROR(__xludf.DUMMYFUNCTION("""COMPUTED_VALUE"""),"HINO FM 260 JD")</f>
        <v>HINO FM 260 JD</v>
      </c>
      <c r="C57" s="51" t="str">
        <f>IFERROR(__xludf.DUMMYFUNCTION("""COMPUTED_VALUE"""),"DT-114")</f>
        <v>DT-114</v>
      </c>
    </row>
    <row r="58">
      <c r="A58" s="51" t="str">
        <f>IFERROR(__xludf.DUMMYFUNCTION("""COMPUTED_VALUE"""),"DUMP TRUCK")</f>
        <v>DUMP TRUCK</v>
      </c>
      <c r="B58" s="51" t="str">
        <f>IFERROR(__xludf.DUMMYFUNCTION("""COMPUTED_VALUE"""),"HINO FM 260 JD")</f>
        <v>HINO FM 260 JD</v>
      </c>
      <c r="C58" s="51" t="str">
        <f>IFERROR(__xludf.DUMMYFUNCTION("""COMPUTED_VALUE"""),"DT-116")</f>
        <v>DT-116</v>
      </c>
    </row>
    <row r="59">
      <c r="A59" s="51" t="str">
        <f>IFERROR(__xludf.DUMMYFUNCTION("""COMPUTED_VALUE"""),"DUMP TRUCK")</f>
        <v>DUMP TRUCK</v>
      </c>
      <c r="B59" s="51" t="str">
        <f>IFERROR(__xludf.DUMMYFUNCTION("""COMPUTED_VALUE"""),"HINO FM 260 JD")</f>
        <v>HINO FM 260 JD</v>
      </c>
      <c r="C59" s="51" t="str">
        <f>IFERROR(__xludf.DUMMYFUNCTION("""COMPUTED_VALUE"""),"DT-117")</f>
        <v>DT-117</v>
      </c>
    </row>
    <row r="60">
      <c r="A60" s="51" t="str">
        <f>IFERROR(__xludf.DUMMYFUNCTION("""COMPUTED_VALUE"""),"DUMP TRUCK")</f>
        <v>DUMP TRUCK</v>
      </c>
      <c r="B60" s="51" t="str">
        <f>IFERROR(__xludf.DUMMYFUNCTION("""COMPUTED_VALUE"""),"HINO FM 260 JD")</f>
        <v>HINO FM 260 JD</v>
      </c>
      <c r="C60" s="51" t="str">
        <f>IFERROR(__xludf.DUMMYFUNCTION("""COMPUTED_VALUE"""),"DT-118")</f>
        <v>DT-118</v>
      </c>
    </row>
    <row r="61">
      <c r="A61" s="51" t="str">
        <f>IFERROR(__xludf.DUMMYFUNCTION("""COMPUTED_VALUE"""),"DUMP TRUCK")</f>
        <v>DUMP TRUCK</v>
      </c>
      <c r="B61" s="51" t="str">
        <f>IFERROR(__xludf.DUMMYFUNCTION("""COMPUTED_VALUE"""),"HINO FM 260 JD")</f>
        <v>HINO FM 260 JD</v>
      </c>
      <c r="C61" s="51" t="str">
        <f>IFERROR(__xludf.DUMMYFUNCTION("""COMPUTED_VALUE"""),"FT-06")</f>
        <v>FT-06</v>
      </c>
    </row>
    <row r="62">
      <c r="A62" s="51" t="str">
        <f>IFERROR(__xludf.DUMMYFUNCTION("""COMPUTED_VALUE"""),"DUMP TRUCK")</f>
        <v>DUMP TRUCK</v>
      </c>
      <c r="B62" s="51" t="str">
        <f>IFERROR(__xludf.DUMMYFUNCTION("""COMPUTED_VALUE"""),"HINO FM 260 JD")</f>
        <v>HINO FM 260 JD</v>
      </c>
      <c r="C62" s="51" t="str">
        <f>IFERROR(__xludf.DUMMYFUNCTION("""COMPUTED_VALUE"""),"DT-121")</f>
        <v>DT-121</v>
      </c>
    </row>
    <row r="63">
      <c r="A63" s="51" t="str">
        <f>IFERROR(__xludf.DUMMYFUNCTION("""COMPUTED_VALUE"""),"DUMP TRUCK")</f>
        <v>DUMP TRUCK</v>
      </c>
      <c r="B63" s="51" t="str">
        <f>IFERROR(__xludf.DUMMYFUNCTION("""COMPUTED_VALUE"""),"HINO FM 260 JD")</f>
        <v>HINO FM 260 JD</v>
      </c>
      <c r="C63" s="51" t="str">
        <f>IFERROR(__xludf.DUMMYFUNCTION("""COMPUTED_VALUE"""),"DT-122")</f>
        <v>DT-122</v>
      </c>
    </row>
    <row r="64">
      <c r="A64" s="51" t="str">
        <f>IFERROR(__xludf.DUMMYFUNCTION("""COMPUTED_VALUE"""),"DUMP TRUCK")</f>
        <v>DUMP TRUCK</v>
      </c>
      <c r="B64" s="51" t="str">
        <f>IFERROR(__xludf.DUMMYFUNCTION("""COMPUTED_VALUE"""),"HINO FM 260 JD")</f>
        <v>HINO FM 260 JD</v>
      </c>
      <c r="C64" s="51" t="str">
        <f>IFERROR(__xludf.DUMMYFUNCTION("""COMPUTED_VALUE"""),"DT-123")</f>
        <v>DT-123</v>
      </c>
    </row>
    <row r="65">
      <c r="A65" s="51" t="str">
        <f>IFERROR(__xludf.DUMMYFUNCTION("""COMPUTED_VALUE"""),"DUMP TRUCK")</f>
        <v>DUMP TRUCK</v>
      </c>
      <c r="B65" s="51" t="str">
        <f>IFERROR(__xludf.DUMMYFUNCTION("""COMPUTED_VALUE"""),"HINO FM 260 JD")</f>
        <v>HINO FM 260 JD</v>
      </c>
      <c r="C65" s="51" t="str">
        <f>IFERROR(__xludf.DUMMYFUNCTION("""COMPUTED_VALUE"""),"DT-124")</f>
        <v>DT-124</v>
      </c>
    </row>
    <row r="66">
      <c r="A66" s="51" t="str">
        <f>IFERROR(__xludf.DUMMYFUNCTION("""COMPUTED_VALUE"""),"DUMP TRUCK")</f>
        <v>DUMP TRUCK</v>
      </c>
      <c r="B66" s="51" t="str">
        <f>IFERROR(__xludf.DUMMYFUNCTION("""COMPUTED_VALUE"""),"HINO FM 260 JD")</f>
        <v>HINO FM 260 JD</v>
      </c>
      <c r="C66" s="51" t="str">
        <f>IFERROR(__xludf.DUMMYFUNCTION("""COMPUTED_VALUE"""),"DT-125")</f>
        <v>DT-125</v>
      </c>
    </row>
    <row r="67">
      <c r="A67" s="51" t="str">
        <f>IFERROR(__xludf.DUMMYFUNCTION("""COMPUTED_VALUE"""),"DUMP TRUCK")</f>
        <v>DUMP TRUCK</v>
      </c>
      <c r="B67" s="51" t="str">
        <f>IFERROR(__xludf.DUMMYFUNCTION("""COMPUTED_VALUE"""),"HINO FM 260 JD")</f>
        <v>HINO FM 260 JD</v>
      </c>
      <c r="C67" s="51" t="str">
        <f>IFERROR(__xludf.DUMMYFUNCTION("""COMPUTED_VALUE"""),"DT-126")</f>
        <v>DT-126</v>
      </c>
    </row>
    <row r="68">
      <c r="A68" s="51" t="str">
        <f>IFERROR(__xludf.DUMMYFUNCTION("""COMPUTED_VALUE"""),"DUMP TRUCK")</f>
        <v>DUMP TRUCK</v>
      </c>
      <c r="B68" s="51" t="str">
        <f>IFERROR(__xludf.DUMMYFUNCTION("""COMPUTED_VALUE"""),"HINO FM 260 JD")</f>
        <v>HINO FM 260 JD</v>
      </c>
      <c r="C68" s="51" t="str">
        <f>IFERROR(__xludf.DUMMYFUNCTION("""COMPUTED_VALUE"""),"DT-127")</f>
        <v>DT-127</v>
      </c>
    </row>
    <row r="69">
      <c r="A69" s="51" t="str">
        <f>IFERROR(__xludf.DUMMYFUNCTION("""COMPUTED_VALUE"""),"DUMP TRUCK")</f>
        <v>DUMP TRUCK</v>
      </c>
      <c r="B69" s="51" t="str">
        <f>IFERROR(__xludf.DUMMYFUNCTION("""COMPUTED_VALUE"""),"HINO FM 260 JD")</f>
        <v>HINO FM 260 JD</v>
      </c>
      <c r="C69" s="51" t="str">
        <f>IFERROR(__xludf.DUMMYFUNCTION("""COMPUTED_VALUE"""),"DT-128")</f>
        <v>DT-128</v>
      </c>
    </row>
    <row r="70">
      <c r="A70" s="51" t="str">
        <f>IFERROR(__xludf.DUMMYFUNCTION("""COMPUTED_VALUE"""),"DUMP TRUCK")</f>
        <v>DUMP TRUCK</v>
      </c>
      <c r="B70" s="51" t="str">
        <f>IFERROR(__xludf.DUMMYFUNCTION("""COMPUTED_VALUE"""),"HINO FM 260 JD")</f>
        <v>HINO FM 260 JD</v>
      </c>
      <c r="C70" s="51" t="str">
        <f>IFERROR(__xludf.DUMMYFUNCTION("""COMPUTED_VALUE"""),"DT-130")</f>
        <v>DT-130</v>
      </c>
    </row>
    <row r="71">
      <c r="A71" s="51" t="str">
        <f>IFERROR(__xludf.DUMMYFUNCTION("""COMPUTED_VALUE"""),"DUMP TRUCK")</f>
        <v>DUMP TRUCK</v>
      </c>
      <c r="B71" s="51" t="str">
        <f>IFERROR(__xludf.DUMMYFUNCTION("""COMPUTED_VALUE"""),"HINO FM 260 JD")</f>
        <v>HINO FM 260 JD</v>
      </c>
      <c r="C71" s="51" t="str">
        <f>IFERROR(__xludf.DUMMYFUNCTION("""COMPUTED_VALUE"""),"DT-132")</f>
        <v>DT-132</v>
      </c>
    </row>
    <row r="72">
      <c r="A72" s="51" t="str">
        <f>IFERROR(__xludf.DUMMYFUNCTION("""COMPUTED_VALUE"""),"DUMP TRUCK")</f>
        <v>DUMP TRUCK</v>
      </c>
      <c r="B72" s="51" t="str">
        <f>IFERROR(__xludf.DUMMYFUNCTION("""COMPUTED_VALUE"""),"HINO FM 260 JD")</f>
        <v>HINO FM 260 JD</v>
      </c>
      <c r="C72" s="51" t="str">
        <f>IFERROR(__xludf.DUMMYFUNCTION("""COMPUTED_VALUE"""),"DT-133")</f>
        <v>DT-133</v>
      </c>
    </row>
    <row r="73">
      <c r="A73" s="51" t="str">
        <f>IFERROR(__xludf.DUMMYFUNCTION("""COMPUTED_VALUE"""),"DUMP TRUCK")</f>
        <v>DUMP TRUCK</v>
      </c>
      <c r="B73" s="51" t="str">
        <f>IFERROR(__xludf.DUMMYFUNCTION("""COMPUTED_VALUE"""),"HINO FM 260 JD")</f>
        <v>HINO FM 260 JD</v>
      </c>
      <c r="C73" s="51" t="str">
        <f>IFERROR(__xludf.DUMMYFUNCTION("""COMPUTED_VALUE"""),"DT-134")</f>
        <v>DT-134</v>
      </c>
    </row>
    <row r="74">
      <c r="A74" s="51" t="str">
        <f>IFERROR(__xludf.DUMMYFUNCTION("""COMPUTED_VALUE"""),"DUMP TRUCK")</f>
        <v>DUMP TRUCK</v>
      </c>
      <c r="B74" s="51" t="str">
        <f>IFERROR(__xludf.DUMMYFUNCTION("""COMPUTED_VALUE"""),"HINO FM 260 JD")</f>
        <v>HINO FM 260 JD</v>
      </c>
      <c r="C74" s="51" t="str">
        <f>IFERROR(__xludf.DUMMYFUNCTION("""COMPUTED_VALUE"""),"DT-135")</f>
        <v>DT-135</v>
      </c>
    </row>
    <row r="75">
      <c r="A75" s="51" t="str">
        <f>IFERROR(__xludf.DUMMYFUNCTION("""COMPUTED_VALUE"""),"DUMP TRUCK")</f>
        <v>DUMP TRUCK</v>
      </c>
      <c r="B75" s="51" t="str">
        <f>IFERROR(__xludf.DUMMYFUNCTION("""COMPUTED_VALUE"""),"HINO FM 260 JD")</f>
        <v>HINO FM 260 JD</v>
      </c>
      <c r="C75" s="51" t="str">
        <f>IFERROR(__xludf.DUMMYFUNCTION("""COMPUTED_VALUE"""),"DT-136")</f>
        <v>DT-136</v>
      </c>
    </row>
    <row r="76">
      <c r="A76" s="51" t="str">
        <f>IFERROR(__xludf.DUMMYFUNCTION("""COMPUTED_VALUE"""),"DUMP TRUCK")</f>
        <v>DUMP TRUCK</v>
      </c>
      <c r="B76" s="51" t="str">
        <f>IFERROR(__xludf.DUMMYFUNCTION("""COMPUTED_VALUE"""),"HINO FM 260 JD")</f>
        <v>HINO FM 260 JD</v>
      </c>
      <c r="C76" s="51" t="str">
        <f>IFERROR(__xludf.DUMMYFUNCTION("""COMPUTED_VALUE"""),"DT-137")</f>
        <v>DT-137</v>
      </c>
    </row>
    <row r="77">
      <c r="A77" s="51" t="str">
        <f>IFERROR(__xludf.DUMMYFUNCTION("""COMPUTED_VALUE"""),"DUMP TRUCK")</f>
        <v>DUMP TRUCK</v>
      </c>
      <c r="B77" s="51" t="str">
        <f>IFERROR(__xludf.DUMMYFUNCTION("""COMPUTED_VALUE"""),"HINO FM 260 JD")</f>
        <v>HINO FM 260 JD</v>
      </c>
      <c r="C77" s="51" t="str">
        <f>IFERROR(__xludf.DUMMYFUNCTION("""COMPUTED_VALUE"""),"DT-138")</f>
        <v>DT-138</v>
      </c>
    </row>
    <row r="78">
      <c r="A78" s="51" t="str">
        <f>IFERROR(__xludf.DUMMYFUNCTION("""COMPUTED_VALUE"""),"DUMP TRUCK")</f>
        <v>DUMP TRUCK</v>
      </c>
      <c r="B78" s="51" t="str">
        <f>IFERROR(__xludf.DUMMYFUNCTION("""COMPUTED_VALUE"""),"HINO FM 260 JD")</f>
        <v>HINO FM 260 JD</v>
      </c>
      <c r="C78" s="51" t="str">
        <f>IFERROR(__xludf.DUMMYFUNCTION("""COMPUTED_VALUE"""),"DT-139")</f>
        <v>DT-139</v>
      </c>
    </row>
    <row r="79">
      <c r="A79" s="51" t="str">
        <f>IFERROR(__xludf.DUMMYFUNCTION("""COMPUTED_VALUE"""),"DUMP TRUCK")</f>
        <v>DUMP TRUCK</v>
      </c>
      <c r="B79" s="51" t="str">
        <f>IFERROR(__xludf.DUMMYFUNCTION("""COMPUTED_VALUE"""),"HINO FM 260 JD")</f>
        <v>HINO FM 260 JD</v>
      </c>
      <c r="C79" s="51" t="str">
        <f>IFERROR(__xludf.DUMMYFUNCTION("""COMPUTED_VALUE"""),"DT-140")</f>
        <v>DT-140</v>
      </c>
    </row>
    <row r="80">
      <c r="A80" s="51" t="str">
        <f>IFERROR(__xludf.DUMMYFUNCTION("""COMPUTED_VALUE"""),"DUMP TRUCK")</f>
        <v>DUMP TRUCK</v>
      </c>
      <c r="B80" s="51" t="str">
        <f>IFERROR(__xludf.DUMMYFUNCTION("""COMPUTED_VALUE"""),"HINO FM 260 JD")</f>
        <v>HINO FM 260 JD</v>
      </c>
      <c r="C80" s="51" t="str">
        <f>IFERROR(__xludf.DUMMYFUNCTION("""COMPUTED_VALUE"""),"DT-141")</f>
        <v>DT-141</v>
      </c>
    </row>
    <row r="81">
      <c r="A81" s="51" t="str">
        <f>IFERROR(__xludf.DUMMYFUNCTION("""COMPUTED_VALUE"""),"DUMP TRUCK")</f>
        <v>DUMP TRUCK</v>
      </c>
      <c r="B81" s="51" t="str">
        <f>IFERROR(__xludf.DUMMYFUNCTION("""COMPUTED_VALUE"""),"HINO FM 260 JD")</f>
        <v>HINO FM 260 JD</v>
      </c>
      <c r="C81" s="51" t="str">
        <f>IFERROR(__xludf.DUMMYFUNCTION("""COMPUTED_VALUE"""),"DT-143")</f>
        <v>DT-143</v>
      </c>
    </row>
    <row r="82">
      <c r="A82" s="51" t="str">
        <f>IFERROR(__xludf.DUMMYFUNCTION("""COMPUTED_VALUE"""),"DUMP TRUCK")</f>
        <v>DUMP TRUCK</v>
      </c>
      <c r="B82" s="51" t="str">
        <f>IFERROR(__xludf.DUMMYFUNCTION("""COMPUTED_VALUE"""),"HINO FM 260 JD")</f>
        <v>HINO FM 260 JD</v>
      </c>
      <c r="C82" s="51" t="str">
        <f>IFERROR(__xludf.DUMMYFUNCTION("""COMPUTED_VALUE"""),"DT-144")</f>
        <v>DT-144</v>
      </c>
    </row>
    <row r="83">
      <c r="A83" s="51" t="str">
        <f>IFERROR(__xludf.DUMMYFUNCTION("""COMPUTED_VALUE"""),"DUMP TRUCK")</f>
        <v>DUMP TRUCK</v>
      </c>
      <c r="B83" s="51" t="str">
        <f>IFERROR(__xludf.DUMMYFUNCTION("""COMPUTED_VALUE"""),"HINO FM 260 JD")</f>
        <v>HINO FM 260 JD</v>
      </c>
      <c r="C83" s="51" t="str">
        <f>IFERROR(__xludf.DUMMYFUNCTION("""COMPUTED_VALUE"""),"DT-145")</f>
        <v>DT-145</v>
      </c>
    </row>
    <row r="84">
      <c r="A84" s="51" t="str">
        <f>IFERROR(__xludf.DUMMYFUNCTION("""COMPUTED_VALUE"""),"DUMP TRUCK")</f>
        <v>DUMP TRUCK</v>
      </c>
      <c r="B84" s="51" t="str">
        <f>IFERROR(__xludf.DUMMYFUNCTION("""COMPUTED_VALUE"""),"HINO FM 260 JD")</f>
        <v>HINO FM 260 JD</v>
      </c>
      <c r="C84" s="51" t="str">
        <f>IFERROR(__xludf.DUMMYFUNCTION("""COMPUTED_VALUE"""),"DT-146")</f>
        <v>DT-146</v>
      </c>
    </row>
    <row r="85">
      <c r="A85" s="51" t="str">
        <f>IFERROR(__xludf.DUMMYFUNCTION("""COMPUTED_VALUE"""),"DUMP TRUCK")</f>
        <v>DUMP TRUCK</v>
      </c>
      <c r="B85" s="51" t="str">
        <f>IFERROR(__xludf.DUMMYFUNCTION("""COMPUTED_VALUE"""),"HINO FM 260 JD")</f>
        <v>HINO FM 260 JD</v>
      </c>
      <c r="C85" s="51" t="str">
        <f>IFERROR(__xludf.DUMMYFUNCTION("""COMPUTED_VALUE"""),"DT-147")</f>
        <v>DT-147</v>
      </c>
    </row>
    <row r="86">
      <c r="A86" s="51" t="str">
        <f>IFERROR(__xludf.DUMMYFUNCTION("""COMPUTED_VALUE"""),"DUMP TRUCK")</f>
        <v>DUMP TRUCK</v>
      </c>
      <c r="B86" s="51" t="str">
        <f>IFERROR(__xludf.DUMMYFUNCTION("""COMPUTED_VALUE"""),"HINO FM 260 JD")</f>
        <v>HINO FM 260 JD</v>
      </c>
      <c r="C86" s="51" t="str">
        <f>IFERROR(__xludf.DUMMYFUNCTION("""COMPUTED_VALUE"""),"DT-148")</f>
        <v>DT-148</v>
      </c>
    </row>
    <row r="87">
      <c r="A87" s="51" t="str">
        <f>IFERROR(__xludf.DUMMYFUNCTION("""COMPUTED_VALUE"""),"DUMP TRUCK")</f>
        <v>DUMP TRUCK</v>
      </c>
      <c r="B87" s="51" t="str">
        <f>IFERROR(__xludf.DUMMYFUNCTION("""COMPUTED_VALUE"""),"HINO FM 260 JD")</f>
        <v>HINO FM 260 JD</v>
      </c>
      <c r="C87" s="51" t="str">
        <f>IFERROR(__xludf.DUMMYFUNCTION("""COMPUTED_VALUE"""),"DT-149")</f>
        <v>DT-149</v>
      </c>
    </row>
    <row r="88">
      <c r="A88" s="51" t="str">
        <f>IFERROR(__xludf.DUMMYFUNCTION("""COMPUTED_VALUE"""),"DUMP TRUCK")</f>
        <v>DUMP TRUCK</v>
      </c>
      <c r="B88" s="51" t="str">
        <f>IFERROR(__xludf.DUMMYFUNCTION("""COMPUTED_VALUE"""),"HINO FM 260 JD")</f>
        <v>HINO FM 260 JD</v>
      </c>
      <c r="C88" s="51" t="str">
        <f>IFERROR(__xludf.DUMMYFUNCTION("""COMPUTED_VALUE"""),"DT-150")</f>
        <v>DT-150</v>
      </c>
    </row>
    <row r="89">
      <c r="A89" s="51" t="str">
        <f>IFERROR(__xludf.DUMMYFUNCTION("""COMPUTED_VALUE"""),"DUMP TRUCK")</f>
        <v>DUMP TRUCK</v>
      </c>
      <c r="B89" s="51" t="str">
        <f>IFERROR(__xludf.DUMMYFUNCTION("""COMPUTED_VALUE"""),"HINO FM 260 JD")</f>
        <v>HINO FM 260 JD</v>
      </c>
      <c r="C89" s="51" t="str">
        <f>IFERROR(__xludf.DUMMYFUNCTION("""COMPUTED_VALUE"""),"DT-151")</f>
        <v>DT-151</v>
      </c>
    </row>
    <row r="90">
      <c r="A90" s="51" t="str">
        <f>IFERROR(__xludf.DUMMYFUNCTION("""COMPUTED_VALUE"""),"DUMP TRUCK")</f>
        <v>DUMP TRUCK</v>
      </c>
      <c r="B90" s="51" t="str">
        <f>IFERROR(__xludf.DUMMYFUNCTION("""COMPUTED_VALUE"""),"HINO FM 260 JD")</f>
        <v>HINO FM 260 JD</v>
      </c>
      <c r="C90" s="51" t="str">
        <f>IFERROR(__xludf.DUMMYFUNCTION("""COMPUTED_VALUE"""),"DT-152")</f>
        <v>DT-152</v>
      </c>
    </row>
    <row r="91">
      <c r="A91" s="51" t="str">
        <f>IFERROR(__xludf.DUMMYFUNCTION("""COMPUTED_VALUE"""),"DUMP TRUCK")</f>
        <v>DUMP TRUCK</v>
      </c>
      <c r="B91" s="51" t="str">
        <f>IFERROR(__xludf.DUMMYFUNCTION("""COMPUTED_VALUE"""),"HINO FM 260 JD")</f>
        <v>HINO FM 260 JD</v>
      </c>
      <c r="C91" s="51" t="str">
        <f>IFERROR(__xludf.DUMMYFUNCTION("""COMPUTED_VALUE"""),"DT-153")</f>
        <v>DT-153</v>
      </c>
    </row>
    <row r="92">
      <c r="A92" s="51" t="str">
        <f>IFERROR(__xludf.DUMMYFUNCTION("""COMPUTED_VALUE"""),"DUMP TRUCK")</f>
        <v>DUMP TRUCK</v>
      </c>
      <c r="B92" s="51" t="str">
        <f>IFERROR(__xludf.DUMMYFUNCTION("""COMPUTED_VALUE"""),"HINO FM 260 JD")</f>
        <v>HINO FM 260 JD</v>
      </c>
      <c r="C92" s="51" t="str">
        <f>IFERROR(__xludf.DUMMYFUNCTION("""COMPUTED_VALUE"""),"DT-154")</f>
        <v>DT-154</v>
      </c>
    </row>
    <row r="93">
      <c r="A93" s="51" t="str">
        <f>IFERROR(__xludf.DUMMYFUNCTION("""COMPUTED_VALUE"""),"DUMP TRUCK")</f>
        <v>DUMP TRUCK</v>
      </c>
      <c r="B93" s="51" t="str">
        <f>IFERROR(__xludf.DUMMYFUNCTION("""COMPUTED_VALUE"""),"HINO FM 260 JD")</f>
        <v>HINO FM 260 JD</v>
      </c>
      <c r="C93" s="51" t="str">
        <f>IFERROR(__xludf.DUMMYFUNCTION("""COMPUTED_VALUE"""),"FT-05")</f>
        <v>FT-05</v>
      </c>
    </row>
    <row r="94">
      <c r="A94" s="51" t="str">
        <f>IFERROR(__xludf.DUMMYFUNCTION("""COMPUTED_VALUE"""),"DUMP TRUCK")</f>
        <v>DUMP TRUCK</v>
      </c>
      <c r="B94" s="51" t="str">
        <f>IFERROR(__xludf.DUMMYFUNCTION("""COMPUTED_VALUE"""),"HINO FM 260 JD")</f>
        <v>HINO FM 260 JD</v>
      </c>
      <c r="C94" s="51" t="str">
        <f>IFERROR(__xludf.DUMMYFUNCTION("""COMPUTED_VALUE"""),"DT-156")</f>
        <v>DT-156</v>
      </c>
    </row>
    <row r="95">
      <c r="A95" s="51" t="str">
        <f>IFERROR(__xludf.DUMMYFUNCTION("""COMPUTED_VALUE"""),"DUMP TRUCK")</f>
        <v>DUMP TRUCK</v>
      </c>
      <c r="B95" s="51" t="str">
        <f>IFERROR(__xludf.DUMMYFUNCTION("""COMPUTED_VALUE"""),"HINO FM 260 JD")</f>
        <v>HINO FM 260 JD</v>
      </c>
      <c r="C95" s="51" t="str">
        <f>IFERROR(__xludf.DUMMYFUNCTION("""COMPUTED_VALUE"""),"DT-157")</f>
        <v>DT-157</v>
      </c>
    </row>
    <row r="96">
      <c r="A96" s="51" t="str">
        <f>IFERROR(__xludf.DUMMYFUNCTION("""COMPUTED_VALUE"""),"DUMP TRUCK")</f>
        <v>DUMP TRUCK</v>
      </c>
      <c r="B96" s="51" t="str">
        <f>IFERROR(__xludf.DUMMYFUNCTION("""COMPUTED_VALUE"""),"HINO FM 260 JD")</f>
        <v>HINO FM 260 JD</v>
      </c>
      <c r="C96" s="51" t="str">
        <f>IFERROR(__xludf.DUMMYFUNCTION("""COMPUTED_VALUE"""),"DT-158")</f>
        <v>DT-158</v>
      </c>
    </row>
    <row r="97">
      <c r="A97" s="51" t="str">
        <f>IFERROR(__xludf.DUMMYFUNCTION("""COMPUTED_VALUE"""),"DUMP TRUCK")</f>
        <v>DUMP TRUCK</v>
      </c>
      <c r="B97" s="51" t="str">
        <f>IFERROR(__xludf.DUMMYFUNCTION("""COMPUTED_VALUE"""),"HINO FM 260 JD")</f>
        <v>HINO FM 260 JD</v>
      </c>
      <c r="C97" s="51" t="str">
        <f>IFERROR(__xludf.DUMMYFUNCTION("""COMPUTED_VALUE"""),"DT-159")</f>
        <v>DT-159</v>
      </c>
    </row>
    <row r="98">
      <c r="A98" s="51" t="str">
        <f>IFERROR(__xludf.DUMMYFUNCTION("""COMPUTED_VALUE"""),"DUMP TRUCK")</f>
        <v>DUMP TRUCK</v>
      </c>
      <c r="B98" s="51" t="str">
        <f>IFERROR(__xludf.DUMMYFUNCTION("""COMPUTED_VALUE"""),"HINO FM 260 JD")</f>
        <v>HINO FM 260 JD</v>
      </c>
      <c r="C98" s="51" t="str">
        <f>IFERROR(__xludf.DUMMYFUNCTION("""COMPUTED_VALUE"""),"DT-160")</f>
        <v>DT-160</v>
      </c>
    </row>
    <row r="99">
      <c r="A99" s="51" t="str">
        <f>IFERROR(__xludf.DUMMYFUNCTION("""COMPUTED_VALUE"""),"DUMP TRUCK")</f>
        <v>DUMP TRUCK</v>
      </c>
      <c r="B99" s="51" t="str">
        <f>IFERROR(__xludf.DUMMYFUNCTION("""COMPUTED_VALUE"""),"HINO FM 260 JD")</f>
        <v>HINO FM 260 JD</v>
      </c>
      <c r="C99" s="51" t="str">
        <f>IFERROR(__xludf.DUMMYFUNCTION("""COMPUTED_VALUE"""),"DT-161")</f>
        <v>DT-161</v>
      </c>
    </row>
    <row r="100">
      <c r="A100" s="51" t="str">
        <f>IFERROR(__xludf.DUMMYFUNCTION("""COMPUTED_VALUE"""),"DUMP TRUCK")</f>
        <v>DUMP TRUCK</v>
      </c>
      <c r="B100" s="51" t="str">
        <f>IFERROR(__xludf.DUMMYFUNCTION("""COMPUTED_VALUE"""),"HINO FM 260 JD")</f>
        <v>HINO FM 260 JD</v>
      </c>
      <c r="C100" s="51" t="str">
        <f>IFERROR(__xludf.DUMMYFUNCTION("""COMPUTED_VALUE"""),"DT-162")</f>
        <v>DT-162</v>
      </c>
    </row>
    <row r="101">
      <c r="A101" s="51" t="str">
        <f>IFERROR(__xludf.DUMMYFUNCTION("""COMPUTED_VALUE"""),"DUMP TRUCK")</f>
        <v>DUMP TRUCK</v>
      </c>
      <c r="B101" s="51" t="str">
        <f>IFERROR(__xludf.DUMMYFUNCTION("""COMPUTED_VALUE"""),"HINO FM 260 JD")</f>
        <v>HINO FM 260 JD</v>
      </c>
      <c r="C101" s="51" t="str">
        <f>IFERROR(__xludf.DUMMYFUNCTION("""COMPUTED_VALUE"""),"DT-163")</f>
        <v>DT-163</v>
      </c>
    </row>
    <row r="102">
      <c r="A102" s="51" t="str">
        <f>IFERROR(__xludf.DUMMYFUNCTION("""COMPUTED_VALUE"""),"DUMP TRUCK")</f>
        <v>DUMP TRUCK</v>
      </c>
      <c r="B102" s="51" t="str">
        <f>IFERROR(__xludf.DUMMYFUNCTION("""COMPUTED_VALUE"""),"HINO FM 260 JD")</f>
        <v>HINO FM 260 JD</v>
      </c>
      <c r="C102" s="51" t="str">
        <f>IFERROR(__xludf.DUMMYFUNCTION("""COMPUTED_VALUE"""),"DT-164")</f>
        <v>DT-164</v>
      </c>
    </row>
    <row r="103">
      <c r="A103" s="51" t="str">
        <f>IFERROR(__xludf.DUMMYFUNCTION("""COMPUTED_VALUE"""),"DUMP TRUCK")</f>
        <v>DUMP TRUCK</v>
      </c>
      <c r="B103" s="51" t="str">
        <f>IFERROR(__xludf.DUMMYFUNCTION("""COMPUTED_VALUE"""),"HINO FM 260 JD")</f>
        <v>HINO FM 260 JD</v>
      </c>
      <c r="C103" s="51" t="str">
        <f>IFERROR(__xludf.DUMMYFUNCTION("""COMPUTED_VALUE"""),"DT-165")</f>
        <v>DT-165</v>
      </c>
    </row>
    <row r="104">
      <c r="A104" s="51" t="str">
        <f>IFERROR(__xludf.DUMMYFUNCTION("""COMPUTED_VALUE"""),"DUMP TRUCK")</f>
        <v>DUMP TRUCK</v>
      </c>
      <c r="B104" s="51" t="str">
        <f>IFERROR(__xludf.DUMMYFUNCTION("""COMPUTED_VALUE"""),"HINO FM 260 Ti")</f>
        <v>HINO FM 260 Ti</v>
      </c>
      <c r="C104" s="51" t="str">
        <f>IFERROR(__xludf.DUMMYFUNCTION("""COMPUTED_VALUE"""),"DT-166")</f>
        <v>DT-166</v>
      </c>
    </row>
    <row r="105">
      <c r="A105" s="51" t="str">
        <f>IFERROR(__xludf.DUMMYFUNCTION("""COMPUTED_VALUE"""),"DUMP TRUCK")</f>
        <v>DUMP TRUCK</v>
      </c>
      <c r="B105" s="51" t="str">
        <f>IFERROR(__xludf.DUMMYFUNCTION("""COMPUTED_VALUE"""),"HINO FM 260 JD")</f>
        <v>HINO FM 260 JD</v>
      </c>
      <c r="C105" s="51" t="str">
        <f>IFERROR(__xludf.DUMMYFUNCTION("""COMPUTED_VALUE"""),"DT-167")</f>
        <v>DT-167</v>
      </c>
    </row>
    <row r="106">
      <c r="A106" s="51" t="str">
        <f>IFERROR(__xludf.DUMMYFUNCTION("""COMPUTED_VALUE"""),"DUMP TRUCK")</f>
        <v>DUMP TRUCK</v>
      </c>
      <c r="B106" s="51" t="str">
        <f>IFERROR(__xludf.DUMMYFUNCTION("""COMPUTED_VALUE"""),"HINO FM 260 JD")</f>
        <v>HINO FM 260 JD</v>
      </c>
      <c r="C106" s="51" t="str">
        <f>IFERROR(__xludf.DUMMYFUNCTION("""COMPUTED_VALUE"""),"DT-168")</f>
        <v>DT-168</v>
      </c>
    </row>
    <row r="107">
      <c r="A107" s="51" t="str">
        <f>IFERROR(__xludf.DUMMYFUNCTION("""COMPUTED_VALUE"""),"DUMP TRUCK")</f>
        <v>DUMP TRUCK</v>
      </c>
      <c r="B107" s="51" t="str">
        <f>IFERROR(__xludf.DUMMYFUNCTION("""COMPUTED_VALUE"""),"HINO FM 260 JD")</f>
        <v>HINO FM 260 JD</v>
      </c>
      <c r="C107" s="51" t="str">
        <f>IFERROR(__xludf.DUMMYFUNCTION("""COMPUTED_VALUE"""),"DT-169")</f>
        <v>DT-169</v>
      </c>
    </row>
    <row r="108">
      <c r="A108" s="51" t="str">
        <f>IFERROR(__xludf.DUMMYFUNCTION("""COMPUTED_VALUE"""),"DUMP TRUCK")</f>
        <v>DUMP TRUCK</v>
      </c>
      <c r="B108" s="51" t="str">
        <f>IFERROR(__xludf.DUMMYFUNCTION("""COMPUTED_VALUE"""),"HINO FM 260 JD")</f>
        <v>HINO FM 260 JD</v>
      </c>
      <c r="C108" s="51" t="str">
        <f>IFERROR(__xludf.DUMMYFUNCTION("""COMPUTED_VALUE"""),"DT-170")</f>
        <v>DT-170</v>
      </c>
    </row>
    <row r="109">
      <c r="A109" s="51" t="str">
        <f>IFERROR(__xludf.DUMMYFUNCTION("""COMPUTED_VALUE"""),"DUMP TRUCK")</f>
        <v>DUMP TRUCK</v>
      </c>
      <c r="B109" s="51" t="str">
        <f>IFERROR(__xludf.DUMMYFUNCTION("""COMPUTED_VALUE"""),"HINO FM 260 JD")</f>
        <v>HINO FM 260 JD</v>
      </c>
      <c r="C109" s="51" t="str">
        <f>IFERROR(__xludf.DUMMYFUNCTION("""COMPUTED_VALUE"""),"DT-171")</f>
        <v>DT-171</v>
      </c>
    </row>
    <row r="110">
      <c r="A110" s="51" t="str">
        <f>IFERROR(__xludf.DUMMYFUNCTION("""COMPUTED_VALUE"""),"DUMP TRUCK")</f>
        <v>DUMP TRUCK</v>
      </c>
      <c r="B110" s="51" t="str">
        <f>IFERROR(__xludf.DUMMYFUNCTION("""COMPUTED_VALUE"""),"HINO FM 260 JD")</f>
        <v>HINO FM 260 JD</v>
      </c>
      <c r="C110" s="51" t="str">
        <f>IFERROR(__xludf.DUMMYFUNCTION("""COMPUTED_VALUE"""),"DT-173")</f>
        <v>DT-173</v>
      </c>
    </row>
    <row r="111">
      <c r="A111" s="51" t="str">
        <f>IFERROR(__xludf.DUMMYFUNCTION("""COMPUTED_VALUE"""),"DUMP TRUCK")</f>
        <v>DUMP TRUCK</v>
      </c>
      <c r="B111" s="51" t="str">
        <f>IFERROR(__xludf.DUMMYFUNCTION("""COMPUTED_VALUE"""),"HINO FM 260 JD")</f>
        <v>HINO FM 260 JD</v>
      </c>
      <c r="C111" s="51" t="str">
        <f>IFERROR(__xludf.DUMMYFUNCTION("""COMPUTED_VALUE"""),"DT-174")</f>
        <v>DT-174</v>
      </c>
    </row>
    <row r="112">
      <c r="A112" s="51" t="str">
        <f>IFERROR(__xludf.DUMMYFUNCTION("""COMPUTED_VALUE"""),"DUMP TRUCK")</f>
        <v>DUMP TRUCK</v>
      </c>
      <c r="B112" s="51" t="str">
        <f>IFERROR(__xludf.DUMMYFUNCTION("""COMPUTED_VALUE"""),"HINO FM 260 JD")</f>
        <v>HINO FM 260 JD</v>
      </c>
      <c r="C112" s="51" t="str">
        <f>IFERROR(__xludf.DUMMYFUNCTION("""COMPUTED_VALUE"""),"DT-176")</f>
        <v>DT-176</v>
      </c>
    </row>
    <row r="113">
      <c r="A113" s="51" t="str">
        <f>IFERROR(__xludf.DUMMYFUNCTION("""COMPUTED_VALUE"""),"DUMP TRUCK")</f>
        <v>DUMP TRUCK</v>
      </c>
      <c r="B113" s="51" t="str">
        <f>IFERROR(__xludf.DUMMYFUNCTION("""COMPUTED_VALUE"""),"HINO FM 260 JD")</f>
        <v>HINO FM 260 JD</v>
      </c>
      <c r="C113" s="51" t="str">
        <f>IFERROR(__xludf.DUMMYFUNCTION("""COMPUTED_VALUE"""),"DT-177")</f>
        <v>DT-177</v>
      </c>
    </row>
    <row r="114">
      <c r="A114" s="51" t="str">
        <f>IFERROR(__xludf.DUMMYFUNCTION("""COMPUTED_VALUE"""),"DUMP TRUCK")</f>
        <v>DUMP TRUCK</v>
      </c>
      <c r="B114" s="51" t="str">
        <f>IFERROR(__xludf.DUMMYFUNCTION("""COMPUTED_VALUE"""),"HINO FM 260 JD")</f>
        <v>HINO FM 260 JD</v>
      </c>
      <c r="C114" s="51" t="str">
        <f>IFERROR(__xludf.DUMMYFUNCTION("""COMPUTED_VALUE"""),"DT-200")</f>
        <v>DT-200</v>
      </c>
    </row>
    <row r="115">
      <c r="A115" s="51" t="str">
        <f>IFERROR(__xludf.DUMMYFUNCTION("""COMPUTED_VALUE"""),"DUMP TRUCK")</f>
        <v>DUMP TRUCK</v>
      </c>
      <c r="B115" s="51" t="str">
        <f>IFERROR(__xludf.DUMMYFUNCTION("""COMPUTED_VALUE"""),"HINO FM 260 JD")</f>
        <v>HINO FM 260 JD</v>
      </c>
      <c r="C115" s="51" t="str">
        <f>IFERROR(__xludf.DUMMYFUNCTION("""COMPUTED_VALUE"""),"DT-201")</f>
        <v>DT-201</v>
      </c>
    </row>
    <row r="116">
      <c r="A116" s="51" t="str">
        <f>IFERROR(__xludf.DUMMYFUNCTION("""COMPUTED_VALUE"""),"DUMP TRUCK")</f>
        <v>DUMP TRUCK</v>
      </c>
      <c r="B116" s="51" t="str">
        <f>IFERROR(__xludf.DUMMYFUNCTION("""COMPUTED_VALUE"""),"HINO FM 260 JD")</f>
        <v>HINO FM 260 JD</v>
      </c>
      <c r="C116" s="51" t="str">
        <f>IFERROR(__xludf.DUMMYFUNCTION("""COMPUTED_VALUE"""),"DT-202")</f>
        <v>DT-202</v>
      </c>
    </row>
    <row r="117">
      <c r="A117" s="51" t="str">
        <f>IFERROR(__xludf.DUMMYFUNCTION("""COMPUTED_VALUE"""),"DUMP TRUCK")</f>
        <v>DUMP TRUCK</v>
      </c>
      <c r="B117" s="51" t="str">
        <f>IFERROR(__xludf.DUMMYFUNCTION("""COMPUTED_VALUE"""),"HINO FM 260 JD")</f>
        <v>HINO FM 260 JD</v>
      </c>
      <c r="C117" s="51" t="str">
        <f>IFERROR(__xludf.DUMMYFUNCTION("""COMPUTED_VALUE"""),"DT-203")</f>
        <v>DT-203</v>
      </c>
    </row>
    <row r="118">
      <c r="A118" s="51" t="str">
        <f>IFERROR(__xludf.DUMMYFUNCTION("""COMPUTED_VALUE"""),"DUMP TRUCK")</f>
        <v>DUMP TRUCK</v>
      </c>
      <c r="B118" s="51" t="str">
        <f>IFERROR(__xludf.DUMMYFUNCTION("""COMPUTED_VALUE"""),"HINO FM 260 JD")</f>
        <v>HINO FM 260 JD</v>
      </c>
      <c r="C118" s="51" t="str">
        <f>IFERROR(__xludf.DUMMYFUNCTION("""COMPUTED_VALUE"""),"DT-204")</f>
        <v>DT-204</v>
      </c>
    </row>
    <row r="119">
      <c r="A119" s="51" t="str">
        <f>IFERROR(__xludf.DUMMYFUNCTION("""COMPUTED_VALUE"""),"DUMP TRUCK")</f>
        <v>DUMP TRUCK</v>
      </c>
      <c r="B119" s="51" t="str">
        <f>IFERROR(__xludf.DUMMYFUNCTION("""COMPUTED_VALUE"""),"HINO FM 260 JD")</f>
        <v>HINO FM 260 JD</v>
      </c>
      <c r="C119" s="51" t="str">
        <f>IFERROR(__xludf.DUMMYFUNCTION("""COMPUTED_VALUE"""),"DT-205")</f>
        <v>DT-205</v>
      </c>
    </row>
    <row r="120">
      <c r="A120" s="51" t="str">
        <f>IFERROR(__xludf.DUMMYFUNCTION("""COMPUTED_VALUE"""),"DUMP TRUCK")</f>
        <v>DUMP TRUCK</v>
      </c>
      <c r="B120" s="51" t="str">
        <f>IFERROR(__xludf.DUMMYFUNCTION("""COMPUTED_VALUE"""),"HINO FM 260 JD")</f>
        <v>HINO FM 260 JD</v>
      </c>
      <c r="C120" s="51" t="str">
        <f>IFERROR(__xludf.DUMMYFUNCTION("""COMPUTED_VALUE"""),"DT-206")</f>
        <v>DT-206</v>
      </c>
    </row>
    <row r="121">
      <c r="A121" s="51" t="str">
        <f>IFERROR(__xludf.DUMMYFUNCTION("""COMPUTED_VALUE"""),"DUMP TRUCK")</f>
        <v>DUMP TRUCK</v>
      </c>
      <c r="B121" s="51" t="str">
        <f>IFERROR(__xludf.DUMMYFUNCTION("""COMPUTED_VALUE"""),"HINO FM 260 JD")</f>
        <v>HINO FM 260 JD</v>
      </c>
      <c r="C121" s="51" t="str">
        <f>IFERROR(__xludf.DUMMYFUNCTION("""COMPUTED_VALUE"""),"DT-207")</f>
        <v>DT-207</v>
      </c>
    </row>
    <row r="122">
      <c r="A122" s="51" t="str">
        <f>IFERROR(__xludf.DUMMYFUNCTION("""COMPUTED_VALUE"""),"DUMP TRUCK")</f>
        <v>DUMP TRUCK</v>
      </c>
      <c r="B122" s="51" t="str">
        <f>IFERROR(__xludf.DUMMYFUNCTION("""COMPUTED_VALUE"""),"HINO FM 260 JD")</f>
        <v>HINO FM 260 JD</v>
      </c>
      <c r="C122" s="51" t="str">
        <f>IFERROR(__xludf.DUMMYFUNCTION("""COMPUTED_VALUE"""),"DT-208")</f>
        <v>DT-208</v>
      </c>
    </row>
    <row r="123">
      <c r="A123" s="51" t="str">
        <f>IFERROR(__xludf.DUMMYFUNCTION("""COMPUTED_VALUE"""),"DUMP TRUCK")</f>
        <v>DUMP TRUCK</v>
      </c>
      <c r="B123" s="51" t="str">
        <f>IFERROR(__xludf.DUMMYFUNCTION("""COMPUTED_VALUE"""),"HINO FM 260 JD")</f>
        <v>HINO FM 260 JD</v>
      </c>
      <c r="C123" s="51" t="str">
        <f>IFERROR(__xludf.DUMMYFUNCTION("""COMPUTED_VALUE"""),"DT-209")</f>
        <v>DT-209</v>
      </c>
    </row>
    <row r="124">
      <c r="A124" s="51" t="str">
        <f>IFERROR(__xludf.DUMMYFUNCTION("""COMPUTED_VALUE"""),"DUMP TRUCK")</f>
        <v>DUMP TRUCK</v>
      </c>
      <c r="B124" s="51" t="str">
        <f>IFERROR(__xludf.DUMMYFUNCTION("""COMPUTED_VALUE"""),"HINO FM 260 JD")</f>
        <v>HINO FM 260 JD</v>
      </c>
      <c r="C124" s="51" t="str">
        <f>IFERROR(__xludf.DUMMYFUNCTION("""COMPUTED_VALUE"""),"DT-210")</f>
        <v>DT-210</v>
      </c>
    </row>
    <row r="125">
      <c r="A125" s="51" t="str">
        <f>IFERROR(__xludf.DUMMYFUNCTION("""COMPUTED_VALUE"""),"DUMP TRUCK")</f>
        <v>DUMP TRUCK</v>
      </c>
      <c r="B125" s="51" t="str">
        <f>IFERROR(__xludf.DUMMYFUNCTION("""COMPUTED_VALUE"""),"HINO FM 260 JD")</f>
        <v>HINO FM 260 JD</v>
      </c>
      <c r="C125" s="51" t="str">
        <f>IFERROR(__xludf.DUMMYFUNCTION("""COMPUTED_VALUE"""),"DT-211")</f>
        <v>DT-211</v>
      </c>
    </row>
    <row r="126">
      <c r="A126" s="51" t="str">
        <f>IFERROR(__xludf.DUMMYFUNCTION("""COMPUTED_VALUE"""),"DUMP TRUCK")</f>
        <v>DUMP TRUCK</v>
      </c>
      <c r="B126" s="51" t="str">
        <f>IFERROR(__xludf.DUMMYFUNCTION("""COMPUTED_VALUE"""),"HINO FM 260 JD")</f>
        <v>HINO FM 260 JD</v>
      </c>
      <c r="C126" s="51" t="str">
        <f>IFERROR(__xludf.DUMMYFUNCTION("""COMPUTED_VALUE"""),"DT-212")</f>
        <v>DT-212</v>
      </c>
    </row>
    <row r="127">
      <c r="A127" s="51" t="str">
        <f>IFERROR(__xludf.DUMMYFUNCTION("""COMPUTED_VALUE"""),"DUMP TRUCK")</f>
        <v>DUMP TRUCK</v>
      </c>
      <c r="B127" s="51" t="str">
        <f>IFERROR(__xludf.DUMMYFUNCTION("""COMPUTED_VALUE"""),"HINO FM 260 JD")</f>
        <v>HINO FM 260 JD</v>
      </c>
      <c r="C127" s="51" t="str">
        <f>IFERROR(__xludf.DUMMYFUNCTION("""COMPUTED_VALUE"""),"DT-213")</f>
        <v>DT-213</v>
      </c>
    </row>
    <row r="128">
      <c r="A128" s="51" t="str">
        <f>IFERROR(__xludf.DUMMYFUNCTION("""COMPUTED_VALUE"""),"DUMP TRUCK")</f>
        <v>DUMP TRUCK</v>
      </c>
      <c r="B128" s="51" t="str">
        <f>IFERROR(__xludf.DUMMYFUNCTION("""COMPUTED_VALUE"""),"HINO FM 260 JD")</f>
        <v>HINO FM 260 JD</v>
      </c>
      <c r="C128" s="51" t="str">
        <f>IFERROR(__xludf.DUMMYFUNCTION("""COMPUTED_VALUE"""),"DT-214")</f>
        <v>DT-214</v>
      </c>
    </row>
    <row r="129">
      <c r="A129" s="51" t="str">
        <f>IFERROR(__xludf.DUMMYFUNCTION("""COMPUTED_VALUE"""),"DUMP TRUCK")</f>
        <v>DUMP TRUCK</v>
      </c>
      <c r="B129" s="51" t="str">
        <f>IFERROR(__xludf.DUMMYFUNCTION("""COMPUTED_VALUE"""),"HINO FM 260 JD")</f>
        <v>HINO FM 260 JD</v>
      </c>
      <c r="C129" s="51" t="str">
        <f>IFERROR(__xludf.DUMMYFUNCTION("""COMPUTED_VALUE"""),"DT-215")</f>
        <v>DT-215</v>
      </c>
    </row>
    <row r="130">
      <c r="A130" s="51" t="str">
        <f>IFERROR(__xludf.DUMMYFUNCTION("""COMPUTED_VALUE"""),"DUMP TRUCK")</f>
        <v>DUMP TRUCK</v>
      </c>
      <c r="B130" s="51" t="str">
        <f>IFERROR(__xludf.DUMMYFUNCTION("""COMPUTED_VALUE"""),"HINO FM 260 JD")</f>
        <v>HINO FM 260 JD</v>
      </c>
      <c r="C130" s="51" t="str">
        <f>IFERROR(__xludf.DUMMYFUNCTION("""COMPUTED_VALUE"""),"DT-216")</f>
        <v>DT-216</v>
      </c>
    </row>
    <row r="131">
      <c r="A131" s="51" t="str">
        <f>IFERROR(__xludf.DUMMYFUNCTION("""COMPUTED_VALUE"""),"DUMP TRUCK")</f>
        <v>DUMP TRUCK</v>
      </c>
      <c r="B131" s="51" t="str">
        <f>IFERROR(__xludf.DUMMYFUNCTION("""COMPUTED_VALUE"""),"HINO FM 260 JD")</f>
        <v>HINO FM 260 JD</v>
      </c>
      <c r="C131" s="51" t="str">
        <f>IFERROR(__xludf.DUMMYFUNCTION("""COMPUTED_VALUE"""),"DT-217")</f>
        <v>DT-217</v>
      </c>
    </row>
    <row r="132">
      <c r="A132" s="51" t="str">
        <f>IFERROR(__xludf.DUMMYFUNCTION("""COMPUTED_VALUE"""),"DUMP TRUCK")</f>
        <v>DUMP TRUCK</v>
      </c>
      <c r="B132" s="51" t="str">
        <f>IFERROR(__xludf.DUMMYFUNCTION("""COMPUTED_VALUE"""),"HINO FM 260 JD")</f>
        <v>HINO FM 260 JD</v>
      </c>
      <c r="C132" s="51" t="str">
        <f>IFERROR(__xludf.DUMMYFUNCTION("""COMPUTED_VALUE"""),"DT-218")</f>
        <v>DT-218</v>
      </c>
    </row>
    <row r="133">
      <c r="A133" s="51" t="str">
        <f>IFERROR(__xludf.DUMMYFUNCTION("""COMPUTED_VALUE"""),"DUMP TRUCK")</f>
        <v>DUMP TRUCK</v>
      </c>
      <c r="B133" s="51" t="str">
        <f>IFERROR(__xludf.DUMMYFUNCTION("""COMPUTED_VALUE"""),"HINO FM 260 JD")</f>
        <v>HINO FM 260 JD</v>
      </c>
      <c r="C133" s="51" t="str">
        <f>IFERROR(__xludf.DUMMYFUNCTION("""COMPUTED_VALUE"""),"DT-219")</f>
        <v>DT-219</v>
      </c>
    </row>
    <row r="134">
      <c r="A134" s="51" t="str">
        <f>IFERROR(__xludf.DUMMYFUNCTION("""COMPUTED_VALUE"""),"DUMP TRUCK")</f>
        <v>DUMP TRUCK</v>
      </c>
      <c r="B134" s="51" t="str">
        <f>IFERROR(__xludf.DUMMYFUNCTION("""COMPUTED_VALUE"""),"HINO FM 260 JD")</f>
        <v>HINO FM 260 JD</v>
      </c>
      <c r="C134" s="51" t="str">
        <f>IFERROR(__xludf.DUMMYFUNCTION("""COMPUTED_VALUE"""),"DT-220")</f>
        <v>DT-220</v>
      </c>
    </row>
    <row r="135">
      <c r="A135" s="51" t="str">
        <f>IFERROR(__xludf.DUMMYFUNCTION("""COMPUTED_VALUE"""),"DUMP TRUCK")</f>
        <v>DUMP TRUCK</v>
      </c>
      <c r="B135" s="51" t="str">
        <f>IFERROR(__xludf.DUMMYFUNCTION("""COMPUTED_VALUE"""),"HINO FM 260 JD")</f>
        <v>HINO FM 260 JD</v>
      </c>
      <c r="C135" s="51" t="str">
        <f>IFERROR(__xludf.DUMMYFUNCTION("""COMPUTED_VALUE"""),"DT-221")</f>
        <v>DT-221</v>
      </c>
    </row>
    <row r="136">
      <c r="A136" s="51" t="str">
        <f>IFERROR(__xludf.DUMMYFUNCTION("""COMPUTED_VALUE"""),"DUMP TRUCK")</f>
        <v>DUMP TRUCK</v>
      </c>
      <c r="B136" s="51" t="str">
        <f>IFERROR(__xludf.DUMMYFUNCTION("""COMPUTED_VALUE"""),"HINO FM 260 JD")</f>
        <v>HINO FM 260 JD</v>
      </c>
      <c r="C136" s="51" t="str">
        <f>IFERROR(__xludf.DUMMYFUNCTION("""COMPUTED_VALUE"""),"DT-222")</f>
        <v>DT-222</v>
      </c>
    </row>
    <row r="137">
      <c r="A137" s="51" t="str">
        <f>IFERROR(__xludf.DUMMYFUNCTION("""COMPUTED_VALUE"""),"DUMP TRUCK")</f>
        <v>DUMP TRUCK</v>
      </c>
      <c r="B137" s="51" t="str">
        <f>IFERROR(__xludf.DUMMYFUNCTION("""COMPUTED_VALUE"""),"HINO FM 260 JD")</f>
        <v>HINO FM 260 JD</v>
      </c>
      <c r="C137" s="51" t="str">
        <f>IFERROR(__xludf.DUMMYFUNCTION("""COMPUTED_VALUE"""),"DT-223")</f>
        <v>DT-223</v>
      </c>
    </row>
    <row r="138">
      <c r="A138" s="51" t="str">
        <f>IFERROR(__xludf.DUMMYFUNCTION("""COMPUTED_VALUE"""),"DUMP TRUCK")</f>
        <v>DUMP TRUCK</v>
      </c>
      <c r="B138" s="51" t="str">
        <f>IFERROR(__xludf.DUMMYFUNCTION("""COMPUTED_VALUE"""),"HINO FM 260 JD")</f>
        <v>HINO FM 260 JD</v>
      </c>
      <c r="C138" s="51" t="str">
        <f>IFERROR(__xludf.DUMMYFUNCTION("""COMPUTED_VALUE"""),"DT-224")</f>
        <v>DT-224</v>
      </c>
    </row>
    <row r="139">
      <c r="A139" s="51" t="str">
        <f>IFERROR(__xludf.DUMMYFUNCTION("""COMPUTED_VALUE"""),"DUMP TRUCK")</f>
        <v>DUMP TRUCK</v>
      </c>
      <c r="B139" s="51" t="str">
        <f>IFERROR(__xludf.DUMMYFUNCTION("""COMPUTED_VALUE"""),"HINO FM 260 JD")</f>
        <v>HINO FM 260 JD</v>
      </c>
      <c r="C139" s="51" t="str">
        <f>IFERROR(__xludf.DUMMYFUNCTION("""COMPUTED_VALUE"""),"DT-225")</f>
        <v>DT-225</v>
      </c>
    </row>
    <row r="140">
      <c r="A140" s="51" t="str">
        <f>IFERROR(__xludf.DUMMYFUNCTION("""COMPUTED_VALUE"""),"DUMP TRUCK")</f>
        <v>DUMP TRUCK</v>
      </c>
      <c r="B140" s="51" t="str">
        <f>IFERROR(__xludf.DUMMYFUNCTION("""COMPUTED_VALUE"""),"HINO FM 260 JD")</f>
        <v>HINO FM 260 JD</v>
      </c>
      <c r="C140" s="51" t="str">
        <f>IFERROR(__xludf.DUMMYFUNCTION("""COMPUTED_VALUE"""),"DT-226")</f>
        <v>DT-226</v>
      </c>
    </row>
    <row r="141">
      <c r="A141" s="51" t="str">
        <f>IFERROR(__xludf.DUMMYFUNCTION("""COMPUTED_VALUE"""),"DUMP TRUCK")</f>
        <v>DUMP TRUCK</v>
      </c>
      <c r="B141" s="51" t="str">
        <f>IFERROR(__xludf.DUMMYFUNCTION("""COMPUTED_VALUE"""),"HINO FM 260 JD")</f>
        <v>HINO FM 260 JD</v>
      </c>
      <c r="C141" s="51" t="str">
        <f>IFERROR(__xludf.DUMMYFUNCTION("""COMPUTED_VALUE"""),"DT-227")</f>
        <v>DT-227</v>
      </c>
    </row>
    <row r="142">
      <c r="A142" s="51" t="str">
        <f>IFERROR(__xludf.DUMMYFUNCTION("""COMPUTED_VALUE"""),"DUMP TRUCK")</f>
        <v>DUMP TRUCK</v>
      </c>
      <c r="B142" s="51" t="str">
        <f>IFERROR(__xludf.DUMMYFUNCTION("""COMPUTED_VALUE"""),"HINO FM 260 JD")</f>
        <v>HINO FM 260 JD</v>
      </c>
      <c r="C142" s="51" t="str">
        <f>IFERROR(__xludf.DUMMYFUNCTION("""COMPUTED_VALUE"""),"DT-228")</f>
        <v>DT-228</v>
      </c>
    </row>
    <row r="143">
      <c r="A143" s="51" t="str">
        <f>IFERROR(__xludf.DUMMYFUNCTION("""COMPUTED_VALUE"""),"DUMP TRUCK")</f>
        <v>DUMP TRUCK</v>
      </c>
      <c r="B143" s="51" t="str">
        <f>IFERROR(__xludf.DUMMYFUNCTION("""COMPUTED_VALUE"""),"HINO FM 260 JD")</f>
        <v>HINO FM 260 JD</v>
      </c>
      <c r="C143" s="51" t="str">
        <f>IFERROR(__xludf.DUMMYFUNCTION("""COMPUTED_VALUE"""),"DT-229")</f>
        <v>DT-229</v>
      </c>
    </row>
    <row r="144">
      <c r="A144" s="51" t="str">
        <f>IFERROR(__xludf.DUMMYFUNCTION("""COMPUTED_VALUE"""),"DUMP TRUCK")</f>
        <v>DUMP TRUCK</v>
      </c>
      <c r="B144" s="51" t="str">
        <f>IFERROR(__xludf.DUMMYFUNCTION("""COMPUTED_VALUE"""),"HINO FM 260 JD")</f>
        <v>HINO FM 260 JD</v>
      </c>
      <c r="C144" s="51" t="str">
        <f>IFERROR(__xludf.DUMMYFUNCTION("""COMPUTED_VALUE"""),"DT-230")</f>
        <v>DT-230</v>
      </c>
    </row>
    <row r="145">
      <c r="A145" s="51" t="str">
        <f>IFERROR(__xludf.DUMMYFUNCTION("""COMPUTED_VALUE"""),"DUMP TRUCK")</f>
        <v>DUMP TRUCK</v>
      </c>
      <c r="B145" s="51" t="str">
        <f>IFERROR(__xludf.DUMMYFUNCTION("""COMPUTED_VALUE"""),"HINO FM 260 JD")</f>
        <v>HINO FM 260 JD</v>
      </c>
      <c r="C145" s="51" t="str">
        <f>IFERROR(__xludf.DUMMYFUNCTION("""COMPUTED_VALUE"""),"DT-231")</f>
        <v>DT-231</v>
      </c>
    </row>
    <row r="146">
      <c r="A146" s="51" t="str">
        <f>IFERROR(__xludf.DUMMYFUNCTION("""COMPUTED_VALUE"""),"DUMP TRUCK")</f>
        <v>DUMP TRUCK</v>
      </c>
      <c r="B146" s="51" t="str">
        <f>IFERROR(__xludf.DUMMYFUNCTION("""COMPUTED_VALUE"""),"HINO FM 260 JD")</f>
        <v>HINO FM 260 JD</v>
      </c>
      <c r="C146" s="51" t="str">
        <f>IFERROR(__xludf.DUMMYFUNCTION("""COMPUTED_VALUE"""),"DT-232")</f>
        <v>DT-232</v>
      </c>
    </row>
    <row r="147">
      <c r="A147" s="51" t="str">
        <f>IFERROR(__xludf.DUMMYFUNCTION("""COMPUTED_VALUE"""),"DUMP TRUCK")</f>
        <v>DUMP TRUCK</v>
      </c>
      <c r="B147" s="51" t="str">
        <f>IFERROR(__xludf.DUMMYFUNCTION("""COMPUTED_VALUE"""),"HINO FM 260 JD")</f>
        <v>HINO FM 260 JD</v>
      </c>
      <c r="C147" s="51" t="str">
        <f>IFERROR(__xludf.DUMMYFUNCTION("""COMPUTED_VALUE"""),"DT-233")</f>
        <v>DT-233</v>
      </c>
    </row>
    <row r="148">
      <c r="A148" s="51" t="str">
        <f>IFERROR(__xludf.DUMMYFUNCTION("""COMPUTED_VALUE"""),"DUMP TRUCK")</f>
        <v>DUMP TRUCK</v>
      </c>
      <c r="B148" s="51" t="str">
        <f>IFERROR(__xludf.DUMMYFUNCTION("""COMPUTED_VALUE"""),"HINO FM 260 JD")</f>
        <v>HINO FM 260 JD</v>
      </c>
      <c r="C148" s="51" t="str">
        <f>IFERROR(__xludf.DUMMYFUNCTION("""COMPUTED_VALUE"""),"DT-234")</f>
        <v>DT-234</v>
      </c>
    </row>
    <row r="149">
      <c r="A149" s="51" t="str">
        <f>IFERROR(__xludf.DUMMYFUNCTION("""COMPUTED_VALUE"""),"DUMP TRUCK")</f>
        <v>DUMP TRUCK</v>
      </c>
      <c r="B149" s="51" t="str">
        <f>IFERROR(__xludf.DUMMYFUNCTION("""COMPUTED_VALUE"""),"HINO FM 260 JD")</f>
        <v>HINO FM 260 JD</v>
      </c>
      <c r="C149" s="51" t="str">
        <f>IFERROR(__xludf.DUMMYFUNCTION("""COMPUTED_VALUE"""),"DT-235")</f>
        <v>DT-235</v>
      </c>
    </row>
    <row r="150">
      <c r="A150" s="51" t="str">
        <f>IFERROR(__xludf.DUMMYFUNCTION("""COMPUTED_VALUE"""),"DUMP TRUCK")</f>
        <v>DUMP TRUCK</v>
      </c>
      <c r="B150" s="51" t="str">
        <f>IFERROR(__xludf.DUMMYFUNCTION("""COMPUTED_VALUE"""),"HINO FM 260 JD")</f>
        <v>HINO FM 260 JD</v>
      </c>
      <c r="C150" s="51" t="str">
        <f>IFERROR(__xludf.DUMMYFUNCTION("""COMPUTED_VALUE"""),"DT-237")</f>
        <v>DT-237</v>
      </c>
    </row>
    <row r="151">
      <c r="A151" s="51" t="str">
        <f>IFERROR(__xludf.DUMMYFUNCTION("""COMPUTED_VALUE"""),"DUMP TRUCK")</f>
        <v>DUMP TRUCK</v>
      </c>
      <c r="B151" s="51" t="str">
        <f>IFERROR(__xludf.DUMMYFUNCTION("""COMPUTED_VALUE"""),"HINO FM 260 JD")</f>
        <v>HINO FM 260 JD</v>
      </c>
      <c r="C151" s="51" t="str">
        <f>IFERROR(__xludf.DUMMYFUNCTION("""COMPUTED_VALUE"""),"DT-238")</f>
        <v>DT-238</v>
      </c>
    </row>
    <row r="152">
      <c r="A152" s="51" t="str">
        <f>IFERROR(__xludf.DUMMYFUNCTION("""COMPUTED_VALUE"""),"DUMP TRUCK")</f>
        <v>DUMP TRUCK</v>
      </c>
      <c r="B152" s="51" t="str">
        <f>IFERROR(__xludf.DUMMYFUNCTION("""COMPUTED_VALUE"""),"HINO FM 260 JD")</f>
        <v>HINO FM 260 JD</v>
      </c>
      <c r="C152" s="51" t="str">
        <f>IFERROR(__xludf.DUMMYFUNCTION("""COMPUTED_VALUE"""),"DT-105")</f>
        <v>DT-105</v>
      </c>
    </row>
    <row r="153">
      <c r="A153" s="51" t="str">
        <f>IFERROR(__xludf.DUMMYFUNCTION("""COMPUTED_VALUE"""),"DUMP TRUCK")</f>
        <v>DUMP TRUCK</v>
      </c>
      <c r="B153" s="51" t="str">
        <f>IFERROR(__xludf.DUMMYFUNCTION("""COMPUTED_VALUE"""),"HINO FM 260 JD")</f>
        <v>HINO FM 260 JD</v>
      </c>
      <c r="C153" s="51" t="str">
        <f>IFERROR(__xludf.DUMMYFUNCTION("""COMPUTED_VALUE"""),"DT-104")</f>
        <v>DT-104</v>
      </c>
    </row>
    <row r="154">
      <c r="A154" s="51" t="str">
        <f>IFERROR(__xludf.DUMMYFUNCTION("""COMPUTED_VALUE"""),"DUMP TRUCK")</f>
        <v>DUMP TRUCK</v>
      </c>
      <c r="B154" s="51" t="str">
        <f>IFERROR(__xludf.DUMMYFUNCTION("""COMPUTED_VALUE"""),"HINO FM 260 JD")</f>
        <v>HINO FM 260 JD</v>
      </c>
      <c r="C154" s="51" t="str">
        <f>IFERROR(__xludf.DUMMYFUNCTION("""COMPUTED_VALUE"""),"DT-254")</f>
        <v>DT-254</v>
      </c>
    </row>
    <row r="155">
      <c r="A155" s="51" t="str">
        <f>IFERROR(__xludf.DUMMYFUNCTION("""COMPUTED_VALUE"""),"DUMP TRUCK")</f>
        <v>DUMP TRUCK</v>
      </c>
      <c r="B155" s="51" t="str">
        <f>IFERROR(__xludf.DUMMYFUNCTION("""COMPUTED_VALUE"""),"HINO ZS1EPPD-XS")</f>
        <v>HINO ZS1EPPD-XS</v>
      </c>
      <c r="C155" s="51" t="str">
        <f>IFERROR(__xludf.DUMMYFUNCTION("""COMPUTED_VALUE"""),"DT-260")</f>
        <v>DT-260</v>
      </c>
    </row>
    <row r="156">
      <c r="A156" s="51" t="str">
        <f>IFERROR(__xludf.DUMMYFUNCTION("""COMPUTED_VALUE"""),"DUMP TRUCK")</f>
        <v>DUMP TRUCK</v>
      </c>
      <c r="B156" s="51" t="str">
        <f>IFERROR(__xludf.DUMMYFUNCTION("""COMPUTED_VALUE"""),"HINO ZS1EPPD-XS")</f>
        <v>HINO ZS1EPPD-XS</v>
      </c>
      <c r="C156" s="51" t="str">
        <f>IFERROR(__xludf.DUMMYFUNCTION("""COMPUTED_VALUE"""),"DT-261")</f>
        <v>DT-261</v>
      </c>
    </row>
    <row r="157">
      <c r="A157" s="51" t="str">
        <f>IFERROR(__xludf.DUMMYFUNCTION("""COMPUTED_VALUE"""),"DUMP TRUCK")</f>
        <v>DUMP TRUCK</v>
      </c>
      <c r="B157" s="51" t="str">
        <f>IFERROR(__xludf.DUMMYFUNCTION("""COMPUTED_VALUE"""),"HINO ZS1EPPD-XS")</f>
        <v>HINO ZS1EPPD-XS</v>
      </c>
      <c r="C157" s="51" t="str">
        <f>IFERROR(__xludf.DUMMYFUNCTION("""COMPUTED_VALUE"""),"DT-262")</f>
        <v>DT-262</v>
      </c>
    </row>
    <row r="158">
      <c r="A158" s="51" t="str">
        <f>IFERROR(__xludf.DUMMYFUNCTION("""COMPUTED_VALUE"""),"DUMP TRUCK")</f>
        <v>DUMP TRUCK</v>
      </c>
      <c r="B158" s="51" t="str">
        <f>IFERROR(__xludf.DUMMYFUNCTION("""COMPUTED_VALUE"""),"HINO ZS1EPPD-XS")</f>
        <v>HINO ZS1EPPD-XS</v>
      </c>
      <c r="C158" s="51" t="str">
        <f>IFERROR(__xludf.DUMMYFUNCTION("""COMPUTED_VALUE"""),"DT-263")</f>
        <v>DT-263</v>
      </c>
    </row>
    <row r="159">
      <c r="A159" s="51" t="str">
        <f>IFERROR(__xludf.DUMMYFUNCTION("""COMPUTED_VALUE"""),"DUMP TRUCK")</f>
        <v>DUMP TRUCK</v>
      </c>
      <c r="B159" s="51" t="str">
        <f>IFERROR(__xludf.DUMMYFUNCTION("""COMPUTED_VALUE"""),"HINO ZS1EPPD-XS")</f>
        <v>HINO ZS1EPPD-XS</v>
      </c>
      <c r="C159" s="51" t="str">
        <f>IFERROR(__xludf.DUMMYFUNCTION("""COMPUTED_VALUE"""),"DT-264")</f>
        <v>DT-264</v>
      </c>
    </row>
    <row r="160">
      <c r="A160" s="51" t="str">
        <f>IFERROR(__xludf.DUMMYFUNCTION("""COMPUTED_VALUE"""),"DUMP TRUCK")</f>
        <v>DUMP TRUCK</v>
      </c>
      <c r="B160" s="51" t="str">
        <f>IFERROR(__xludf.DUMMYFUNCTION("""COMPUTED_VALUE"""),"HINO ZS1EPPD-XS")</f>
        <v>HINO ZS1EPPD-XS</v>
      </c>
      <c r="C160" s="51" t="str">
        <f>IFERROR(__xludf.DUMMYFUNCTION("""COMPUTED_VALUE"""),"DT-265")</f>
        <v>DT-265</v>
      </c>
    </row>
    <row r="161">
      <c r="A161" s="51" t="str">
        <f>IFERROR(__xludf.DUMMYFUNCTION("""COMPUTED_VALUE"""),"DUMP TRUCK")</f>
        <v>DUMP TRUCK</v>
      </c>
      <c r="B161" s="51" t="str">
        <f>IFERROR(__xludf.DUMMYFUNCTION("""COMPUTED_VALUE"""),"HINO ZS1EPPD-XS")</f>
        <v>HINO ZS1EPPD-XS</v>
      </c>
      <c r="C161" s="51" t="str">
        <f>IFERROR(__xludf.DUMMYFUNCTION("""COMPUTED_VALUE"""),"DT-266")</f>
        <v>DT-266</v>
      </c>
    </row>
    <row r="162">
      <c r="A162" s="51" t="str">
        <f>IFERROR(__xludf.DUMMYFUNCTION("""COMPUTED_VALUE"""),"DUMP TRUCK")</f>
        <v>DUMP TRUCK</v>
      </c>
      <c r="B162" s="51" t="str">
        <f>IFERROR(__xludf.DUMMYFUNCTION("""COMPUTED_VALUE"""),"HINO ZS1EPPD-XS")</f>
        <v>HINO ZS1EPPD-XS</v>
      </c>
      <c r="C162" s="51" t="str">
        <f>IFERROR(__xludf.DUMMYFUNCTION("""COMPUTED_VALUE"""),"DT-267")</f>
        <v>DT-267</v>
      </c>
    </row>
    <row r="163">
      <c r="A163" s="51" t="str">
        <f>IFERROR(__xludf.DUMMYFUNCTION("""COMPUTED_VALUE"""),"DUMP TRUCK")</f>
        <v>DUMP TRUCK</v>
      </c>
      <c r="B163" s="51" t="str">
        <f>IFERROR(__xludf.DUMMYFUNCTION("""COMPUTED_VALUE"""),"HINO ZS1EPPD-XS")</f>
        <v>HINO ZS1EPPD-XS</v>
      </c>
      <c r="C163" s="51" t="str">
        <f>IFERROR(__xludf.DUMMYFUNCTION("""COMPUTED_VALUE"""),"DT-268")</f>
        <v>DT-268</v>
      </c>
    </row>
    <row r="164">
      <c r="A164" s="51" t="str">
        <f>IFERROR(__xludf.DUMMYFUNCTION("""COMPUTED_VALUE"""),"DUMP TRUCK")</f>
        <v>DUMP TRUCK</v>
      </c>
      <c r="B164" s="51" t="str">
        <f>IFERROR(__xludf.DUMMYFUNCTION("""COMPUTED_VALUE"""),"HINO ZS1EPPD-XS")</f>
        <v>HINO ZS1EPPD-XS</v>
      </c>
      <c r="C164" s="51" t="str">
        <f>IFERROR(__xludf.DUMMYFUNCTION("""COMPUTED_VALUE"""),"DT-269")</f>
        <v>DT-269</v>
      </c>
    </row>
    <row r="165">
      <c r="A165" s="51" t="str">
        <f>IFERROR(__xludf.DUMMYFUNCTION("""COMPUTED_VALUE"""),"DUMP TRUCK")</f>
        <v>DUMP TRUCK</v>
      </c>
      <c r="B165" s="51" t="str">
        <f>IFERROR(__xludf.DUMMYFUNCTION("""COMPUTED_VALUE"""),"HINO ZS1EPPD-XS")</f>
        <v>HINO ZS1EPPD-XS</v>
      </c>
      <c r="C165" s="51" t="str">
        <f>IFERROR(__xludf.DUMMYFUNCTION("""COMPUTED_VALUE"""),"DT-270")</f>
        <v>DT-270</v>
      </c>
    </row>
    <row r="166">
      <c r="A166" s="51" t="str">
        <f>IFERROR(__xludf.DUMMYFUNCTION("""COMPUTED_VALUE"""),"DUMP TRUCK")</f>
        <v>DUMP TRUCK</v>
      </c>
      <c r="B166" s="51" t="str">
        <f>IFERROR(__xludf.DUMMYFUNCTION("""COMPUTED_VALUE"""),"HINO ZS1EPPD-XS")</f>
        <v>HINO ZS1EPPD-XS</v>
      </c>
      <c r="C166" s="51" t="str">
        <f>IFERROR(__xludf.DUMMYFUNCTION("""COMPUTED_VALUE"""),"DT-271")</f>
        <v>DT-271</v>
      </c>
    </row>
    <row r="167">
      <c r="A167" s="51" t="str">
        <f>IFERROR(__xludf.DUMMYFUNCTION("""COMPUTED_VALUE"""),"DUMP TRUCK")</f>
        <v>DUMP TRUCK</v>
      </c>
      <c r="B167" s="51" t="str">
        <f>IFERROR(__xludf.DUMMYFUNCTION("""COMPUTED_VALUE"""),"HINO ZS1EPPD-XS")</f>
        <v>HINO ZS1EPPD-XS</v>
      </c>
      <c r="C167" s="51" t="str">
        <f>IFERROR(__xludf.DUMMYFUNCTION("""COMPUTED_VALUE"""),"DT-272")</f>
        <v>DT-272</v>
      </c>
    </row>
    <row r="168">
      <c r="A168" s="51" t="str">
        <f>IFERROR(__xludf.DUMMYFUNCTION("""COMPUTED_VALUE"""),"DUMP TRUCK")</f>
        <v>DUMP TRUCK</v>
      </c>
      <c r="B168" s="51" t="str">
        <f>IFERROR(__xludf.DUMMYFUNCTION("""COMPUTED_VALUE"""),"HINO ZS1EPPD-XS")</f>
        <v>HINO ZS1EPPD-XS</v>
      </c>
      <c r="C168" s="51" t="str">
        <f>IFERROR(__xludf.DUMMYFUNCTION("""COMPUTED_VALUE"""),"DT-273")</f>
        <v>DT-273</v>
      </c>
    </row>
    <row r="169">
      <c r="A169" s="51" t="str">
        <f>IFERROR(__xludf.DUMMYFUNCTION("""COMPUTED_VALUE"""),"DUMP TRUCK")</f>
        <v>DUMP TRUCK</v>
      </c>
      <c r="B169" s="51" t="str">
        <f>IFERROR(__xludf.DUMMYFUNCTION("""COMPUTED_VALUE"""),"HINO ZS1EPPD-XS")</f>
        <v>HINO ZS1EPPD-XS</v>
      </c>
      <c r="C169" s="51" t="str">
        <f>IFERROR(__xludf.DUMMYFUNCTION("""COMPUTED_VALUE"""),"DT-274")</f>
        <v>DT-274</v>
      </c>
    </row>
    <row r="170">
      <c r="A170" s="51" t="str">
        <f>IFERROR(__xludf.DUMMYFUNCTION("""COMPUTED_VALUE"""),"DUMP TRUCK")</f>
        <v>DUMP TRUCK</v>
      </c>
      <c r="B170" s="51" t="str">
        <f>IFERROR(__xludf.DUMMYFUNCTION("""COMPUTED_VALUE"""),"HINO ZS1EPPD-XS")</f>
        <v>HINO ZS1EPPD-XS</v>
      </c>
      <c r="C170" s="51" t="str">
        <f>IFERROR(__xludf.DUMMYFUNCTION("""COMPUTED_VALUE"""),"DT-275")</f>
        <v>DT-275</v>
      </c>
    </row>
    <row r="171">
      <c r="A171" s="51" t="str">
        <f>IFERROR(__xludf.DUMMYFUNCTION("""COMPUTED_VALUE"""),"DUMP TRUCK")</f>
        <v>DUMP TRUCK</v>
      </c>
      <c r="B171" s="51" t="str">
        <f>IFERROR(__xludf.DUMMYFUNCTION("""COMPUTED_VALUE"""),"HINO ZS1EPPD-XS")</f>
        <v>HINO ZS1EPPD-XS</v>
      </c>
      <c r="C171" s="51" t="str">
        <f>IFERROR(__xludf.DUMMYFUNCTION("""COMPUTED_VALUE"""),"DT-276")</f>
        <v>DT-276</v>
      </c>
    </row>
    <row r="172">
      <c r="A172" s="51" t="str">
        <f>IFERROR(__xludf.DUMMYFUNCTION("""COMPUTED_VALUE"""),"DUMP TRUCK")</f>
        <v>DUMP TRUCK</v>
      </c>
      <c r="B172" s="51" t="str">
        <f>IFERROR(__xludf.DUMMYFUNCTION("""COMPUTED_VALUE"""),"HINO ZS1EPPD-XS")</f>
        <v>HINO ZS1EPPD-XS</v>
      </c>
      <c r="C172" s="51" t="str">
        <f>IFERROR(__xludf.DUMMYFUNCTION("""COMPUTED_VALUE"""),"DT-277")</f>
        <v>DT-277</v>
      </c>
    </row>
    <row r="173">
      <c r="A173" s="51" t="str">
        <f>IFERROR(__xludf.DUMMYFUNCTION("""COMPUTED_VALUE"""),"DUMP TRUCK")</f>
        <v>DUMP TRUCK</v>
      </c>
      <c r="B173" s="51" t="str">
        <f>IFERROR(__xludf.DUMMYFUNCTION("""COMPUTED_VALUE"""),"HINO ZS1EPPD-XS")</f>
        <v>HINO ZS1EPPD-XS</v>
      </c>
      <c r="C173" s="51" t="str">
        <f>IFERROR(__xludf.DUMMYFUNCTION("""COMPUTED_VALUE"""),"DT-278")</f>
        <v>DT-278</v>
      </c>
    </row>
    <row r="174">
      <c r="A174" s="51" t="str">
        <f>IFERROR(__xludf.DUMMYFUNCTION("""COMPUTED_VALUE"""),"DUMP TRUCK")</f>
        <v>DUMP TRUCK</v>
      </c>
      <c r="B174" s="51" t="str">
        <f>IFERROR(__xludf.DUMMYFUNCTION("""COMPUTED_VALUE"""),"HINO ZS1EPPD-XS")</f>
        <v>HINO ZS1EPPD-XS</v>
      </c>
      <c r="C174" s="51" t="str">
        <f>IFERROR(__xludf.DUMMYFUNCTION("""COMPUTED_VALUE"""),"DT-279")</f>
        <v>DT-279</v>
      </c>
    </row>
    <row r="175">
      <c r="A175" s="51" t="str">
        <f>IFERROR(__xludf.DUMMYFUNCTION("""COMPUTED_VALUE"""),"DUMP TRUCK")</f>
        <v>DUMP TRUCK</v>
      </c>
      <c r="B175" s="51" t="str">
        <f>IFERROR(__xludf.DUMMYFUNCTION("""COMPUTED_VALUE"""),"HINO ZS1EPPD-XS")</f>
        <v>HINO ZS1EPPD-XS</v>
      </c>
      <c r="C175" s="51" t="str">
        <f>IFERROR(__xludf.DUMMYFUNCTION("""COMPUTED_VALUE"""),"DT-280")</f>
        <v>DT-280</v>
      </c>
    </row>
    <row r="176">
      <c r="A176" s="51" t="str">
        <f>IFERROR(__xludf.DUMMYFUNCTION("""COMPUTED_VALUE"""),"DUMP TRUCK")</f>
        <v>DUMP TRUCK</v>
      </c>
      <c r="B176" s="51" t="str">
        <f>IFERROR(__xludf.DUMMYFUNCTION("""COMPUTED_VALUE"""),"HINO ZS1EPPD-XS")</f>
        <v>HINO ZS1EPPD-XS</v>
      </c>
      <c r="C176" s="51" t="str">
        <f>IFERROR(__xludf.DUMMYFUNCTION("""COMPUTED_VALUE"""),"DT-281")</f>
        <v>DT-281</v>
      </c>
    </row>
    <row r="177">
      <c r="A177" s="51" t="str">
        <f>IFERROR(__xludf.DUMMYFUNCTION("""COMPUTED_VALUE"""),"DUMP TRUCK")</f>
        <v>DUMP TRUCK</v>
      </c>
      <c r="B177" s="51" t="str">
        <f>IFERROR(__xludf.DUMMYFUNCTION("""COMPUTED_VALUE"""),"HINO ZS1EPPD-XS")</f>
        <v>HINO ZS1EPPD-XS</v>
      </c>
      <c r="C177" s="51" t="str">
        <f>IFERROR(__xludf.DUMMYFUNCTION("""COMPUTED_VALUE"""),"DT-282")</f>
        <v>DT-282</v>
      </c>
    </row>
    <row r="178">
      <c r="A178" s="51" t="str">
        <f>IFERROR(__xludf.DUMMYFUNCTION("""COMPUTED_VALUE"""),"DUMP TRUCK")</f>
        <v>DUMP TRUCK</v>
      </c>
      <c r="B178" s="51" t="str">
        <f>IFERROR(__xludf.DUMMYFUNCTION("""COMPUTED_VALUE"""),"HINO ZS1EPPD-XS")</f>
        <v>HINO ZS1EPPD-XS</v>
      </c>
      <c r="C178" s="51" t="str">
        <f>IFERROR(__xludf.DUMMYFUNCTION("""COMPUTED_VALUE"""),"DT-283")</f>
        <v>DT-283</v>
      </c>
    </row>
    <row r="179">
      <c r="A179" s="51" t="str">
        <f>IFERROR(__xludf.DUMMYFUNCTION("""COMPUTED_VALUE"""),"DUMP TRUCK")</f>
        <v>DUMP TRUCK</v>
      </c>
      <c r="B179" s="51" t="str">
        <f>IFERROR(__xludf.DUMMYFUNCTION("""COMPUTED_VALUE"""),"HINO ZS1EPPD-XS")</f>
        <v>HINO ZS1EPPD-XS</v>
      </c>
      <c r="C179" s="51" t="str">
        <f>IFERROR(__xludf.DUMMYFUNCTION("""COMPUTED_VALUE"""),"DT-284")</f>
        <v>DT-284</v>
      </c>
    </row>
    <row r="180">
      <c r="A180" s="51" t="str">
        <f>IFERROR(__xludf.DUMMYFUNCTION("""COMPUTED_VALUE"""),"DUMP TRUCK")</f>
        <v>DUMP TRUCK</v>
      </c>
      <c r="B180" s="51" t="str">
        <f>IFERROR(__xludf.DUMMYFUNCTION("""COMPUTED_VALUE"""),"HINO ZS1EPPD-XS")</f>
        <v>HINO ZS1EPPD-XS</v>
      </c>
      <c r="C180" s="51" t="str">
        <f>IFERROR(__xludf.DUMMYFUNCTION("""COMPUTED_VALUE"""),"DT-285")</f>
        <v>DT-285</v>
      </c>
    </row>
    <row r="181">
      <c r="A181" s="51" t="str">
        <f>IFERROR(__xludf.DUMMYFUNCTION("""COMPUTED_VALUE"""),"DUMP TRUCK")</f>
        <v>DUMP TRUCK</v>
      </c>
      <c r="B181" s="51" t="str">
        <f>IFERROR(__xludf.DUMMYFUNCTION("""COMPUTED_VALUE"""),"HINO ZS1EPPD-XS")</f>
        <v>HINO ZS1EPPD-XS</v>
      </c>
      <c r="C181" s="51" t="str">
        <f>IFERROR(__xludf.DUMMYFUNCTION("""COMPUTED_VALUE"""),"DT-286")</f>
        <v>DT-286</v>
      </c>
    </row>
    <row r="182">
      <c r="A182" s="51" t="str">
        <f>IFERROR(__xludf.DUMMYFUNCTION("""COMPUTED_VALUE"""),"DUMP TRUCK")</f>
        <v>DUMP TRUCK</v>
      </c>
      <c r="B182" s="51" t="str">
        <f>IFERROR(__xludf.DUMMYFUNCTION("""COMPUTED_VALUE"""),"HINO ZS1EPPD-XS")</f>
        <v>HINO ZS1EPPD-XS</v>
      </c>
      <c r="C182" s="51" t="str">
        <f>IFERROR(__xludf.DUMMYFUNCTION("""COMPUTED_VALUE"""),"DT-287")</f>
        <v>DT-287</v>
      </c>
    </row>
    <row r="183">
      <c r="A183" s="51" t="str">
        <f>IFERROR(__xludf.DUMMYFUNCTION("""COMPUTED_VALUE"""),"DUMP TRUCK")</f>
        <v>DUMP TRUCK</v>
      </c>
      <c r="B183" s="51" t="str">
        <f>IFERROR(__xludf.DUMMYFUNCTION("""COMPUTED_VALUE"""),"HINO ZS1EPPD-XS")</f>
        <v>HINO ZS1EPPD-XS</v>
      </c>
      <c r="C183" s="51" t="str">
        <f>IFERROR(__xludf.DUMMYFUNCTION("""COMPUTED_VALUE"""),"DT-288")</f>
        <v>DT-288</v>
      </c>
    </row>
    <row r="184">
      <c r="A184" s="51" t="str">
        <f>IFERROR(__xludf.DUMMYFUNCTION("""COMPUTED_VALUE"""),"DUMP TRUCK")</f>
        <v>DUMP TRUCK</v>
      </c>
      <c r="B184" s="51" t="str">
        <f>IFERROR(__xludf.DUMMYFUNCTION("""COMPUTED_VALUE"""),"HINO ZS1EPPD-XS")</f>
        <v>HINO ZS1EPPD-XS</v>
      </c>
      <c r="C184" s="51" t="str">
        <f>IFERROR(__xludf.DUMMYFUNCTION("""COMPUTED_VALUE"""),"DT-289")</f>
        <v>DT-289</v>
      </c>
    </row>
    <row r="185">
      <c r="A185" s="51" t="str">
        <f>IFERROR(__xludf.DUMMYFUNCTION("""COMPUTED_VALUE"""),"DUMP TRUCK")</f>
        <v>DUMP TRUCK</v>
      </c>
      <c r="B185" s="51" t="str">
        <f>IFERROR(__xludf.DUMMYFUNCTION("""COMPUTED_VALUE"""),"HINO ZS1EPPD-XS")</f>
        <v>HINO ZS1EPPD-XS</v>
      </c>
      <c r="C185" s="51" t="str">
        <f>IFERROR(__xludf.DUMMYFUNCTION("""COMPUTED_VALUE"""),"DT-290")</f>
        <v>DT-290</v>
      </c>
    </row>
    <row r="186">
      <c r="A186" s="51" t="str">
        <f>IFERROR(__xludf.DUMMYFUNCTION("""COMPUTED_VALUE"""),"DUMP TRUCK")</f>
        <v>DUMP TRUCK</v>
      </c>
      <c r="B186" s="51" t="str">
        <f>IFERROR(__xludf.DUMMYFUNCTION("""COMPUTED_VALUE"""),"HINO ZS1EPPD-XS")</f>
        <v>HINO ZS1EPPD-XS</v>
      </c>
      <c r="C186" s="51" t="str">
        <f>IFERROR(__xludf.DUMMYFUNCTION("""COMPUTED_VALUE"""),"DT-291")</f>
        <v>DT-291</v>
      </c>
    </row>
    <row r="187">
      <c r="A187" s="51" t="str">
        <f>IFERROR(__xludf.DUMMYFUNCTION("""COMPUTED_VALUE"""),"DUMP TRUCK")</f>
        <v>DUMP TRUCK</v>
      </c>
      <c r="B187" s="51" t="str">
        <f>IFERROR(__xludf.DUMMYFUNCTION("""COMPUTED_VALUE"""),"HINO ZS1EPPD-XS")</f>
        <v>HINO ZS1EPPD-XS</v>
      </c>
      <c r="C187" s="51" t="str">
        <f>IFERROR(__xludf.DUMMYFUNCTION("""COMPUTED_VALUE"""),"DT-292")</f>
        <v>DT-292</v>
      </c>
    </row>
    <row r="188">
      <c r="A188" s="51" t="str">
        <f>IFERROR(__xludf.DUMMYFUNCTION("""COMPUTED_VALUE"""),"DUMP TRUCK")</f>
        <v>DUMP TRUCK</v>
      </c>
      <c r="B188" s="51" t="str">
        <f>IFERROR(__xludf.DUMMYFUNCTION("""COMPUTED_VALUE"""),"HINO ZS1EPPD-XS")</f>
        <v>HINO ZS1EPPD-XS</v>
      </c>
      <c r="C188" s="51" t="str">
        <f>IFERROR(__xludf.DUMMYFUNCTION("""COMPUTED_VALUE"""),"DT-293")</f>
        <v>DT-293</v>
      </c>
    </row>
    <row r="189">
      <c r="A189" s="51" t="str">
        <f>IFERROR(__xludf.DUMMYFUNCTION("""COMPUTED_VALUE"""),"DUMP TRUCK")</f>
        <v>DUMP TRUCK</v>
      </c>
      <c r="B189" s="51" t="str">
        <f>IFERROR(__xludf.DUMMYFUNCTION("""COMPUTED_VALUE"""),"HINO ZS1EPPD-XS")</f>
        <v>HINO ZS1EPPD-XS</v>
      </c>
      <c r="C189" s="51" t="str">
        <f>IFERROR(__xludf.DUMMYFUNCTION("""COMPUTED_VALUE"""),"DT-294")</f>
        <v>DT-294</v>
      </c>
    </row>
    <row r="190">
      <c r="A190" s="51" t="str">
        <f>IFERROR(__xludf.DUMMYFUNCTION("""COMPUTED_VALUE"""),"DUMP TRUCK")</f>
        <v>DUMP TRUCK</v>
      </c>
      <c r="B190" s="51" t="str">
        <f>IFERROR(__xludf.DUMMYFUNCTION("""COMPUTED_VALUE"""),"HINO ZS1EPPD-XS")</f>
        <v>HINO ZS1EPPD-XS</v>
      </c>
      <c r="C190" s="51" t="str">
        <f>IFERROR(__xludf.DUMMYFUNCTION("""COMPUTED_VALUE"""),"DT-295")</f>
        <v>DT-295</v>
      </c>
    </row>
    <row r="191">
      <c r="A191" s="51" t="str">
        <f>IFERROR(__xludf.DUMMYFUNCTION("""COMPUTED_VALUE"""),"DUMP TRUCK")</f>
        <v>DUMP TRUCK</v>
      </c>
      <c r="B191" s="51" t="str">
        <f>IFERROR(__xludf.DUMMYFUNCTION("""COMPUTED_VALUE"""),"HINO ZS1EPPD-XS")</f>
        <v>HINO ZS1EPPD-XS</v>
      </c>
      <c r="C191" s="51" t="str">
        <f>IFERROR(__xludf.DUMMYFUNCTION("""COMPUTED_VALUE"""),"DT-296")</f>
        <v>DT-296</v>
      </c>
    </row>
    <row r="192">
      <c r="A192" s="51" t="str">
        <f>IFERROR(__xludf.DUMMYFUNCTION("""COMPUTED_VALUE"""),"DUMP TRUCK")</f>
        <v>DUMP TRUCK</v>
      </c>
      <c r="B192" s="51" t="str">
        <f>IFERROR(__xludf.DUMMYFUNCTION("""COMPUTED_VALUE"""),"HINO ZS1EPPD-XS")</f>
        <v>HINO ZS1EPPD-XS</v>
      </c>
      <c r="C192" s="51" t="str">
        <f>IFERROR(__xludf.DUMMYFUNCTION("""COMPUTED_VALUE"""),"DT-297")</f>
        <v>DT-297</v>
      </c>
    </row>
    <row r="193">
      <c r="A193" s="51" t="str">
        <f>IFERROR(__xludf.DUMMYFUNCTION("""COMPUTED_VALUE"""),"DUMP TRUCK")</f>
        <v>DUMP TRUCK</v>
      </c>
      <c r="B193" s="51" t="str">
        <f>IFERROR(__xludf.DUMMYFUNCTION("""COMPUTED_VALUE"""),"HINO ZS1EPPD-XS")</f>
        <v>HINO ZS1EPPD-XS</v>
      </c>
      <c r="C193" s="51" t="str">
        <f>IFERROR(__xludf.DUMMYFUNCTION("""COMPUTED_VALUE"""),"DT-298")</f>
        <v>DT-298</v>
      </c>
    </row>
    <row r="194">
      <c r="A194" s="51" t="str">
        <f>IFERROR(__xludf.DUMMYFUNCTION("""COMPUTED_VALUE"""),"DUMP TRUCK")</f>
        <v>DUMP TRUCK</v>
      </c>
      <c r="B194" s="51" t="str">
        <f>IFERROR(__xludf.DUMMYFUNCTION("""COMPUTED_VALUE"""),"HINO ZS1EPPD-XS")</f>
        <v>HINO ZS1EPPD-XS</v>
      </c>
      <c r="C194" s="51" t="str">
        <f>IFERROR(__xludf.DUMMYFUNCTION("""COMPUTED_VALUE"""),"DT-299")</f>
        <v>DT-299</v>
      </c>
    </row>
    <row r="195">
      <c r="A195" s="51" t="str">
        <f>IFERROR(__xludf.DUMMYFUNCTION("""COMPUTED_VALUE"""),"DUMP TRUCK")</f>
        <v>DUMP TRUCK</v>
      </c>
      <c r="B195" s="51" t="str">
        <f>IFERROR(__xludf.DUMMYFUNCTION("""COMPUTED_VALUE"""),"HINO ZS1EPPD-XS")</f>
        <v>HINO ZS1EPPD-XS</v>
      </c>
      <c r="C195" s="51" t="str">
        <f>IFERROR(__xludf.DUMMYFUNCTION("""COMPUTED_VALUE"""),"DT-300")</f>
        <v>DT-300</v>
      </c>
    </row>
    <row r="196">
      <c r="A196" s="51" t="str">
        <f>IFERROR(__xludf.DUMMYFUNCTION("""COMPUTED_VALUE"""),"DUMP TRUCK")</f>
        <v>DUMP TRUCK</v>
      </c>
      <c r="B196" s="51" t="str">
        <f>IFERROR(__xludf.DUMMYFUNCTION("""COMPUTED_VALUE"""),"HINO ZS1EPPD-XS")</f>
        <v>HINO ZS1EPPD-XS</v>
      </c>
      <c r="C196" s="51" t="str">
        <f>IFERROR(__xludf.DUMMYFUNCTION("""COMPUTED_VALUE"""),"DT-301")</f>
        <v>DT-301</v>
      </c>
    </row>
    <row r="197">
      <c r="A197" s="51" t="str">
        <f>IFERROR(__xludf.DUMMYFUNCTION("""COMPUTED_VALUE"""),"DUMP TRUCK")</f>
        <v>DUMP TRUCK</v>
      </c>
      <c r="B197" s="51" t="str">
        <f>IFERROR(__xludf.DUMMYFUNCTION("""COMPUTED_VALUE"""),"HINO ZS1EPPD-XS")</f>
        <v>HINO ZS1EPPD-XS</v>
      </c>
      <c r="C197" s="51" t="str">
        <f>IFERROR(__xludf.DUMMYFUNCTION("""COMPUTED_VALUE"""),"DT-302")</f>
        <v>DT-302</v>
      </c>
    </row>
    <row r="198">
      <c r="A198" s="51" t="str">
        <f>IFERROR(__xludf.DUMMYFUNCTION("""COMPUTED_VALUE"""),"DUMP TRUCK")</f>
        <v>DUMP TRUCK</v>
      </c>
      <c r="B198" s="51" t="str">
        <f>IFERROR(__xludf.DUMMYFUNCTION("""COMPUTED_VALUE"""),"HINO ZS1EPPD-XS")</f>
        <v>HINO ZS1EPPD-XS</v>
      </c>
      <c r="C198" s="51" t="str">
        <f>IFERROR(__xludf.DUMMYFUNCTION("""COMPUTED_VALUE"""),"DT-303")</f>
        <v>DT-303</v>
      </c>
    </row>
    <row r="199">
      <c r="A199" s="51" t="str">
        <f>IFERROR(__xludf.DUMMYFUNCTION("""COMPUTED_VALUE"""),"DUMP TRUCK")</f>
        <v>DUMP TRUCK</v>
      </c>
      <c r="B199" s="51" t="str">
        <f>IFERROR(__xludf.DUMMYFUNCTION("""COMPUTED_VALUE"""),"HINO ZS1EPPD-XS")</f>
        <v>HINO ZS1EPPD-XS</v>
      </c>
      <c r="C199" s="51" t="str">
        <f>IFERROR(__xludf.DUMMYFUNCTION("""COMPUTED_VALUE"""),"DT-304")</f>
        <v>DT-304</v>
      </c>
    </row>
    <row r="200">
      <c r="A200" s="51" t="str">
        <f>IFERROR(__xludf.DUMMYFUNCTION("""COMPUTED_VALUE"""),"DUMP TRUCK")</f>
        <v>DUMP TRUCK</v>
      </c>
      <c r="B200" s="51" t="str">
        <f>IFERROR(__xludf.DUMMYFUNCTION("""COMPUTED_VALUE"""),"HINO ZS1EPPD-XS")</f>
        <v>HINO ZS1EPPD-XS</v>
      </c>
      <c r="C200" s="51" t="str">
        <f>IFERROR(__xludf.DUMMYFUNCTION("""COMPUTED_VALUE"""),"DT-305")</f>
        <v>DT-305</v>
      </c>
    </row>
    <row r="201">
      <c r="A201" s="51" t="str">
        <f>IFERROR(__xludf.DUMMYFUNCTION("""COMPUTED_VALUE"""),"DUMP TRUCK")</f>
        <v>DUMP TRUCK</v>
      </c>
      <c r="B201" s="51" t="str">
        <f>IFERROR(__xludf.DUMMYFUNCTION("""COMPUTED_VALUE"""),"HINO ZS1EPPD-XS")</f>
        <v>HINO ZS1EPPD-XS</v>
      </c>
      <c r="C201" s="51" t="str">
        <f>IFERROR(__xludf.DUMMYFUNCTION("""COMPUTED_VALUE"""),"DT-306")</f>
        <v>DT-306</v>
      </c>
    </row>
    <row r="202">
      <c r="A202" s="51" t="str">
        <f>IFERROR(__xludf.DUMMYFUNCTION("""COMPUTED_VALUE"""),"DUMP TRUCK")</f>
        <v>DUMP TRUCK</v>
      </c>
      <c r="B202" s="51" t="str">
        <f>IFERROR(__xludf.DUMMYFUNCTION("""COMPUTED_VALUE"""),"HINO ZS1EPPD-XS")</f>
        <v>HINO ZS1EPPD-XS</v>
      </c>
      <c r="C202" s="51" t="str">
        <f>IFERROR(__xludf.DUMMYFUNCTION("""COMPUTED_VALUE"""),"DT-307")</f>
        <v>DT-307</v>
      </c>
    </row>
    <row r="203">
      <c r="A203" s="51" t="str">
        <f>IFERROR(__xludf.DUMMYFUNCTION("""COMPUTED_VALUE"""),"DUMP TRUCK")</f>
        <v>DUMP TRUCK</v>
      </c>
      <c r="B203" s="51" t="str">
        <f>IFERROR(__xludf.DUMMYFUNCTION("""COMPUTED_VALUE"""),"HINO ZS1EPPD-XS")</f>
        <v>HINO ZS1EPPD-XS</v>
      </c>
      <c r="C203" s="51" t="str">
        <f>IFERROR(__xludf.DUMMYFUNCTION("""COMPUTED_VALUE"""),"DT-308")</f>
        <v>DT-308</v>
      </c>
    </row>
    <row r="204">
      <c r="A204" s="51" t="str">
        <f>IFERROR(__xludf.DUMMYFUNCTION("""COMPUTED_VALUE"""),"DUMP TRUCK")</f>
        <v>DUMP TRUCK</v>
      </c>
      <c r="B204" s="51" t="str">
        <f>IFERROR(__xludf.DUMMYFUNCTION("""COMPUTED_VALUE"""),"HINO ZS1EPPD-XS")</f>
        <v>HINO ZS1EPPD-XS</v>
      </c>
      <c r="C204" s="51" t="str">
        <f>IFERROR(__xludf.DUMMYFUNCTION("""COMPUTED_VALUE"""),"DT-309")</f>
        <v>DT-309</v>
      </c>
    </row>
    <row r="205">
      <c r="A205" s="51" t="str">
        <f>IFERROR(__xludf.DUMMYFUNCTION("""COMPUTED_VALUE"""),"DUMP TRUCK")</f>
        <v>DUMP TRUCK</v>
      </c>
      <c r="B205" s="51" t="str">
        <f>IFERROR(__xludf.DUMMYFUNCTION("""COMPUTED_VALUE"""),"HINO ZY1EWPD-XS")</f>
        <v>HINO ZY1EWPD-XS</v>
      </c>
      <c r="C205" s="51" t="str">
        <f>IFERROR(__xludf.DUMMYFUNCTION("""COMPUTED_VALUE"""),"DT-310")</f>
        <v>DT-310</v>
      </c>
    </row>
    <row r="206">
      <c r="A206" s="51" t="str">
        <f>IFERROR(__xludf.DUMMYFUNCTION("""COMPUTED_VALUE"""),"DUMP TRUCK")</f>
        <v>DUMP TRUCK</v>
      </c>
      <c r="B206" s="51" t="str">
        <f>IFERROR(__xludf.DUMMYFUNCTION("""COMPUTED_VALUE"""),"HINO ZY1EWPD-XS")</f>
        <v>HINO ZY1EWPD-XS</v>
      </c>
      <c r="C206" s="51" t="str">
        <f>IFERROR(__xludf.DUMMYFUNCTION("""COMPUTED_VALUE"""),"DT-311")</f>
        <v>DT-311</v>
      </c>
    </row>
    <row r="207">
      <c r="A207" s="51" t="str">
        <f>IFERROR(__xludf.DUMMYFUNCTION("""COMPUTED_VALUE"""),"DUMP TRUCK")</f>
        <v>DUMP TRUCK</v>
      </c>
      <c r="B207" s="51" t="str">
        <f>IFERROR(__xludf.DUMMYFUNCTION("""COMPUTED_VALUE"""),"HINO ZY1EWPD-XS")</f>
        <v>HINO ZY1EWPD-XS</v>
      </c>
      <c r="C207" s="51" t="str">
        <f>IFERROR(__xludf.DUMMYFUNCTION("""COMPUTED_VALUE"""),"DT-312")</f>
        <v>DT-312</v>
      </c>
    </row>
    <row r="208">
      <c r="A208" s="51" t="str">
        <f>IFERROR(__xludf.DUMMYFUNCTION("""COMPUTED_VALUE"""),"DUMP TRUCK")</f>
        <v>DUMP TRUCK</v>
      </c>
      <c r="B208" s="51" t="str">
        <f>IFERROR(__xludf.DUMMYFUNCTION("""COMPUTED_VALUE"""),"HINO ZY1EWPD-XS")</f>
        <v>HINO ZY1EWPD-XS</v>
      </c>
      <c r="C208" s="51" t="str">
        <f>IFERROR(__xludf.DUMMYFUNCTION("""COMPUTED_VALUE"""),"DT-313")</f>
        <v>DT-313</v>
      </c>
    </row>
    <row r="209">
      <c r="A209" s="51" t="str">
        <f>IFERROR(__xludf.DUMMYFUNCTION("""COMPUTED_VALUE"""),"DUMP TRUCK")</f>
        <v>DUMP TRUCK</v>
      </c>
      <c r="B209" s="51" t="str">
        <f>IFERROR(__xludf.DUMMYFUNCTION("""COMPUTED_VALUE"""),"HINO ZY1EWPD-XS")</f>
        <v>HINO ZY1EWPD-XS</v>
      </c>
      <c r="C209" s="51" t="str">
        <f>IFERROR(__xludf.DUMMYFUNCTION("""COMPUTED_VALUE"""),"DT-314")</f>
        <v>DT-314</v>
      </c>
    </row>
    <row r="210">
      <c r="A210" s="51" t="str">
        <f>IFERROR(__xludf.DUMMYFUNCTION("""COMPUTED_VALUE"""),"DUMP TRUCK")</f>
        <v>DUMP TRUCK</v>
      </c>
      <c r="B210" s="51" t="str">
        <f>IFERROR(__xludf.DUMMYFUNCTION("""COMPUTED_VALUE"""),"HINO ZY1EWPD-XS")</f>
        <v>HINO ZY1EWPD-XS</v>
      </c>
      <c r="C210" s="51" t="str">
        <f>IFERROR(__xludf.DUMMYFUNCTION("""COMPUTED_VALUE"""),"DT-315")</f>
        <v>DT-315</v>
      </c>
    </row>
    <row r="211">
      <c r="A211" s="51" t="str">
        <f>IFERROR(__xludf.DUMMYFUNCTION("""COMPUTED_VALUE"""),"DUMP TRUCK")</f>
        <v>DUMP TRUCK</v>
      </c>
      <c r="B211" s="51" t="str">
        <f>IFERROR(__xludf.DUMMYFUNCTION("""COMPUTED_VALUE"""),"HINO ZY1EWPD-XS")</f>
        <v>HINO ZY1EWPD-XS</v>
      </c>
      <c r="C211" s="51" t="str">
        <f>IFERROR(__xludf.DUMMYFUNCTION("""COMPUTED_VALUE"""),"DT-316")</f>
        <v>DT-316</v>
      </c>
    </row>
    <row r="212">
      <c r="A212" s="51" t="str">
        <f>IFERROR(__xludf.DUMMYFUNCTION("""COMPUTED_VALUE"""),"DUMP TRUCK")</f>
        <v>DUMP TRUCK</v>
      </c>
      <c r="B212" s="51" t="str">
        <f>IFERROR(__xludf.DUMMYFUNCTION("""COMPUTED_VALUE"""),"HINO ZY1EWPD-XS")</f>
        <v>HINO ZY1EWPD-XS</v>
      </c>
      <c r="C212" s="51" t="str">
        <f>IFERROR(__xludf.DUMMYFUNCTION("""COMPUTED_VALUE"""),"DT-317")</f>
        <v>DT-317</v>
      </c>
    </row>
    <row r="213">
      <c r="A213" s="51" t="str">
        <f>IFERROR(__xludf.DUMMYFUNCTION("""COMPUTED_VALUE"""),"DUMP TRUCK")</f>
        <v>DUMP TRUCK</v>
      </c>
      <c r="B213" s="51" t="str">
        <f>IFERROR(__xludf.DUMMYFUNCTION("""COMPUTED_VALUE"""),"HINO ZY1EWPD-XS")</f>
        <v>HINO ZY1EWPD-XS</v>
      </c>
      <c r="C213" s="51" t="str">
        <f>IFERROR(__xludf.DUMMYFUNCTION("""COMPUTED_VALUE"""),"DT-318")</f>
        <v>DT-318</v>
      </c>
    </row>
    <row r="214">
      <c r="A214" s="51" t="str">
        <f>IFERROR(__xludf.DUMMYFUNCTION("""COMPUTED_VALUE"""),"DUMP TRUCK")</f>
        <v>DUMP TRUCK</v>
      </c>
      <c r="B214" s="51" t="str">
        <f>IFERROR(__xludf.DUMMYFUNCTION("""COMPUTED_VALUE"""),"HINO ZY1EWPD-XS")</f>
        <v>HINO ZY1EWPD-XS</v>
      </c>
      <c r="C214" s="51" t="str">
        <f>IFERROR(__xludf.DUMMYFUNCTION("""COMPUTED_VALUE"""),"DT-319")</f>
        <v>DT-319</v>
      </c>
    </row>
    <row r="215">
      <c r="A215" s="51" t="str">
        <f>IFERROR(__xludf.DUMMYFUNCTION("""COMPUTED_VALUE"""),"DUMP TRUCK")</f>
        <v>DUMP TRUCK</v>
      </c>
      <c r="B215" s="51" t="str">
        <f>IFERROR(__xludf.DUMMYFUNCTION("""COMPUTED_VALUE"""),"HINO ZY1EWPD-XS")</f>
        <v>HINO ZY1EWPD-XS</v>
      </c>
      <c r="C215" s="51" t="str">
        <f>IFERROR(__xludf.DUMMYFUNCTION("""COMPUTED_VALUE"""),"DT-320")</f>
        <v>DT-320</v>
      </c>
    </row>
    <row r="216">
      <c r="A216" s="51" t="str">
        <f>IFERROR(__xludf.DUMMYFUNCTION("""COMPUTED_VALUE"""),"DUMP TRUCK")</f>
        <v>DUMP TRUCK</v>
      </c>
      <c r="B216" s="51" t="str">
        <f>IFERROR(__xludf.DUMMYFUNCTION("""COMPUTED_VALUE"""),"HINO ZY1EWPD-XS")</f>
        <v>HINO ZY1EWPD-XS</v>
      </c>
      <c r="C216" s="51" t="str">
        <f>IFERROR(__xludf.DUMMYFUNCTION("""COMPUTED_VALUE"""),"DT-321")</f>
        <v>DT-321</v>
      </c>
    </row>
    <row r="217">
      <c r="A217" s="51" t="str">
        <f>IFERROR(__xludf.DUMMYFUNCTION("""COMPUTED_VALUE"""),"DUMP TRUCK")</f>
        <v>DUMP TRUCK</v>
      </c>
      <c r="B217" s="51" t="str">
        <f>IFERROR(__xludf.DUMMYFUNCTION("""COMPUTED_VALUE"""),"HINO ZY1EWPD-XS")</f>
        <v>HINO ZY1EWPD-XS</v>
      </c>
      <c r="C217" s="51" t="str">
        <f>IFERROR(__xludf.DUMMYFUNCTION("""COMPUTED_VALUE"""),"DT-322")</f>
        <v>DT-322</v>
      </c>
    </row>
    <row r="218">
      <c r="A218" s="51" t="str">
        <f>IFERROR(__xludf.DUMMYFUNCTION("""COMPUTED_VALUE"""),"DUMP TRUCK")</f>
        <v>DUMP TRUCK</v>
      </c>
      <c r="B218" s="51" t="str">
        <f>IFERROR(__xludf.DUMMYFUNCTION("""COMPUTED_VALUE"""),"HINO ZY1EWPD-XS")</f>
        <v>HINO ZY1EWPD-XS</v>
      </c>
      <c r="C218" s="51" t="str">
        <f>IFERROR(__xludf.DUMMYFUNCTION("""COMPUTED_VALUE"""),"DT-323")</f>
        <v>DT-323</v>
      </c>
    </row>
    <row r="219">
      <c r="A219" s="51" t="str">
        <f>IFERROR(__xludf.DUMMYFUNCTION("""COMPUTED_VALUE"""),"DUMP TRUCK")</f>
        <v>DUMP TRUCK</v>
      </c>
      <c r="B219" s="51" t="str">
        <f>IFERROR(__xludf.DUMMYFUNCTION("""COMPUTED_VALUE"""),"HINO ZY1EWPD-XS")</f>
        <v>HINO ZY1EWPD-XS</v>
      </c>
      <c r="C219" s="51" t="str">
        <f>IFERROR(__xludf.DUMMYFUNCTION("""COMPUTED_VALUE"""),"DT-324")</f>
        <v>DT-324</v>
      </c>
    </row>
    <row r="220">
      <c r="A220" s="51" t="str">
        <f>IFERROR(__xludf.DUMMYFUNCTION("""COMPUTED_VALUE"""),"DUMP TRUCK")</f>
        <v>DUMP TRUCK</v>
      </c>
      <c r="B220" s="51" t="str">
        <f>IFERROR(__xludf.DUMMYFUNCTION("""COMPUTED_VALUE"""),"HINO ZY1EWPD-XS")</f>
        <v>HINO ZY1EWPD-XS</v>
      </c>
      <c r="C220" s="51" t="str">
        <f>IFERROR(__xludf.DUMMYFUNCTION("""COMPUTED_VALUE"""),"DT-325")</f>
        <v>DT-325</v>
      </c>
    </row>
    <row r="221">
      <c r="A221" s="51" t="str">
        <f>IFERROR(__xludf.DUMMYFUNCTION("""COMPUTED_VALUE"""),"DUMP TRUCK")</f>
        <v>DUMP TRUCK</v>
      </c>
      <c r="B221" s="51" t="str">
        <f>IFERROR(__xludf.DUMMYFUNCTION("""COMPUTED_VALUE"""),"HINO ZY1EWPD-XS")</f>
        <v>HINO ZY1EWPD-XS</v>
      </c>
      <c r="C221" s="51" t="str">
        <f>IFERROR(__xludf.DUMMYFUNCTION("""COMPUTED_VALUE"""),"DT-326")</f>
        <v>DT-326</v>
      </c>
    </row>
    <row r="222">
      <c r="A222" s="51" t="str">
        <f>IFERROR(__xludf.DUMMYFUNCTION("""COMPUTED_VALUE"""),"DUMP TRUCK")</f>
        <v>DUMP TRUCK</v>
      </c>
      <c r="B222" s="51" t="str">
        <f>IFERROR(__xludf.DUMMYFUNCTION("""COMPUTED_VALUE"""),"HINO ZY1EWPD-XS")</f>
        <v>HINO ZY1EWPD-XS</v>
      </c>
      <c r="C222" s="51" t="str">
        <f>IFERROR(__xludf.DUMMYFUNCTION("""COMPUTED_VALUE"""),"DT-327")</f>
        <v>DT-327</v>
      </c>
    </row>
    <row r="223">
      <c r="A223" s="51" t="str">
        <f>IFERROR(__xludf.DUMMYFUNCTION("""COMPUTED_VALUE"""),"DUMP TRUCK")</f>
        <v>DUMP TRUCK</v>
      </c>
      <c r="B223" s="51" t="str">
        <f>IFERROR(__xludf.DUMMYFUNCTION("""COMPUTED_VALUE"""),"HINO ZY1EWPD-XS")</f>
        <v>HINO ZY1EWPD-XS</v>
      </c>
      <c r="C223" s="51" t="str">
        <f>IFERROR(__xludf.DUMMYFUNCTION("""COMPUTED_VALUE"""),"DT-328")</f>
        <v>DT-328</v>
      </c>
    </row>
    <row r="224">
      <c r="A224" s="51" t="str">
        <f>IFERROR(__xludf.DUMMYFUNCTION("""COMPUTED_VALUE"""),"DUMP TRUCK")</f>
        <v>DUMP TRUCK</v>
      </c>
      <c r="B224" s="51" t="str">
        <f>IFERROR(__xludf.DUMMYFUNCTION("""COMPUTED_VALUE"""),"HINO ZY1EWPD-XS")</f>
        <v>HINO ZY1EWPD-XS</v>
      </c>
      <c r="C224" s="51" t="str">
        <f>IFERROR(__xludf.DUMMYFUNCTION("""COMPUTED_VALUE"""),"DT-329")</f>
        <v>DT-329</v>
      </c>
    </row>
    <row r="225">
      <c r="A225" s="51" t="str">
        <f>IFERROR(__xludf.DUMMYFUNCTION("""COMPUTED_VALUE"""),"DUMP TRUCK")</f>
        <v>DUMP TRUCK</v>
      </c>
      <c r="B225" s="51" t="str">
        <f>IFERROR(__xludf.DUMMYFUNCTION("""COMPUTED_VALUE"""),"HINO ZY1EWPD-XS")</f>
        <v>HINO ZY1EWPD-XS</v>
      </c>
      <c r="C225" s="51" t="str">
        <f>IFERROR(__xludf.DUMMYFUNCTION("""COMPUTED_VALUE"""),"DT-330")</f>
        <v>DT-330</v>
      </c>
    </row>
    <row r="226">
      <c r="A226" s="51" t="str">
        <f>IFERROR(__xludf.DUMMYFUNCTION("""COMPUTED_VALUE"""),"DUMP TRUCK")</f>
        <v>DUMP TRUCK</v>
      </c>
      <c r="B226" s="51" t="str">
        <f>IFERROR(__xludf.DUMMYFUNCTION("""COMPUTED_VALUE"""),"HINO ZY1EWPD-XS")</f>
        <v>HINO ZY1EWPD-XS</v>
      </c>
      <c r="C226" s="51" t="str">
        <f>IFERROR(__xludf.DUMMYFUNCTION("""COMPUTED_VALUE"""),"DT-331")</f>
        <v>DT-331</v>
      </c>
    </row>
    <row r="227">
      <c r="A227" s="51" t="str">
        <f>IFERROR(__xludf.DUMMYFUNCTION("""COMPUTED_VALUE"""),"DUMP TRUCK")</f>
        <v>DUMP TRUCK</v>
      </c>
      <c r="B227" s="51" t="str">
        <f>IFERROR(__xludf.DUMMYFUNCTION("""COMPUTED_VALUE"""),"HINO ZY1EWPD-XS")</f>
        <v>HINO ZY1EWPD-XS</v>
      </c>
      <c r="C227" s="51" t="str">
        <f>IFERROR(__xludf.DUMMYFUNCTION("""COMPUTED_VALUE"""),"DT-332")</f>
        <v>DT-332</v>
      </c>
    </row>
    <row r="228">
      <c r="A228" s="51" t="str">
        <f>IFERROR(__xludf.DUMMYFUNCTION("""COMPUTED_VALUE"""),"DUMP TRUCK")</f>
        <v>DUMP TRUCK</v>
      </c>
      <c r="B228" s="51" t="str">
        <f>IFERROR(__xludf.DUMMYFUNCTION("""COMPUTED_VALUE"""),"HINO ZY1EWPD-XS")</f>
        <v>HINO ZY1EWPD-XS</v>
      </c>
      <c r="C228" s="51" t="str">
        <f>IFERROR(__xludf.DUMMYFUNCTION("""COMPUTED_VALUE"""),"DT-333")</f>
        <v>DT-333</v>
      </c>
    </row>
    <row r="229">
      <c r="A229" s="51" t="str">
        <f>IFERROR(__xludf.DUMMYFUNCTION("""COMPUTED_VALUE"""),"DUMP TRUCK")</f>
        <v>DUMP TRUCK</v>
      </c>
      <c r="B229" s="51" t="str">
        <f>IFERROR(__xludf.DUMMYFUNCTION("""COMPUTED_VALUE"""),"HINO ZY1EWPD-XS")</f>
        <v>HINO ZY1EWPD-XS</v>
      </c>
      <c r="C229" s="51" t="str">
        <f>IFERROR(__xludf.DUMMYFUNCTION("""COMPUTED_VALUE"""),"DT-334")</f>
        <v>DT-334</v>
      </c>
    </row>
    <row r="230">
      <c r="A230" s="51" t="str">
        <f>IFERROR(__xludf.DUMMYFUNCTION("""COMPUTED_VALUE"""),"DUMP TRUCK")</f>
        <v>DUMP TRUCK</v>
      </c>
      <c r="B230" s="51" t="str">
        <f>IFERROR(__xludf.DUMMYFUNCTION("""COMPUTED_VALUE"""),"HINO ZY1EWPD-XS")</f>
        <v>HINO ZY1EWPD-XS</v>
      </c>
      <c r="C230" s="51" t="str">
        <f>IFERROR(__xludf.DUMMYFUNCTION("""COMPUTED_VALUE"""),"DT-335")</f>
        <v>DT-335</v>
      </c>
    </row>
    <row r="231">
      <c r="A231" s="51" t="str">
        <f>IFERROR(__xludf.DUMMYFUNCTION("""COMPUTED_VALUE"""),"DUMP TRUCK")</f>
        <v>DUMP TRUCK</v>
      </c>
      <c r="B231" s="51" t="str">
        <f>IFERROR(__xludf.DUMMYFUNCTION("""COMPUTED_VALUE"""),"HINO ZY1EWPD-XS")</f>
        <v>HINO ZY1EWPD-XS</v>
      </c>
      <c r="C231" s="51" t="str">
        <f>IFERROR(__xludf.DUMMYFUNCTION("""COMPUTED_VALUE"""),"DT-336")</f>
        <v>DT-336</v>
      </c>
    </row>
    <row r="232">
      <c r="A232" s="51" t="str">
        <f>IFERROR(__xludf.DUMMYFUNCTION("""COMPUTED_VALUE"""),"DUMP TRUCK")</f>
        <v>DUMP TRUCK</v>
      </c>
      <c r="B232" s="51" t="str">
        <f>IFERROR(__xludf.DUMMYFUNCTION("""COMPUTED_VALUE"""),"HINO ZY1EWPD-XS")</f>
        <v>HINO ZY1EWPD-XS</v>
      </c>
      <c r="C232" s="51" t="str">
        <f>IFERROR(__xludf.DUMMYFUNCTION("""COMPUTED_VALUE"""),"DT-337")</f>
        <v>DT-337</v>
      </c>
    </row>
    <row r="233">
      <c r="A233" s="51" t="str">
        <f>IFERROR(__xludf.DUMMYFUNCTION("""COMPUTED_VALUE"""),"DUMP TRUCK")</f>
        <v>DUMP TRUCK</v>
      </c>
      <c r="B233" s="51" t="str">
        <f>IFERROR(__xludf.DUMMYFUNCTION("""COMPUTED_VALUE"""),"HINO ZY1EWPD-XS")</f>
        <v>HINO ZY1EWPD-XS</v>
      </c>
      <c r="C233" s="51" t="str">
        <f>IFERROR(__xludf.DUMMYFUNCTION("""COMPUTED_VALUE"""),"DT-338")</f>
        <v>DT-338</v>
      </c>
    </row>
    <row r="234">
      <c r="A234" s="51" t="str">
        <f>IFERROR(__xludf.DUMMYFUNCTION("""COMPUTED_VALUE"""),"DUMP TRUCK")</f>
        <v>DUMP TRUCK</v>
      </c>
      <c r="B234" s="51" t="str">
        <f>IFERROR(__xludf.DUMMYFUNCTION("""COMPUTED_VALUE"""),"HINO ZY1EWPD-XS")</f>
        <v>HINO ZY1EWPD-XS</v>
      </c>
      <c r="C234" s="51" t="str">
        <f>IFERROR(__xludf.DUMMYFUNCTION("""COMPUTED_VALUE"""),"DT-339")</f>
        <v>DT-339</v>
      </c>
    </row>
    <row r="235">
      <c r="A235" s="51" t="str">
        <f>IFERROR(__xludf.DUMMYFUNCTION("""COMPUTED_VALUE"""),"DUMP TRUCK")</f>
        <v>DUMP TRUCK</v>
      </c>
      <c r="B235" s="51" t="str">
        <f>IFERROR(__xludf.DUMMYFUNCTION("""COMPUTED_VALUE"""),"HINO ZY1EWPD-XS")</f>
        <v>HINO ZY1EWPD-XS</v>
      </c>
      <c r="C235" s="51" t="str">
        <f>IFERROR(__xludf.DUMMYFUNCTION("""COMPUTED_VALUE"""),"DT-340")</f>
        <v>DT-340</v>
      </c>
    </row>
    <row r="236">
      <c r="A236" s="51" t="str">
        <f>IFERROR(__xludf.DUMMYFUNCTION("""COMPUTED_VALUE"""),"DUMP TRUCK")</f>
        <v>DUMP TRUCK</v>
      </c>
      <c r="B236" s="51" t="str">
        <f>IFERROR(__xludf.DUMMYFUNCTION("""COMPUTED_VALUE"""),"HINO ZY1EWPD-XS")</f>
        <v>HINO ZY1EWPD-XS</v>
      </c>
      <c r="C236" s="51" t="str">
        <f>IFERROR(__xludf.DUMMYFUNCTION("""COMPUTED_VALUE"""),"DT-341")</f>
        <v>DT-341</v>
      </c>
    </row>
    <row r="237">
      <c r="A237" s="51" t="str">
        <f>IFERROR(__xludf.DUMMYFUNCTION("""COMPUTED_VALUE"""),"DUMP TRUCK")</f>
        <v>DUMP TRUCK</v>
      </c>
      <c r="B237" s="51" t="str">
        <f>IFERROR(__xludf.DUMMYFUNCTION("""COMPUTED_VALUE"""),"HINO ZY1EWPD-XS")</f>
        <v>HINO ZY1EWPD-XS</v>
      </c>
      <c r="C237" s="51" t="str">
        <f>IFERROR(__xludf.DUMMYFUNCTION("""COMPUTED_VALUE"""),"DT-342")</f>
        <v>DT-342</v>
      </c>
    </row>
    <row r="238">
      <c r="A238" s="51" t="str">
        <f>IFERROR(__xludf.DUMMYFUNCTION("""COMPUTED_VALUE"""),"DUMP TRUCK")</f>
        <v>DUMP TRUCK</v>
      </c>
      <c r="B238" s="51" t="str">
        <f>IFERROR(__xludf.DUMMYFUNCTION("""COMPUTED_VALUE"""),"HINO ZY1EWPD-XS")</f>
        <v>HINO ZY1EWPD-XS</v>
      </c>
      <c r="C238" s="51" t="str">
        <f>IFERROR(__xludf.DUMMYFUNCTION("""COMPUTED_VALUE"""),"DT-343")</f>
        <v>DT-343</v>
      </c>
    </row>
    <row r="239">
      <c r="A239" s="51" t="str">
        <f>IFERROR(__xludf.DUMMYFUNCTION("""COMPUTED_VALUE"""),"DUMP TRUCK")</f>
        <v>DUMP TRUCK</v>
      </c>
      <c r="B239" s="51" t="str">
        <f>IFERROR(__xludf.DUMMYFUNCTION("""COMPUTED_VALUE"""),"HINO ZY1EWPD-XS")</f>
        <v>HINO ZY1EWPD-XS</v>
      </c>
      <c r="C239" s="51" t="str">
        <f>IFERROR(__xludf.DUMMYFUNCTION("""COMPUTED_VALUE"""),"DT-344")</f>
        <v>DT-344</v>
      </c>
    </row>
    <row r="240">
      <c r="A240" s="51" t="str">
        <f>IFERROR(__xludf.DUMMYFUNCTION("""COMPUTED_VALUE"""),"DUMP TRUCK")</f>
        <v>DUMP TRUCK</v>
      </c>
      <c r="B240" s="51" t="str">
        <f>IFERROR(__xludf.DUMMYFUNCTION("""COMPUTED_VALUE"""),"HINO ZY1EWPD-XS")</f>
        <v>HINO ZY1EWPD-XS</v>
      </c>
      <c r="C240" s="51" t="str">
        <f>IFERROR(__xludf.DUMMYFUNCTION("""COMPUTED_VALUE"""),"DT-345")</f>
        <v>DT-345</v>
      </c>
    </row>
    <row r="241">
      <c r="A241" s="51" t="str">
        <f>IFERROR(__xludf.DUMMYFUNCTION("""COMPUTED_VALUE"""),"DUMP TRUCK")</f>
        <v>DUMP TRUCK</v>
      </c>
      <c r="B241" s="51" t="str">
        <f>IFERROR(__xludf.DUMMYFUNCTION("""COMPUTED_VALUE"""),"HINO ZY1EWPD-XS")</f>
        <v>HINO ZY1EWPD-XS</v>
      </c>
      <c r="C241" s="51" t="str">
        <f>IFERROR(__xludf.DUMMYFUNCTION("""COMPUTED_VALUE"""),"DT-346")</f>
        <v>DT-346</v>
      </c>
    </row>
    <row r="242">
      <c r="A242" s="51" t="str">
        <f>IFERROR(__xludf.DUMMYFUNCTION("""COMPUTED_VALUE"""),"DUMP TRUCK")</f>
        <v>DUMP TRUCK</v>
      </c>
      <c r="B242" s="51" t="str">
        <f>IFERROR(__xludf.DUMMYFUNCTION("""COMPUTED_VALUE"""),"HINO ZY1EWPD-XS")</f>
        <v>HINO ZY1EWPD-XS</v>
      </c>
      <c r="C242" s="51" t="str">
        <f>IFERROR(__xludf.DUMMYFUNCTION("""COMPUTED_VALUE"""),"DT-347")</f>
        <v>DT-347</v>
      </c>
    </row>
    <row r="243">
      <c r="A243" s="51" t="str">
        <f>IFERROR(__xludf.DUMMYFUNCTION("""COMPUTED_VALUE"""),"DUMP TRUCK")</f>
        <v>DUMP TRUCK</v>
      </c>
      <c r="B243" s="51" t="str">
        <f>IFERROR(__xludf.DUMMYFUNCTION("""COMPUTED_VALUE"""),"HINO ZY1EWPD-XS")</f>
        <v>HINO ZY1EWPD-XS</v>
      </c>
      <c r="C243" s="51" t="str">
        <f>IFERROR(__xludf.DUMMYFUNCTION("""COMPUTED_VALUE"""),"DT-348")</f>
        <v>DT-348</v>
      </c>
    </row>
    <row r="244">
      <c r="A244" s="51" t="str">
        <f>IFERROR(__xludf.DUMMYFUNCTION("""COMPUTED_VALUE"""),"DUMP TRUCK")</f>
        <v>DUMP TRUCK</v>
      </c>
      <c r="B244" s="51" t="str">
        <f>IFERROR(__xludf.DUMMYFUNCTION("""COMPUTED_VALUE"""),"HINO ZY1EWPD-XS")</f>
        <v>HINO ZY1EWPD-XS</v>
      </c>
      <c r="C244" s="51" t="str">
        <f>IFERROR(__xludf.DUMMYFUNCTION("""COMPUTED_VALUE"""),"DT-349")</f>
        <v>DT-349</v>
      </c>
    </row>
    <row r="245">
      <c r="A245" s="51" t="str">
        <f>IFERROR(__xludf.DUMMYFUNCTION("""COMPUTED_VALUE"""),"DUMP TRUCK")</f>
        <v>DUMP TRUCK</v>
      </c>
      <c r="B245" s="51" t="str">
        <f>IFERROR(__xludf.DUMMYFUNCTION("""COMPUTED_VALUE"""),"HINO ZY1EWPD-XS")</f>
        <v>HINO ZY1EWPD-XS</v>
      </c>
      <c r="C245" s="51" t="str">
        <f>IFERROR(__xludf.DUMMYFUNCTION("""COMPUTED_VALUE"""),"DT-350")</f>
        <v>DT-350</v>
      </c>
    </row>
    <row r="246">
      <c r="A246" s="51" t="str">
        <f>IFERROR(__xludf.DUMMYFUNCTION("""COMPUTED_VALUE"""),"DUMP TRUCK")</f>
        <v>DUMP TRUCK</v>
      </c>
      <c r="B246" s="51" t="str">
        <f>IFERROR(__xludf.DUMMYFUNCTION("""COMPUTED_VALUE"""),"HINO ZY1EWPD-XS")</f>
        <v>HINO ZY1EWPD-XS</v>
      </c>
      <c r="C246" s="51" t="str">
        <f>IFERROR(__xludf.DUMMYFUNCTION("""COMPUTED_VALUE"""),"DT-351")</f>
        <v>DT-351</v>
      </c>
    </row>
    <row r="247">
      <c r="A247" s="51" t="str">
        <f>IFERROR(__xludf.DUMMYFUNCTION("""COMPUTED_VALUE"""),"DUMP TRUCK")</f>
        <v>DUMP TRUCK</v>
      </c>
      <c r="B247" s="51" t="str">
        <f>IFERROR(__xludf.DUMMYFUNCTION("""COMPUTED_VALUE"""),"HINO ZY1EWPD-XS")</f>
        <v>HINO ZY1EWPD-XS</v>
      </c>
      <c r="C247" s="51" t="str">
        <f>IFERROR(__xludf.DUMMYFUNCTION("""COMPUTED_VALUE"""),"DT-352")</f>
        <v>DT-352</v>
      </c>
    </row>
    <row r="248">
      <c r="A248" s="51" t="str">
        <f>IFERROR(__xludf.DUMMYFUNCTION("""COMPUTED_VALUE"""),"DUMP TRUCK")</f>
        <v>DUMP TRUCK</v>
      </c>
      <c r="B248" s="51" t="str">
        <f>IFERROR(__xludf.DUMMYFUNCTION("""COMPUTED_VALUE"""),"HINO ZY1EWPD-XS")</f>
        <v>HINO ZY1EWPD-XS</v>
      </c>
      <c r="C248" s="51" t="str">
        <f>IFERROR(__xludf.DUMMYFUNCTION("""COMPUTED_VALUE"""),"DT-353")</f>
        <v>DT-353</v>
      </c>
    </row>
    <row r="249">
      <c r="A249" s="51" t="str">
        <f>IFERROR(__xludf.DUMMYFUNCTION("""COMPUTED_VALUE"""),"DUMP TRUCK")</f>
        <v>DUMP TRUCK</v>
      </c>
      <c r="B249" s="51" t="str">
        <f>IFERROR(__xludf.DUMMYFUNCTION("""COMPUTED_VALUE"""),"HINO ZY1EWPD-XS")</f>
        <v>HINO ZY1EWPD-XS</v>
      </c>
      <c r="C249" s="51" t="str">
        <f>IFERROR(__xludf.DUMMYFUNCTION("""COMPUTED_VALUE"""),"DT-354")</f>
        <v>DT-354</v>
      </c>
    </row>
    <row r="250">
      <c r="A250" s="51" t="str">
        <f>IFERROR(__xludf.DUMMYFUNCTION("""COMPUTED_VALUE"""),"DUMP TRUCK")</f>
        <v>DUMP TRUCK</v>
      </c>
      <c r="B250" s="51" t="str">
        <f>IFERROR(__xludf.DUMMYFUNCTION("""COMPUTED_VALUE"""),"HINO ZY1EWPD-XS")</f>
        <v>HINO ZY1EWPD-XS</v>
      </c>
      <c r="C250" s="51" t="str">
        <f>IFERROR(__xludf.DUMMYFUNCTION("""COMPUTED_VALUE"""),"DT-355")</f>
        <v>DT-355</v>
      </c>
    </row>
    <row r="251">
      <c r="A251" s="51" t="str">
        <f>IFERROR(__xludf.DUMMYFUNCTION("""COMPUTED_VALUE"""),"DUMP TRUCK")</f>
        <v>DUMP TRUCK</v>
      </c>
      <c r="B251" s="51" t="str">
        <f>IFERROR(__xludf.DUMMYFUNCTION("""COMPUTED_VALUE"""),"HINO ZY1EWPD-XS")</f>
        <v>HINO ZY1EWPD-XS</v>
      </c>
      <c r="C251" s="51" t="str">
        <f>IFERROR(__xludf.DUMMYFUNCTION("""COMPUTED_VALUE"""),"DT-356")</f>
        <v>DT-356</v>
      </c>
    </row>
    <row r="252">
      <c r="A252" s="51" t="str">
        <f>IFERROR(__xludf.DUMMYFUNCTION("""COMPUTED_VALUE"""),"DUMP TRUCK")</f>
        <v>DUMP TRUCK</v>
      </c>
      <c r="B252" s="51" t="str">
        <f>IFERROR(__xludf.DUMMYFUNCTION("""COMPUTED_VALUE"""),"HINO ZY1EWPD-XS")</f>
        <v>HINO ZY1EWPD-XS</v>
      </c>
      <c r="C252" s="51" t="str">
        <f>IFERROR(__xludf.DUMMYFUNCTION("""COMPUTED_VALUE"""),"DT-357")</f>
        <v>DT-357</v>
      </c>
    </row>
    <row r="253">
      <c r="A253" s="51" t="str">
        <f>IFERROR(__xludf.DUMMYFUNCTION("""COMPUTED_VALUE"""),"DUMP TRUCK")</f>
        <v>DUMP TRUCK</v>
      </c>
      <c r="B253" s="51" t="str">
        <f>IFERROR(__xludf.DUMMYFUNCTION("""COMPUTED_VALUE"""),"HINO ZY1EWPD-XS")</f>
        <v>HINO ZY1EWPD-XS</v>
      </c>
      <c r="C253" s="51" t="str">
        <f>IFERROR(__xludf.DUMMYFUNCTION("""COMPUTED_VALUE"""),"DT-358")</f>
        <v>DT-358</v>
      </c>
    </row>
    <row r="254">
      <c r="A254" s="51" t="str">
        <f>IFERROR(__xludf.DUMMYFUNCTION("""COMPUTED_VALUE"""),"DUMP TRUCK")</f>
        <v>DUMP TRUCK</v>
      </c>
      <c r="B254" s="51" t="str">
        <f>IFERROR(__xludf.DUMMYFUNCTION("""COMPUTED_VALUE"""),"HINO ZY1EWPD-XS")</f>
        <v>HINO ZY1EWPD-XS</v>
      </c>
      <c r="C254" s="51" t="str">
        <f>IFERROR(__xludf.DUMMYFUNCTION("""COMPUTED_VALUE"""),"DT-359")</f>
        <v>DT-359</v>
      </c>
    </row>
    <row r="255">
      <c r="A255" s="51" t="str">
        <f>IFERROR(__xludf.DUMMYFUNCTION("""COMPUTED_VALUE"""),"DUMP TRUCK")</f>
        <v>DUMP TRUCK</v>
      </c>
      <c r="B255" s="51" t="str">
        <f>IFERROR(__xludf.DUMMYFUNCTION("""COMPUTED_VALUE"""),"HINO ZY1EWPD-XS")</f>
        <v>HINO ZY1EWPD-XS</v>
      </c>
      <c r="C255" s="51" t="str">
        <f>IFERROR(__xludf.DUMMYFUNCTION("""COMPUTED_VALUE"""),"DT-360")</f>
        <v>DT-360</v>
      </c>
    </row>
    <row r="256">
      <c r="A256" s="51" t="str">
        <f>IFERROR(__xludf.DUMMYFUNCTION("""COMPUTED_VALUE"""),"DUMP TRUCK")</f>
        <v>DUMP TRUCK</v>
      </c>
      <c r="B256" s="51" t="str">
        <f>IFERROR(__xludf.DUMMYFUNCTION("""COMPUTED_VALUE"""),"HINO ZY1EWPD-XS")</f>
        <v>HINO ZY1EWPD-XS</v>
      </c>
      <c r="C256" s="51" t="str">
        <f>IFERROR(__xludf.DUMMYFUNCTION("""COMPUTED_VALUE"""),"DT-361")</f>
        <v>DT-361</v>
      </c>
    </row>
    <row r="257">
      <c r="A257" s="51" t="str">
        <f>IFERROR(__xludf.DUMMYFUNCTION("""COMPUTED_VALUE"""),"DUMP TRUCK")</f>
        <v>DUMP TRUCK</v>
      </c>
      <c r="B257" s="51" t="str">
        <f>IFERROR(__xludf.DUMMYFUNCTION("""COMPUTED_VALUE"""),"HINO ZY1EWPD-XS")</f>
        <v>HINO ZY1EWPD-XS</v>
      </c>
      <c r="C257" s="51" t="str">
        <f>IFERROR(__xludf.DUMMYFUNCTION("""COMPUTED_VALUE"""),"DT-362")</f>
        <v>DT-362</v>
      </c>
    </row>
    <row r="258">
      <c r="A258" s="51" t="str">
        <f>IFERROR(__xludf.DUMMYFUNCTION("""COMPUTED_VALUE"""),"DUMP TRUCK")</f>
        <v>DUMP TRUCK</v>
      </c>
      <c r="B258" s="51" t="str">
        <f>IFERROR(__xludf.DUMMYFUNCTION("""COMPUTED_VALUE"""),"HINO ZY1EWPD-XS")</f>
        <v>HINO ZY1EWPD-XS</v>
      </c>
      <c r="C258" s="51" t="str">
        <f>IFERROR(__xludf.DUMMYFUNCTION("""COMPUTED_VALUE"""),"DT-363")</f>
        <v>DT-363</v>
      </c>
    </row>
    <row r="259">
      <c r="A259" s="51" t="str">
        <f>IFERROR(__xludf.DUMMYFUNCTION("""COMPUTED_VALUE"""),"DUMP TRUCK")</f>
        <v>DUMP TRUCK</v>
      </c>
      <c r="B259" s="51" t="str">
        <f>IFERROR(__xludf.DUMMYFUNCTION("""COMPUTED_VALUE"""),"HINO ZY1EWPD-XS")</f>
        <v>HINO ZY1EWPD-XS</v>
      </c>
      <c r="C259" s="51" t="str">
        <f>IFERROR(__xludf.DUMMYFUNCTION("""COMPUTED_VALUE"""),"DT-364")</f>
        <v>DT-364</v>
      </c>
    </row>
    <row r="260">
      <c r="A260" s="51" t="str">
        <f>IFERROR(__xludf.DUMMYFUNCTION("""COMPUTED_VALUE"""),"SUPPORT")</f>
        <v>SUPPORT</v>
      </c>
      <c r="B260" s="51" t="str">
        <f>IFERROR(__xludf.DUMMYFUNCTION("""COMPUTED_VALUE"""),"TAFT GT/F70")</f>
        <v>TAFT GT/F70</v>
      </c>
      <c r="C260" s="51" t="str">
        <f>IFERROR(__xludf.DUMMYFUNCTION("""COMPUTED_VALUE"""),"JEEP-01")</f>
        <v>JEEP-01</v>
      </c>
    </row>
    <row r="261">
      <c r="A261" s="51" t="str">
        <f>IFERROR(__xludf.DUMMYFUNCTION("""COMPUTED_VALUE"""),"SUPPORT")</f>
        <v>SUPPORT</v>
      </c>
      <c r="B261" s="51" t="str">
        <f>IFERROR(__xludf.DUMMYFUNCTION("""COMPUTED_VALUE"""),"TOYOTA LC VX HDJ80R/T4.2M")</f>
        <v>TOYOTA LC VX HDJ80R/T4.2M</v>
      </c>
      <c r="C261" s="51" t="str">
        <f>IFERROR(__xludf.DUMMYFUNCTION("""COMPUTED_VALUE"""),"LV-22")</f>
        <v>LV-22</v>
      </c>
    </row>
    <row r="262">
      <c r="A262" s="51" t="str">
        <f>IFERROR(__xludf.DUMMYFUNCTION("""COMPUTED_VALUE"""),"SUPPORT")</f>
        <v>SUPPORT</v>
      </c>
      <c r="B262" s="51" t="str">
        <f>IFERROR(__xludf.DUMMYFUNCTION("""COMPUTED_VALUE"""),"TOYOTA HILUX 2400")</f>
        <v>TOYOTA HILUX 2400</v>
      </c>
      <c r="C262" s="51" t="str">
        <f>IFERROR(__xludf.DUMMYFUNCTION("""COMPUTED_VALUE"""),"LV-23")</f>
        <v>LV-23</v>
      </c>
    </row>
    <row r="263">
      <c r="A263" s="51" t="str">
        <f>IFERROR(__xludf.DUMMYFUNCTION("""COMPUTED_VALUE"""),"SUPPORT")</f>
        <v>SUPPORT</v>
      </c>
      <c r="B263" s="51" t="str">
        <f>IFERROR(__xludf.DUMMYFUNCTION("""COMPUTED_VALUE"""),"PAJERO SPORT")</f>
        <v>PAJERO SPORT</v>
      </c>
      <c r="C263" s="51" t="str">
        <f>IFERROR(__xludf.DUMMYFUNCTION("""COMPUTED_VALUE"""),"LV-06")</f>
        <v>LV-06</v>
      </c>
    </row>
    <row r="264">
      <c r="A264" s="51" t="str">
        <f>IFERROR(__xludf.DUMMYFUNCTION("""COMPUTED_VALUE"""),"SUPPORT")</f>
        <v>SUPPORT</v>
      </c>
      <c r="B264" s="51" t="str">
        <f>IFERROR(__xludf.DUMMYFUNCTION("""COMPUTED_VALUE"""),"TOYOTA LC VX HDJ80R/T4.2M")</f>
        <v>TOYOTA LC VX HDJ80R/T4.2M</v>
      </c>
      <c r="C264" s="51" t="str">
        <f>IFERROR(__xludf.DUMMYFUNCTION("""COMPUTED_VALUE"""),"LV-24")</f>
        <v>LV-24</v>
      </c>
    </row>
    <row r="265">
      <c r="A265" s="51" t="str">
        <f>IFERROR(__xludf.DUMMYFUNCTION("""COMPUTED_VALUE"""),"SUPPORT")</f>
        <v>SUPPORT</v>
      </c>
      <c r="B265" s="51" t="str">
        <f>IFERROR(__xludf.DUMMYFUNCTION("""COMPUTED_VALUE"""),"MAZDA 2500")</f>
        <v>MAZDA 2500</v>
      </c>
      <c r="C265" s="51" t="str">
        <f>IFERROR(__xludf.DUMMYFUNCTION("""COMPUTED_VALUE"""),"LV-03")</f>
        <v>LV-03</v>
      </c>
    </row>
    <row r="266">
      <c r="A266" s="51" t="str">
        <f>IFERROR(__xludf.DUMMYFUNCTION("""COMPUTED_VALUE"""),"SUPPORT")</f>
        <v>SUPPORT</v>
      </c>
      <c r="B266" s="51" t="str">
        <f>IFERROR(__xludf.DUMMYFUNCTION("""COMPUTED_VALUE"""),"TOYOTA HILUX 2500")</f>
        <v>TOYOTA HILUX 2500</v>
      </c>
      <c r="C266" s="51" t="str">
        <f>IFERROR(__xludf.DUMMYFUNCTION("""COMPUTED_VALUE"""),"LV-04")</f>
        <v>LV-04</v>
      </c>
    </row>
    <row r="267">
      <c r="A267" s="51" t="str">
        <f>IFERROR(__xludf.DUMMYFUNCTION("""COMPUTED_VALUE"""),"SUPPORT")</f>
        <v>SUPPORT</v>
      </c>
      <c r="B267" s="51" t="str">
        <f>IFERROR(__xludf.DUMMYFUNCTION("""COMPUTED_VALUE"""),"TOYOTA HILUX 2500")</f>
        <v>TOYOTA HILUX 2500</v>
      </c>
      <c r="C267" s="51" t="str">
        <f>IFERROR(__xludf.DUMMYFUNCTION("""COMPUTED_VALUE"""),"LV-05")</f>
        <v>LV-05</v>
      </c>
    </row>
    <row r="268">
      <c r="A268" s="51" t="str">
        <f>IFERROR(__xludf.DUMMYFUNCTION("""COMPUTED_VALUE"""),"SUPPORT")</f>
        <v>SUPPORT</v>
      </c>
      <c r="B268" s="51" t="str">
        <f>IFERROR(__xludf.DUMMYFUNCTION("""COMPUTED_VALUE"""),"TOYOTA HILUX 2500")</f>
        <v>TOYOTA HILUX 2500</v>
      </c>
      <c r="C268" s="51" t="str">
        <f>IFERROR(__xludf.DUMMYFUNCTION("""COMPUTED_VALUE"""),"LV-06")</f>
        <v>LV-06</v>
      </c>
    </row>
    <row r="269">
      <c r="A269" s="51" t="str">
        <f>IFERROR(__xludf.DUMMYFUNCTION("""COMPUTED_VALUE"""),"SUPPORT")</f>
        <v>SUPPORT</v>
      </c>
      <c r="B269" s="51" t="str">
        <f>IFERROR(__xludf.DUMMYFUNCTION("""COMPUTED_VALUE"""),"TOYOTA HILUX 2500")</f>
        <v>TOYOTA HILUX 2500</v>
      </c>
      <c r="C269" s="51" t="str">
        <f>IFERROR(__xludf.DUMMYFUNCTION("""COMPUTED_VALUE"""),"LV-07")</f>
        <v>LV-07</v>
      </c>
    </row>
    <row r="270">
      <c r="A270" s="51" t="str">
        <f>IFERROR(__xludf.DUMMYFUNCTION("""COMPUTED_VALUE"""),"SUPPORT")</f>
        <v>SUPPORT</v>
      </c>
      <c r="B270" s="51" t="str">
        <f>IFERROR(__xludf.DUMMYFUNCTION("""COMPUTED_VALUE"""),"IZUSU D'MAX PICK UP")</f>
        <v>IZUSU D'MAX PICK UP</v>
      </c>
      <c r="C270" s="51" t="str">
        <f>IFERROR(__xludf.DUMMYFUNCTION("""COMPUTED_VALUE"""),"LV-08")</f>
        <v>LV-08</v>
      </c>
    </row>
    <row r="271">
      <c r="A271" s="51" t="str">
        <f>IFERROR(__xludf.DUMMYFUNCTION("""COMPUTED_VALUE"""),"SUPPORT")</f>
        <v>SUPPORT</v>
      </c>
      <c r="B271" s="51" t="str">
        <f>IFERROR(__xludf.DUMMYFUNCTION("""COMPUTED_VALUE"""),"PAJERO")</f>
        <v>PAJERO</v>
      </c>
      <c r="C271" s="51" t="str">
        <f>IFERROR(__xludf.DUMMYFUNCTION("""COMPUTED_VALUE"""),"LV-09")</f>
        <v>LV-09</v>
      </c>
    </row>
    <row r="272">
      <c r="A272" s="51" t="str">
        <f>IFERROR(__xludf.DUMMYFUNCTION("""COMPUTED_VALUE"""),"SUPPORT")</f>
        <v>SUPPORT</v>
      </c>
      <c r="B272" s="51" t="str">
        <f>IFERROR(__xludf.DUMMYFUNCTION("""COMPUTED_VALUE"""),"TOYOTA HILUX VNT")</f>
        <v>TOYOTA HILUX VNT</v>
      </c>
      <c r="C272" s="51" t="str">
        <f>IFERROR(__xludf.DUMMYFUNCTION("""COMPUTED_VALUE"""),"LV-10")</f>
        <v>LV-10</v>
      </c>
    </row>
    <row r="273">
      <c r="A273" s="51" t="str">
        <f>IFERROR(__xludf.DUMMYFUNCTION("""COMPUTED_VALUE"""),"SUPPORT")</f>
        <v>SUPPORT</v>
      </c>
      <c r="B273" s="51" t="str">
        <f>IFERROR(__xludf.DUMMYFUNCTION("""COMPUTED_VALUE"""),"TOYOTA HILUX VNT")</f>
        <v>TOYOTA HILUX VNT</v>
      </c>
      <c r="C273" s="51" t="str">
        <f>IFERROR(__xludf.DUMMYFUNCTION("""COMPUTED_VALUE"""),"LV-11")</f>
        <v>LV-11</v>
      </c>
    </row>
    <row r="274">
      <c r="A274" s="51" t="str">
        <f>IFERROR(__xludf.DUMMYFUNCTION("""COMPUTED_VALUE"""),"SUPPORT")</f>
        <v>SUPPORT</v>
      </c>
      <c r="B274" s="51" t="str">
        <f>IFERROR(__xludf.DUMMYFUNCTION("""COMPUTED_VALUE"""),"DAIHATSU TAFT")</f>
        <v>DAIHATSU TAFT</v>
      </c>
      <c r="C274" s="51" t="str">
        <f>IFERROR(__xludf.DUMMYFUNCTION("""COMPUTED_VALUE"""),"LV-12")</f>
        <v>LV-12</v>
      </c>
    </row>
    <row r="275">
      <c r="A275" s="51" t="str">
        <f>IFERROR(__xludf.DUMMYFUNCTION("""COMPUTED_VALUE"""),"SUPPORT")</f>
        <v>SUPPORT</v>
      </c>
      <c r="B275" s="51" t="str">
        <f>IFERROR(__xludf.DUMMYFUNCTION("""COMPUTED_VALUE"""),"FORD RANGER")</f>
        <v>FORD RANGER</v>
      </c>
      <c r="C275" s="51" t="str">
        <f>IFERROR(__xludf.DUMMYFUNCTION("""COMPUTED_VALUE"""),"LV-14")</f>
        <v>LV-14</v>
      </c>
    </row>
    <row r="276">
      <c r="A276" s="51" t="str">
        <f>IFERROR(__xludf.DUMMYFUNCTION("""COMPUTED_VALUE"""),"SUPPORT")</f>
        <v>SUPPORT</v>
      </c>
      <c r="B276" s="51" t="str">
        <f>IFERROR(__xludf.DUMMYFUNCTION("""COMPUTED_VALUE"""),"PAJERO SPORT AT")</f>
        <v>PAJERO SPORT AT</v>
      </c>
      <c r="C276" s="51" t="str">
        <f>IFERROR(__xludf.DUMMYFUNCTION("""COMPUTED_VALUE"""),"LV-15")</f>
        <v>LV-15</v>
      </c>
    </row>
    <row r="277">
      <c r="A277" s="51" t="str">
        <f>IFERROR(__xludf.DUMMYFUNCTION("""COMPUTED_VALUE"""),"SUPPORT")</f>
        <v>SUPPORT</v>
      </c>
      <c r="B277" s="51" t="str">
        <f>IFERROR(__xludf.DUMMYFUNCTION("""COMPUTED_VALUE"""),"TOYOTA HILUX 2400")</f>
        <v>TOYOTA HILUX 2400</v>
      </c>
      <c r="C277" s="51" t="str">
        <f>IFERROR(__xludf.DUMMYFUNCTION("""COMPUTED_VALUE"""),"LV-17")</f>
        <v>LV-17</v>
      </c>
    </row>
    <row r="278">
      <c r="A278" s="51" t="str">
        <f>IFERROR(__xludf.DUMMYFUNCTION("""COMPUTED_VALUE"""),"SUPPORT")</f>
        <v>SUPPORT</v>
      </c>
      <c r="B278" s="51" t="str">
        <f>IFERROR(__xludf.DUMMYFUNCTION("""COMPUTED_VALUE"""),"TOYOTA HILUX 2400")</f>
        <v>TOYOTA HILUX 2400</v>
      </c>
      <c r="C278" s="51" t="str">
        <f>IFERROR(__xludf.DUMMYFUNCTION("""COMPUTED_VALUE"""),"LV-18")</f>
        <v>LV-18</v>
      </c>
    </row>
    <row r="279">
      <c r="A279" s="51" t="str">
        <f>IFERROR(__xludf.DUMMYFUNCTION("""COMPUTED_VALUE"""),"SUPPORT")</f>
        <v>SUPPORT</v>
      </c>
      <c r="B279" s="51" t="str">
        <f>IFERROR(__xludf.DUMMYFUNCTION("""COMPUTED_VALUE"""),"TOYOTA HILUX 2400")</f>
        <v>TOYOTA HILUX 2400</v>
      </c>
      <c r="C279" s="51" t="str">
        <f>IFERROR(__xludf.DUMMYFUNCTION("""COMPUTED_VALUE"""),"LV-19")</f>
        <v>LV-19</v>
      </c>
    </row>
    <row r="280">
      <c r="A280" s="51" t="str">
        <f>IFERROR(__xludf.DUMMYFUNCTION("""COMPUTED_VALUE"""),"SUPPORT")</f>
        <v>SUPPORT</v>
      </c>
      <c r="B280" s="51" t="str">
        <f>IFERROR(__xludf.DUMMYFUNCTION("""COMPUTED_VALUE"""),"TOYOTA HILUX 2400")</f>
        <v>TOYOTA HILUX 2400</v>
      </c>
      <c r="C280" s="51" t="str">
        <f>IFERROR(__xludf.DUMMYFUNCTION("""COMPUTED_VALUE"""),"LV-20")</f>
        <v>LV-20</v>
      </c>
    </row>
    <row r="281">
      <c r="A281" s="51" t="str">
        <f>IFERROR(__xludf.DUMMYFUNCTION("""COMPUTED_VALUE"""),"SUPPORT")</f>
        <v>SUPPORT</v>
      </c>
      <c r="B281" s="51" t="str">
        <f>IFERROR(__xludf.DUMMYFUNCTION("""COMPUTED_VALUE"""),"PAJERO SPORT PAJSPO25LGLX-H4X45 MT")</f>
        <v>PAJERO SPORT PAJSPO25LGLX-H4X45 MT</v>
      </c>
      <c r="C281" s="51" t="str">
        <f>IFERROR(__xludf.DUMMYFUNCTION("""COMPUTED_VALUE"""),"LV-21")</f>
        <v>LV-21</v>
      </c>
    </row>
    <row r="282">
      <c r="A282" s="51" t="str">
        <f>IFERROR(__xludf.DUMMYFUNCTION("""COMPUTED_VALUE"""),"SUPPORT")</f>
        <v>SUPPORT</v>
      </c>
      <c r="B282" s="51" t="str">
        <f>IFERROR(__xludf.DUMMYFUNCTION("""COMPUTED_VALUE"""),"HINO FM 260 JD")</f>
        <v>HINO FM 260 JD</v>
      </c>
      <c r="C282" s="51" t="str">
        <f>IFERROR(__xludf.DUMMYFUNCTION("""COMPUTED_VALUE"""),"FT-01")</f>
        <v>FT-01</v>
      </c>
    </row>
    <row r="283">
      <c r="A283" s="51" t="str">
        <f>IFERROR(__xludf.DUMMYFUNCTION("""COMPUTED_VALUE"""),"SUPPORT")</f>
        <v>SUPPORT</v>
      </c>
      <c r="B283" s="51" t="str">
        <f>IFERROR(__xludf.DUMMYFUNCTION("""COMPUTED_VALUE"""),"HINO FM 260 JD")</f>
        <v>HINO FM 260 JD</v>
      </c>
      <c r="C283" s="51" t="str">
        <f>IFERROR(__xludf.DUMMYFUNCTION("""COMPUTED_VALUE"""),"FT-02")</f>
        <v>FT-02</v>
      </c>
    </row>
    <row r="284">
      <c r="A284" s="51" t="str">
        <f>IFERROR(__xludf.DUMMYFUNCTION("""COMPUTED_VALUE"""),"SUPPORT")</f>
        <v>SUPPORT</v>
      </c>
      <c r="B284" s="51" t="str">
        <f>IFERROR(__xludf.DUMMYFUNCTION("""COMPUTED_VALUE"""),"HINO FM 260 JD")</f>
        <v>HINO FM 260 JD</v>
      </c>
      <c r="C284" s="51" t="str">
        <f>IFERROR(__xludf.DUMMYFUNCTION("""COMPUTED_VALUE"""),"FT-03")</f>
        <v>FT-03</v>
      </c>
    </row>
    <row r="285">
      <c r="A285" s="51" t="str">
        <f>IFERROR(__xludf.DUMMYFUNCTION("""COMPUTED_VALUE"""),"SUPPORT")</f>
        <v>SUPPORT</v>
      </c>
      <c r="B285" s="51" t="str">
        <f>IFERROR(__xludf.DUMMYFUNCTION("""COMPUTED_VALUE"""),"HINO FM 260 Ti")</f>
        <v>HINO FM 260 Ti</v>
      </c>
      <c r="C285" s="51" t="str">
        <f>IFERROR(__xludf.DUMMYFUNCTION("""COMPUTED_VALUE"""),"FT-04")</f>
        <v>FT-04</v>
      </c>
    </row>
    <row r="286">
      <c r="A286" s="51" t="str">
        <f>IFERROR(__xludf.DUMMYFUNCTION("""COMPUTED_VALUE"""),"SUPPORT")</f>
        <v>SUPPORT</v>
      </c>
      <c r="B286" s="51" t="str">
        <f>IFERROR(__xludf.DUMMYFUNCTION("""COMPUTED_VALUE"""),"HINO FM 260 Ti")</f>
        <v>HINO FM 260 Ti</v>
      </c>
      <c r="C286" s="51" t="str">
        <f>IFERROR(__xludf.DUMMYFUNCTION("""COMPUTED_VALUE"""),"WT-02")</f>
        <v>WT-02</v>
      </c>
    </row>
    <row r="287">
      <c r="A287" s="51" t="str">
        <f>IFERROR(__xludf.DUMMYFUNCTION("""COMPUTED_VALUE"""),"SUPPORT")</f>
        <v>SUPPORT</v>
      </c>
      <c r="B287" s="51" t="str">
        <f>IFERROR(__xludf.DUMMYFUNCTION("""COMPUTED_VALUE"""),"HINO FM 260 Ti")</f>
        <v>HINO FM 260 Ti</v>
      </c>
      <c r="C287" s="51" t="str">
        <f>IFERROR(__xludf.DUMMYFUNCTION("""COMPUTED_VALUE"""),"WT-03")</f>
        <v>WT-03</v>
      </c>
    </row>
    <row r="288">
      <c r="A288" s="51" t="str">
        <f>IFERROR(__xludf.DUMMYFUNCTION("""COMPUTED_VALUE"""),"SUPPORT")</f>
        <v>SUPPORT</v>
      </c>
      <c r="B288" s="51" t="str">
        <f>IFERROR(__xludf.DUMMYFUNCTION("""COMPUTED_VALUE"""),"HINO 130 HD")</f>
        <v>HINO 130 HD</v>
      </c>
      <c r="C288" s="51" t="str">
        <f>IFERROR(__xludf.DUMMYFUNCTION("""COMPUTED_VALUE"""),"LT-02")</f>
        <v>LT-02</v>
      </c>
    </row>
    <row r="289">
      <c r="A289" s="51" t="str">
        <f>IFERROR(__xludf.DUMMYFUNCTION("""COMPUTED_VALUE"""),"SUPPORT")</f>
        <v>SUPPORT</v>
      </c>
      <c r="B289" s="51" t="str">
        <f>IFERROR(__xludf.DUMMYFUNCTION("""COMPUTED_VALUE"""),"DYNA RINO")</f>
        <v>DYNA RINO</v>
      </c>
      <c r="C289" s="51" t="str">
        <f>IFERROR(__xludf.DUMMYFUNCTION("""COMPUTED_VALUE"""),"LT-03")</f>
        <v>LT-03</v>
      </c>
    </row>
    <row r="290">
      <c r="A290" s="51" t="str">
        <f>IFERROR(__xludf.DUMMYFUNCTION("""COMPUTED_VALUE"""),"SUPPORT")</f>
        <v>SUPPORT</v>
      </c>
      <c r="B290" s="51" t="str">
        <f>IFERROR(__xludf.DUMMYFUNCTION("""COMPUTED_VALUE"""),"DYNA RINO")</f>
        <v>DYNA RINO</v>
      </c>
      <c r="C290" s="51" t="str">
        <f>IFERROR(__xludf.DUMMYFUNCTION("""COMPUTED_VALUE"""),"LT-03")</f>
        <v>LT-03</v>
      </c>
    </row>
    <row r="291">
      <c r="A291" s="51" t="str">
        <f>IFERROR(__xludf.DUMMYFUNCTION("""COMPUTED_VALUE"""),"SUPPORT")</f>
        <v>SUPPORT</v>
      </c>
      <c r="B291" s="51" t="str">
        <f>IFERROR(__xludf.DUMMYFUNCTION("""COMPUTED_VALUE"""),"HINO TRONTON (6X4)")</f>
        <v>HINO TRONTON (6X4)</v>
      </c>
      <c r="C291" s="51" t="str">
        <f>IFERROR(__xludf.DUMMYFUNCTION("""COMPUTED_VALUE"""),"MH-02")</f>
        <v>MH-02</v>
      </c>
    </row>
    <row r="292">
      <c r="A292" s="51" t="str">
        <f>IFERROR(__xludf.DUMMYFUNCTION("""COMPUTED_VALUE"""),"SUPPORT")</f>
        <v>SUPPORT</v>
      </c>
      <c r="B292" s="51" t="str">
        <f>IFERROR(__xludf.DUMMYFUNCTION("""COMPUTED_VALUE"""),"HINO 130 HT")</f>
        <v>HINO 130 HT</v>
      </c>
      <c r="C292" s="51" t="str">
        <f>IFERROR(__xludf.DUMMYFUNCTION("""COMPUTED_VALUE"""),"BUS BESAR-01")</f>
        <v>BUS BESAR-01</v>
      </c>
    </row>
    <row r="293">
      <c r="A293" s="51" t="str">
        <f>IFERROR(__xludf.DUMMYFUNCTION("""COMPUTED_VALUE"""),"SUPPORT")</f>
        <v>SUPPORT</v>
      </c>
      <c r="B293" s="51" t="str">
        <f>IFERROR(__xludf.DUMMYFUNCTION("""COMPUTED_VALUE"""),"MITSUBISHI PS 120")</f>
        <v>MITSUBISHI PS 120</v>
      </c>
      <c r="C293" s="51" t="str">
        <f>IFERROR(__xludf.DUMMYFUNCTION("""COMPUTED_VALUE"""),"BUS BESAR-02")</f>
        <v>BUS BESAR-02</v>
      </c>
    </row>
    <row r="294">
      <c r="A294" s="51" t="str">
        <f>IFERROR(__xludf.DUMMYFUNCTION("""COMPUTED_VALUE"""),"SUPPORT")</f>
        <v>SUPPORT</v>
      </c>
      <c r="B294" s="51" t="str">
        <f>IFERROR(__xludf.DUMMYFUNCTION("""COMPUTED_VALUE"""),"IZUSU ELF 2.8")</f>
        <v>IZUSU ELF 2.8</v>
      </c>
      <c r="C294" s="51" t="str">
        <f>IFERROR(__xludf.DUMMYFUNCTION("""COMPUTED_VALUE"""),"LT-05")</f>
        <v>LT-05</v>
      </c>
    </row>
    <row r="295">
      <c r="A295" s="51" t="str">
        <f>IFERROR(__xludf.DUMMYFUNCTION("""COMPUTED_VALUE"""),"SUPPORT")</f>
        <v>SUPPORT</v>
      </c>
      <c r="B295" s="51" t="str">
        <f>IFERROR(__xludf.DUMMYFUNCTION("""COMPUTED_VALUE"""),"HINO 130 HT")</f>
        <v>HINO 130 HT</v>
      </c>
      <c r="C295" s="51" t="str">
        <f>IFERROR(__xludf.DUMMYFUNCTION("""COMPUTED_VALUE"""),"WT-01")</f>
        <v>WT-01</v>
      </c>
    </row>
    <row r="296">
      <c r="A296" s="51" t="str">
        <f>IFERROR(__xludf.DUMMYFUNCTION("""COMPUTED_VALUE"""),"SUPPORT")</f>
        <v>SUPPORT</v>
      </c>
      <c r="B296" s="51" t="str">
        <f>IFERROR(__xludf.DUMMYFUNCTION("""COMPUTED_VALUE"""),"HINO 130 HT")</f>
        <v>HINO 130 HT</v>
      </c>
      <c r="C296" s="51" t="str">
        <f>IFERROR(__xludf.DUMMYFUNCTION("""COMPUTED_VALUE"""),"LT-04")</f>
        <v>LT-04</v>
      </c>
    </row>
    <row r="297">
      <c r="A297" s="51" t="str">
        <f>IFERROR(__xludf.DUMMYFUNCTION("""COMPUTED_VALUE"""),"SUPPORT")</f>
        <v>SUPPORT</v>
      </c>
      <c r="B297" s="51" t="str">
        <f>IFERROR(__xludf.DUMMYFUNCTION("""COMPUTED_VALUE"""),"HINO 130 HT")</f>
        <v>HINO 130 HT</v>
      </c>
      <c r="C297" s="51" t="str">
        <f>IFERROR(__xludf.DUMMYFUNCTION("""COMPUTED_VALUE"""),"MANHAUL")</f>
        <v>MANHAUL</v>
      </c>
    </row>
    <row r="298">
      <c r="A298" s="51" t="str">
        <f>IFERROR(__xludf.DUMMYFUNCTION("""COMPUTED_VALUE"""),"SUPPORT")</f>
        <v>SUPPORT</v>
      </c>
      <c r="B298" s="51" t="str">
        <f>IFERROR(__xludf.DUMMYFUNCTION("""COMPUTED_VALUE"""),"HINO WU352R-HKMRJD8B (130MDBL)")</f>
        <v>HINO WU352R-HKMRJD8B (130MDBL)</v>
      </c>
      <c r="C298" s="51" t="str">
        <f>IFERROR(__xludf.DUMMYFUNCTION("""COMPUTED_VALUE"""),"BUS-03")</f>
        <v>BUS-03</v>
      </c>
    </row>
    <row r="299">
      <c r="A299" s="51" t="str">
        <f>IFERROR(__xludf.DUMMYFUNCTION("""COMPUTED_VALUE"""),"SUPPORT")</f>
        <v>SUPPORT</v>
      </c>
      <c r="B299" s="51" t="str">
        <f>IFERROR(__xludf.DUMMYFUNCTION("""COMPUTED_VALUE"""),"HINO WU352R-HKMRJD3L (130MDL)")</f>
        <v>HINO WU352R-HKMRJD3L (130MDL)</v>
      </c>
      <c r="C299" s="51" t="str">
        <f>IFERROR(__xludf.DUMMYFUNCTION("""COMPUTED_VALUE"""),"BUS-04")</f>
        <v>BUS-04</v>
      </c>
    </row>
    <row r="300">
      <c r="A300" s="51" t="str">
        <f>IFERROR(__xludf.DUMMYFUNCTION("""COMPUTED_VALUE"""),"SUPPORT")</f>
        <v>SUPPORT</v>
      </c>
      <c r="B300" s="51" t="str">
        <f>IFERROR(__xludf.DUMMYFUNCTION("""COMPUTED_VALUE"""),"TOYOTA LC VX HDJ80R/T4.2M")</f>
        <v>TOYOTA LC VX HDJ80R/T4.2M</v>
      </c>
      <c r="C300" s="51" t="str">
        <f>IFERROR(__xludf.DUMMYFUNCTION("""COMPUTED_VALUE"""),"LV-01")</f>
        <v>LV-01</v>
      </c>
    </row>
    <row r="301">
      <c r="A301" s="51" t="str">
        <f>IFERROR(__xludf.DUMMYFUNCTION("""COMPUTED_VALUE"""),"SUPPORT")</f>
        <v>SUPPORT</v>
      </c>
      <c r="B301" s="51" t="str">
        <f>IFERROR(__xludf.DUMMYFUNCTION("""COMPUTED_VALUE"""),"TOYOTA LC VX HDJ80R")</f>
        <v>TOYOTA LC VX HDJ80R</v>
      </c>
      <c r="C301" s="51" t="str">
        <f>IFERROR(__xludf.DUMMYFUNCTION("""COMPUTED_VALUE"""),"LV-26")</f>
        <v>LV-26</v>
      </c>
    </row>
    <row r="302">
      <c r="A302" s="51" t="str">
        <f>IFERROR(__xludf.DUMMYFUNCTION("""COMPUTED_VALUE"""),"SUPPORT")</f>
        <v>SUPPORT</v>
      </c>
      <c r="B302" s="51" t="str">
        <f>IFERROR(__xludf.DUMMYFUNCTION("""COMPUTED_VALUE"""),"MITSUBISHI TRITON")</f>
        <v>MITSUBISHI TRITON</v>
      </c>
      <c r="C302" s="51" t="str">
        <f>IFERROR(__xludf.DUMMYFUNCTION("""COMPUTED_VALUE"""),"LV-08")</f>
        <v>LV-08</v>
      </c>
    </row>
    <row r="303">
      <c r="A303" s="51" t="str">
        <f>IFERROR(__xludf.DUMMYFUNCTION("""COMPUTED_VALUE"""),"SUPPORT")</f>
        <v>SUPPORT</v>
      </c>
      <c r="B303" s="51" t="str">
        <f>IFERROR(__xludf.DUMMYFUNCTION("""COMPUTED_VALUE"""),"MITSUBISHI TRITON")</f>
        <v>MITSUBISHI TRITON</v>
      </c>
      <c r="C303" s="51" t="str">
        <f>IFERROR(__xludf.DUMMYFUNCTION("""COMPUTED_VALUE"""),"LV-APP-10")</f>
        <v>LV-APP-10</v>
      </c>
    </row>
    <row r="304">
      <c r="A304" s="51" t="str">
        <f>IFERROR(__xludf.DUMMYFUNCTION("""COMPUTED_VALUE"""),"SUPPORT")</f>
        <v>SUPPORT</v>
      </c>
      <c r="B304" s="51" t="str">
        <f>IFERROR(__xludf.DUMMYFUNCTION("""COMPUTED_VALUE"""),"MITSUBISHI TRITON")</f>
        <v>MITSUBISHI TRITON</v>
      </c>
      <c r="C304" s="51" t="str">
        <f>IFERROR(__xludf.DUMMYFUNCTION("""COMPUTED_VALUE"""),"LV-27")</f>
        <v>LV-27</v>
      </c>
    </row>
    <row r="305">
      <c r="A305" s="51" t="str">
        <f>IFERROR(__xludf.DUMMYFUNCTION("""COMPUTED_VALUE"""),"SUPPORT")</f>
        <v>SUPPORT</v>
      </c>
      <c r="B305" s="51" t="str">
        <f>IFERROR(__xludf.DUMMYFUNCTION("""COMPUTED_VALUE"""),"MITSUBISHI TRITON")</f>
        <v>MITSUBISHI TRITON</v>
      </c>
      <c r="C305" s="51" t="str">
        <f>IFERROR(__xludf.DUMMYFUNCTION("""COMPUTED_VALUE"""),"LV-11")</f>
        <v>LV-11</v>
      </c>
    </row>
    <row r="306">
      <c r="A306" s="51" t="str">
        <f>IFERROR(__xludf.DUMMYFUNCTION("""COMPUTED_VALUE"""),"SUPPORT")</f>
        <v>SUPPORT</v>
      </c>
      <c r="B306" s="51" t="str">
        <f>IFERROR(__xludf.DUMMYFUNCTION("""COMPUTED_VALUE"""),"MITSUBISHI TRITON")</f>
        <v>MITSUBISHI TRITON</v>
      </c>
      <c r="C306" s="51" t="str">
        <f>IFERROR(__xludf.DUMMYFUNCTION("""COMPUTED_VALUE"""),"LV-28")</f>
        <v>LV-28</v>
      </c>
    </row>
    <row r="307">
      <c r="A307" s="51" t="str">
        <f>IFERROR(__xludf.DUMMYFUNCTION("""COMPUTED_VALUE"""),"SUPPORT")</f>
        <v>SUPPORT</v>
      </c>
      <c r="B307" s="51" t="str">
        <f>IFERROR(__xludf.DUMMYFUNCTION("""COMPUTED_VALUE"""),"MITSUBISHI TRITON")</f>
        <v>MITSUBISHI TRITON</v>
      </c>
      <c r="C307" s="51" t="str">
        <f>IFERROR(__xludf.DUMMYFUNCTION("""COMPUTED_VALUE"""),"LV-30")</f>
        <v>LV-30</v>
      </c>
    </row>
    <row r="308">
      <c r="A308" s="51" t="str">
        <f>IFERROR(__xludf.DUMMYFUNCTION("""COMPUTED_VALUE"""),"SUPPORT")</f>
        <v>SUPPORT</v>
      </c>
      <c r="B308" s="51" t="str">
        <f>IFERROR(__xludf.DUMMYFUNCTION("""COMPUTED_VALUE"""),"HINO 130 HD")</f>
        <v>HINO 130 HD</v>
      </c>
      <c r="C308" s="51" t="str">
        <f>IFERROR(__xludf.DUMMYFUNCTION("""COMPUTED_VALUE"""),"LT-06")</f>
        <v>LT-06</v>
      </c>
    </row>
    <row r="309">
      <c r="A309" s="51" t="str">
        <f>IFERROR(__xludf.DUMMYFUNCTION("""COMPUTED_VALUE"""),"SUPPORT")</f>
        <v>SUPPORT</v>
      </c>
      <c r="B309" s="51" t="str">
        <f>IFERROR(__xludf.DUMMYFUNCTION("""COMPUTED_VALUE"""),"HINO 130 HD")</f>
        <v>HINO 130 HD</v>
      </c>
      <c r="C309" s="51" t="str">
        <f>IFERROR(__xludf.DUMMYFUNCTION("""COMPUTED_VALUE"""),"LT-07")</f>
        <v>LT-07</v>
      </c>
    </row>
    <row r="310">
      <c r="A310" s="51" t="str">
        <f>IFERROR(__xludf.DUMMYFUNCTION("""COMPUTED_VALUE"""),"SUPPORT")</f>
        <v>SUPPORT</v>
      </c>
      <c r="B310" s="51" t="str">
        <f>IFERROR(__xludf.DUMMYFUNCTION("""COMPUTED_VALUE"""),"HINO SS1EKLA-WA (6x4)")</f>
        <v>HINO SS1EKLA-WA (6x4)</v>
      </c>
      <c r="C310" s="51" t="str">
        <f>IFERROR(__xludf.DUMMYFUNCTION("""COMPUTED_VALUE"""),"LOWBOY-01")</f>
        <v>LOWBOY-01</v>
      </c>
    </row>
    <row r="311">
      <c r="A311" s="51" t="str">
        <f>IFERROR(__xludf.DUMMYFUNCTION("""COMPUTED_VALUE"""),"HEAVY EQUIPMENT")</f>
        <v>HEAVY EQUIPMENT</v>
      </c>
      <c r="B311" s="51" t="str">
        <f>IFERROR(__xludf.DUMMYFUNCTION("""COMPUTED_VALUE"""),"XGMA LOADER XG955-III")</f>
        <v>XGMA LOADER XG955-III</v>
      </c>
      <c r="C311" s="51" t="str">
        <f>IFERROR(__xludf.DUMMYFUNCTION("""COMPUTED_VALUE"""),"LOADER-01")</f>
        <v>LOADER-01</v>
      </c>
    </row>
    <row r="312">
      <c r="A312" s="51" t="str">
        <f>IFERROR(__xludf.DUMMYFUNCTION("""COMPUTED_VALUE"""),"HEAVY EQUIPMENT")</f>
        <v>HEAVY EQUIPMENT</v>
      </c>
      <c r="B312" s="51" t="str">
        <f>IFERROR(__xludf.DUMMYFUNCTION("""COMPUTED_VALUE"""),"KOMATSU LOADER WA 380-3")</f>
        <v>KOMATSU LOADER WA 380-3</v>
      </c>
      <c r="C312" s="51" t="str">
        <f>IFERROR(__xludf.DUMMYFUNCTION("""COMPUTED_VALUE"""),"LOADER-02")</f>
        <v>LOADER-02</v>
      </c>
    </row>
    <row r="313">
      <c r="A313" s="51" t="str">
        <f>IFERROR(__xludf.DUMMYFUNCTION("""COMPUTED_VALUE"""),"HEAVY EQUIPMENT")</f>
        <v>HEAVY EQUIPMENT</v>
      </c>
      <c r="B313" s="51" t="str">
        <f>IFERROR(__xludf.DUMMYFUNCTION("""COMPUTED_VALUE"""),"KOMATSU BW211D-40")</f>
        <v>KOMATSU BW211D-40</v>
      </c>
      <c r="C313" s="51" t="str">
        <f>IFERROR(__xludf.DUMMYFUNCTION("""COMPUTED_VALUE"""),"BW211-06")</f>
        <v>BW211-06</v>
      </c>
    </row>
    <row r="314">
      <c r="A314" s="51" t="str">
        <f>IFERROR(__xludf.DUMMYFUNCTION("""COMPUTED_VALUE"""),"HEAVY EQUIPMENT")</f>
        <v>HEAVY EQUIPMENT</v>
      </c>
      <c r="B314" s="51" t="str">
        <f>IFERROR(__xludf.DUMMYFUNCTION("""COMPUTED_VALUE"""),"KOMATSU D65P-12")</f>
        <v>KOMATSU D65P-12</v>
      </c>
      <c r="C314" s="51" t="str">
        <f>IFERROR(__xludf.DUMMYFUNCTION("""COMPUTED_VALUE"""),"D65-04")</f>
        <v>D65-04</v>
      </c>
    </row>
    <row r="315">
      <c r="A315" s="51" t="str">
        <f>IFERROR(__xludf.DUMMYFUNCTION("""COMPUTED_VALUE"""),"HEAVY EQUIPMENT")</f>
        <v>HEAVY EQUIPMENT</v>
      </c>
      <c r="B315" s="51" t="str">
        <f>IFERROR(__xludf.DUMMYFUNCTION("""COMPUTED_VALUE"""),"KOMATSU D65P-12")</f>
        <v>KOMATSU D65P-12</v>
      </c>
      <c r="C315" s="51" t="str">
        <f>IFERROR(__xludf.DUMMYFUNCTION("""COMPUTED_VALUE"""),"D65-03")</f>
        <v>D65-03</v>
      </c>
    </row>
    <row r="316">
      <c r="A316" s="51" t="str">
        <f>IFERROR(__xludf.DUMMYFUNCTION("""COMPUTED_VALUE"""),"HEAVY EQUIPMENT")</f>
        <v>HEAVY EQUIPMENT</v>
      </c>
      <c r="B316" s="51" t="str">
        <f>IFERROR(__xludf.DUMMYFUNCTION("""COMPUTED_VALUE"""),"KOMATSU D65P-12")</f>
        <v>KOMATSU D65P-12</v>
      </c>
      <c r="C316" s="51" t="str">
        <f>IFERROR(__xludf.DUMMYFUNCTION("""COMPUTED_VALUE"""),"D65-02")</f>
        <v>D65-02</v>
      </c>
    </row>
    <row r="317">
      <c r="A317" s="51" t="str">
        <f>IFERROR(__xludf.DUMMYFUNCTION("""COMPUTED_VALUE"""),"HEAVY EQUIPMENT")</f>
        <v>HEAVY EQUIPMENT</v>
      </c>
      <c r="B317" s="51" t="str">
        <f>IFERROR(__xludf.DUMMYFUNCTION("""COMPUTED_VALUE"""),"KOMATSU D65P-12")</f>
        <v>KOMATSU D65P-12</v>
      </c>
      <c r="C317" s="51" t="str">
        <f>IFERROR(__xludf.DUMMYFUNCTION("""COMPUTED_VALUE"""),"D65-07")</f>
        <v>D65-07</v>
      </c>
    </row>
    <row r="318">
      <c r="A318" s="51" t="str">
        <f>IFERROR(__xludf.DUMMYFUNCTION("""COMPUTED_VALUE"""),"HEAVY EQUIPMENT")</f>
        <v>HEAVY EQUIPMENT</v>
      </c>
      <c r="B318" s="51" t="str">
        <f>IFERROR(__xludf.DUMMYFUNCTION("""COMPUTED_VALUE"""),"KOMATSU D65P-12")</f>
        <v>KOMATSU D65P-12</v>
      </c>
      <c r="C318" s="51" t="str">
        <f>IFERROR(__xludf.DUMMYFUNCTION("""COMPUTED_VALUE"""),"D65-01")</f>
        <v>D65-01</v>
      </c>
    </row>
    <row r="319">
      <c r="A319" s="51" t="str">
        <f>IFERROR(__xludf.DUMMYFUNCTION("""COMPUTED_VALUE"""),"HEAVY EQUIPMENT")</f>
        <v>HEAVY EQUIPMENT</v>
      </c>
      <c r="B319" s="51" t="str">
        <f>IFERROR(__xludf.DUMMYFUNCTION("""COMPUTED_VALUE"""),"KOMATSU D85ESS-2")</f>
        <v>KOMATSU D85ESS-2</v>
      </c>
      <c r="C319" s="51" t="str">
        <f>IFERROR(__xludf.DUMMYFUNCTION("""COMPUTED_VALUE"""),"D85-06")</f>
        <v>D85-06</v>
      </c>
    </row>
    <row r="320">
      <c r="A320" s="51" t="str">
        <f>IFERROR(__xludf.DUMMYFUNCTION("""COMPUTED_VALUE"""),"HEAVY EQUIPMENT")</f>
        <v>HEAVY EQUIPMENT</v>
      </c>
      <c r="B320" s="51" t="str">
        <f>IFERROR(__xludf.DUMMYFUNCTION("""COMPUTED_VALUE"""),"KOMATSU D85ESS-2")</f>
        <v>KOMATSU D85ESS-2</v>
      </c>
      <c r="C320" s="51" t="str">
        <f>IFERROR(__xludf.DUMMYFUNCTION("""COMPUTED_VALUE"""),"D85-05")</f>
        <v>D85-05</v>
      </c>
    </row>
    <row r="321">
      <c r="A321" s="51" t="str">
        <f>IFERROR(__xludf.DUMMYFUNCTION("""COMPUTED_VALUE"""),"HEAVY EQUIPMENT")</f>
        <v>HEAVY EQUIPMENT</v>
      </c>
      <c r="B321" s="51" t="str">
        <f>IFERROR(__xludf.DUMMYFUNCTION("""COMPUTED_VALUE"""),"KOMATSU D85ESS-2")</f>
        <v>KOMATSU D85ESS-2</v>
      </c>
      <c r="C321" s="51" t="str">
        <f>IFERROR(__xludf.DUMMYFUNCTION("""COMPUTED_VALUE"""),"D85-03")</f>
        <v>D85-03</v>
      </c>
    </row>
    <row r="322">
      <c r="A322" s="51" t="str">
        <f>IFERROR(__xludf.DUMMYFUNCTION("""COMPUTED_VALUE"""),"HEAVY EQUIPMENT")</f>
        <v>HEAVY EQUIPMENT</v>
      </c>
      <c r="B322" s="51" t="str">
        <f>IFERROR(__xludf.DUMMYFUNCTION("""COMPUTED_VALUE"""),"KOMATSU D85ESS-2")</f>
        <v>KOMATSU D85ESS-2</v>
      </c>
      <c r="C322" s="51" t="str">
        <f>IFERROR(__xludf.DUMMYFUNCTION("""COMPUTED_VALUE"""),"D85-02")</f>
        <v>D85-02</v>
      </c>
    </row>
    <row r="323">
      <c r="A323" s="51" t="str">
        <f>IFERROR(__xludf.DUMMYFUNCTION("""COMPUTED_VALUE"""),"HEAVY EQUIPMENT")</f>
        <v>HEAVY EQUIPMENT</v>
      </c>
      <c r="B323" s="51" t="str">
        <f>IFERROR(__xludf.DUMMYFUNCTION("""COMPUTED_VALUE"""),"KOMATSU D85ESS-2")</f>
        <v>KOMATSU D85ESS-2</v>
      </c>
      <c r="C323" s="51" t="str">
        <f>IFERROR(__xludf.DUMMYFUNCTION("""COMPUTED_VALUE"""),"D85-04")</f>
        <v>D85-04</v>
      </c>
    </row>
    <row r="324">
      <c r="A324" s="51" t="str">
        <f>IFERROR(__xludf.DUMMYFUNCTION("""COMPUTED_VALUE"""),"HEAVY EQUIPMENT")</f>
        <v>HEAVY EQUIPMENT</v>
      </c>
      <c r="B324" s="51" t="str">
        <f>IFERROR(__xludf.DUMMYFUNCTION("""COMPUTED_VALUE"""),"KOMATSU D85ESS-2")</f>
        <v>KOMATSU D85ESS-2</v>
      </c>
      <c r="C324" s="51" t="str">
        <f>IFERROR(__xludf.DUMMYFUNCTION("""COMPUTED_VALUE"""),"D85-01")</f>
        <v>D85-01</v>
      </c>
    </row>
    <row r="325">
      <c r="A325" s="51" t="str">
        <f>IFERROR(__xludf.DUMMYFUNCTION("""COMPUTED_VALUE"""),"HEAVY EQUIPMENT")</f>
        <v>HEAVY EQUIPMENT</v>
      </c>
      <c r="B325" s="51" t="str">
        <f>IFERROR(__xludf.DUMMYFUNCTION("""COMPUTED_VALUE"""),"KOMATSU D85E-SS-2")</f>
        <v>KOMATSU D85E-SS-2</v>
      </c>
      <c r="C325" s="51" t="str">
        <f>IFERROR(__xludf.DUMMYFUNCTION("""COMPUTED_VALUE"""),"D85-14")</f>
        <v>D85-14</v>
      </c>
    </row>
    <row r="326">
      <c r="A326" s="51" t="str">
        <f>IFERROR(__xludf.DUMMYFUNCTION("""COMPUTED_VALUE"""),"HEAVY EQUIPMENT")</f>
        <v>HEAVY EQUIPMENT</v>
      </c>
      <c r="B326" s="51" t="str">
        <f>IFERROR(__xludf.DUMMYFUNCTION("""COMPUTED_VALUE"""),"KOBELCO SK 200-8")</f>
        <v>KOBELCO SK 200-8</v>
      </c>
      <c r="C326" s="51" t="str">
        <f>IFERROR(__xludf.DUMMYFUNCTION("""COMPUTED_VALUE"""),"SK200-02")</f>
        <v>SK200-02</v>
      </c>
    </row>
    <row r="327">
      <c r="A327" s="51" t="str">
        <f>IFERROR(__xludf.DUMMYFUNCTION("""COMPUTED_VALUE"""),"HEAVY EQUIPMENT")</f>
        <v>HEAVY EQUIPMENT</v>
      </c>
      <c r="B327" s="51" t="str">
        <f>IFERROR(__xludf.DUMMYFUNCTION("""COMPUTED_VALUE"""),"KOBELCO SK 200-8")</f>
        <v>KOBELCO SK 200-8</v>
      </c>
      <c r="C327" s="51" t="str">
        <f>IFERROR(__xludf.DUMMYFUNCTION("""COMPUTED_VALUE"""),"SK200-03")</f>
        <v>SK200-03</v>
      </c>
    </row>
    <row r="328">
      <c r="A328" s="51" t="str">
        <f>IFERROR(__xludf.DUMMYFUNCTION("""COMPUTED_VALUE"""),"HEAVY EQUIPMENT")</f>
        <v>HEAVY EQUIPMENT</v>
      </c>
      <c r="B328" s="51" t="str">
        <f>IFERROR(__xludf.DUMMYFUNCTION("""COMPUTED_VALUE"""),"KOBELCO SK 200-8")</f>
        <v>KOBELCO SK 200-8</v>
      </c>
      <c r="C328" s="51" t="str">
        <f>IFERROR(__xludf.DUMMYFUNCTION("""COMPUTED_VALUE"""),"SK200-04")</f>
        <v>SK200-04</v>
      </c>
    </row>
    <row r="329">
      <c r="A329" s="51" t="str">
        <f>IFERROR(__xludf.DUMMYFUNCTION("""COMPUTED_VALUE"""),"HEAVY EQUIPMENT")</f>
        <v>HEAVY EQUIPMENT</v>
      </c>
      <c r="B329" s="51" t="str">
        <f>IFERROR(__xludf.DUMMYFUNCTION("""COMPUTED_VALUE"""),"KOBELCO SK 200-8")</f>
        <v>KOBELCO SK 200-8</v>
      </c>
      <c r="C329" s="51" t="str">
        <f>IFERROR(__xludf.DUMMYFUNCTION("""COMPUTED_VALUE"""),"SK200-05")</f>
        <v>SK200-05</v>
      </c>
    </row>
    <row r="330">
      <c r="A330" s="51" t="str">
        <f>IFERROR(__xludf.DUMMYFUNCTION("""COMPUTED_VALUE"""),"HEAVY EQUIPMENT")</f>
        <v>HEAVY EQUIPMENT</v>
      </c>
      <c r="B330" s="51" t="str">
        <f>IFERROR(__xludf.DUMMYFUNCTION("""COMPUTED_VALUE"""),"KOMATSU GD511A-1")</f>
        <v>KOMATSU GD511A-1</v>
      </c>
      <c r="C330" s="51" t="str">
        <f>IFERROR(__xludf.DUMMYFUNCTION("""COMPUTED_VALUE"""),"GD-02")</f>
        <v>GD-02</v>
      </c>
    </row>
    <row r="331">
      <c r="A331" s="51" t="str">
        <f>IFERROR(__xludf.DUMMYFUNCTION("""COMPUTED_VALUE"""),"HEAVY EQUIPMENT")</f>
        <v>HEAVY EQUIPMENT</v>
      </c>
      <c r="B331" s="51" t="str">
        <f>IFERROR(__xludf.DUMMYFUNCTION("""COMPUTED_VALUE"""),"KOMATSU GD511A-1")</f>
        <v>KOMATSU GD511A-1</v>
      </c>
      <c r="C331" s="51" t="str">
        <f>IFERROR(__xludf.DUMMYFUNCTION("""COMPUTED_VALUE"""),"GD-01")</f>
        <v>GD-01</v>
      </c>
    </row>
    <row r="332">
      <c r="A332" s="51" t="str">
        <f>IFERROR(__xludf.DUMMYFUNCTION("""COMPUTED_VALUE"""),"HEAVY EQUIPMENT")</f>
        <v>HEAVY EQUIPMENT</v>
      </c>
      <c r="B332" s="51" t="str">
        <f>IFERROR(__xludf.DUMMYFUNCTION("""COMPUTED_VALUE"""),"KOMATSU GD535-5")</f>
        <v>KOMATSU GD535-5</v>
      </c>
      <c r="C332" s="51" t="str">
        <f>IFERROR(__xludf.DUMMYFUNCTION("""COMPUTED_VALUE"""),"GD-12")</f>
        <v>GD-12</v>
      </c>
    </row>
    <row r="333">
      <c r="A333" s="51" t="str">
        <f>IFERROR(__xludf.DUMMYFUNCTION("""COMPUTED_VALUE"""),"HEAVY EQUIPMENT")</f>
        <v>HEAVY EQUIPMENT</v>
      </c>
      <c r="B333" s="51" t="str">
        <f>IFERROR(__xludf.DUMMYFUNCTION("""COMPUTED_VALUE"""),"KOMATSU HM400-3R")</f>
        <v>KOMATSU HM400-3R</v>
      </c>
      <c r="C333" s="51" t="str">
        <f>IFERROR(__xludf.DUMMYFUNCTION("""COMPUTED_VALUE"""),"HM400-01")</f>
        <v>HM400-01</v>
      </c>
    </row>
    <row r="334">
      <c r="A334" s="51" t="str">
        <f>IFERROR(__xludf.DUMMYFUNCTION("""COMPUTED_VALUE"""),"HEAVY EQUIPMENT")</f>
        <v>HEAVY EQUIPMENT</v>
      </c>
      <c r="B334" s="51" t="str">
        <f>IFERROR(__xludf.DUMMYFUNCTION("""COMPUTED_VALUE"""),"KOMATSU HM400-3R")</f>
        <v>KOMATSU HM400-3R</v>
      </c>
      <c r="C334" s="51" t="str">
        <f>IFERROR(__xludf.DUMMYFUNCTION("""COMPUTED_VALUE"""),"HM400-02")</f>
        <v>HM400-02</v>
      </c>
    </row>
    <row r="335">
      <c r="A335" s="51" t="str">
        <f>IFERROR(__xludf.DUMMYFUNCTION("""COMPUTED_VALUE"""),"HEAVY EQUIPMENT")</f>
        <v>HEAVY EQUIPMENT</v>
      </c>
      <c r="B335" s="51" t="str">
        <f>IFERROR(__xludf.DUMMYFUNCTION("""COMPUTED_VALUE"""),"KOMATSU HM400-3R")</f>
        <v>KOMATSU HM400-3R</v>
      </c>
      <c r="C335" s="51" t="str">
        <f>IFERROR(__xludf.DUMMYFUNCTION("""COMPUTED_VALUE"""),"HM400-03")</f>
        <v>HM400-03</v>
      </c>
    </row>
    <row r="336">
      <c r="A336" s="51" t="str">
        <f>IFERROR(__xludf.DUMMYFUNCTION("""COMPUTED_VALUE"""),"HEAVY EQUIPMENT")</f>
        <v>HEAVY EQUIPMENT</v>
      </c>
      <c r="B336" s="51" t="str">
        <f>IFERROR(__xludf.DUMMYFUNCTION("""COMPUTED_VALUE"""),"KOMATSU HM400-3R")</f>
        <v>KOMATSU HM400-3R</v>
      </c>
      <c r="C336" s="51" t="str">
        <f>IFERROR(__xludf.DUMMYFUNCTION("""COMPUTED_VALUE"""),"HM400-04")</f>
        <v>HM400-04</v>
      </c>
    </row>
    <row r="337">
      <c r="A337" s="51" t="str">
        <f>IFERROR(__xludf.DUMMYFUNCTION("""COMPUTED_VALUE"""),"HEAVY EQUIPMENT")</f>
        <v>HEAVY EQUIPMENT</v>
      </c>
      <c r="B337" s="51" t="str">
        <f>IFERROR(__xludf.DUMMYFUNCTION("""COMPUTED_VALUE"""),"KOMATSU HM400-3R")</f>
        <v>KOMATSU HM400-3R</v>
      </c>
      <c r="C337" s="51" t="str">
        <f>IFERROR(__xludf.DUMMYFUNCTION("""COMPUTED_VALUE"""),"HM400-05")</f>
        <v>HM400-05</v>
      </c>
    </row>
    <row r="338">
      <c r="A338" s="51" t="str">
        <f>IFERROR(__xludf.DUMMYFUNCTION("""COMPUTED_VALUE"""),"HEAVY EQUIPMENT")</f>
        <v>HEAVY EQUIPMENT</v>
      </c>
      <c r="B338" s="51" t="str">
        <f>IFERROR(__xludf.DUMMYFUNCTION("""COMPUTED_VALUE"""),"KOMATSU HM400")</f>
        <v>KOMATSU HM400</v>
      </c>
      <c r="C338" s="51" t="str">
        <f>IFERROR(__xludf.DUMMYFUNCTION("""COMPUTED_VALUE"""),"HM400-18")</f>
        <v>HM400-18</v>
      </c>
    </row>
    <row r="339">
      <c r="A339" s="51" t="str">
        <f>IFERROR(__xludf.DUMMYFUNCTION("""COMPUTED_VALUE"""),"HEAVY EQUIPMENT")</f>
        <v>HEAVY EQUIPMENT</v>
      </c>
      <c r="B339" s="51" t="str">
        <f>IFERROR(__xludf.DUMMYFUNCTION("""COMPUTED_VALUE"""),"KOMATSU HM400")</f>
        <v>KOMATSU HM400</v>
      </c>
      <c r="C339" s="51" t="str">
        <f>IFERROR(__xludf.DUMMYFUNCTION("""COMPUTED_VALUE"""),"HM400-19")</f>
        <v>HM400-19</v>
      </c>
    </row>
    <row r="340">
      <c r="A340" s="51" t="str">
        <f>IFERROR(__xludf.DUMMYFUNCTION("""COMPUTED_VALUE"""),"HEAVY EQUIPMENT")</f>
        <v>HEAVY EQUIPMENT</v>
      </c>
      <c r="B340" s="51" t="str">
        <f>IFERROR(__xludf.DUMMYFUNCTION("""COMPUTED_VALUE"""),"KOMATSU HM400")</f>
        <v>KOMATSU HM400</v>
      </c>
      <c r="C340" s="51" t="str">
        <f>IFERROR(__xludf.DUMMYFUNCTION("""COMPUTED_VALUE"""),"HM400-20")</f>
        <v>HM400-20</v>
      </c>
    </row>
    <row r="341">
      <c r="A341" s="51" t="str">
        <f>IFERROR(__xludf.DUMMYFUNCTION("""COMPUTED_VALUE"""),"HEAVY EQUIPMENT")</f>
        <v>HEAVY EQUIPMENT</v>
      </c>
      <c r="B341" s="51" t="str">
        <f>IFERROR(__xludf.DUMMYFUNCTION("""COMPUTED_VALUE"""),"KOMATSU HM400")</f>
        <v>KOMATSU HM400</v>
      </c>
      <c r="C341" s="51" t="str">
        <f>IFERROR(__xludf.DUMMYFUNCTION("""COMPUTED_VALUE"""),"HM400-21")</f>
        <v>HM400-21</v>
      </c>
    </row>
    <row r="342">
      <c r="A342" s="51" t="str">
        <f>IFERROR(__xludf.DUMMYFUNCTION("""COMPUTED_VALUE"""),"HEAVY EQUIPMENT")</f>
        <v>HEAVY EQUIPMENT</v>
      </c>
      <c r="B342" s="51" t="str">
        <f>IFERROR(__xludf.DUMMYFUNCTION("""COMPUTED_VALUE"""),"KOMATSU HM400")</f>
        <v>KOMATSU HM400</v>
      </c>
      <c r="C342" s="51" t="str">
        <f>IFERROR(__xludf.DUMMYFUNCTION("""COMPUTED_VALUE"""),"HM400-22")</f>
        <v>HM400-22</v>
      </c>
    </row>
    <row r="343">
      <c r="A343" s="51" t="str">
        <f>IFERROR(__xludf.DUMMYFUNCTION("""COMPUTED_VALUE"""),"HEAVY EQUIPMENT")</f>
        <v>HEAVY EQUIPMENT</v>
      </c>
      <c r="B343" s="51" t="str">
        <f>IFERROR(__xludf.DUMMYFUNCTION("""COMPUTED_VALUE"""),"KOMATSU PC195LC-8")</f>
        <v>KOMATSU PC195LC-8</v>
      </c>
      <c r="C343" s="51" t="str">
        <f>IFERROR(__xludf.DUMMYFUNCTION("""COMPUTED_VALUE"""),"PC195-01")</f>
        <v>PC195-01</v>
      </c>
    </row>
    <row r="344">
      <c r="A344" s="51" t="str">
        <f>IFERROR(__xludf.DUMMYFUNCTION("""COMPUTED_VALUE"""),"HEAVY EQUIPMENT")</f>
        <v>HEAVY EQUIPMENT</v>
      </c>
      <c r="B344" s="51" t="str">
        <f>IFERROR(__xludf.DUMMYFUNCTION("""COMPUTED_VALUE"""),"KOMATSU PC195LC-8")</f>
        <v>KOMATSU PC195LC-8</v>
      </c>
      <c r="C344" s="51" t="str">
        <f>IFERROR(__xludf.DUMMYFUNCTION("""COMPUTED_VALUE"""),"PC195-02")</f>
        <v>PC195-02</v>
      </c>
    </row>
    <row r="345">
      <c r="A345" s="51" t="str">
        <f>IFERROR(__xludf.DUMMYFUNCTION("""COMPUTED_VALUE"""),"HEAVY EQUIPMENT")</f>
        <v>HEAVY EQUIPMENT</v>
      </c>
      <c r="B345" s="51" t="str">
        <f>IFERROR(__xludf.DUMMYFUNCTION("""COMPUTED_VALUE"""),"KOMATSU PC200-8")</f>
        <v>KOMATSU PC200-8</v>
      </c>
      <c r="C345" s="51" t="str">
        <f>IFERROR(__xludf.DUMMYFUNCTION("""COMPUTED_VALUE"""),"PC200-09")</f>
        <v>PC200-09</v>
      </c>
    </row>
    <row r="346">
      <c r="A346" s="51" t="str">
        <f>IFERROR(__xludf.DUMMYFUNCTION("""COMPUTED_VALUE"""),"HEAVY EQUIPMENT")</f>
        <v>HEAVY EQUIPMENT</v>
      </c>
      <c r="B346" s="51" t="str">
        <f>IFERROR(__xludf.DUMMYFUNCTION("""COMPUTED_VALUE"""),"KOMATSU PC200-8")</f>
        <v>KOMATSU PC200-8</v>
      </c>
      <c r="C346" s="51" t="str">
        <f>IFERROR(__xludf.DUMMYFUNCTION("""COMPUTED_VALUE"""),"PC200-08")</f>
        <v>PC200-08</v>
      </c>
    </row>
    <row r="347">
      <c r="A347" s="51" t="str">
        <f>IFERROR(__xludf.DUMMYFUNCTION("""COMPUTED_VALUE"""),"HEAVY EQUIPMENT")</f>
        <v>HEAVY EQUIPMENT</v>
      </c>
      <c r="B347" s="51" t="str">
        <f>IFERROR(__xludf.DUMMYFUNCTION("""COMPUTED_VALUE"""),"KOMATSU PC200-8")</f>
        <v>KOMATSU PC200-8</v>
      </c>
      <c r="C347" s="51" t="str">
        <f>IFERROR(__xludf.DUMMYFUNCTION("""COMPUTED_VALUE"""),"PC200-06")</f>
        <v>PC200-06</v>
      </c>
    </row>
    <row r="348">
      <c r="A348" s="51" t="str">
        <f>IFERROR(__xludf.DUMMYFUNCTION("""COMPUTED_VALUE"""),"HEAVY EQUIPMENT")</f>
        <v>HEAVY EQUIPMENT</v>
      </c>
      <c r="B348" s="51" t="str">
        <f>IFERROR(__xludf.DUMMYFUNCTION("""COMPUTED_VALUE"""),"KOMATSU PC200-8")</f>
        <v>KOMATSU PC200-8</v>
      </c>
      <c r="C348" s="51" t="str">
        <f>IFERROR(__xludf.DUMMYFUNCTION("""COMPUTED_VALUE"""),"PC200-05")</f>
        <v>PC200-05</v>
      </c>
    </row>
    <row r="349">
      <c r="A349" s="51" t="str">
        <f>IFERROR(__xludf.DUMMYFUNCTION("""COMPUTED_VALUE"""),"HEAVY EQUIPMENT")</f>
        <v>HEAVY EQUIPMENT</v>
      </c>
      <c r="B349" s="51" t="str">
        <f>IFERROR(__xludf.DUMMYFUNCTION("""COMPUTED_VALUE"""),"KOMATSU PC200-8")</f>
        <v>KOMATSU PC200-8</v>
      </c>
      <c r="C349" s="51" t="str">
        <f>IFERROR(__xludf.DUMMYFUNCTION("""COMPUTED_VALUE"""),"PC200-04")</f>
        <v>PC200-04</v>
      </c>
    </row>
    <row r="350">
      <c r="A350" s="51" t="str">
        <f>IFERROR(__xludf.DUMMYFUNCTION("""COMPUTED_VALUE"""),"HEAVY EQUIPMENT")</f>
        <v>HEAVY EQUIPMENT</v>
      </c>
      <c r="B350" s="51" t="str">
        <f>IFERROR(__xludf.DUMMYFUNCTION("""COMPUTED_VALUE"""),"KOMATSU PC200-8")</f>
        <v>KOMATSU PC200-8</v>
      </c>
      <c r="C350" s="51" t="str">
        <f>IFERROR(__xludf.DUMMYFUNCTION("""COMPUTED_VALUE"""),"PC200-03")</f>
        <v>PC200-03</v>
      </c>
    </row>
    <row r="351">
      <c r="A351" s="51" t="str">
        <f>IFERROR(__xludf.DUMMYFUNCTION("""COMPUTED_VALUE"""),"HEAVY EQUIPMENT")</f>
        <v>HEAVY EQUIPMENT</v>
      </c>
      <c r="B351" s="51" t="str">
        <f>IFERROR(__xludf.DUMMYFUNCTION("""COMPUTED_VALUE"""),"KOMATSU PC200-8")</f>
        <v>KOMATSU PC200-8</v>
      </c>
      <c r="C351" s="51" t="str">
        <f>IFERROR(__xludf.DUMMYFUNCTION("""COMPUTED_VALUE"""),"PC200-07")</f>
        <v>PC200-07</v>
      </c>
    </row>
    <row r="352">
      <c r="A352" s="51" t="str">
        <f>IFERROR(__xludf.DUMMYFUNCTION("""COMPUTED_VALUE"""),"HEAVY EQUIPMENT")</f>
        <v>HEAVY EQUIPMENT</v>
      </c>
      <c r="B352" s="51" t="str">
        <f>IFERROR(__xludf.DUMMYFUNCTION("""COMPUTED_VALUE"""),"KOMATSU PC200-8M0")</f>
        <v>KOMATSU PC200-8M0</v>
      </c>
      <c r="C352" s="51" t="str">
        <f>IFERROR(__xludf.DUMMYFUNCTION("""COMPUTED_VALUE"""),"PC200-10")</f>
        <v>PC200-10</v>
      </c>
    </row>
    <row r="353">
      <c r="A353" s="51" t="str">
        <f>IFERROR(__xludf.DUMMYFUNCTION("""COMPUTED_VALUE"""),"HEAVY EQUIPMENT")</f>
        <v>HEAVY EQUIPMENT</v>
      </c>
      <c r="B353" s="51" t="str">
        <f>IFERROR(__xludf.DUMMYFUNCTION("""COMPUTED_VALUE"""),"KOMATSU PC200-8M1")</f>
        <v>KOMATSU PC200-8M1</v>
      </c>
      <c r="C353" s="51" t="str">
        <f>IFERROR(__xludf.DUMMYFUNCTION("""COMPUTED_VALUE"""),"PC200-12")</f>
        <v>PC200-12</v>
      </c>
    </row>
    <row r="354">
      <c r="A354" s="51" t="str">
        <f>IFERROR(__xludf.DUMMYFUNCTION("""COMPUTED_VALUE"""),"HEAVY EQUIPMENT")</f>
        <v>HEAVY EQUIPMENT</v>
      </c>
      <c r="B354" s="51" t="str">
        <f>IFERROR(__xludf.DUMMYFUNCTION("""COMPUTED_VALUE"""),"KOMATSU PC200-8M1")</f>
        <v>KOMATSU PC200-8M1</v>
      </c>
      <c r="C354" s="51" t="str">
        <f>IFERROR(__xludf.DUMMYFUNCTION("""COMPUTED_VALUE"""),"PC200-14")</f>
        <v>PC200-14</v>
      </c>
    </row>
    <row r="355">
      <c r="A355" s="51" t="str">
        <f>IFERROR(__xludf.DUMMYFUNCTION("""COMPUTED_VALUE"""),"HEAVY EQUIPMENT")</f>
        <v>HEAVY EQUIPMENT</v>
      </c>
      <c r="B355" s="51" t="str">
        <f>IFERROR(__xludf.DUMMYFUNCTION("""COMPUTED_VALUE"""),"KOMATSU PC200-8M1")</f>
        <v>KOMATSU PC200-8M1</v>
      </c>
      <c r="C355" s="51" t="str">
        <f>IFERROR(__xludf.DUMMYFUNCTION("""COMPUTED_VALUE"""),"PC200-15")</f>
        <v>PC200-15</v>
      </c>
    </row>
    <row r="356">
      <c r="A356" s="51" t="str">
        <f>IFERROR(__xludf.DUMMYFUNCTION("""COMPUTED_VALUE"""),"HEAVY EQUIPMENT")</f>
        <v>HEAVY EQUIPMENT</v>
      </c>
      <c r="B356" s="51" t="str">
        <f>IFERROR(__xludf.DUMMYFUNCTION("""COMPUTED_VALUE"""),"KOMATSU PC200-8M1")</f>
        <v>KOMATSU PC200-8M1</v>
      </c>
      <c r="C356" s="51" t="str">
        <f>IFERROR(__xludf.DUMMYFUNCTION("""COMPUTED_VALUE"""),"PC200-16")</f>
        <v>PC200-16</v>
      </c>
    </row>
    <row r="357">
      <c r="A357" s="51" t="str">
        <f>IFERROR(__xludf.DUMMYFUNCTION("""COMPUTED_VALUE"""),"HEAVY EQUIPMENT")</f>
        <v>HEAVY EQUIPMENT</v>
      </c>
      <c r="B357" s="51" t="str">
        <f>IFERROR(__xludf.DUMMYFUNCTION("""COMPUTED_VALUE"""),"KOMATSU PC200-8M1")</f>
        <v>KOMATSU PC200-8M1</v>
      </c>
      <c r="C357" s="51" t="str">
        <f>IFERROR(__xludf.DUMMYFUNCTION("""COMPUTED_VALUE"""),"PC200-18")</f>
        <v>PC200-18</v>
      </c>
    </row>
    <row r="358">
      <c r="A358" s="51" t="str">
        <f>IFERROR(__xludf.DUMMYFUNCTION("""COMPUTED_VALUE"""),"HEAVY EQUIPMENT")</f>
        <v>HEAVY EQUIPMENT</v>
      </c>
      <c r="B358" s="51" t="str">
        <f>IFERROR(__xludf.DUMMYFUNCTION("""COMPUTED_VALUE"""),"KOMATSU PC200-8M1")</f>
        <v>KOMATSU PC200-8M1</v>
      </c>
      <c r="C358" s="51" t="str">
        <f>IFERROR(__xludf.DUMMYFUNCTION("""COMPUTED_VALUE"""),"PC200-17")</f>
        <v>PC200-17</v>
      </c>
    </row>
    <row r="359">
      <c r="A359" s="51" t="str">
        <f>IFERROR(__xludf.DUMMYFUNCTION("""COMPUTED_VALUE"""),"HEAVY EQUIPMENT")</f>
        <v>HEAVY EQUIPMENT</v>
      </c>
      <c r="B359" s="51" t="str">
        <f>IFERROR(__xludf.DUMMYFUNCTION("""COMPUTED_VALUE"""),"KOMATSU PC200-8M1")</f>
        <v>KOMATSU PC200-8M1</v>
      </c>
      <c r="C359" s="51" t="str">
        <f>IFERROR(__xludf.DUMMYFUNCTION("""COMPUTED_VALUE"""),"PC200-21")</f>
        <v>PC200-21</v>
      </c>
    </row>
    <row r="360">
      <c r="A360" s="51" t="str">
        <f>IFERROR(__xludf.DUMMYFUNCTION("""COMPUTED_VALUE"""),"HEAVY EQUIPMENT")</f>
        <v>HEAVY EQUIPMENT</v>
      </c>
      <c r="B360" s="51" t="str">
        <f>IFERROR(__xludf.DUMMYFUNCTION("""COMPUTED_VALUE"""),"KOMATSU PC200-8M1")</f>
        <v>KOMATSU PC200-8M1</v>
      </c>
      <c r="C360" s="51" t="str">
        <f>IFERROR(__xludf.DUMMYFUNCTION("""COMPUTED_VALUE"""),"PC200-22")</f>
        <v>PC200-22</v>
      </c>
    </row>
    <row r="361">
      <c r="A361" s="51" t="str">
        <f>IFERROR(__xludf.DUMMYFUNCTION("""COMPUTED_VALUE"""),"HEAVY EQUIPMENT")</f>
        <v>HEAVY EQUIPMENT</v>
      </c>
      <c r="B361" s="51" t="str">
        <f>IFERROR(__xludf.DUMMYFUNCTION("""COMPUTED_VALUE"""),"KOMATSU PC200-8M1")</f>
        <v>KOMATSU PC200-8M1</v>
      </c>
      <c r="C361" s="51" t="str">
        <f>IFERROR(__xludf.DUMMYFUNCTION("""COMPUTED_VALUE"""),"PC200-23")</f>
        <v>PC200-23</v>
      </c>
    </row>
    <row r="362">
      <c r="A362" s="51" t="str">
        <f>IFERROR(__xludf.DUMMYFUNCTION("""COMPUTED_VALUE"""),"HEAVY EQUIPMENT")</f>
        <v>HEAVY EQUIPMENT</v>
      </c>
      <c r="B362" s="51" t="str">
        <f>IFERROR(__xludf.DUMMYFUNCTION("""COMPUTED_VALUE"""),"KOMATSU PC200-8M1")</f>
        <v>KOMATSU PC200-8M1</v>
      </c>
      <c r="C362" s="51" t="str">
        <f>IFERROR(__xludf.DUMMYFUNCTION("""COMPUTED_VALUE"""),"PC200-24")</f>
        <v>PC200-24</v>
      </c>
    </row>
    <row r="363">
      <c r="A363" s="51" t="str">
        <f>IFERROR(__xludf.DUMMYFUNCTION("""COMPUTED_VALUE"""),"HEAVY EQUIPMENT")</f>
        <v>HEAVY EQUIPMENT</v>
      </c>
      <c r="B363" s="51" t="str">
        <f>IFERROR(__xludf.DUMMYFUNCTION("""COMPUTED_VALUE"""),"KOMATSU PC200-8M1")</f>
        <v>KOMATSU PC200-8M1</v>
      </c>
      <c r="C363" s="51" t="str">
        <f>IFERROR(__xludf.DUMMYFUNCTION("""COMPUTED_VALUE"""),"PC200-20")</f>
        <v>PC200-20</v>
      </c>
    </row>
    <row r="364">
      <c r="A364" s="51" t="str">
        <f>IFERROR(__xludf.DUMMYFUNCTION("""COMPUTED_VALUE"""),"HEAVY EQUIPMENT")</f>
        <v>HEAVY EQUIPMENT</v>
      </c>
      <c r="B364" s="51" t="str">
        <f>IFERROR(__xludf.DUMMYFUNCTION("""COMPUTED_VALUE"""),"KOMATSU PC200-8M1")</f>
        <v>KOMATSU PC200-8M1</v>
      </c>
      <c r="C364" s="51" t="str">
        <f>IFERROR(__xludf.DUMMYFUNCTION("""COMPUTED_VALUE"""),"PC200-19")</f>
        <v>PC200-19</v>
      </c>
    </row>
    <row r="365">
      <c r="A365" s="51" t="str">
        <f>IFERROR(__xludf.DUMMYFUNCTION("""COMPUTED_VALUE"""),"HEAVY EQUIPMENT")</f>
        <v>HEAVY EQUIPMENT</v>
      </c>
      <c r="B365" s="51" t="str">
        <f>IFERROR(__xludf.DUMMYFUNCTION("""COMPUTED_VALUE"""),"KOMATSU PC200-8M1")</f>
        <v>KOMATSU PC200-8M1</v>
      </c>
      <c r="C365" s="51" t="str">
        <f>IFERROR(__xludf.DUMMYFUNCTION("""COMPUTED_VALUE"""),"PC200-25")</f>
        <v>PC200-25</v>
      </c>
    </row>
    <row r="366">
      <c r="A366" s="51" t="str">
        <f>IFERROR(__xludf.DUMMYFUNCTION("""COMPUTED_VALUE"""),"HEAVY EQUIPMENT")</f>
        <v>HEAVY EQUIPMENT</v>
      </c>
      <c r="B366" s="51" t="str">
        <f>IFERROR(__xludf.DUMMYFUNCTION("""COMPUTED_VALUE"""),"KOMATSU PC300SE-8")</f>
        <v>KOMATSU PC300SE-8</v>
      </c>
      <c r="C366" s="51" t="str">
        <f>IFERROR(__xludf.DUMMYFUNCTION("""COMPUTED_VALUE"""),"PC300-06")</f>
        <v>PC300-06</v>
      </c>
    </row>
    <row r="367">
      <c r="A367" s="51" t="str">
        <f>IFERROR(__xludf.DUMMYFUNCTION("""COMPUTED_VALUE"""),"HEAVY EQUIPMENT")</f>
        <v>HEAVY EQUIPMENT</v>
      </c>
      <c r="B367" s="51" t="str">
        <f>IFERROR(__xludf.DUMMYFUNCTION("""COMPUTED_VALUE"""),"KOMATSU PC300SE-8")</f>
        <v>KOMATSU PC300SE-8</v>
      </c>
      <c r="C367" s="51" t="str">
        <f>IFERROR(__xludf.DUMMYFUNCTION("""COMPUTED_VALUE"""),"PC300-05")</f>
        <v>PC300-05</v>
      </c>
    </row>
    <row r="368">
      <c r="A368" s="51" t="str">
        <f>IFERROR(__xludf.DUMMYFUNCTION("""COMPUTED_VALUE"""),"HEAVY EQUIPMENT")</f>
        <v>HEAVY EQUIPMENT</v>
      </c>
      <c r="B368" s="51" t="str">
        <f>IFERROR(__xludf.DUMMYFUNCTION("""COMPUTED_VALUE"""),"KOMATSU PC300SE-8")</f>
        <v>KOMATSU PC300SE-8</v>
      </c>
      <c r="C368" s="51" t="str">
        <f>IFERROR(__xludf.DUMMYFUNCTION("""COMPUTED_VALUE"""),"PC300-04")</f>
        <v>PC300-04</v>
      </c>
    </row>
    <row r="369">
      <c r="A369" s="51" t="str">
        <f>IFERROR(__xludf.DUMMYFUNCTION("""COMPUTED_VALUE"""),"HEAVY EQUIPMENT")</f>
        <v>HEAVY EQUIPMENT</v>
      </c>
      <c r="B369" s="51" t="str">
        <f>IFERROR(__xludf.DUMMYFUNCTION("""COMPUTED_VALUE"""),"KOMATSU PC300SE-8")</f>
        <v>KOMATSU PC300SE-8</v>
      </c>
      <c r="C369" s="51" t="str">
        <f>IFERROR(__xludf.DUMMYFUNCTION("""COMPUTED_VALUE"""),"PC300-03")</f>
        <v>PC300-03</v>
      </c>
    </row>
    <row r="370">
      <c r="A370" s="51" t="str">
        <f>IFERROR(__xludf.DUMMYFUNCTION("""COMPUTED_VALUE"""),"HEAVY EQUIPMENT")</f>
        <v>HEAVY EQUIPMENT</v>
      </c>
      <c r="B370" s="51" t="str">
        <f>IFERROR(__xludf.DUMMYFUNCTION("""COMPUTED_VALUE"""),"KOMATSU PC300SE-8")</f>
        <v>KOMATSU PC300SE-8</v>
      </c>
      <c r="C370" s="51" t="str">
        <f>IFERROR(__xludf.DUMMYFUNCTION("""COMPUTED_VALUE"""),"PC300-07")</f>
        <v>PC300-07</v>
      </c>
    </row>
    <row r="371">
      <c r="A371" s="51" t="str">
        <f>IFERROR(__xludf.DUMMYFUNCTION("""COMPUTED_VALUE"""),"HEAVY EQUIPMENT")</f>
        <v>HEAVY EQUIPMENT</v>
      </c>
      <c r="B371" s="51" t="str">
        <f>IFERROR(__xludf.DUMMYFUNCTION("""COMPUTED_VALUE"""),"KOMATSU PC300SE-8")</f>
        <v>KOMATSU PC300SE-8</v>
      </c>
      <c r="C371" s="51" t="str">
        <f>IFERROR(__xludf.DUMMYFUNCTION("""COMPUTED_VALUE"""),"PC300-02")</f>
        <v>PC300-02</v>
      </c>
    </row>
    <row r="372">
      <c r="A372" s="51" t="str">
        <f>IFERROR(__xludf.DUMMYFUNCTION("""COMPUTED_VALUE"""),"HEAVY EQUIPMENT")</f>
        <v>HEAVY EQUIPMENT</v>
      </c>
      <c r="B372" s="51" t="str">
        <f>IFERROR(__xludf.DUMMYFUNCTION("""COMPUTED_VALUE"""),"KOMATSU PC300-8M0")</f>
        <v>KOMATSU PC300-8M0</v>
      </c>
      <c r="C372" s="51" t="str">
        <f>IFERROR(__xludf.DUMMYFUNCTION("""COMPUTED_VALUE"""),"PC300-12")</f>
        <v>PC300-12</v>
      </c>
    </row>
    <row r="373">
      <c r="A373" s="51" t="str">
        <f>IFERROR(__xludf.DUMMYFUNCTION("""COMPUTED_VALUE"""),"HEAVY EQUIPMENT")</f>
        <v>HEAVY EQUIPMENT</v>
      </c>
      <c r="B373" s="51" t="str">
        <f>IFERROR(__xludf.DUMMYFUNCTION("""COMPUTED_VALUE"""),"KOMATSU PC300-8M0")</f>
        <v>KOMATSU PC300-8M0</v>
      </c>
      <c r="C373" s="51" t="str">
        <f>IFERROR(__xludf.DUMMYFUNCTION("""COMPUTED_VALUE"""),"PC300-14")</f>
        <v>PC300-14</v>
      </c>
    </row>
    <row r="374">
      <c r="A374" s="51" t="str">
        <f>IFERROR(__xludf.DUMMYFUNCTION("""COMPUTED_VALUE"""),"HEAVY EQUIPMENT")</f>
        <v>HEAVY EQUIPMENT</v>
      </c>
      <c r="B374" s="51" t="str">
        <f>IFERROR(__xludf.DUMMYFUNCTION("""COMPUTED_VALUE"""),"KOMATSU PC400LCSE-8")</f>
        <v>KOMATSU PC400LCSE-8</v>
      </c>
      <c r="C374" s="51" t="str">
        <f>IFERROR(__xludf.DUMMYFUNCTION("""COMPUTED_VALUE"""),"PC400-03")</f>
        <v>PC400-03</v>
      </c>
    </row>
    <row r="375">
      <c r="A375" s="51" t="str">
        <f>IFERROR(__xludf.DUMMYFUNCTION("""COMPUTED_VALUE"""),"HEAVY EQUIPMENT")</f>
        <v>HEAVY EQUIPMENT</v>
      </c>
      <c r="B375" s="51" t="str">
        <f>IFERROR(__xludf.DUMMYFUNCTION("""COMPUTED_VALUE"""),"KOMATSU PC400LCSE-8")</f>
        <v>KOMATSU PC400LCSE-8</v>
      </c>
      <c r="C375" s="51" t="str">
        <f>IFERROR(__xludf.DUMMYFUNCTION("""COMPUTED_VALUE"""),"PC400-02")</f>
        <v>PC400-02</v>
      </c>
    </row>
    <row r="376">
      <c r="A376" s="51" t="str">
        <f>IFERROR(__xludf.DUMMYFUNCTION("""COMPUTED_VALUE"""),"HEAVY EQUIPMENT")</f>
        <v>HEAVY EQUIPMENT</v>
      </c>
      <c r="B376" s="51" t="str">
        <f>IFERROR(__xludf.DUMMYFUNCTION("""COMPUTED_VALUE"""),"KOMATSU PC400LCSE-8")</f>
        <v>KOMATSU PC400LCSE-8</v>
      </c>
      <c r="C376" s="51" t="str">
        <f>IFERROR(__xludf.DUMMYFUNCTION("""COMPUTED_VALUE"""),"PC400-04")</f>
        <v>PC400-04</v>
      </c>
    </row>
    <row r="377">
      <c r="A377" s="51" t="str">
        <f>IFERROR(__xludf.DUMMYFUNCTION("""COMPUTED_VALUE"""),"HEAVY EQUIPMENT")</f>
        <v>HEAVY EQUIPMENT</v>
      </c>
      <c r="B377" s="51" t="str">
        <f>IFERROR(__xludf.DUMMYFUNCTION("""COMPUTED_VALUE"""),"KOMATSU PC400LCSE-8")</f>
        <v>KOMATSU PC400LCSE-8</v>
      </c>
      <c r="C377" s="51" t="str">
        <f>IFERROR(__xludf.DUMMYFUNCTION("""COMPUTED_VALUE"""),"PC400-01")</f>
        <v>PC400-01</v>
      </c>
    </row>
    <row r="378">
      <c r="A378" s="51" t="str">
        <f>IFERROR(__xludf.DUMMYFUNCTION("""COMPUTED_VALUE"""),"HEAVY EQUIPMENT")</f>
        <v>HEAVY EQUIPMENT</v>
      </c>
      <c r="B378" s="51" t="str">
        <f>IFERROR(__xludf.DUMMYFUNCTION("""COMPUTED_VALUE"""),"KOMATSU PC500LC-10R")</f>
        <v>KOMATSU PC500LC-10R</v>
      </c>
      <c r="C378" s="51" t="str">
        <f>IFERROR(__xludf.DUMMYFUNCTION("""COMPUTED_VALUE"""),"PC500-01")</f>
        <v>PC500-01</v>
      </c>
    </row>
    <row r="379">
      <c r="A379" s="51" t="str">
        <f>IFERROR(__xludf.DUMMYFUNCTION("""COMPUTED_VALUE"""),"HEAVY EQUIPMENT")</f>
        <v>HEAVY EQUIPMENT</v>
      </c>
      <c r="B379" s="51" t="str">
        <f>IFERROR(__xludf.DUMMYFUNCTION("""COMPUTED_VALUE"""),"KOMATSU PC500LC-10R")</f>
        <v>KOMATSU PC500LC-10R</v>
      </c>
      <c r="C379" s="51" t="str">
        <f>IFERROR(__xludf.DUMMYFUNCTION("""COMPUTED_VALUE"""),"PC500-02")</f>
        <v>PC500-02</v>
      </c>
    </row>
    <row r="380">
      <c r="A380" s="51" t="str">
        <f>IFERROR(__xludf.DUMMYFUNCTION("""COMPUTED_VALUE"""),"HEAVY EQUIPMENT")</f>
        <v>HEAVY EQUIPMENT</v>
      </c>
      <c r="B380" s="51" t="str">
        <f>IFERROR(__xludf.DUMMYFUNCTION("""COMPUTED_VALUE"""),"KOMATSU PC500LC-10R")</f>
        <v>KOMATSU PC500LC-10R</v>
      </c>
      <c r="C380" s="51" t="str">
        <f>IFERROR(__xludf.DUMMYFUNCTION("""COMPUTED_VALUE"""),"PC500-03")</f>
        <v>PC500-03</v>
      </c>
    </row>
    <row r="381">
      <c r="A381" s="51" t="str">
        <f>IFERROR(__xludf.DUMMYFUNCTION("""COMPUTED_VALUE"""),"HEAVY EQUIPMENT")</f>
        <v>HEAVY EQUIPMENT</v>
      </c>
      <c r="B381" s="51" t="str">
        <f>IFERROR(__xludf.DUMMYFUNCTION("""COMPUTED_VALUE"""),"SAKAI SAKAI SV 525 D")</f>
        <v>SAKAI SAKAI SV 525 D</v>
      </c>
      <c r="C381" s="51" t="str">
        <f>IFERROR(__xludf.DUMMYFUNCTION("""COMPUTED_VALUE"""),"SAKAI-01")</f>
        <v>SAKAI-01</v>
      </c>
    </row>
    <row r="382">
      <c r="A382" s="51" t="str">
        <f>IFERROR(__xludf.DUMMYFUNCTION("""COMPUTED_VALUE"""),"HEAVY EQUIPMENT")</f>
        <v>HEAVY EQUIPMENT</v>
      </c>
      <c r="B382" s="51" t="str">
        <f>IFERROR(__xludf.DUMMYFUNCTION("""COMPUTED_VALUE"""),"SAKAI SAKAI SV 525 D")</f>
        <v>SAKAI SAKAI SV 525 D</v>
      </c>
      <c r="C382" s="51" t="str">
        <f>IFERROR(__xludf.DUMMYFUNCTION("""COMPUTED_VALUE"""),"SAKAI-02")</f>
        <v>SAKAI-02</v>
      </c>
    </row>
    <row r="383">
      <c r="A383" s="51" t="str">
        <f>IFERROR(__xludf.DUMMYFUNCTION("""COMPUTED_VALUE"""),"HEAVY EQUIPMENT")</f>
        <v>HEAVY EQUIPMENT</v>
      </c>
      <c r="B383" s="51" t="str">
        <f>IFERROR(__xludf.DUMMYFUNCTION("""COMPUTED_VALUE"""),"KOMATSU D65P-12")</f>
        <v>KOMATSU D65P-12</v>
      </c>
      <c r="C383" s="51" t="str">
        <f>IFERROR(__xludf.DUMMYFUNCTION("""COMPUTED_VALUE"""),"D65-12")</f>
        <v>D65-12</v>
      </c>
    </row>
    <row r="384">
      <c r="A384" s="51" t="str">
        <f>IFERROR(__xludf.DUMMYFUNCTION("""COMPUTED_VALUE"""),"HEAVY EQUIPMENT")</f>
        <v>HEAVY EQUIPMENT</v>
      </c>
      <c r="B384" s="51" t="str">
        <f>IFERROR(__xludf.DUMMYFUNCTION("""COMPUTED_VALUE"""),"KOMATSU D65P-12")</f>
        <v>KOMATSU D65P-12</v>
      </c>
      <c r="C384" s="51" t="str">
        <f>IFERROR(__xludf.DUMMYFUNCTION("""COMPUTED_VALUE"""),"D65-11")</f>
        <v>D65-11</v>
      </c>
    </row>
    <row r="385">
      <c r="A385" s="51" t="str">
        <f>IFERROR(__xludf.DUMMYFUNCTION("""COMPUTED_VALUE"""),"HEAVY EQUIPMENT")</f>
        <v>HEAVY EQUIPMENT</v>
      </c>
      <c r="B385" s="51" t="str">
        <f>IFERROR(__xludf.DUMMYFUNCTION("""COMPUTED_VALUE"""),"KOMATSU D65P-12")</f>
        <v>KOMATSU D65P-12</v>
      </c>
      <c r="C385" s="51" t="str">
        <f>IFERROR(__xludf.DUMMYFUNCTION("""COMPUTED_VALUE"""),"D65-10")</f>
        <v>D65-10</v>
      </c>
    </row>
    <row r="386">
      <c r="A386" s="51" t="str">
        <f>IFERROR(__xludf.DUMMYFUNCTION("""COMPUTED_VALUE"""),"HEAVY EQUIPMENT")</f>
        <v>HEAVY EQUIPMENT</v>
      </c>
      <c r="B386" s="51" t="str">
        <f>IFERROR(__xludf.DUMMYFUNCTION("""COMPUTED_VALUE"""),"KOMATSU D65P-12")</f>
        <v>KOMATSU D65P-12</v>
      </c>
      <c r="C386" s="51" t="str">
        <f>IFERROR(__xludf.DUMMYFUNCTION("""COMPUTED_VALUE"""),"D65-13")</f>
        <v>D65-13</v>
      </c>
    </row>
    <row r="387">
      <c r="A387" s="51" t="str">
        <f>IFERROR(__xludf.DUMMYFUNCTION("""COMPUTED_VALUE"""),"HEAVY EQUIPMENT")</f>
        <v>HEAVY EQUIPMENT</v>
      </c>
      <c r="B387" s="51" t="str">
        <f>IFERROR(__xludf.DUMMYFUNCTION("""COMPUTED_VALUE"""),"KOMATSU D65P-12")</f>
        <v>KOMATSU D65P-12</v>
      </c>
      <c r="C387" s="51" t="str">
        <f>IFERROR(__xludf.DUMMYFUNCTION("""COMPUTED_VALUE"""),"D65-14")</f>
        <v>D65-14</v>
      </c>
    </row>
    <row r="388">
      <c r="A388" s="51" t="str">
        <f>IFERROR(__xludf.DUMMYFUNCTION("""COMPUTED_VALUE"""),"HEAVY EQUIPMENT")</f>
        <v>HEAVY EQUIPMENT</v>
      </c>
      <c r="B388" s="51" t="str">
        <f>IFERROR(__xludf.DUMMYFUNCTION("""COMPUTED_VALUE"""),"KOMATSU D65P-12")</f>
        <v>KOMATSU D65P-12</v>
      </c>
      <c r="C388" s="51" t="str">
        <f>IFERROR(__xludf.DUMMYFUNCTION("""COMPUTED_VALUE"""),"D65-15")</f>
        <v>D65-15</v>
      </c>
    </row>
    <row r="389">
      <c r="A389" s="51" t="str">
        <f>IFERROR(__xludf.DUMMYFUNCTION("""COMPUTED_VALUE"""),"HEAVY EQUIPMENT")</f>
        <v>HEAVY EQUIPMENT</v>
      </c>
      <c r="B389" s="51" t="str">
        <f>IFERROR(__xludf.DUMMYFUNCTION("""COMPUTED_VALUE"""),"KOMATSU D65P-12")</f>
        <v>KOMATSU D65P-12</v>
      </c>
      <c r="C389" s="51" t="str">
        <f>IFERROR(__xludf.DUMMYFUNCTION("""COMPUTED_VALUE"""),"D65-16")</f>
        <v>D65-16</v>
      </c>
    </row>
    <row r="390">
      <c r="A390" s="51" t="str">
        <f>IFERROR(__xludf.DUMMYFUNCTION("""COMPUTED_VALUE"""),"HEAVY EQUIPMENT")</f>
        <v>HEAVY EQUIPMENT</v>
      </c>
      <c r="B390" s="51" t="str">
        <f>IFERROR(__xludf.DUMMYFUNCTION("""COMPUTED_VALUE"""),"KOMATSU D65P-12")</f>
        <v>KOMATSU D65P-12</v>
      </c>
      <c r="C390" s="51" t="str">
        <f>IFERROR(__xludf.DUMMYFUNCTION("""COMPUTED_VALUE"""),"D65-17")</f>
        <v>D65-17</v>
      </c>
    </row>
    <row r="391">
      <c r="A391" s="51" t="str">
        <f>IFERROR(__xludf.DUMMYFUNCTION("""COMPUTED_VALUE"""),"HEAVY EQUIPMENT")</f>
        <v>HEAVY EQUIPMENT</v>
      </c>
      <c r="B391" s="51" t="str">
        <f>IFERROR(__xludf.DUMMYFUNCTION("""COMPUTED_VALUE"""),"KOMATSU D65P-12")</f>
        <v>KOMATSU D65P-12</v>
      </c>
      <c r="C391" s="51" t="str">
        <f>IFERROR(__xludf.DUMMYFUNCTION("""COMPUTED_VALUE"""),"D65-18")</f>
        <v>D65-18</v>
      </c>
    </row>
    <row r="392">
      <c r="A392" s="51" t="str">
        <f>IFERROR(__xludf.DUMMYFUNCTION("""COMPUTED_VALUE"""),"HEAVY EQUIPMENT")</f>
        <v>HEAVY EQUIPMENT</v>
      </c>
      <c r="B392" s="51" t="str">
        <f>IFERROR(__xludf.DUMMYFUNCTION("""COMPUTED_VALUE"""),"KOMATSU D85ESS-2")</f>
        <v>KOMATSU D85ESS-2</v>
      </c>
      <c r="C392" s="51" t="str">
        <f>IFERROR(__xludf.DUMMYFUNCTION("""COMPUTED_VALUE"""),"D85-12")</f>
        <v>D85-12</v>
      </c>
    </row>
    <row r="393">
      <c r="A393" s="51" t="str">
        <f>IFERROR(__xludf.DUMMYFUNCTION("""COMPUTED_VALUE"""),"HEAVY EQUIPMENT")</f>
        <v>HEAVY EQUIPMENT</v>
      </c>
      <c r="B393" s="51" t="str">
        <f>IFERROR(__xludf.DUMMYFUNCTION("""COMPUTED_VALUE"""),"KOMATSU D85ESS-2")</f>
        <v>KOMATSU D85ESS-2</v>
      </c>
      <c r="C393" s="51" t="str">
        <f>IFERROR(__xludf.DUMMYFUNCTION("""COMPUTED_VALUE"""),"D85-11")</f>
        <v>D85-11</v>
      </c>
    </row>
    <row r="394">
      <c r="A394" s="51" t="str">
        <f>IFERROR(__xludf.DUMMYFUNCTION("""COMPUTED_VALUE"""),"HEAVY EQUIPMENT")</f>
        <v>HEAVY EQUIPMENT</v>
      </c>
      <c r="B394" s="51" t="str">
        <f>IFERROR(__xludf.DUMMYFUNCTION("""COMPUTED_VALUE"""),"KOMATSU D85ESS-2")</f>
        <v>KOMATSU D85ESS-2</v>
      </c>
      <c r="C394" s="51" t="str">
        <f>IFERROR(__xludf.DUMMYFUNCTION("""COMPUTED_VALUE"""),"D85-10")</f>
        <v>D85-10</v>
      </c>
    </row>
    <row r="395">
      <c r="A395" s="51" t="str">
        <f>IFERROR(__xludf.DUMMYFUNCTION("""COMPUTED_VALUE"""),"HEAVY EQUIPMENT")</f>
        <v>HEAVY EQUIPMENT</v>
      </c>
      <c r="B395" s="51" t="str">
        <f>IFERROR(__xludf.DUMMYFUNCTION("""COMPUTED_VALUE"""),"KOMATSU D85ESS-2")</f>
        <v>KOMATSU D85ESS-2</v>
      </c>
      <c r="C395" s="51" t="str">
        <f>IFERROR(__xludf.DUMMYFUNCTION("""COMPUTED_VALUE"""),"D85-15")</f>
        <v>D85-15</v>
      </c>
    </row>
    <row r="396">
      <c r="A396" s="51" t="str">
        <f>IFERROR(__xludf.DUMMYFUNCTION("""COMPUTED_VALUE"""),"HEAVY EQUIPMENT")</f>
        <v>HEAVY EQUIPMENT</v>
      </c>
      <c r="B396" s="51" t="str">
        <f>IFERROR(__xludf.DUMMYFUNCTION("""COMPUTED_VALUE"""),"KOMATSU D85ESS-2")</f>
        <v>KOMATSU D85ESS-2</v>
      </c>
      <c r="C396" s="51" t="str">
        <f>IFERROR(__xludf.DUMMYFUNCTION("""COMPUTED_VALUE"""),"D85-16")</f>
        <v>D85-16</v>
      </c>
    </row>
    <row r="397">
      <c r="A397" s="51" t="str">
        <f>IFERROR(__xludf.DUMMYFUNCTION("""COMPUTED_VALUE"""),"HEAVY EQUIPMENT")</f>
        <v>HEAVY EQUIPMENT</v>
      </c>
      <c r="B397" s="51" t="str">
        <f>IFERROR(__xludf.DUMMYFUNCTION("""COMPUTED_VALUE"""),"KOMATSU D85ESS-2")</f>
        <v>KOMATSU D85ESS-2</v>
      </c>
      <c r="C397" s="51" t="str">
        <f>IFERROR(__xludf.DUMMYFUNCTION("""COMPUTED_VALUE"""),"D85-17")</f>
        <v>D85-17</v>
      </c>
    </row>
    <row r="398">
      <c r="A398" s="51" t="str">
        <f>IFERROR(__xludf.DUMMYFUNCTION("""COMPUTED_VALUE"""),"HEAVY EQUIPMENT")</f>
        <v>HEAVY EQUIPMENT</v>
      </c>
      <c r="B398" s="51" t="str">
        <f>IFERROR(__xludf.DUMMYFUNCTION("""COMPUTED_VALUE"""),"KOMATSU D85ESS-2")</f>
        <v>KOMATSU D85ESS-2</v>
      </c>
      <c r="C398" s="51" t="str">
        <f>IFERROR(__xludf.DUMMYFUNCTION("""COMPUTED_VALUE"""),"D85-18")</f>
        <v>D85-18</v>
      </c>
    </row>
    <row r="399">
      <c r="A399" s="51" t="str">
        <f>IFERROR(__xludf.DUMMYFUNCTION("""COMPUTED_VALUE"""),"HEAVY EQUIPMENT")</f>
        <v>HEAVY EQUIPMENT</v>
      </c>
      <c r="B399" s="51" t="str">
        <f>IFERROR(__xludf.DUMMYFUNCTION("""COMPUTED_VALUE"""),"KOMATSU D85ESS-2")</f>
        <v>KOMATSU D85ESS-2</v>
      </c>
      <c r="C399" s="51" t="str">
        <f>IFERROR(__xludf.DUMMYFUNCTION("""COMPUTED_VALUE"""),"D85-19")</f>
        <v>D85-19</v>
      </c>
    </row>
    <row r="400">
      <c r="A400" s="51" t="str">
        <f>IFERROR(__xludf.DUMMYFUNCTION("""COMPUTED_VALUE"""),"HEAVY EQUIPMENT")</f>
        <v>HEAVY EQUIPMENT</v>
      </c>
      <c r="B400" s="51" t="str">
        <f>IFERROR(__xludf.DUMMYFUNCTION("""COMPUTED_VALUE"""),"KOMATSU D85ESS-2")</f>
        <v>KOMATSU D85ESS-2</v>
      </c>
      <c r="C400" s="51" t="str">
        <f>IFERROR(__xludf.DUMMYFUNCTION("""COMPUTED_VALUE"""),"D85-20")</f>
        <v>D85-20</v>
      </c>
    </row>
    <row r="401">
      <c r="A401" s="51" t="str">
        <f>IFERROR(__xludf.DUMMYFUNCTION("""COMPUTED_VALUE"""),"HEAVY EQUIPMENT")</f>
        <v>HEAVY EQUIPMENT</v>
      </c>
      <c r="B401" s="51" t="str">
        <f>IFERROR(__xludf.DUMMYFUNCTION("""COMPUTED_VALUE"""),"KOBELCO SK200-10")</f>
        <v>KOBELCO SK200-10</v>
      </c>
      <c r="C401" s="51" t="str">
        <f>IFERROR(__xludf.DUMMYFUNCTION("""COMPUTED_VALUE"""),"SK200-10")</f>
        <v>SK200-10</v>
      </c>
    </row>
    <row r="402">
      <c r="A402" s="51" t="str">
        <f>IFERROR(__xludf.DUMMYFUNCTION("""COMPUTED_VALUE"""),"HEAVY EQUIPMENT")</f>
        <v>HEAVY EQUIPMENT</v>
      </c>
      <c r="B402" s="51" t="str">
        <f>IFERROR(__xludf.DUMMYFUNCTION("""COMPUTED_VALUE"""),"KOBELCO SK200-10")</f>
        <v>KOBELCO SK200-10</v>
      </c>
      <c r="C402" s="51" t="str">
        <f>IFERROR(__xludf.DUMMYFUNCTION("""COMPUTED_VALUE"""),"SK200-11")</f>
        <v>SK200-11</v>
      </c>
    </row>
    <row r="403">
      <c r="A403" s="51" t="str">
        <f>IFERROR(__xludf.DUMMYFUNCTION("""COMPUTED_VALUE"""),"HEAVY EQUIPMENT")</f>
        <v>HEAVY EQUIPMENT</v>
      </c>
      <c r="B403" s="51" t="str">
        <f>IFERROR(__xludf.DUMMYFUNCTION("""COMPUTED_VALUE"""),"KOBELCO SK200-10")</f>
        <v>KOBELCO SK200-10</v>
      </c>
      <c r="C403" s="51" t="str">
        <f>IFERROR(__xludf.DUMMYFUNCTION("""COMPUTED_VALUE"""),"SK200-12")</f>
        <v>SK200-12</v>
      </c>
    </row>
    <row r="404">
      <c r="A404" s="51" t="str">
        <f>IFERROR(__xludf.DUMMYFUNCTION("""COMPUTED_VALUE"""),"HEAVY EQUIPMENT")</f>
        <v>HEAVY EQUIPMENT</v>
      </c>
      <c r="B404" s="51" t="str">
        <f>IFERROR(__xludf.DUMMYFUNCTION("""COMPUTED_VALUE"""),"KOBELCO SK200-10")</f>
        <v>KOBELCO SK200-10</v>
      </c>
      <c r="C404" s="51" t="str">
        <f>IFERROR(__xludf.DUMMYFUNCTION("""COMPUTED_VALUE"""),"SK200-13")</f>
        <v>SK200-13</v>
      </c>
    </row>
    <row r="405">
      <c r="A405" s="51" t="str">
        <f>IFERROR(__xludf.DUMMYFUNCTION("""COMPUTED_VALUE"""),"HEAVY EQUIPMENT")</f>
        <v>HEAVY EQUIPMENT</v>
      </c>
      <c r="B405" s="51" t="str">
        <f>IFERROR(__xludf.DUMMYFUNCTION("""COMPUTED_VALUE"""),"KOBELCO SK200-10")</f>
        <v>KOBELCO SK200-10</v>
      </c>
      <c r="C405" s="51" t="str">
        <f>IFERROR(__xludf.DUMMYFUNCTION("""COMPUTED_VALUE"""),"SK200-14")</f>
        <v>SK200-14</v>
      </c>
    </row>
    <row r="406">
      <c r="A406" s="51" t="str">
        <f>IFERROR(__xludf.DUMMYFUNCTION("""COMPUTED_VALUE"""),"HEAVY EQUIPMENT")</f>
        <v>HEAVY EQUIPMENT</v>
      </c>
      <c r="B406" s="51" t="str">
        <f>IFERROR(__xludf.DUMMYFUNCTION("""COMPUTED_VALUE"""),"KOBELCO SK200-10")</f>
        <v>KOBELCO SK200-10</v>
      </c>
      <c r="C406" s="51" t="str">
        <f>IFERROR(__xludf.DUMMYFUNCTION("""COMPUTED_VALUE"""),"SK200-15")</f>
        <v>SK200-15</v>
      </c>
    </row>
    <row r="407">
      <c r="A407" s="51" t="str">
        <f>IFERROR(__xludf.DUMMYFUNCTION("""COMPUTED_VALUE"""),"HEAVY EQUIPMENT")</f>
        <v>HEAVY EQUIPMENT</v>
      </c>
      <c r="B407" s="51" t="str">
        <f>IFERROR(__xludf.DUMMYFUNCTION("""COMPUTED_VALUE"""),"KOBELCO SK200-10")</f>
        <v>KOBELCO SK200-10</v>
      </c>
      <c r="C407" s="51" t="str">
        <f>IFERROR(__xludf.DUMMYFUNCTION("""COMPUTED_VALUE"""),"SK200-16")</f>
        <v>SK200-16</v>
      </c>
    </row>
    <row r="408">
      <c r="A408" s="51" t="str">
        <f>IFERROR(__xludf.DUMMYFUNCTION("""COMPUTED_VALUE"""),"HEAVY EQUIPMENT")</f>
        <v>HEAVY EQUIPMENT</v>
      </c>
      <c r="B408" s="51" t="str">
        <f>IFERROR(__xludf.DUMMYFUNCTION("""COMPUTED_VALUE"""),"KOBELCO SK200-10")</f>
        <v>KOBELCO SK200-10</v>
      </c>
      <c r="C408" s="51" t="str">
        <f>IFERROR(__xludf.DUMMYFUNCTION("""COMPUTED_VALUE"""),"SK200-17")</f>
        <v>SK200-17</v>
      </c>
    </row>
    <row r="409">
      <c r="A409" s="51" t="str">
        <f>IFERROR(__xludf.DUMMYFUNCTION("""COMPUTED_VALUE"""),"HEAVY EQUIPMENT")</f>
        <v>HEAVY EQUIPMENT</v>
      </c>
      <c r="B409" s="51" t="str">
        <f>IFERROR(__xludf.DUMMYFUNCTION("""COMPUTED_VALUE"""),"KOBELCO SK200-10")</f>
        <v>KOBELCO SK200-10</v>
      </c>
      <c r="C409" s="51" t="str">
        <f>IFERROR(__xludf.DUMMYFUNCTION("""COMPUTED_VALUE"""),"SK200-18")</f>
        <v>SK200-18</v>
      </c>
    </row>
    <row r="410">
      <c r="A410" s="51" t="str">
        <f>IFERROR(__xludf.DUMMYFUNCTION("""COMPUTED_VALUE"""),"HEAVY EQUIPMENT")</f>
        <v>HEAVY EQUIPMENT</v>
      </c>
      <c r="B410" s="51" t="str">
        <f>IFERROR(__xludf.DUMMYFUNCTION("""COMPUTED_VALUE"""),"KOBELCO SK200-10")</f>
        <v>KOBELCO SK200-10</v>
      </c>
      <c r="C410" s="51" t="str">
        <f>IFERROR(__xludf.DUMMYFUNCTION("""COMPUTED_VALUE"""),"SK200-19")</f>
        <v>SK200-19</v>
      </c>
    </row>
    <row r="411">
      <c r="A411" s="51" t="str">
        <f>IFERROR(__xludf.DUMMYFUNCTION("""COMPUTED_VALUE"""),"HEAVY EQUIPMENT")</f>
        <v>HEAVY EQUIPMENT</v>
      </c>
      <c r="B411" s="51" t="str">
        <f>IFERROR(__xludf.DUMMYFUNCTION("""COMPUTED_VALUE"""),"KOBELCO SK200-10")</f>
        <v>KOBELCO SK200-10</v>
      </c>
      <c r="C411" s="51" t="str">
        <f>IFERROR(__xludf.DUMMYFUNCTION("""COMPUTED_VALUE"""),"SK200-20")</f>
        <v>SK200-20</v>
      </c>
    </row>
    <row r="412">
      <c r="A412" s="51" t="str">
        <f>IFERROR(__xludf.DUMMYFUNCTION("""COMPUTED_VALUE"""),"HEAVY EQUIPMENT")</f>
        <v>HEAVY EQUIPMENT</v>
      </c>
      <c r="B412" s="51" t="str">
        <f>IFERROR(__xludf.DUMMYFUNCTION("""COMPUTED_VALUE"""),"KOBELCO SK330-14")</f>
        <v>KOBELCO SK330-14</v>
      </c>
      <c r="C412" s="51" t="str">
        <f>IFERROR(__xludf.DUMMYFUNCTION("""COMPUTED_VALUE"""),"SK330-10")</f>
        <v>SK330-10</v>
      </c>
    </row>
    <row r="413">
      <c r="A413" s="51" t="str">
        <f>IFERROR(__xludf.DUMMYFUNCTION("""COMPUTED_VALUE"""),"HEAVY EQUIPMENT")</f>
        <v>HEAVY EQUIPMENT</v>
      </c>
      <c r="B413" s="51" t="str">
        <f>IFERROR(__xludf.DUMMYFUNCTION("""COMPUTED_VALUE"""),"KOBELCO SK330-14")</f>
        <v>KOBELCO SK330-14</v>
      </c>
      <c r="C413" s="51" t="str">
        <f>IFERROR(__xludf.DUMMYFUNCTION("""COMPUTED_VALUE"""),"SK330-11")</f>
        <v>SK330-11</v>
      </c>
    </row>
    <row r="414">
      <c r="A414" s="51" t="str">
        <f>IFERROR(__xludf.DUMMYFUNCTION("""COMPUTED_VALUE"""),"HEAVY EQUIPMENT")</f>
        <v>HEAVY EQUIPMENT</v>
      </c>
      <c r="B414" s="51" t="str">
        <f>IFERROR(__xludf.DUMMYFUNCTION("""COMPUTED_VALUE"""),"KOBELCO SK330-14")</f>
        <v>KOBELCO SK330-14</v>
      </c>
      <c r="C414" s="51" t="str">
        <f>IFERROR(__xludf.DUMMYFUNCTION("""COMPUTED_VALUE"""),"SK330-12")</f>
        <v>SK330-12</v>
      </c>
    </row>
    <row r="415">
      <c r="A415" s="51" t="str">
        <f>IFERROR(__xludf.DUMMYFUNCTION("""COMPUTED_VALUE"""),"HEAVY EQUIPMENT")</f>
        <v>HEAVY EQUIPMENT</v>
      </c>
      <c r="B415" s="51" t="str">
        <f>IFERROR(__xludf.DUMMYFUNCTION("""COMPUTED_VALUE"""),"KOMATSU GD511A-1")</f>
        <v>KOMATSU GD511A-1</v>
      </c>
      <c r="C415" s="51" t="str">
        <f>IFERROR(__xludf.DUMMYFUNCTION("""COMPUTED_VALUE"""),"GD-03")</f>
        <v>GD-03</v>
      </c>
    </row>
    <row r="416">
      <c r="A416" s="51" t="str">
        <f>IFERROR(__xludf.DUMMYFUNCTION("""COMPUTED_VALUE"""),"HEAVY EQUIPMENT")</f>
        <v>HEAVY EQUIPMENT</v>
      </c>
      <c r="B416" s="51" t="str">
        <f>IFERROR(__xludf.DUMMYFUNCTION("""COMPUTED_VALUE"""),"KOMATSU GD535-5")</f>
        <v>KOMATSU GD535-5</v>
      </c>
      <c r="C416" s="51" t="str">
        <f>IFERROR(__xludf.DUMMYFUNCTION("""COMPUTED_VALUE"""),"GD-10")</f>
        <v>GD-10</v>
      </c>
    </row>
    <row r="417">
      <c r="A417" s="51" t="str">
        <f>IFERROR(__xludf.DUMMYFUNCTION("""COMPUTED_VALUE"""),"HEAVY EQUIPMENT")</f>
        <v>HEAVY EQUIPMENT</v>
      </c>
      <c r="B417" s="51" t="str">
        <f>IFERROR(__xludf.DUMMYFUNCTION("""COMPUTED_VALUE"""),"KOMATSU GD535-5")</f>
        <v>KOMATSU GD535-5</v>
      </c>
      <c r="C417" s="51" t="str">
        <f>IFERROR(__xludf.DUMMYFUNCTION("""COMPUTED_VALUE"""),"GD-11")</f>
        <v>GD-11</v>
      </c>
    </row>
    <row r="418">
      <c r="A418" s="51" t="str">
        <f>IFERROR(__xludf.DUMMYFUNCTION("""COMPUTED_VALUE"""),"HEAVY EQUIPMENT")</f>
        <v>HEAVY EQUIPMENT</v>
      </c>
      <c r="B418" s="51" t="str">
        <f>IFERROR(__xludf.DUMMYFUNCTION("""COMPUTED_VALUE"""),"KOMATSU HM400-3R")</f>
        <v>KOMATSU HM400-3R</v>
      </c>
      <c r="C418" s="51" t="str">
        <f>IFERROR(__xludf.DUMMYFUNCTION("""COMPUTED_VALUE"""),"HM400-06")</f>
        <v>HM400-06</v>
      </c>
    </row>
    <row r="419">
      <c r="A419" s="51" t="str">
        <f>IFERROR(__xludf.DUMMYFUNCTION("""COMPUTED_VALUE"""),"HEAVY EQUIPMENT")</f>
        <v>HEAVY EQUIPMENT</v>
      </c>
      <c r="B419" s="51" t="str">
        <f>IFERROR(__xludf.DUMMYFUNCTION("""COMPUTED_VALUE"""),"KOMATSU HM400-3R")</f>
        <v>KOMATSU HM400-3R</v>
      </c>
      <c r="C419" s="51" t="str">
        <f>IFERROR(__xludf.DUMMYFUNCTION("""COMPUTED_VALUE"""),"HM400-07")</f>
        <v>HM400-07</v>
      </c>
    </row>
    <row r="420">
      <c r="A420" s="51" t="str">
        <f>IFERROR(__xludf.DUMMYFUNCTION("""COMPUTED_VALUE"""),"HEAVY EQUIPMENT")</f>
        <v>HEAVY EQUIPMENT</v>
      </c>
      <c r="B420" s="51" t="str">
        <f>IFERROR(__xludf.DUMMYFUNCTION("""COMPUTED_VALUE"""),"KOMATSU HM400-3R")</f>
        <v>KOMATSU HM400-3R</v>
      </c>
      <c r="C420" s="51" t="str">
        <f>IFERROR(__xludf.DUMMYFUNCTION("""COMPUTED_VALUE"""),"HM400-08")</f>
        <v>HM400-08</v>
      </c>
    </row>
    <row r="421">
      <c r="A421" s="51" t="str">
        <f>IFERROR(__xludf.DUMMYFUNCTION("""COMPUTED_VALUE"""),"HEAVY EQUIPMENT")</f>
        <v>HEAVY EQUIPMENT</v>
      </c>
      <c r="B421" s="51" t="str">
        <f>IFERROR(__xludf.DUMMYFUNCTION("""COMPUTED_VALUE"""),"KOMATSU HM400-3R")</f>
        <v>KOMATSU HM400-3R</v>
      </c>
      <c r="C421" s="51" t="str">
        <f>IFERROR(__xludf.DUMMYFUNCTION("""COMPUTED_VALUE"""),"HM400-09")</f>
        <v>HM400-09</v>
      </c>
    </row>
    <row r="422">
      <c r="A422" s="51" t="str">
        <f>IFERROR(__xludf.DUMMYFUNCTION("""COMPUTED_VALUE"""),"HEAVY EQUIPMENT")</f>
        <v>HEAVY EQUIPMENT</v>
      </c>
      <c r="B422" s="51" t="str">
        <f>IFERROR(__xludf.DUMMYFUNCTION("""COMPUTED_VALUE"""),"KOMATSU HM400-3R")</f>
        <v>KOMATSU HM400-3R</v>
      </c>
      <c r="C422" s="51" t="str">
        <f>IFERROR(__xludf.DUMMYFUNCTION("""COMPUTED_VALUE"""),"HM400-10")</f>
        <v>HM400-10</v>
      </c>
    </row>
    <row r="423">
      <c r="A423" s="51" t="str">
        <f>IFERROR(__xludf.DUMMYFUNCTION("""COMPUTED_VALUE"""),"HEAVY EQUIPMENT")</f>
        <v>HEAVY EQUIPMENT</v>
      </c>
      <c r="B423" s="51" t="str">
        <f>IFERROR(__xludf.DUMMYFUNCTION("""COMPUTED_VALUE"""),"KOMATSU HM400-3R")</f>
        <v>KOMATSU HM400-3R</v>
      </c>
      <c r="C423" s="51" t="str">
        <f>IFERROR(__xludf.DUMMYFUNCTION("""COMPUTED_VALUE"""),"HM400-11")</f>
        <v>HM400-11</v>
      </c>
    </row>
    <row r="424">
      <c r="A424" s="51" t="str">
        <f>IFERROR(__xludf.DUMMYFUNCTION("""COMPUTED_VALUE"""),"HEAVY EQUIPMENT")</f>
        <v>HEAVY EQUIPMENT</v>
      </c>
      <c r="B424" s="51" t="str">
        <f>IFERROR(__xludf.DUMMYFUNCTION("""COMPUTED_VALUE"""),"KOMATSU HM400-3R")</f>
        <v>KOMATSU HM400-3R</v>
      </c>
      <c r="C424" s="51" t="str">
        <f>IFERROR(__xludf.DUMMYFUNCTION("""COMPUTED_VALUE"""),"HM400-12")</f>
        <v>HM400-12</v>
      </c>
    </row>
    <row r="425">
      <c r="A425" s="51" t="str">
        <f>IFERROR(__xludf.DUMMYFUNCTION("""COMPUTED_VALUE"""),"HEAVY EQUIPMENT")</f>
        <v>HEAVY EQUIPMENT</v>
      </c>
      <c r="B425" s="51" t="str">
        <f>IFERROR(__xludf.DUMMYFUNCTION("""COMPUTED_VALUE"""),"KOMATSU HM400-3R")</f>
        <v>KOMATSU HM400-3R</v>
      </c>
      <c r="C425" s="51" t="str">
        <f>IFERROR(__xludf.DUMMYFUNCTION("""COMPUTED_VALUE"""),"HM400-13")</f>
        <v>HM400-13</v>
      </c>
    </row>
    <row r="426">
      <c r="A426" s="51" t="str">
        <f>IFERROR(__xludf.DUMMYFUNCTION("""COMPUTED_VALUE"""),"HEAVY EQUIPMENT")</f>
        <v>HEAVY EQUIPMENT</v>
      </c>
      <c r="B426" s="51" t="str">
        <f>IFERROR(__xludf.DUMMYFUNCTION("""COMPUTED_VALUE"""),"KOMATSU HM400-3R")</f>
        <v>KOMATSU HM400-3R</v>
      </c>
      <c r="C426" s="51" t="str">
        <f>IFERROR(__xludf.DUMMYFUNCTION("""COMPUTED_VALUE"""),"HM400-14")</f>
        <v>HM400-14</v>
      </c>
    </row>
    <row r="427">
      <c r="A427" s="51" t="str">
        <f>IFERROR(__xludf.DUMMYFUNCTION("""COMPUTED_VALUE"""),"HEAVY EQUIPMENT")</f>
        <v>HEAVY EQUIPMENT</v>
      </c>
      <c r="B427" s="51" t="str">
        <f>IFERROR(__xludf.DUMMYFUNCTION("""COMPUTED_VALUE"""),"KOMATSU HM400-3R")</f>
        <v>KOMATSU HM400-3R</v>
      </c>
      <c r="C427" s="51" t="str">
        <f>IFERROR(__xludf.DUMMYFUNCTION("""COMPUTED_VALUE"""),"HM400-15")</f>
        <v>HM400-15</v>
      </c>
    </row>
    <row r="428">
      <c r="A428" s="51" t="str">
        <f>IFERROR(__xludf.DUMMYFUNCTION("""COMPUTED_VALUE"""),"HEAVY EQUIPMENT")</f>
        <v>HEAVY EQUIPMENT</v>
      </c>
      <c r="B428" s="51" t="str">
        <f>IFERROR(__xludf.DUMMYFUNCTION("""COMPUTED_VALUE"""),"KOMATSU HM400-3R")</f>
        <v>KOMATSU HM400-3R</v>
      </c>
      <c r="C428" s="51" t="str">
        <f>IFERROR(__xludf.DUMMYFUNCTION("""COMPUTED_VALUE"""),"HM400-16")</f>
        <v>HM400-16</v>
      </c>
    </row>
    <row r="429">
      <c r="A429" s="51" t="str">
        <f>IFERROR(__xludf.DUMMYFUNCTION("""COMPUTED_VALUE"""),"HEAVY EQUIPMENT")</f>
        <v>HEAVY EQUIPMENT</v>
      </c>
      <c r="B429" s="51" t="str">
        <f>IFERROR(__xludf.DUMMYFUNCTION("""COMPUTED_VALUE"""),"KOMATSU HM400-3R")</f>
        <v>KOMATSU HM400-3R</v>
      </c>
      <c r="C429" s="51" t="str">
        <f>IFERROR(__xludf.DUMMYFUNCTION("""COMPUTED_VALUE"""),"HM400-17")</f>
        <v>HM400-17</v>
      </c>
    </row>
    <row r="430">
      <c r="A430" s="51" t="str">
        <f>IFERROR(__xludf.DUMMYFUNCTION("""COMPUTED_VALUE"""),"HEAVY EQUIPMENT")</f>
        <v>HEAVY EQUIPMENT</v>
      </c>
      <c r="B430" s="51" t="str">
        <f>IFERROR(__xludf.DUMMYFUNCTION("""COMPUTED_VALUE"""),"KOMATSU HM400")</f>
        <v>KOMATSU HM400</v>
      </c>
      <c r="C430" s="51" t="str">
        <f>IFERROR(__xludf.DUMMYFUNCTION("""COMPUTED_VALUE"""),"HM400-23")</f>
        <v>HM400-23</v>
      </c>
    </row>
    <row r="431">
      <c r="A431" s="51" t="str">
        <f>IFERROR(__xludf.DUMMYFUNCTION("""COMPUTED_VALUE"""),"HEAVY EQUIPMENT")</f>
        <v>HEAVY EQUIPMENT</v>
      </c>
      <c r="B431" s="51" t="str">
        <f>IFERROR(__xludf.DUMMYFUNCTION("""COMPUTED_VALUE"""),"KOMATSU HM400")</f>
        <v>KOMATSU HM400</v>
      </c>
      <c r="C431" s="51" t="str">
        <f>IFERROR(__xludf.DUMMYFUNCTION("""COMPUTED_VALUE"""),"HM400-24")</f>
        <v>HM400-24</v>
      </c>
    </row>
    <row r="432">
      <c r="A432" s="51" t="str">
        <f>IFERROR(__xludf.DUMMYFUNCTION("""COMPUTED_VALUE"""),"HEAVY EQUIPMENT")</f>
        <v>HEAVY EQUIPMENT</v>
      </c>
      <c r="B432" s="51" t="str">
        <f>IFERROR(__xludf.DUMMYFUNCTION("""COMPUTED_VALUE"""),"KOMATSU HM400")</f>
        <v>KOMATSU HM400</v>
      </c>
      <c r="C432" s="51" t="str">
        <f>IFERROR(__xludf.DUMMYFUNCTION("""COMPUTED_VALUE"""),"HM400-25")</f>
        <v>HM400-25</v>
      </c>
    </row>
    <row r="433">
      <c r="A433" s="51" t="str">
        <f>IFERROR(__xludf.DUMMYFUNCTION("""COMPUTED_VALUE"""),"HEAVY EQUIPMENT")</f>
        <v>HEAVY EQUIPMENT</v>
      </c>
      <c r="B433" s="51" t="str">
        <f>IFERROR(__xludf.DUMMYFUNCTION("""COMPUTED_VALUE"""),"KOMATSU PC300SE-8M0")</f>
        <v>KOMATSU PC300SE-8M0</v>
      </c>
      <c r="C433" s="51" t="str">
        <f>IFERROR(__xludf.DUMMYFUNCTION("""COMPUTED_VALUE"""),"PC300-10")</f>
        <v>PC300-10</v>
      </c>
    </row>
    <row r="434">
      <c r="A434" s="51" t="str">
        <f>IFERROR(__xludf.DUMMYFUNCTION("""COMPUTED_VALUE"""),"HEAVY EQUIPMENT")</f>
        <v>HEAVY EQUIPMENT</v>
      </c>
      <c r="B434" s="51" t="str">
        <f>IFERROR(__xludf.DUMMYFUNCTION("""COMPUTED_VALUE"""),"KOMATSU PC300SE-8MO")</f>
        <v>KOMATSU PC300SE-8MO</v>
      </c>
      <c r="C434" s="51" t="str">
        <f>IFERROR(__xludf.DUMMYFUNCTION("""COMPUTED_VALUE"""),"PC300-11")</f>
        <v>PC300-11</v>
      </c>
    </row>
    <row r="435">
      <c r="A435" s="51" t="str">
        <f>IFERROR(__xludf.DUMMYFUNCTION("""COMPUTED_VALUE"""),"HEAVY EQUIPMENT")</f>
        <v>HEAVY EQUIPMENT</v>
      </c>
      <c r="B435" s="51" t="str">
        <f>IFERROR(__xludf.DUMMYFUNCTION("""COMPUTED_VALUE"""),"KOMATSU PC300-8M0")</f>
        <v>KOMATSU PC300-8M0</v>
      </c>
      <c r="C435" s="51" t="str">
        <f>IFERROR(__xludf.DUMMYFUNCTION("""COMPUTED_VALUE"""),"PC300-16")</f>
        <v>PC300-16</v>
      </c>
    </row>
    <row r="436">
      <c r="A436" s="51" t="str">
        <f>IFERROR(__xludf.DUMMYFUNCTION("""COMPUTED_VALUE"""),"HEAVY EQUIPMENT")</f>
        <v>HEAVY EQUIPMENT</v>
      </c>
      <c r="B436" s="51" t="str">
        <f>IFERROR(__xludf.DUMMYFUNCTION("""COMPUTED_VALUE"""),"KOMATSU PC300-8M0")</f>
        <v>KOMATSU PC300-8M0</v>
      </c>
      <c r="C436" s="51" t="str">
        <f>IFERROR(__xludf.DUMMYFUNCTION("""COMPUTED_VALUE"""),"PC300-17")</f>
        <v>PC300-17</v>
      </c>
    </row>
    <row r="437">
      <c r="A437" s="51" t="str">
        <f>IFERROR(__xludf.DUMMYFUNCTION("""COMPUTED_VALUE"""),"HEAVY EQUIPMENT")</f>
        <v>HEAVY EQUIPMENT</v>
      </c>
      <c r="B437" s="51" t="str">
        <f>IFERROR(__xludf.DUMMYFUNCTION("""COMPUTED_VALUE"""),"KOMATSU PC300-8M0")</f>
        <v>KOMATSU PC300-8M0</v>
      </c>
      <c r="C437" s="51" t="str">
        <f>IFERROR(__xludf.DUMMYFUNCTION("""COMPUTED_VALUE"""),"PC300-15")</f>
        <v>PC300-15</v>
      </c>
    </row>
    <row r="438">
      <c r="A438" s="51" t="str">
        <f>IFERROR(__xludf.DUMMYFUNCTION("""COMPUTED_VALUE"""),"HEAVY EQUIPMENT")</f>
        <v>HEAVY EQUIPMENT</v>
      </c>
      <c r="B438" s="51" t="str">
        <f>IFERROR(__xludf.DUMMYFUNCTION("""COMPUTED_VALUE"""),"KOMATSU PC400LCSE-8")</f>
        <v>KOMATSU PC400LCSE-8</v>
      </c>
      <c r="C438" s="51" t="str">
        <f>IFERROR(__xludf.DUMMYFUNCTION("""COMPUTED_VALUE"""),"PC400-07")</f>
        <v>PC400-07</v>
      </c>
    </row>
    <row r="439">
      <c r="A439" s="51" t="str">
        <f>IFERROR(__xludf.DUMMYFUNCTION("""COMPUTED_VALUE"""),"HEAVY EQUIPMENT")</f>
        <v>HEAVY EQUIPMENT</v>
      </c>
      <c r="B439" s="51" t="str">
        <f>IFERROR(__xludf.DUMMYFUNCTION("""COMPUTED_VALUE"""),"KOMATSU PC400LCSE-8")</f>
        <v>KOMATSU PC400LCSE-8</v>
      </c>
      <c r="C439" s="51" t="str">
        <f>IFERROR(__xludf.DUMMYFUNCTION("""COMPUTED_VALUE"""),"PC400-06")</f>
        <v>PC400-06</v>
      </c>
    </row>
    <row r="440">
      <c r="A440" s="51" t="str">
        <f>IFERROR(__xludf.DUMMYFUNCTION("""COMPUTED_VALUE"""),"HEAVY EQUIPMENT")</f>
        <v>HEAVY EQUIPMENT</v>
      </c>
      <c r="B440" s="51" t="str">
        <f>IFERROR(__xludf.DUMMYFUNCTION("""COMPUTED_VALUE"""),"KOMATSU PC400LCSE-8")</f>
        <v>KOMATSU PC400LCSE-8</v>
      </c>
      <c r="C440" s="51" t="str">
        <f>IFERROR(__xludf.DUMMYFUNCTION("""COMPUTED_VALUE"""),"PC400-05")</f>
        <v>PC400-05</v>
      </c>
    </row>
    <row r="441">
      <c r="A441" s="51" t="str">
        <f>IFERROR(__xludf.DUMMYFUNCTION("""COMPUTED_VALUE"""),"HEAVY EQUIPMENT")</f>
        <v>HEAVY EQUIPMENT</v>
      </c>
      <c r="B441" s="51" t="str">
        <f>IFERROR(__xludf.DUMMYFUNCTION("""COMPUTED_VALUE"""),"KOMATSU PC500LC-10R")</f>
        <v>KOMATSU PC500LC-10R</v>
      </c>
      <c r="C441" s="51" t="str">
        <f>IFERROR(__xludf.DUMMYFUNCTION("""COMPUTED_VALUE"""),"PC500-04")</f>
        <v>PC500-04</v>
      </c>
    </row>
    <row r="442">
      <c r="A442" s="51" t="str">
        <f>IFERROR(__xludf.DUMMYFUNCTION("""COMPUTED_VALUE"""),"HEAVY EQUIPMENT")</f>
        <v>HEAVY EQUIPMENT</v>
      </c>
      <c r="B442" s="51" t="str">
        <f>IFERROR(__xludf.DUMMYFUNCTION("""COMPUTED_VALUE"""),"SAKAI SAKAI SV 525 D")</f>
        <v>SAKAI SAKAI SV 525 D</v>
      </c>
      <c r="C442" s="51" t="str">
        <f>IFERROR(__xludf.DUMMYFUNCTION("""COMPUTED_VALUE"""),"SAKAI-07")</f>
        <v>SAKAI-07</v>
      </c>
    </row>
    <row r="443">
      <c r="A443" s="51" t="str">
        <f>IFERROR(__xludf.DUMMYFUNCTION("""COMPUTED_VALUE"""),"HEAVY EQUIPMENT")</f>
        <v>HEAVY EQUIPMENT</v>
      </c>
      <c r="B443" s="51" t="str">
        <f>IFERROR(__xludf.DUMMYFUNCTION("""COMPUTED_VALUE"""),"KOBELCO SK 200-8 SX")</f>
        <v>KOBELCO SK 200-8 SX</v>
      </c>
      <c r="C443" s="51" t="str">
        <f>IFERROR(__xludf.DUMMYFUNCTION("""COMPUTED_VALUE"""),"SK200-08")</f>
        <v>SK200-08</v>
      </c>
    </row>
    <row r="444">
      <c r="A444" s="51" t="str">
        <f>IFERROR(__xludf.DUMMYFUNCTION("""COMPUTED_VALUE"""),"HEAVY EQUIPMENT")</f>
        <v>HEAVY EQUIPMENT</v>
      </c>
      <c r="B444" s="51" t="str">
        <f>IFERROR(__xludf.DUMMYFUNCTION("""COMPUTED_VALUE"""),"KOMATSU D65P-12")</f>
        <v>KOMATSU D65P-12</v>
      </c>
      <c r="C444" s="51" t="str">
        <f>IFERROR(__xludf.DUMMYFUNCTION("""COMPUTED_VALUE"""),"D65-06")</f>
        <v>D65-06</v>
      </c>
    </row>
    <row r="445">
      <c r="A445" s="51" t="str">
        <f>IFERROR(__xludf.DUMMYFUNCTION("""COMPUTED_VALUE"""),"HEAVY EQUIPMENT")</f>
        <v>HEAVY EQUIPMENT</v>
      </c>
      <c r="B445" s="51" t="str">
        <f>IFERROR(__xludf.DUMMYFUNCTION("""COMPUTED_VALUE"""),"KOMATSU D65P-12")</f>
        <v>KOMATSU D65P-12</v>
      </c>
      <c r="C445" s="51" t="str">
        <f>IFERROR(__xludf.DUMMYFUNCTION("""COMPUTED_VALUE"""),"D65-05")</f>
        <v>D65-05</v>
      </c>
    </row>
    <row r="446">
      <c r="A446" s="51" t="str">
        <f>IFERROR(__xludf.DUMMYFUNCTION("""COMPUTED_VALUE"""),"HEAVY EQUIPMENT")</f>
        <v>HEAVY EQUIPMENT</v>
      </c>
      <c r="B446" s="51" t="str">
        <f>IFERROR(__xludf.DUMMYFUNCTION("""COMPUTED_VALUE"""),"KOBELCO SK 200-8")</f>
        <v>KOBELCO SK 200-8</v>
      </c>
      <c r="C446" s="51" t="str">
        <f>IFERROR(__xludf.DUMMYFUNCTION("""COMPUTED_VALUE"""),"SK200-06")</f>
        <v>SK200-06</v>
      </c>
    </row>
    <row r="447">
      <c r="A447" s="51" t="str">
        <f>IFERROR(__xludf.DUMMYFUNCTION("""COMPUTED_VALUE"""),"HEAVY EQUIPMENT")</f>
        <v>HEAVY EQUIPMENT</v>
      </c>
      <c r="B447" s="51" t="str">
        <f>IFERROR(__xludf.DUMMYFUNCTION("""COMPUTED_VALUE"""),"KOBELCO SK 200-8")</f>
        <v>KOBELCO SK 200-8</v>
      </c>
      <c r="C447" s="51" t="str">
        <f>IFERROR(__xludf.DUMMYFUNCTION("""COMPUTED_VALUE"""),"SK200-07")</f>
        <v>SK200-07</v>
      </c>
    </row>
    <row r="448">
      <c r="A448" s="51" t="str">
        <f>IFERROR(__xludf.DUMMYFUNCTION("""COMPUTED_VALUE"""),"HEAVY EQUIPMENT")</f>
        <v>HEAVY EQUIPMENT</v>
      </c>
      <c r="B448" s="51" t="str">
        <f>IFERROR(__xludf.DUMMYFUNCTION("""COMPUTED_VALUE"""),"KOBELCO SK 330-8")</f>
        <v>KOBELCO SK 330-8</v>
      </c>
      <c r="C448" s="51" t="str">
        <f>IFERROR(__xludf.DUMMYFUNCTION("""COMPUTED_VALUE"""),"SK330-01")</f>
        <v>SK330-01</v>
      </c>
    </row>
    <row r="449">
      <c r="A449" s="51" t="str">
        <f>IFERROR(__xludf.DUMMYFUNCTION("""COMPUTED_VALUE"""),"HEAVY EQUIPMENT")</f>
        <v>HEAVY EQUIPMENT</v>
      </c>
      <c r="B449" s="51" t="str">
        <f>IFERROR(__xludf.DUMMYFUNCTION("""COMPUTED_VALUE"""),"KOMATSU PC200-10/S21")</f>
        <v>KOMATSU PC200-10/S21</v>
      </c>
      <c r="C449" s="51" t="str">
        <f>IFERROR(__xludf.DUMMYFUNCTION("""COMPUTED_VALUE"""),"PC200-11")</f>
        <v>PC200-11</v>
      </c>
    </row>
    <row r="450">
      <c r="A450" s="51" t="str">
        <f>IFERROR(__xludf.DUMMYFUNCTION("""COMPUTED_VALUE"""),"HEAVY EQUIPMENT")</f>
        <v>HEAVY EQUIPMENT</v>
      </c>
      <c r="B450" s="51" t="str">
        <f>IFERROR(__xludf.DUMMYFUNCTION("""COMPUTED_VALUE"""),"SAKAI SAKAI SV 525 D")</f>
        <v>SAKAI SAKAI SV 525 D</v>
      </c>
      <c r="C450" s="51" t="str">
        <f>IFERROR(__xludf.DUMMYFUNCTION("""COMPUTED_VALUE"""),"SAKAI-05")</f>
        <v>SAKAI-05</v>
      </c>
    </row>
    <row r="451">
      <c r="A451" s="51" t="str">
        <f>IFERROR(__xludf.DUMMYFUNCTION("""COMPUTED_VALUE"""),"HEAVY EQUIPMENT")</f>
        <v>HEAVY EQUIPMENT</v>
      </c>
      <c r="B451" s="51" t="str">
        <f>IFERROR(__xludf.DUMMYFUNCTION("""COMPUTED_VALUE"""),"SAKAI SAKAI SV 525 D")</f>
        <v>SAKAI SAKAI SV 525 D</v>
      </c>
      <c r="C451" s="51" t="str">
        <f>IFERROR(__xludf.DUMMYFUNCTION("""COMPUTED_VALUE"""),"SAKAI-03")</f>
        <v>SAKAI-03</v>
      </c>
    </row>
    <row r="452">
      <c r="A452" s="51" t="str">
        <f>IFERROR(__xludf.DUMMYFUNCTION("""COMPUTED_VALUE"""),"HEAVY EQUIPMENT")</f>
        <v>HEAVY EQUIPMENT</v>
      </c>
      <c r="B452" s="51" t="str">
        <f>IFERROR(__xludf.DUMMYFUNCTION("""COMPUTED_VALUE"""),"SAKAI SAKAI SV 525 D")</f>
        <v>SAKAI SAKAI SV 525 D</v>
      </c>
      <c r="C452" s="51" t="str">
        <f>IFERROR(__xludf.DUMMYFUNCTION("""COMPUTED_VALUE"""),"SAKAI-04")</f>
        <v>SAKAI-04</v>
      </c>
    </row>
    <row r="453">
      <c r="A453" s="51" t="str">
        <f>IFERROR(__xludf.DUMMYFUNCTION("""COMPUTED_VALUE"""),"HEAVY EQUIPMENT")</f>
        <v>HEAVY EQUIPMENT</v>
      </c>
      <c r="B453" s="51" t="str">
        <f>IFERROR(__xludf.DUMMYFUNCTION("""COMPUTED_VALUE"""),"SAKAI SAKAI SV 525 D")</f>
        <v>SAKAI SAKAI SV 525 D</v>
      </c>
      <c r="C453" s="51" t="str">
        <f>IFERROR(__xludf.DUMMYFUNCTION("""COMPUTED_VALUE"""),"SAKAI-06")</f>
        <v>SAKAI-06</v>
      </c>
    </row>
    <row r="454">
      <c r="A454" s="51" t="str">
        <f>IFERROR(__xludf.DUMMYFUNCTION("""COMPUTED_VALUE"""),"HEAVY EQUIPMENT")</f>
        <v>HEAVY EQUIPMENT</v>
      </c>
      <c r="B454" s="51" t="str">
        <f>IFERROR(__xludf.DUMMYFUNCTION("""COMPUTED_VALUE"""),"SAKAI SAKAI SV 525 D")</f>
        <v>SAKAI SAKAI SV 525 D</v>
      </c>
      <c r="C454" s="51" t="str">
        <f>IFERROR(__xludf.DUMMYFUNCTION("""COMPUTED_VALUE"""),"SAKAI-08")</f>
        <v>SAKAI-08</v>
      </c>
    </row>
    <row r="455">
      <c r="A455" s="51" t="str">
        <f>IFERROR(__xludf.DUMMYFUNCTION("""COMPUTED_VALUE"""),"DUMP TRUCK")</f>
        <v>DUMP TRUCK</v>
      </c>
      <c r="B455" s="51" t="str">
        <f>IFERROR(__xludf.DUMMYFUNCTION("""COMPUTED_VALUE"""),"HINO ZY1EWPD-XS")</f>
        <v>HINO ZY1EWPD-XS</v>
      </c>
      <c r="C455" s="51" t="str">
        <f>IFERROR(__xludf.DUMMYFUNCTION("""COMPUTED_VALUE"""),"DT-369")</f>
        <v>DT-369</v>
      </c>
    </row>
    <row r="456">
      <c r="A456" s="51" t="str">
        <f>IFERROR(__xludf.DUMMYFUNCTION("""COMPUTED_VALUE"""),"DUMP TRUCK")</f>
        <v>DUMP TRUCK</v>
      </c>
      <c r="B456" s="51" t="str">
        <f>IFERROR(__xludf.DUMMYFUNCTION("""COMPUTED_VALUE"""),"HINO ZY1EWPD-XS")</f>
        <v>HINO ZY1EWPD-XS</v>
      </c>
      <c r="C456" s="51" t="str">
        <f>IFERROR(__xludf.DUMMYFUNCTION("""COMPUTED_VALUE"""),"DT-057")</f>
        <v>DT-057</v>
      </c>
    </row>
    <row r="457">
      <c r="A457" s="51" t="str">
        <f>IFERROR(__xludf.DUMMYFUNCTION("""COMPUTED_VALUE"""),"DUMP TRUCK")</f>
        <v>DUMP TRUCK</v>
      </c>
      <c r="B457" s="51" t="str">
        <f>IFERROR(__xludf.DUMMYFUNCTION("""COMPUTED_VALUE"""),"HINO ZY1EWPD-XS")</f>
        <v>HINO ZY1EWPD-XS</v>
      </c>
      <c r="C457" s="51" t="str">
        <f>IFERROR(__xludf.DUMMYFUNCTION("""COMPUTED_VALUE"""),"DT-365")</f>
        <v>DT-365</v>
      </c>
    </row>
    <row r="458">
      <c r="A458" s="51" t="str">
        <f>IFERROR(__xludf.DUMMYFUNCTION("""COMPUTED_VALUE"""),"DUMP TRUCK")</f>
        <v>DUMP TRUCK</v>
      </c>
      <c r="B458" s="51" t="str">
        <f>IFERROR(__xludf.DUMMYFUNCTION("""COMPUTED_VALUE"""),"HINO ZY1EWPD-XS")</f>
        <v>HINO ZY1EWPD-XS</v>
      </c>
      <c r="C458" s="51" t="str">
        <f>IFERROR(__xludf.DUMMYFUNCTION("""COMPUTED_VALUE"""),"DT-366")</f>
        <v>DT-366</v>
      </c>
    </row>
    <row r="459">
      <c r="A459" s="51" t="str">
        <f>IFERROR(__xludf.DUMMYFUNCTION("""COMPUTED_VALUE"""),"DUMP TRUCK")</f>
        <v>DUMP TRUCK</v>
      </c>
      <c r="B459" s="51" t="str">
        <f>IFERROR(__xludf.DUMMYFUNCTION("""COMPUTED_VALUE"""),"HINO ZY1EWPD-XS")</f>
        <v>HINO ZY1EWPD-XS</v>
      </c>
      <c r="C459" s="51" t="str">
        <f>IFERROR(__xludf.DUMMYFUNCTION("""COMPUTED_VALUE"""),"DT-367")</f>
        <v>DT-367</v>
      </c>
    </row>
    <row r="460">
      <c r="A460" s="51" t="str">
        <f>IFERROR(__xludf.DUMMYFUNCTION("""COMPUTED_VALUE"""),"DUMP TRUCK")</f>
        <v>DUMP TRUCK</v>
      </c>
      <c r="B460" s="51" t="str">
        <f>IFERROR(__xludf.DUMMYFUNCTION("""COMPUTED_VALUE"""),"HINO ZY1EWPD-XS")</f>
        <v>HINO ZY1EWPD-XS</v>
      </c>
      <c r="C460" s="51" t="str">
        <f>IFERROR(__xludf.DUMMYFUNCTION("""COMPUTED_VALUE"""),"DT-368")</f>
        <v>DT-368</v>
      </c>
    </row>
    <row r="461">
      <c r="A461" s="51" t="str">
        <f>IFERROR(__xludf.DUMMYFUNCTION("""COMPUTED_VALUE"""),"DUMP TRUCK")</f>
        <v>DUMP TRUCK</v>
      </c>
      <c r="B461" s="51" t="str">
        <f>IFERROR(__xludf.DUMMYFUNCTION("""COMPUTED_VALUE"""),"HINO ZY1EWPD-XS")</f>
        <v>HINO ZY1EWPD-XS</v>
      </c>
      <c r="C461" s="51" t="str">
        <f>IFERROR(__xludf.DUMMYFUNCTION("""COMPUTED_VALUE"""),"DT-370")</f>
        <v>DT-370</v>
      </c>
    </row>
    <row r="462">
      <c r="A462" s="51" t="str">
        <f>IFERROR(__xludf.DUMMYFUNCTION("""COMPUTED_VALUE"""),"DUMP TRUCK")</f>
        <v>DUMP TRUCK</v>
      </c>
      <c r="B462" s="51" t="str">
        <f>IFERROR(__xludf.DUMMYFUNCTION("""COMPUTED_VALUE"""),"HINO ZY1EWPD-XS")</f>
        <v>HINO ZY1EWPD-XS</v>
      </c>
      <c r="C462" s="51" t="str">
        <f>IFERROR(__xludf.DUMMYFUNCTION("""COMPUTED_VALUE"""),"DT-371")</f>
        <v>DT-371</v>
      </c>
    </row>
    <row r="463">
      <c r="A463" s="51" t="str">
        <f>IFERROR(__xludf.DUMMYFUNCTION("""COMPUTED_VALUE"""),"SUPPORT")</f>
        <v>SUPPORT</v>
      </c>
      <c r="B463" s="51" t="str">
        <f>IFERROR(__xludf.DUMMYFUNCTION("""COMPUTED_VALUE"""),"MITSUBISHI TRITON")</f>
        <v>MITSUBISHI TRITON</v>
      </c>
      <c r="C463" s="51" t="str">
        <f>IFERROR(__xludf.DUMMYFUNCTION("""COMPUTED_VALUE"""),"LV-31")</f>
        <v>LV-31</v>
      </c>
    </row>
    <row r="464">
      <c r="A464" s="51" t="str">
        <f>IFERROR(__xludf.DUMMYFUNCTION("""COMPUTED_VALUE"""),"SUPPORT")</f>
        <v>SUPPORT</v>
      </c>
      <c r="B464" s="51" t="str">
        <f>IFERROR(__xludf.DUMMYFUNCTION("""COMPUTED_VALUE"""),"MITSUBISHI TRITON")</f>
        <v>MITSUBISHI TRITON</v>
      </c>
      <c r="C464" s="51" t="str">
        <f>IFERROR(__xludf.DUMMYFUNCTION("""COMPUTED_VALUE"""),"LV-12")</f>
        <v>LV-12</v>
      </c>
    </row>
    <row r="465">
      <c r="A465" s="51" t="str">
        <f>IFERROR(__xludf.DUMMYFUNCTION("""COMPUTED_VALUE"""),"SUPPORT")</f>
        <v>SUPPORT</v>
      </c>
      <c r="B465" s="51" t="str">
        <f>IFERROR(__xludf.DUMMYFUNCTION("""COMPUTED_VALUE"""),"HINO 130 HD")</f>
        <v>HINO 130 HD</v>
      </c>
      <c r="C465" s="51" t="str">
        <f>IFERROR(__xludf.DUMMYFUNCTION("""COMPUTED_VALUE"""),"LT-08")</f>
        <v>LT-08</v>
      </c>
    </row>
    <row r="466">
      <c r="A466" s="51" t="str">
        <f>IFERROR(__xludf.DUMMYFUNCTION("""COMPUTED_VALUE"""),"SUPPORT")</f>
        <v>SUPPORT</v>
      </c>
      <c r="B466" s="51" t="str">
        <f>IFERROR(__xludf.DUMMYFUNCTION("""COMPUTED_VALUE"""),"HINO 130 HD")</f>
        <v>HINO 130 HD</v>
      </c>
      <c r="C466" s="51" t="str">
        <f>IFERROR(__xludf.DUMMYFUNCTION("""COMPUTED_VALUE"""),"LT-10")</f>
        <v>LT-10</v>
      </c>
    </row>
    <row r="467">
      <c r="A467" s="51" t="str">
        <f>IFERROR(__xludf.DUMMYFUNCTION("""COMPUTED_VALUE"""),"DUMP TRUCK")</f>
        <v>DUMP TRUCK</v>
      </c>
      <c r="B467" s="51" t="str">
        <f>IFERROR(__xludf.DUMMYFUNCTION("""COMPUTED_VALUE"""),"HINO ZY1EWPD-XS")</f>
        <v>HINO ZY1EWPD-XS</v>
      </c>
      <c r="C467" s="51" t="str">
        <f>IFERROR(__xludf.DUMMYFUNCTION("""COMPUTED_VALUE"""),"DT-372")</f>
        <v>DT-372</v>
      </c>
    </row>
    <row r="468">
      <c r="A468" s="51" t="str">
        <f>IFERROR(__xludf.DUMMYFUNCTION("""COMPUTED_VALUE"""),"DUMP TRUCK")</f>
        <v>DUMP TRUCK</v>
      </c>
      <c r="B468" s="51" t="str">
        <f>IFERROR(__xludf.DUMMYFUNCTION("""COMPUTED_VALUE"""),"HINO ZY1EWPD-XS")</f>
        <v>HINO ZY1EWPD-XS</v>
      </c>
      <c r="C468" s="51" t="str">
        <f>IFERROR(__xludf.DUMMYFUNCTION("""COMPUTED_VALUE"""),"DT-373")</f>
        <v>DT-373</v>
      </c>
    </row>
    <row r="469">
      <c r="A469" s="51" t="str">
        <f>IFERROR(__xludf.DUMMYFUNCTION("""COMPUTED_VALUE"""),"DUMP TRUCK")</f>
        <v>DUMP TRUCK</v>
      </c>
      <c r="B469" s="51" t="str">
        <f>IFERROR(__xludf.DUMMYFUNCTION("""COMPUTED_VALUE"""),"HINO ZY1EWPD-XS")</f>
        <v>HINO ZY1EWPD-XS</v>
      </c>
      <c r="C469" s="51" t="str">
        <f>IFERROR(__xludf.DUMMYFUNCTION("""COMPUTED_VALUE"""),"DT-374")</f>
        <v>DT-374</v>
      </c>
    </row>
    <row r="470">
      <c r="A470" s="51" t="str">
        <f>IFERROR(__xludf.DUMMYFUNCTION("""COMPUTED_VALUE"""),"DUMP TRUCK")</f>
        <v>DUMP TRUCK</v>
      </c>
      <c r="B470" s="51" t="str">
        <f>IFERROR(__xludf.DUMMYFUNCTION("""COMPUTED_VALUE"""),"HINO ZY1EWPD-XS")</f>
        <v>HINO ZY1EWPD-XS</v>
      </c>
      <c r="C470" s="51" t="str">
        <f>IFERROR(__xludf.DUMMYFUNCTION("""COMPUTED_VALUE"""),"DT-375")</f>
        <v>DT-375</v>
      </c>
    </row>
    <row r="471">
      <c r="A471" s="51" t="str">
        <f>IFERROR(__xludf.DUMMYFUNCTION("""COMPUTED_VALUE"""),"DUMP TRUCK")</f>
        <v>DUMP TRUCK</v>
      </c>
      <c r="B471" s="51" t="str">
        <f>IFERROR(__xludf.DUMMYFUNCTION("""COMPUTED_VALUE"""),"HINO ZY1EWPD-XS")</f>
        <v>HINO ZY1EWPD-XS</v>
      </c>
      <c r="C471" s="51" t="str">
        <f>IFERROR(__xludf.DUMMYFUNCTION("""COMPUTED_VALUE"""),"DT-376")</f>
        <v>DT-376</v>
      </c>
    </row>
    <row r="472">
      <c r="A472" s="51" t="str">
        <f>IFERROR(__xludf.DUMMYFUNCTION("""COMPUTED_VALUE"""),"DUMP TRUCK")</f>
        <v>DUMP TRUCK</v>
      </c>
      <c r="B472" s="51" t="str">
        <f>IFERROR(__xludf.DUMMYFUNCTION("""COMPUTED_VALUE"""),"HINO ZY1EWPD-XS")</f>
        <v>HINO ZY1EWPD-XS</v>
      </c>
      <c r="C472" s="51" t="str">
        <f>IFERROR(__xludf.DUMMYFUNCTION("""COMPUTED_VALUE"""),"DT-377")</f>
        <v>DT-377</v>
      </c>
    </row>
    <row r="473">
      <c r="A473" s="51" t="str">
        <f>IFERROR(__xludf.DUMMYFUNCTION("""COMPUTED_VALUE"""),"DUMP TRUCK")</f>
        <v>DUMP TRUCK</v>
      </c>
      <c r="B473" s="51" t="str">
        <f>IFERROR(__xludf.DUMMYFUNCTION("""COMPUTED_VALUE"""),"HINO ZY1EWPD-XS")</f>
        <v>HINO ZY1EWPD-XS</v>
      </c>
      <c r="C473" s="51" t="str">
        <f>IFERROR(__xludf.DUMMYFUNCTION("""COMPUTED_VALUE"""),"DT-378")</f>
        <v>DT-378</v>
      </c>
    </row>
    <row r="474">
      <c r="A474" s="51" t="str">
        <f>IFERROR(__xludf.DUMMYFUNCTION("""COMPUTED_VALUE"""),"DUMP TRUCK")</f>
        <v>DUMP TRUCK</v>
      </c>
      <c r="B474" s="51" t="str">
        <f>IFERROR(__xludf.DUMMYFUNCTION("""COMPUTED_VALUE"""),"HINO ZY1EWPD-XS")</f>
        <v>HINO ZY1EWPD-XS</v>
      </c>
      <c r="C474" s="51" t="str">
        <f>IFERROR(__xludf.DUMMYFUNCTION("""COMPUTED_VALUE"""),"DT-379")</f>
        <v>DT-379</v>
      </c>
    </row>
    <row r="475">
      <c r="A475" s="51" t="str">
        <f>IFERROR(__xludf.DUMMYFUNCTION("""COMPUTED_VALUE"""),"DUMP TRUCK")</f>
        <v>DUMP TRUCK</v>
      </c>
      <c r="B475" s="51" t="str">
        <f>IFERROR(__xludf.DUMMYFUNCTION("""COMPUTED_VALUE"""),"HINO ZY1EWPD-XS")</f>
        <v>HINO ZY1EWPD-XS</v>
      </c>
      <c r="C475" s="51" t="str">
        <f>IFERROR(__xludf.DUMMYFUNCTION("""COMPUTED_VALUE"""),"DT-380")</f>
        <v>DT-380</v>
      </c>
    </row>
    <row r="476">
      <c r="A476" s="51" t="str">
        <f>IFERROR(__xludf.DUMMYFUNCTION("""COMPUTED_VALUE"""),"DUMP TRUCK")</f>
        <v>DUMP TRUCK</v>
      </c>
      <c r="B476" s="51" t="str">
        <f>IFERROR(__xludf.DUMMYFUNCTION("""COMPUTED_VALUE"""),"HINO ZY1EWPD-XS")</f>
        <v>HINO ZY1EWPD-XS</v>
      </c>
      <c r="C476" s="51" t="str">
        <f>IFERROR(__xludf.DUMMYFUNCTION("""COMPUTED_VALUE"""),"DT-381")</f>
        <v>DT-381</v>
      </c>
    </row>
    <row r="477">
      <c r="A477" s="51" t="str">
        <f>IFERROR(__xludf.DUMMYFUNCTION("""COMPUTED_VALUE"""),"DUMP TRUCK")</f>
        <v>DUMP TRUCK</v>
      </c>
      <c r="B477" s="51" t="str">
        <f>IFERROR(__xludf.DUMMYFUNCTION("""COMPUTED_VALUE"""),"HINO ZY1EWPD-XS")</f>
        <v>HINO ZY1EWPD-XS</v>
      </c>
      <c r="C477" s="51" t="str">
        <f>IFERROR(__xludf.DUMMYFUNCTION("""COMPUTED_VALUE"""),"DT-382")</f>
        <v>DT-382</v>
      </c>
    </row>
    <row r="478">
      <c r="A478" s="51" t="str">
        <f>IFERROR(__xludf.DUMMYFUNCTION("""COMPUTED_VALUE"""),"DUMP TRUCK")</f>
        <v>DUMP TRUCK</v>
      </c>
      <c r="B478" s="51" t="str">
        <f>IFERROR(__xludf.DUMMYFUNCTION("""COMPUTED_VALUE"""),"HINO ZY1EWPD-XS")</f>
        <v>HINO ZY1EWPD-XS</v>
      </c>
      <c r="C478" s="51" t="str">
        <f>IFERROR(__xludf.DUMMYFUNCTION("""COMPUTED_VALUE"""),"DT-383")</f>
        <v>DT-383</v>
      </c>
    </row>
    <row r="479">
      <c r="A479" s="51" t="str">
        <f>IFERROR(__xludf.DUMMYFUNCTION("""COMPUTED_VALUE"""),"DUMP TRUCK")</f>
        <v>DUMP TRUCK</v>
      </c>
      <c r="B479" s="51" t="str">
        <f>IFERROR(__xludf.DUMMYFUNCTION("""COMPUTED_VALUE"""),"HINO ZY1EWPD-XS")</f>
        <v>HINO ZY1EWPD-XS</v>
      </c>
      <c r="C479" s="51" t="str">
        <f>IFERROR(__xludf.DUMMYFUNCTION("""COMPUTED_VALUE"""),"DT-384")</f>
        <v>DT-384</v>
      </c>
    </row>
    <row r="480">
      <c r="A480" s="51" t="str">
        <f>IFERROR(__xludf.DUMMYFUNCTION("""COMPUTED_VALUE"""),"SUPPORT")</f>
        <v>SUPPORT</v>
      </c>
      <c r="B480" s="51" t="str">
        <f>IFERROR(__xludf.DUMMYFUNCTION("""COMPUTED_VALUE"""),"MITSUBISHI TRITON")</f>
        <v>MITSUBISHI TRITON</v>
      </c>
      <c r="C480" s="51" t="str">
        <f>IFERROR(__xludf.DUMMYFUNCTION("""COMPUTED_VALUE"""),"LV-32")</f>
        <v>LV-32</v>
      </c>
    </row>
    <row r="481">
      <c r="A481" s="51" t="str">
        <f>IFERROR(__xludf.DUMMYFUNCTION("""COMPUTED_VALUE"""),"SUPPORT")</f>
        <v>SUPPORT</v>
      </c>
      <c r="B481" s="51" t="str">
        <f>IFERROR(__xludf.DUMMYFUNCTION("""COMPUTED_VALUE"""),"HINO 130 HDL")</f>
        <v>HINO 130 HDL</v>
      </c>
      <c r="C481" s="51" t="str">
        <f>IFERROR(__xludf.DUMMYFUNCTION("""COMPUTED_VALUE"""),"LT-11")</f>
        <v>LT-11</v>
      </c>
    </row>
    <row r="482">
      <c r="A482" s="51" t="str">
        <f>IFERROR(__xludf.DUMMYFUNCTION("""COMPUTED_VALUE"""),"SUPPORT")</f>
        <v>SUPPORT</v>
      </c>
      <c r="B482" s="51" t="str">
        <f>IFERROR(__xludf.DUMMYFUNCTION("""COMPUTED_VALUE"""),"HINO 130 HD")</f>
        <v>HINO 130 HD</v>
      </c>
      <c r="C482" s="51" t="str">
        <f>IFERROR(__xludf.DUMMYFUNCTION("""COMPUTED_VALUE"""),"LT-09")</f>
        <v>LT-09</v>
      </c>
    </row>
    <row r="483">
      <c r="A483" s="51" t="str">
        <f>IFERROR(__xludf.DUMMYFUNCTION("""COMPUTED_VALUE"""),"SUPPORT")</f>
        <v>SUPPORT</v>
      </c>
      <c r="B483" s="51" t="str">
        <f>IFERROR(__xludf.DUMMYFUNCTION("""COMPUTED_VALUE"""),"TOYOTA LC VX HDJ80R")</f>
        <v>TOYOTA LC VX HDJ80R</v>
      </c>
      <c r="C483" s="51" t="str">
        <f>IFERROR(__xludf.DUMMYFUNCTION("""COMPUTED_VALUE"""),"LC-SA")</f>
        <v>LC-SA</v>
      </c>
    </row>
    <row r="484">
      <c r="A484" s="51" t="str">
        <f>IFERROR(__xludf.DUMMYFUNCTION("""COMPUTED_VALUE"""),"SUPPORT")</f>
        <v>SUPPORT</v>
      </c>
      <c r="B484" s="51" t="str">
        <f>IFERROR(__xludf.DUMMYFUNCTION("""COMPUTED_VALUE"""),"TOYOTA KIJANG SUPER")</f>
        <v>TOYOTA KIJANG SUPER</v>
      </c>
      <c r="C484" s="51" t="str">
        <f>IFERROR(__xludf.DUMMYFUNCTION("""COMPUTED_VALUE"""),"LV-33")</f>
        <v>LV-33</v>
      </c>
    </row>
    <row r="485">
      <c r="A485" s="51" t="str">
        <f>IFERROR(__xludf.DUMMYFUNCTION("""COMPUTED_VALUE"""),"SUPPORT")</f>
        <v>SUPPORT</v>
      </c>
      <c r="B485" s="51" t="str">
        <f>IFERROR(__xludf.DUMMYFUNCTION("""COMPUTED_VALUE"""),"TOYOTA NAV1")</f>
        <v>TOYOTA NAV1</v>
      </c>
      <c r="C485" s="51" t="str">
        <f>IFERROR(__xludf.DUMMYFUNCTION("""COMPUTED_VALUE"""),"LV-34")</f>
        <v>LV-34</v>
      </c>
    </row>
    <row r="486">
      <c r="A486" s="51" t="str">
        <f>IFERROR(__xludf.DUMMYFUNCTION("""COMPUTED_VALUE"""),"SUPPORT")</f>
        <v>SUPPORT</v>
      </c>
      <c r="B486" s="51" t="str">
        <f>IFERROR(__xludf.DUMMYFUNCTION("""COMPUTED_VALUE"""),"SUZUKI")</f>
        <v>SUZUKI</v>
      </c>
      <c r="C486" s="51" t="str">
        <f>IFERROR(__xludf.DUMMYFUNCTION("""COMPUTED_VALUE"""),"LV-35")</f>
        <v>LV-35</v>
      </c>
    </row>
    <row r="487">
      <c r="A487" s="51" t="str">
        <f>IFERROR(__xludf.DUMMYFUNCTION("""COMPUTED_VALUE"""),"DUMP TRUCK")</f>
        <v>DUMP TRUCK</v>
      </c>
      <c r="B487" s="51" t="str">
        <f>IFERROR(__xludf.DUMMYFUNCTION("""COMPUTED_VALUE"""),"HINO ZY1EWRN-XS")</f>
        <v>HINO ZY1EWRN-XS</v>
      </c>
      <c r="C487" s="51" t="str">
        <f>IFERROR(__xludf.DUMMYFUNCTION("""COMPUTED_VALUE"""),"DT-385")</f>
        <v>DT-385</v>
      </c>
    </row>
    <row r="488">
      <c r="A488" s="51" t="str">
        <f>IFERROR(__xludf.DUMMYFUNCTION("""COMPUTED_VALUE"""),"DUMP TRUCK")</f>
        <v>DUMP TRUCK</v>
      </c>
      <c r="B488" s="51" t="str">
        <f>IFERROR(__xludf.DUMMYFUNCTION("""COMPUTED_VALUE"""),"HINO ZY1EWRN-XS")</f>
        <v>HINO ZY1EWRN-XS</v>
      </c>
      <c r="C488" s="51" t="str">
        <f>IFERROR(__xludf.DUMMYFUNCTION("""COMPUTED_VALUE"""),"DT-386")</f>
        <v>DT-386</v>
      </c>
    </row>
    <row r="489">
      <c r="A489" s="51" t="str">
        <f>IFERROR(__xludf.DUMMYFUNCTION("""COMPUTED_VALUE"""),"DUMP TRUCK")</f>
        <v>DUMP TRUCK</v>
      </c>
      <c r="B489" s="51" t="str">
        <f>IFERROR(__xludf.DUMMYFUNCTION("""COMPUTED_VALUE"""),"HINO ZY1EWRN-XS")</f>
        <v>HINO ZY1EWRN-XS</v>
      </c>
      <c r="C489" s="51" t="str">
        <f>IFERROR(__xludf.DUMMYFUNCTION("""COMPUTED_VALUE"""),"DT-387")</f>
        <v>DT-387</v>
      </c>
    </row>
    <row r="490">
      <c r="A490" s="51" t="str">
        <f>IFERROR(__xludf.DUMMYFUNCTION("""COMPUTED_VALUE"""),"DUMP TRUCK")</f>
        <v>DUMP TRUCK</v>
      </c>
      <c r="B490" s="51" t="str">
        <f>IFERROR(__xludf.DUMMYFUNCTION("""COMPUTED_VALUE"""),"HINO ZY1EWRN-XS")</f>
        <v>HINO ZY1EWRN-XS</v>
      </c>
      <c r="C490" s="51" t="str">
        <f>IFERROR(__xludf.DUMMYFUNCTION("""COMPUTED_VALUE"""),"DT-388")</f>
        <v>DT-388</v>
      </c>
    </row>
    <row r="491">
      <c r="A491" s="51" t="str">
        <f>IFERROR(__xludf.DUMMYFUNCTION("""COMPUTED_VALUE"""),"DUMP TRUCK")</f>
        <v>DUMP TRUCK</v>
      </c>
      <c r="B491" s="51" t="str">
        <f>IFERROR(__xludf.DUMMYFUNCTION("""COMPUTED_VALUE"""),"HINO ZY1EWRN-XS")</f>
        <v>HINO ZY1EWRN-XS</v>
      </c>
      <c r="C491" s="51" t="str">
        <f>IFERROR(__xludf.DUMMYFUNCTION("""COMPUTED_VALUE"""),"DT-389")</f>
        <v>DT-389</v>
      </c>
    </row>
    <row r="492">
      <c r="A492" s="51" t="str">
        <f>IFERROR(__xludf.DUMMYFUNCTION("""COMPUTED_VALUE"""),"DUMP TRUCK")</f>
        <v>DUMP TRUCK</v>
      </c>
      <c r="B492" s="51" t="str">
        <f>IFERROR(__xludf.DUMMYFUNCTION("""COMPUTED_VALUE"""),"HINO ZY1EWRN-XS")</f>
        <v>HINO ZY1EWRN-XS</v>
      </c>
      <c r="C492" s="51" t="str">
        <f>IFERROR(__xludf.DUMMYFUNCTION("""COMPUTED_VALUE"""),"DT-390")</f>
        <v>DT-390</v>
      </c>
    </row>
    <row r="493">
      <c r="A493" s="51" t="str">
        <f>IFERROR(__xludf.DUMMYFUNCTION("""COMPUTED_VALUE"""),"DUMP TRUCK")</f>
        <v>DUMP TRUCK</v>
      </c>
      <c r="B493" s="51" t="str">
        <f>IFERROR(__xludf.DUMMYFUNCTION("""COMPUTED_VALUE"""),"HINO ZY1EWRN-XS")</f>
        <v>HINO ZY1EWRN-XS</v>
      </c>
      <c r="C493" s="51" t="str">
        <f>IFERROR(__xludf.DUMMYFUNCTION("""COMPUTED_VALUE"""),"DT-391")</f>
        <v>DT-391</v>
      </c>
    </row>
    <row r="494">
      <c r="A494" s="51" t="str">
        <f>IFERROR(__xludf.DUMMYFUNCTION("""COMPUTED_VALUE"""),"DUMP TRUCK")</f>
        <v>DUMP TRUCK</v>
      </c>
      <c r="B494" s="51" t="str">
        <f>IFERROR(__xludf.DUMMYFUNCTION("""COMPUTED_VALUE"""),"HINO ZY1EWRN-XS")</f>
        <v>HINO ZY1EWRN-XS</v>
      </c>
      <c r="C494" s="51" t="str">
        <f>IFERROR(__xludf.DUMMYFUNCTION("""COMPUTED_VALUE"""),"DT-392")</f>
        <v>DT-392</v>
      </c>
    </row>
    <row r="495">
      <c r="A495" s="51" t="str">
        <f>IFERROR(__xludf.DUMMYFUNCTION("""COMPUTED_VALUE"""),"DUMP TRUCK")</f>
        <v>DUMP TRUCK</v>
      </c>
      <c r="B495" s="51" t="str">
        <f>IFERROR(__xludf.DUMMYFUNCTION("""COMPUTED_VALUE"""),"HINO ZY1EWRN-XS")</f>
        <v>HINO ZY1EWRN-XS</v>
      </c>
      <c r="C495" s="51" t="str">
        <f>IFERROR(__xludf.DUMMYFUNCTION("""COMPUTED_VALUE"""),"DT-393")</f>
        <v>DT-393</v>
      </c>
    </row>
    <row r="496">
      <c r="A496" s="51" t="str">
        <f>IFERROR(__xludf.DUMMYFUNCTION("""COMPUTED_VALUE"""),"DUMP TRUCK")</f>
        <v>DUMP TRUCK</v>
      </c>
      <c r="B496" s="51" t="str">
        <f>IFERROR(__xludf.DUMMYFUNCTION("""COMPUTED_VALUE"""),"HINO ZY1EWRN-XS")</f>
        <v>HINO ZY1EWRN-XS</v>
      </c>
      <c r="C496" s="51" t="str">
        <f>IFERROR(__xludf.DUMMYFUNCTION("""COMPUTED_VALUE"""),"DT-394")</f>
        <v>DT-394</v>
      </c>
    </row>
    <row r="497">
      <c r="A497" s="51" t="str">
        <f>IFERROR(__xludf.DUMMYFUNCTION("""COMPUTED_VALUE"""),"SUPPORT")</f>
        <v>SUPPORT</v>
      </c>
      <c r="B497" s="51" t="str">
        <f>IFERROR(__xludf.DUMMYFUNCTION("""COMPUTED_VALUE"""),"DAIHATSU TERIOS")</f>
        <v>DAIHATSU TERIOS</v>
      </c>
      <c r="C497" s="51" t="str">
        <f>IFERROR(__xludf.DUMMYFUNCTION("""COMPUTED_VALUE"""),"LV-36")</f>
        <v>LV-36</v>
      </c>
    </row>
    <row r="498">
      <c r="A498" s="51" t="str">
        <f>IFERROR(__xludf.DUMMYFUNCTION("""COMPUTED_VALUE"""),"SUPPORT")</f>
        <v>SUPPORT</v>
      </c>
      <c r="B498" s="51" t="str">
        <f>IFERROR(__xludf.DUMMYFUNCTION("""COMPUTED_VALUE"""),"TOYOTA LC HZ J80R 4184CC")</f>
        <v>TOYOTA LC HZ J80R 4184CC</v>
      </c>
      <c r="C498" s="51" t="str">
        <f>IFERROR(__xludf.DUMMYFUNCTION("""COMPUTED_VALUE"""),"LV-37")</f>
        <v>LV-37</v>
      </c>
    </row>
    <row r="499">
      <c r="A499" s="51" t="str">
        <f>IFERROR(__xludf.DUMMYFUNCTION("""COMPUTED_VALUE"""),"SUPPORT")</f>
        <v>SUPPORT</v>
      </c>
      <c r="B499" s="51" t="str">
        <f>IFERROR(__xludf.DUMMYFUNCTION("""COMPUTED_VALUE"""),"LEXUS LX 570 AT")</f>
        <v>LEXUS LX 570 AT</v>
      </c>
      <c r="C499" s="51" t="str">
        <f>IFERROR(__xludf.DUMMYFUNCTION("""COMPUTED_VALUE"""),"LV-38")</f>
        <v>LV-38</v>
      </c>
    </row>
    <row r="500">
      <c r="A500" s="51" t="str">
        <f>IFERROR(__xludf.DUMMYFUNCTION("""COMPUTED_VALUE"""),"SUPPORT")</f>
        <v>SUPPORT</v>
      </c>
      <c r="B500" s="51" t="str">
        <f>IFERROR(__xludf.DUMMYFUNCTION("""COMPUTED_VALUE"""),"MERC BENZ GLC 250 AT (X253)")</f>
        <v>MERC BENZ GLC 250 AT (X253)</v>
      </c>
      <c r="C500" s="51" t="str">
        <f>IFERROR(__xludf.DUMMYFUNCTION("""COMPUTED_VALUE"""),"LV-39")</f>
        <v>LV-39</v>
      </c>
    </row>
    <row r="501">
      <c r="A501" s="51" t="str">
        <f>IFERROR(__xludf.DUMMYFUNCTION("""COMPUTED_VALUE"""),"SUPPORT")</f>
        <v>SUPPORT</v>
      </c>
      <c r="B501" s="51" t="str">
        <f>IFERROR(__xludf.DUMMYFUNCTION("""COMPUTED_VALUE"""),"NISSAN MARCH")</f>
        <v>NISSAN MARCH</v>
      </c>
      <c r="C501" s="51" t="str">
        <f>IFERROR(__xludf.DUMMYFUNCTION("""COMPUTED_VALUE"""),"LV-40")</f>
        <v>LV-40</v>
      </c>
    </row>
    <row r="502">
      <c r="A502" s="51" t="str">
        <f>IFERROR(__xludf.DUMMYFUNCTION("""COMPUTED_VALUE"""),"SUPPORT")</f>
        <v>SUPPORT</v>
      </c>
      <c r="B502" s="51" t="str">
        <f>IFERROR(__xludf.DUMMYFUNCTION("""COMPUTED_VALUE"""),"HONDA SEPEDA MOTOR SOLO")</f>
        <v>HONDA SEPEDA MOTOR SOLO</v>
      </c>
      <c r="C502" s="51" t="str">
        <f>IFERROR(__xludf.DUMMYFUNCTION("""COMPUTED_VALUE"""),"SM-1")</f>
        <v>SM-1</v>
      </c>
    </row>
    <row r="503">
      <c r="A503" s="51" t="str">
        <f>IFERROR(__xludf.DUMMYFUNCTION("""COMPUTED_VALUE"""),"SUPPORT")</f>
        <v>SUPPORT</v>
      </c>
      <c r="B503" s="51" t="str">
        <f>IFERROR(__xludf.DUMMYFUNCTION("""COMPUTED_VALUE"""),"HONDA SEPEDA MOTOR SOLO")</f>
        <v>HONDA SEPEDA MOTOR SOLO</v>
      </c>
      <c r="C503" s="51" t="str">
        <f>IFERROR(__xludf.DUMMYFUNCTION("""COMPUTED_VALUE"""),"SM-2")</f>
        <v>SM-2</v>
      </c>
    </row>
    <row r="504">
      <c r="A504" s="51" t="str">
        <f>IFERROR(__xludf.DUMMYFUNCTION("""COMPUTED_VALUE"""),"DUMP TRUCK")</f>
        <v>DUMP TRUCK</v>
      </c>
      <c r="B504" s="51" t="str">
        <f>IFERROR(__xludf.DUMMYFUNCTION("""COMPUTED_VALUE"""),"HONGYAN KINKAN430")</f>
        <v>HONGYAN KINKAN430</v>
      </c>
      <c r="C504" s="51" t="str">
        <f>IFERROR(__xludf.DUMMYFUNCTION("""COMPUTED_VALUE"""),"DT-500")</f>
        <v>DT-500</v>
      </c>
    </row>
    <row r="505">
      <c r="A505" s="51" t="str">
        <f>IFERROR(__xludf.DUMMYFUNCTION("""COMPUTED_VALUE"""),"DUMP TRUCK")</f>
        <v>DUMP TRUCK</v>
      </c>
      <c r="B505" s="51" t="str">
        <f>IFERROR(__xludf.DUMMYFUNCTION("""COMPUTED_VALUE"""),"HONGYAN KINKAN430")</f>
        <v>HONGYAN KINKAN430</v>
      </c>
      <c r="C505" s="51" t="str">
        <f>IFERROR(__xludf.DUMMYFUNCTION("""COMPUTED_VALUE"""),"DT-501")</f>
        <v>DT-501</v>
      </c>
    </row>
    <row r="506">
      <c r="A506" s="51" t="str">
        <f>IFERROR(__xludf.DUMMYFUNCTION("""COMPUTED_VALUE"""),"DUMP TRUCK")</f>
        <v>DUMP TRUCK</v>
      </c>
      <c r="B506" s="51" t="str">
        <f>IFERROR(__xludf.DUMMYFUNCTION("""COMPUTED_VALUE"""),"HONGYAN KINKAN430")</f>
        <v>HONGYAN KINKAN430</v>
      </c>
      <c r="C506" s="51" t="str">
        <f>IFERROR(__xludf.DUMMYFUNCTION("""COMPUTED_VALUE"""),"DT-502")</f>
        <v>DT-502</v>
      </c>
    </row>
    <row r="507">
      <c r="A507" s="51" t="str">
        <f>IFERROR(__xludf.DUMMYFUNCTION("""COMPUTED_VALUE"""),"DUMP TRUCK")</f>
        <v>DUMP TRUCK</v>
      </c>
      <c r="B507" s="51" t="str">
        <f>IFERROR(__xludf.DUMMYFUNCTION("""COMPUTED_VALUE"""),"HONGYAN KINKAN430")</f>
        <v>HONGYAN KINKAN430</v>
      </c>
      <c r="C507" s="51" t="str">
        <f>IFERROR(__xludf.DUMMYFUNCTION("""COMPUTED_VALUE"""),"DT-503")</f>
        <v>DT-503</v>
      </c>
    </row>
    <row r="508">
      <c r="A508" s="51" t="str">
        <f>IFERROR(__xludf.DUMMYFUNCTION("""COMPUTED_VALUE"""),"DUMP TRUCK")</f>
        <v>DUMP TRUCK</v>
      </c>
      <c r="B508" s="51" t="str">
        <f>IFERROR(__xludf.DUMMYFUNCTION("""COMPUTED_VALUE"""),"HONGYAN KINKAN430")</f>
        <v>HONGYAN KINKAN430</v>
      </c>
      <c r="C508" s="51" t="str">
        <f>IFERROR(__xludf.DUMMYFUNCTION("""COMPUTED_VALUE"""),"DT-504")</f>
        <v>DT-504</v>
      </c>
    </row>
    <row r="509">
      <c r="A509" s="51" t="str">
        <f>IFERROR(__xludf.DUMMYFUNCTION("""COMPUTED_VALUE"""),"DUMP TRUCK")</f>
        <v>DUMP TRUCK</v>
      </c>
      <c r="B509" s="51" t="str">
        <f>IFERROR(__xludf.DUMMYFUNCTION("""COMPUTED_VALUE"""),"HONGYAN KINKAN430")</f>
        <v>HONGYAN KINKAN430</v>
      </c>
      <c r="C509" s="51" t="str">
        <f>IFERROR(__xludf.DUMMYFUNCTION("""COMPUTED_VALUE"""),"DT-505")</f>
        <v>DT-505</v>
      </c>
    </row>
    <row r="510">
      <c r="A510" s="51" t="str">
        <f>IFERROR(__xludf.DUMMYFUNCTION("""COMPUTED_VALUE"""),"DUMP TRUCK")</f>
        <v>DUMP TRUCK</v>
      </c>
      <c r="B510" s="51" t="str">
        <f>IFERROR(__xludf.DUMMYFUNCTION("""COMPUTED_VALUE"""),"HONGYAN KINKAN430")</f>
        <v>HONGYAN KINKAN430</v>
      </c>
      <c r="C510" s="51" t="str">
        <f>IFERROR(__xludf.DUMMYFUNCTION("""COMPUTED_VALUE"""),"DT-506")</f>
        <v>DT-506</v>
      </c>
    </row>
    <row r="511">
      <c r="A511" s="51" t="str">
        <f>IFERROR(__xludf.DUMMYFUNCTION("""COMPUTED_VALUE"""),"DUMP TRUCK")</f>
        <v>DUMP TRUCK</v>
      </c>
      <c r="B511" s="51" t="str">
        <f>IFERROR(__xludf.DUMMYFUNCTION("""COMPUTED_VALUE"""),"HONGYAN KINKAN430")</f>
        <v>HONGYAN KINKAN430</v>
      </c>
      <c r="C511" s="51" t="str">
        <f>IFERROR(__xludf.DUMMYFUNCTION("""COMPUTED_VALUE"""),"DT-507")</f>
        <v>DT-507</v>
      </c>
    </row>
    <row r="512">
      <c r="A512" s="51" t="str">
        <f>IFERROR(__xludf.DUMMYFUNCTION("""COMPUTED_VALUE"""),"DUMP TRUCK")</f>
        <v>DUMP TRUCK</v>
      </c>
      <c r="B512" s="51" t="str">
        <f>IFERROR(__xludf.DUMMYFUNCTION("""COMPUTED_VALUE"""),"HONGYAN KINKAN430")</f>
        <v>HONGYAN KINKAN430</v>
      </c>
      <c r="C512" s="51" t="str">
        <f>IFERROR(__xludf.DUMMYFUNCTION("""COMPUTED_VALUE"""),"DT-508")</f>
        <v>DT-508</v>
      </c>
    </row>
    <row r="513">
      <c r="A513" s="51" t="str">
        <f>IFERROR(__xludf.DUMMYFUNCTION("""COMPUTED_VALUE"""),"DUMP TRUCK")</f>
        <v>DUMP TRUCK</v>
      </c>
      <c r="B513" s="51" t="str">
        <f>IFERROR(__xludf.DUMMYFUNCTION("""COMPUTED_VALUE"""),"HONGYAN KINKAN430")</f>
        <v>HONGYAN KINKAN430</v>
      </c>
      <c r="C513" s="51" t="str">
        <f>IFERROR(__xludf.DUMMYFUNCTION("""COMPUTED_VALUE"""),"DT-509")</f>
        <v>DT-509</v>
      </c>
    </row>
    <row r="514">
      <c r="A514" s="51" t="str">
        <f>IFERROR(__xludf.DUMMYFUNCTION("""COMPUTED_VALUE"""),"DUMP TRUCK")</f>
        <v>DUMP TRUCK</v>
      </c>
      <c r="B514" s="51" t="str">
        <f>IFERROR(__xludf.DUMMYFUNCTION("""COMPUTED_VALUE"""),"HONGYAN KINKAN430")</f>
        <v>HONGYAN KINKAN430</v>
      </c>
      <c r="C514" s="51" t="str">
        <f>IFERROR(__xludf.DUMMYFUNCTION("""COMPUTED_VALUE"""),"DT-510")</f>
        <v>DT-510</v>
      </c>
    </row>
    <row r="515">
      <c r="A515" s="51" t="str">
        <f>IFERROR(__xludf.DUMMYFUNCTION("""COMPUTED_VALUE"""),"DUMP TRUCK")</f>
        <v>DUMP TRUCK</v>
      </c>
      <c r="B515" s="51" t="str">
        <f>IFERROR(__xludf.DUMMYFUNCTION("""COMPUTED_VALUE"""),"HONGYAN KINKAN430")</f>
        <v>HONGYAN KINKAN430</v>
      </c>
      <c r="C515" s="51" t="str">
        <f>IFERROR(__xludf.DUMMYFUNCTION("""COMPUTED_VALUE"""),"DT-511")</f>
        <v>DT-511</v>
      </c>
    </row>
    <row r="516">
      <c r="A516" s="51" t="str">
        <f>IFERROR(__xludf.DUMMYFUNCTION("""COMPUTED_VALUE"""),"DUMP TRUCK")</f>
        <v>DUMP TRUCK</v>
      </c>
      <c r="B516" s="51" t="str">
        <f>IFERROR(__xludf.DUMMYFUNCTION("""COMPUTED_VALUE"""),"HONGYAN KINKAN430")</f>
        <v>HONGYAN KINKAN430</v>
      </c>
      <c r="C516" s="51" t="str">
        <f>IFERROR(__xludf.DUMMYFUNCTION("""COMPUTED_VALUE"""),"DT-512")</f>
        <v>DT-512</v>
      </c>
    </row>
    <row r="517">
      <c r="A517" s="51" t="str">
        <f>IFERROR(__xludf.DUMMYFUNCTION("""COMPUTED_VALUE"""),"DUMP TRUCK")</f>
        <v>DUMP TRUCK</v>
      </c>
      <c r="B517" s="51" t="str">
        <f>IFERROR(__xludf.DUMMYFUNCTION("""COMPUTED_VALUE"""),"HONGYAN KINKAN430")</f>
        <v>HONGYAN KINKAN430</v>
      </c>
      <c r="C517" s="51" t="str">
        <f>IFERROR(__xludf.DUMMYFUNCTION("""COMPUTED_VALUE"""),"DT-513")</f>
        <v>DT-513</v>
      </c>
    </row>
    <row r="518">
      <c r="A518" s="51" t="str">
        <f>IFERROR(__xludf.DUMMYFUNCTION("""COMPUTED_VALUE"""),"DUMP TRUCK")</f>
        <v>DUMP TRUCK</v>
      </c>
      <c r="B518" s="51" t="str">
        <f>IFERROR(__xludf.DUMMYFUNCTION("""COMPUTED_VALUE"""),"HONGYAN KINKAN430")</f>
        <v>HONGYAN KINKAN430</v>
      </c>
      <c r="C518" s="51" t="str">
        <f>IFERROR(__xludf.DUMMYFUNCTION("""COMPUTED_VALUE"""),"DT-514")</f>
        <v>DT-514</v>
      </c>
    </row>
    <row r="519">
      <c r="A519" s="51" t="str">
        <f>IFERROR(__xludf.DUMMYFUNCTION("""COMPUTED_VALUE"""),"DUMP TRUCK")</f>
        <v>DUMP TRUCK</v>
      </c>
      <c r="B519" s="51" t="str">
        <f>IFERROR(__xludf.DUMMYFUNCTION("""COMPUTED_VALUE"""),"HONGYAN KINKAN430")</f>
        <v>HONGYAN KINKAN430</v>
      </c>
      <c r="C519" s="51" t="str">
        <f>IFERROR(__xludf.DUMMYFUNCTION("""COMPUTED_VALUE"""),"DT-395")</f>
        <v>DT-395</v>
      </c>
    </row>
    <row r="520">
      <c r="A520" s="51" t="str">
        <f>IFERROR(__xludf.DUMMYFUNCTION("""COMPUTED_VALUE"""),"DUMP TRUCK")</f>
        <v>DUMP TRUCK</v>
      </c>
      <c r="B520" s="51" t="str">
        <f>IFERROR(__xludf.DUMMYFUNCTION("""COMPUTED_VALUE"""),"HONGYAN KINKAN430")</f>
        <v>HONGYAN KINKAN430</v>
      </c>
      <c r="C520" s="51" t="str">
        <f>IFERROR(__xludf.DUMMYFUNCTION("""COMPUTED_VALUE"""),"DT-396")</f>
        <v>DT-396</v>
      </c>
    </row>
    <row r="521">
      <c r="A521" s="51" t="str">
        <f>IFERROR(__xludf.DUMMYFUNCTION("""COMPUTED_VALUE"""),"DUMP TRUCK")</f>
        <v>DUMP TRUCK</v>
      </c>
      <c r="B521" s="51" t="str">
        <f>IFERROR(__xludf.DUMMYFUNCTION("""COMPUTED_VALUE"""),"HONGYAN KINKAN430")</f>
        <v>HONGYAN KINKAN430</v>
      </c>
      <c r="C521" s="51" t="str">
        <f>IFERROR(__xludf.DUMMYFUNCTION("""COMPUTED_VALUE"""),"DT-397")</f>
        <v>DT-397</v>
      </c>
    </row>
    <row r="522">
      <c r="A522" s="51" t="str">
        <f>IFERROR(__xludf.DUMMYFUNCTION("""COMPUTED_VALUE"""),"DUMP TRUCK")</f>
        <v>DUMP TRUCK</v>
      </c>
      <c r="B522" s="51" t="str">
        <f>IFERROR(__xludf.DUMMYFUNCTION("""COMPUTED_VALUE"""),"HONGYAN KINKAN430")</f>
        <v>HONGYAN KINKAN430</v>
      </c>
      <c r="C522" s="51" t="str">
        <f>IFERROR(__xludf.DUMMYFUNCTION("""COMPUTED_VALUE"""),"DT-398")</f>
        <v>DT-398</v>
      </c>
    </row>
    <row r="523">
      <c r="A523" s="51" t="str">
        <f>IFERROR(__xludf.DUMMYFUNCTION("""COMPUTED_VALUE"""),"DUMP TRUCK")</f>
        <v>DUMP TRUCK</v>
      </c>
      <c r="B523" s="51" t="str">
        <f>IFERROR(__xludf.DUMMYFUNCTION("""COMPUTED_VALUE"""),"HONGYAN KINKAN430")</f>
        <v>HONGYAN KINKAN430</v>
      </c>
      <c r="C523" s="51" t="str">
        <f>IFERROR(__xludf.DUMMYFUNCTION("""COMPUTED_VALUE"""),"DT-399")</f>
        <v>DT-399</v>
      </c>
    </row>
    <row r="524">
      <c r="A524" s="51" t="str">
        <f>IFERROR(__xludf.DUMMYFUNCTION("""COMPUTED_VALUE"""),"DUMP TRUCK")</f>
        <v>DUMP TRUCK</v>
      </c>
      <c r="B524" s="51" t="str">
        <f>IFERROR(__xludf.DUMMYFUNCTION("""COMPUTED_VALUE"""),"HINO ZY1EWRD-XS")</f>
        <v>HINO ZY1EWRD-XS</v>
      </c>
      <c r="C524" s="51" t="str">
        <f>IFERROR(__xludf.DUMMYFUNCTION("""COMPUTED_VALUE"""),"DT-515")</f>
        <v>DT-515</v>
      </c>
    </row>
    <row r="525">
      <c r="A525" s="51" t="str">
        <f>IFERROR(__xludf.DUMMYFUNCTION("""COMPUTED_VALUE"""),"SUPPORT")</f>
        <v>SUPPORT</v>
      </c>
      <c r="B525" s="51" t="str">
        <f>IFERROR(__xludf.DUMMYFUNCTION("""COMPUTED_VALUE"""),"KOMATSU FD 30-17")</f>
        <v>KOMATSU FD 30-17</v>
      </c>
      <c r="C525" s="51" t="str">
        <f>IFERROR(__xludf.DUMMYFUNCTION("""COMPUTED_VALUE"""),"FD 30-17-001")</f>
        <v>FD 30-17-001</v>
      </c>
    </row>
    <row r="526">
      <c r="A526" s="51" t="str">
        <f>IFERROR(__xludf.DUMMYFUNCTION("""COMPUTED_VALUE"""),"DUMP TRUCK")</f>
        <v>DUMP TRUCK</v>
      </c>
      <c r="B526" s="51" t="str">
        <f>IFERROR(__xludf.DUMMYFUNCTION("""COMPUTED_VALUE"""),"HONGYAN KINKAN430")</f>
        <v>HONGYAN KINKAN430</v>
      </c>
      <c r="C526" s="51" t="str">
        <f>IFERROR(__xludf.DUMMYFUNCTION("""COMPUTED_VALUE"""),"DT-516")</f>
        <v>DT-516</v>
      </c>
    </row>
    <row r="527">
      <c r="A527" s="51" t="str">
        <f>IFERROR(__xludf.DUMMYFUNCTION("""COMPUTED_VALUE"""),"DUMP TRUCK")</f>
        <v>DUMP TRUCK</v>
      </c>
      <c r="B527" s="51" t="str">
        <f>IFERROR(__xludf.DUMMYFUNCTION("""COMPUTED_VALUE"""),"HONGYAN KINKAN430")</f>
        <v>HONGYAN KINKAN430</v>
      </c>
      <c r="C527" s="51" t="str">
        <f>IFERROR(__xludf.DUMMYFUNCTION("""COMPUTED_VALUE"""),"DT-517")</f>
        <v>DT-517</v>
      </c>
    </row>
    <row r="528">
      <c r="A528" s="51" t="str">
        <f>IFERROR(__xludf.DUMMYFUNCTION("""COMPUTED_VALUE"""),"DUMP TRUCK")</f>
        <v>DUMP TRUCK</v>
      </c>
      <c r="B528" s="51" t="str">
        <f>IFERROR(__xludf.DUMMYFUNCTION("""COMPUTED_VALUE"""),"HONGYAN KINKAN430")</f>
        <v>HONGYAN KINKAN430</v>
      </c>
      <c r="C528" s="51" t="str">
        <f>IFERROR(__xludf.DUMMYFUNCTION("""COMPUTED_VALUE"""),"DT-518")</f>
        <v>DT-518</v>
      </c>
    </row>
    <row r="529">
      <c r="A529" s="51" t="str">
        <f>IFERROR(__xludf.DUMMYFUNCTION("""COMPUTED_VALUE"""),"DUMP TRUCK")</f>
        <v>DUMP TRUCK</v>
      </c>
      <c r="B529" s="51" t="str">
        <f>IFERROR(__xludf.DUMMYFUNCTION("""COMPUTED_VALUE"""),"HONGYAN KINKAN430")</f>
        <v>HONGYAN KINKAN430</v>
      </c>
      <c r="C529" s="51" t="str">
        <f>IFERROR(__xludf.DUMMYFUNCTION("""COMPUTED_VALUE"""),"DT-519")</f>
        <v>DT-519</v>
      </c>
    </row>
    <row r="530">
      <c r="A530" s="51" t="str">
        <f>IFERROR(__xludf.DUMMYFUNCTION("""COMPUTED_VALUE"""),"DUMP TRUCK")</f>
        <v>DUMP TRUCK</v>
      </c>
      <c r="B530" s="51" t="str">
        <f>IFERROR(__xludf.DUMMYFUNCTION("""COMPUTED_VALUE"""),"HONGYAN KINKAN430")</f>
        <v>HONGYAN KINKAN430</v>
      </c>
      <c r="C530" s="51" t="str">
        <f>IFERROR(__xludf.DUMMYFUNCTION("""COMPUTED_VALUE"""),"DT-520")</f>
        <v>DT-520</v>
      </c>
    </row>
    <row r="531">
      <c r="A531" s="51" t="str">
        <f>IFERROR(__xludf.DUMMYFUNCTION("""COMPUTED_VALUE"""),"DUMP TRUCK")</f>
        <v>DUMP TRUCK</v>
      </c>
      <c r="B531" s="51" t="str">
        <f>IFERROR(__xludf.DUMMYFUNCTION("""COMPUTED_VALUE"""),"HONGYAN KINKAN430")</f>
        <v>HONGYAN KINKAN430</v>
      </c>
      <c r="C531" s="51" t="str">
        <f>IFERROR(__xludf.DUMMYFUNCTION("""COMPUTED_VALUE"""),"DT-521")</f>
        <v>DT-521</v>
      </c>
    </row>
    <row r="532">
      <c r="A532" s="51" t="str">
        <f>IFERROR(__xludf.DUMMYFUNCTION("""COMPUTED_VALUE"""),"DUMP TRUCK")</f>
        <v>DUMP TRUCK</v>
      </c>
      <c r="B532" s="51" t="str">
        <f>IFERROR(__xludf.DUMMYFUNCTION("""COMPUTED_VALUE"""),"HONGYAN KINKAN430")</f>
        <v>HONGYAN KINKAN430</v>
      </c>
      <c r="C532" s="51" t="str">
        <f>IFERROR(__xludf.DUMMYFUNCTION("""COMPUTED_VALUE"""),"DT-522")</f>
        <v>DT-522</v>
      </c>
    </row>
    <row r="533">
      <c r="A533" s="51" t="str">
        <f>IFERROR(__xludf.DUMMYFUNCTION("""COMPUTED_VALUE"""),"DUMP TRUCK")</f>
        <v>DUMP TRUCK</v>
      </c>
      <c r="B533" s="51" t="str">
        <f>IFERROR(__xludf.DUMMYFUNCTION("""COMPUTED_VALUE"""),"HONGYAN KINKAN430")</f>
        <v>HONGYAN KINKAN430</v>
      </c>
      <c r="C533" s="51" t="str">
        <f>IFERROR(__xludf.DUMMYFUNCTION("""COMPUTED_VALUE"""),"DT-523")</f>
        <v>DT-523</v>
      </c>
    </row>
    <row r="534">
      <c r="A534" s="51" t="str">
        <f>IFERROR(__xludf.DUMMYFUNCTION("""COMPUTED_VALUE"""),"DUMP TRUCK")</f>
        <v>DUMP TRUCK</v>
      </c>
      <c r="B534" s="51" t="str">
        <f>IFERROR(__xludf.DUMMYFUNCTION("""COMPUTED_VALUE"""),"HONGYAN KINKAN430")</f>
        <v>HONGYAN KINKAN430</v>
      </c>
      <c r="C534" s="51" t="str">
        <f>IFERROR(__xludf.DUMMYFUNCTION("""COMPUTED_VALUE"""),"DT-524")</f>
        <v>DT-524</v>
      </c>
    </row>
    <row r="535">
      <c r="A535" s="51" t="str">
        <f>IFERROR(__xludf.DUMMYFUNCTION("""COMPUTED_VALUE"""),"DUMP TRUCK")</f>
        <v>DUMP TRUCK</v>
      </c>
      <c r="B535" s="51" t="str">
        <f>IFERROR(__xludf.DUMMYFUNCTION("""COMPUTED_VALUE"""),"HONGYAN KINKAN430")</f>
        <v>HONGYAN KINKAN430</v>
      </c>
      <c r="C535" s="51" t="str">
        <f>IFERROR(__xludf.DUMMYFUNCTION("""COMPUTED_VALUE"""),"DT-525")</f>
        <v>DT-525</v>
      </c>
    </row>
    <row r="536">
      <c r="A536" s="51" t="str">
        <f>IFERROR(__xludf.DUMMYFUNCTION("""COMPUTED_VALUE"""),"DUMP TRUCK")</f>
        <v>DUMP TRUCK</v>
      </c>
      <c r="B536" s="51" t="str">
        <f>IFERROR(__xludf.DUMMYFUNCTION("""COMPUTED_VALUE"""),"HONGYAN KINKAN430")</f>
        <v>HONGYAN KINKAN430</v>
      </c>
      <c r="C536" s="51" t="str">
        <f>IFERROR(__xludf.DUMMYFUNCTION("""COMPUTED_VALUE"""),"DT-526")</f>
        <v>DT-526</v>
      </c>
    </row>
    <row r="537">
      <c r="A537" s="51" t="str">
        <f>IFERROR(__xludf.DUMMYFUNCTION("""COMPUTED_VALUE"""),"DUMP TRUCK")</f>
        <v>DUMP TRUCK</v>
      </c>
      <c r="B537" s="51" t="str">
        <f>IFERROR(__xludf.DUMMYFUNCTION("""COMPUTED_VALUE"""),"HONGYAN KINKAN430")</f>
        <v>HONGYAN KINKAN430</v>
      </c>
      <c r="C537" s="51" t="str">
        <f>IFERROR(__xludf.DUMMYFUNCTION("""COMPUTED_VALUE"""),"DT-527")</f>
        <v>DT-527</v>
      </c>
    </row>
    <row r="538">
      <c r="A538" s="51" t="str">
        <f>IFERROR(__xludf.DUMMYFUNCTION("""COMPUTED_VALUE"""),"DUMP TRUCK")</f>
        <v>DUMP TRUCK</v>
      </c>
      <c r="B538" s="51" t="str">
        <f>IFERROR(__xludf.DUMMYFUNCTION("""COMPUTED_VALUE"""),"HONGYAN KINKAN430")</f>
        <v>HONGYAN KINKAN430</v>
      </c>
      <c r="C538" s="51" t="str">
        <f>IFERROR(__xludf.DUMMYFUNCTION("""COMPUTED_VALUE"""),"DT-528")</f>
        <v>DT-528</v>
      </c>
    </row>
    <row r="539">
      <c r="A539" s="51" t="str">
        <f>IFERROR(__xludf.DUMMYFUNCTION("""COMPUTED_VALUE"""),"DUMP TRUCK")</f>
        <v>DUMP TRUCK</v>
      </c>
      <c r="B539" s="51" t="str">
        <f>IFERROR(__xludf.DUMMYFUNCTION("""COMPUTED_VALUE"""),"HONGYAN KINKAN430")</f>
        <v>HONGYAN KINKAN430</v>
      </c>
      <c r="C539" s="51" t="str">
        <f>IFERROR(__xludf.DUMMYFUNCTION("""COMPUTED_VALUE"""),"DT-529")</f>
        <v>DT-529</v>
      </c>
    </row>
    <row r="540">
      <c r="A540" s="51" t="str">
        <f>IFERROR(__xludf.DUMMYFUNCTION("""COMPUTED_VALUE"""),"DUMP TRUCK")</f>
        <v>DUMP TRUCK</v>
      </c>
      <c r="B540" s="51" t="str">
        <f>IFERROR(__xludf.DUMMYFUNCTION("""COMPUTED_VALUE"""),"HONGYAN KINKAN430")</f>
        <v>HONGYAN KINKAN430</v>
      </c>
      <c r="C540" s="51" t="str">
        <f>IFERROR(__xludf.DUMMYFUNCTION("""COMPUTED_VALUE"""),"DT-530")</f>
        <v>DT-530</v>
      </c>
    </row>
    <row r="541">
      <c r="A541" s="51" t="str">
        <f>IFERROR(__xludf.DUMMYFUNCTION("""COMPUTED_VALUE"""),"DUMP TRUCK")</f>
        <v>DUMP TRUCK</v>
      </c>
      <c r="B541" s="51" t="str">
        <f>IFERROR(__xludf.DUMMYFUNCTION("""COMPUTED_VALUE"""),"HONGYAN KINKAN430")</f>
        <v>HONGYAN KINKAN430</v>
      </c>
      <c r="C541" s="51" t="str">
        <f>IFERROR(__xludf.DUMMYFUNCTION("""COMPUTED_VALUE"""),"DT-531")</f>
        <v>DT-531</v>
      </c>
    </row>
    <row r="542">
      <c r="A542" s="51" t="str">
        <f>IFERROR(__xludf.DUMMYFUNCTION("""COMPUTED_VALUE"""),"DUMP TRUCK")</f>
        <v>DUMP TRUCK</v>
      </c>
      <c r="B542" s="51" t="str">
        <f>IFERROR(__xludf.DUMMYFUNCTION("""COMPUTED_VALUE"""),"HONGYAN KINKAN430")</f>
        <v>HONGYAN KINKAN430</v>
      </c>
      <c r="C542" s="51" t="str">
        <f>IFERROR(__xludf.DUMMYFUNCTION("""COMPUTED_VALUE"""),"DT-532")</f>
        <v>DT-532</v>
      </c>
    </row>
    <row r="543">
      <c r="A543" s="51" t="str">
        <f>IFERROR(__xludf.DUMMYFUNCTION("""COMPUTED_VALUE"""),"DUMP TRUCK")</f>
        <v>DUMP TRUCK</v>
      </c>
      <c r="B543" s="51" t="str">
        <f>IFERROR(__xludf.DUMMYFUNCTION("""COMPUTED_VALUE"""),"HONGYAN KINKAN430")</f>
        <v>HONGYAN KINKAN430</v>
      </c>
      <c r="C543" s="51" t="str">
        <f>IFERROR(__xludf.DUMMYFUNCTION("""COMPUTED_VALUE"""),"DT-533")</f>
        <v>DT-533</v>
      </c>
    </row>
    <row r="544">
      <c r="A544" s="51" t="str">
        <f>IFERROR(__xludf.DUMMYFUNCTION("""COMPUTED_VALUE"""),"DUMP TRUCK")</f>
        <v>DUMP TRUCK</v>
      </c>
      <c r="B544" s="51" t="str">
        <f>IFERROR(__xludf.DUMMYFUNCTION("""COMPUTED_VALUE"""),"HONGYAN KINKAN430")</f>
        <v>HONGYAN KINKAN430</v>
      </c>
      <c r="C544" s="51" t="str">
        <f>IFERROR(__xludf.DUMMYFUNCTION("""COMPUTED_VALUE"""),"DT-534")</f>
        <v>DT-534</v>
      </c>
    </row>
    <row r="545">
      <c r="A545" s="51" t="str">
        <f>IFERROR(__xludf.DUMMYFUNCTION("""COMPUTED_VALUE"""),"DUMP TRUCK")</f>
        <v>DUMP TRUCK</v>
      </c>
      <c r="B545" s="51" t="str">
        <f>IFERROR(__xludf.DUMMYFUNCTION("""COMPUTED_VALUE"""),"HONGYAN KINKAN430")</f>
        <v>HONGYAN KINKAN430</v>
      </c>
      <c r="C545" s="51" t="str">
        <f>IFERROR(__xludf.DUMMYFUNCTION("""COMPUTED_VALUE"""),"DT-535")</f>
        <v>DT-535</v>
      </c>
    </row>
    <row r="546">
      <c r="A546" s="51" t="str">
        <f>IFERROR(__xludf.DUMMYFUNCTION("""COMPUTED_VALUE"""),"SUPPORT")</f>
        <v>SUPPORT</v>
      </c>
      <c r="B546" s="51" t="str">
        <f>IFERROR(__xludf.DUMMYFUNCTION("""COMPUTED_VALUE"""),"MITSUBISHI TRITON")</f>
        <v>MITSUBISHI TRITON</v>
      </c>
      <c r="C546" s="51" t="str">
        <f>IFERROR(__xludf.DUMMYFUNCTION("""COMPUTED_VALUE"""),"LV-SA-33")</f>
        <v>LV-SA-33</v>
      </c>
    </row>
    <row r="547">
      <c r="A547" s="51" t="str">
        <f>IFERROR(__xludf.DUMMYFUNCTION("""COMPUTED_VALUE"""),"SUPPORT")</f>
        <v>SUPPORT</v>
      </c>
      <c r="B547" s="51" t="str">
        <f>IFERROR(__xludf.DUMMYFUNCTION("""COMPUTED_VALUE"""),"MITSUBISHI TRITON")</f>
        <v>MITSUBISHI TRITON</v>
      </c>
      <c r="C547" s="51" t="str">
        <f>IFERROR(__xludf.DUMMYFUNCTION("""COMPUTED_VALUE"""),"LV-SA-34")</f>
        <v>LV-SA-34</v>
      </c>
    </row>
    <row r="548">
      <c r="A548" s="51" t="str">
        <f>IFERROR(__xludf.DUMMYFUNCTION("""COMPUTED_VALUE"""),"SUPPORT")</f>
        <v>SUPPORT</v>
      </c>
      <c r="B548" s="51" t="str">
        <f>IFERROR(__xludf.DUMMYFUNCTION("""COMPUTED_VALUE"""),"MITSUBISHI TRITON")</f>
        <v>MITSUBISHI TRITON</v>
      </c>
      <c r="C548" s="51" t="str">
        <f>IFERROR(__xludf.DUMMYFUNCTION("""COMPUTED_VALUE"""),"LV-APP-35")</f>
        <v>LV-APP-35</v>
      </c>
    </row>
    <row r="549">
      <c r="A549" s="51" t="str">
        <f>IFERROR(__xludf.DUMMYFUNCTION("""COMPUTED_VALUE"""),"DUMP TRUCK")</f>
        <v>DUMP TRUCK</v>
      </c>
      <c r="B549" s="51" t="str">
        <f>IFERROR(__xludf.DUMMYFUNCTION("""COMPUTED_VALUE"""),"HINO ZS1EPPD-XS")</f>
        <v>HINO ZS1EPPD-XS</v>
      </c>
      <c r="C549" s="51" t="str">
        <f>IFERROR(__xludf.DUMMYFUNCTION("""COMPUTED_VALUE"""),"MH-03")</f>
        <v>MH-03</v>
      </c>
    </row>
    <row r="550">
      <c r="A550" s="51" t="str">
        <f>IFERROR(__xludf.DUMMYFUNCTION("""COMPUTED_VALUE"""),"DUMP TRUCK")</f>
        <v>DUMP TRUCK</v>
      </c>
      <c r="B550" s="51" t="str">
        <f>IFERROR(__xludf.DUMMYFUNCTION("""COMPUTED_VALUE"""),"HINO ZS1EPPD-XS")</f>
        <v>HINO ZS1EPPD-XS</v>
      </c>
      <c r="C550" s="51" t="str">
        <f>IFERROR(__xludf.DUMMYFUNCTION("""COMPUTED_VALUE"""),"MH-04")</f>
        <v>MH-04</v>
      </c>
    </row>
    <row r="551">
      <c r="A551" s="51" t="str">
        <f>IFERROR(__xludf.DUMMYFUNCTION("""COMPUTED_VALUE"""),"HEAVY EQUIPMENT")</f>
        <v>HEAVY EQUIPMENT</v>
      </c>
      <c r="B551" s="51" t="str">
        <f>IFERROR(__xludf.DUMMYFUNCTION("""COMPUTED_VALUE"""),"SAKAI SV-20-2-160")</f>
        <v>SAKAI SV-20-2-160</v>
      </c>
      <c r="C551" s="51" t="str">
        <f>IFERROR(__xludf.DUMMYFUNCTION("""COMPUTED_VALUE"""),"SAKAI-09")</f>
        <v>SAKAI-09</v>
      </c>
    </row>
    <row r="552">
      <c r="A552" s="51"/>
      <c r="B552" s="51"/>
      <c r="C552" s="51"/>
    </row>
    <row r="553">
      <c r="A553" s="51"/>
      <c r="B553" s="51"/>
      <c r="C553" s="51"/>
    </row>
    <row r="554">
      <c r="A554" s="51"/>
      <c r="B554" s="51"/>
      <c r="C554" s="51"/>
    </row>
    <row r="555">
      <c r="A555" s="51"/>
      <c r="B555" s="51"/>
      <c r="C555" s="51"/>
    </row>
    <row r="556">
      <c r="A556" s="51"/>
      <c r="B556" s="51"/>
      <c r="C556" s="51"/>
    </row>
    <row r="557">
      <c r="A557" s="51"/>
      <c r="B557" s="51"/>
      <c r="C557" s="51"/>
    </row>
    <row r="558">
      <c r="A558" s="51"/>
      <c r="B558" s="51"/>
      <c r="C558" s="51"/>
    </row>
    <row r="559">
      <c r="A559" s="51"/>
      <c r="B559" s="51"/>
      <c r="C559" s="51"/>
    </row>
    <row r="560">
      <c r="A560" s="51"/>
      <c r="B560" s="51"/>
      <c r="C560" s="51"/>
    </row>
    <row r="561">
      <c r="A561" s="51"/>
      <c r="B561" s="51"/>
      <c r="C561" s="51"/>
    </row>
    <row r="562">
      <c r="A562" s="51"/>
      <c r="B562" s="51"/>
      <c r="C562" s="51"/>
    </row>
    <row r="563">
      <c r="A563" s="51"/>
      <c r="B563" s="51"/>
      <c r="C563" s="51"/>
    </row>
    <row r="564">
      <c r="A564" s="51"/>
      <c r="B564" s="51"/>
      <c r="C564" s="51"/>
    </row>
    <row r="565">
      <c r="A565" s="51"/>
      <c r="B565" s="51"/>
      <c r="C565" s="51"/>
    </row>
    <row r="566">
      <c r="A566" s="51"/>
      <c r="B566" s="51"/>
      <c r="C566" s="51"/>
    </row>
    <row r="567">
      <c r="A567" s="51"/>
      <c r="B567" s="51"/>
      <c r="C567" s="51"/>
    </row>
    <row r="568">
      <c r="A568" s="51"/>
      <c r="B568" s="51"/>
      <c r="C568" s="51"/>
    </row>
    <row r="569">
      <c r="A569" s="51"/>
      <c r="B569" s="51"/>
      <c r="C569" s="51"/>
    </row>
    <row r="570">
      <c r="A570" s="51"/>
      <c r="B570" s="51"/>
      <c r="C570" s="51"/>
    </row>
    <row r="571">
      <c r="A571" s="51"/>
      <c r="B571" s="51"/>
      <c r="C571" s="51"/>
    </row>
    <row r="572">
      <c r="A572" s="51"/>
      <c r="B572" s="51"/>
      <c r="C572" s="51"/>
    </row>
    <row r="573">
      <c r="A573" s="51"/>
      <c r="B573" s="51"/>
      <c r="C573" s="51"/>
    </row>
    <row r="574">
      <c r="A574" s="51"/>
      <c r="B574" s="51"/>
      <c r="C574" s="51"/>
    </row>
    <row r="575">
      <c r="A575" s="51"/>
      <c r="B575" s="51"/>
      <c r="C575" s="51"/>
    </row>
    <row r="576">
      <c r="A576" s="51"/>
      <c r="B576" s="51"/>
      <c r="C576" s="51"/>
    </row>
    <row r="577">
      <c r="A577" s="51"/>
      <c r="B577" s="51"/>
      <c r="C577" s="51"/>
    </row>
    <row r="578">
      <c r="A578" s="51"/>
      <c r="B578" s="51"/>
      <c r="C578" s="51"/>
    </row>
    <row r="579">
      <c r="A579" s="51"/>
      <c r="B579" s="51"/>
      <c r="C579" s="51"/>
    </row>
    <row r="580">
      <c r="A580" s="51"/>
      <c r="B580" s="51"/>
      <c r="C580" s="51"/>
    </row>
    <row r="581">
      <c r="A581" s="51"/>
      <c r="B581" s="51"/>
      <c r="C581" s="51"/>
    </row>
    <row r="582">
      <c r="A582" s="51"/>
      <c r="B582" s="51"/>
      <c r="C582" s="51"/>
    </row>
    <row r="583">
      <c r="A583" s="51"/>
      <c r="B583" s="51"/>
      <c r="C583" s="51"/>
    </row>
    <row r="584">
      <c r="A584" s="51"/>
      <c r="B584" s="51"/>
      <c r="C584" s="51"/>
    </row>
    <row r="585">
      <c r="A585" s="51"/>
      <c r="B585" s="51"/>
      <c r="C585" s="51"/>
    </row>
    <row r="586">
      <c r="A586" s="51"/>
      <c r="B586" s="51"/>
      <c r="C586" s="51"/>
    </row>
    <row r="587">
      <c r="A587" s="51"/>
      <c r="B587" s="51"/>
      <c r="C587" s="51"/>
    </row>
    <row r="588">
      <c r="A588" s="51"/>
      <c r="B588" s="51"/>
      <c r="C588" s="51"/>
    </row>
    <row r="589">
      <c r="A589" s="51"/>
      <c r="B589" s="51"/>
      <c r="C589" s="51"/>
    </row>
    <row r="590">
      <c r="A590" s="51"/>
      <c r="B590" s="51"/>
      <c r="C590" s="51"/>
    </row>
    <row r="591">
      <c r="A591" s="51"/>
      <c r="B591" s="51"/>
      <c r="C591" s="51"/>
    </row>
    <row r="592">
      <c r="A592" s="51"/>
      <c r="B592" s="51"/>
      <c r="C592" s="51"/>
    </row>
    <row r="593">
      <c r="A593" s="51"/>
      <c r="B593" s="51"/>
      <c r="C593" s="51"/>
    </row>
    <row r="594">
      <c r="A594" s="51"/>
      <c r="B594" s="51"/>
      <c r="C594" s="51"/>
    </row>
    <row r="595">
      <c r="A595" s="51"/>
      <c r="B595" s="51"/>
      <c r="C595" s="51"/>
    </row>
    <row r="596">
      <c r="A596" s="51"/>
      <c r="B596" s="51"/>
      <c r="C596" s="51"/>
    </row>
    <row r="597">
      <c r="A597" s="51"/>
      <c r="B597" s="51"/>
      <c r="C597" s="51"/>
    </row>
    <row r="598">
      <c r="A598" s="51"/>
      <c r="B598" s="51"/>
      <c r="C598" s="51"/>
    </row>
    <row r="599">
      <c r="A599" s="51"/>
      <c r="B599" s="51"/>
      <c r="C599" s="51"/>
    </row>
    <row r="600">
      <c r="A600" s="51"/>
      <c r="B600" s="51"/>
      <c r="C600" s="51"/>
    </row>
    <row r="601">
      <c r="A601" s="51"/>
      <c r="B601" s="51"/>
      <c r="C601" s="51"/>
    </row>
    <row r="602">
      <c r="A602" s="51"/>
      <c r="B602" s="51"/>
      <c r="C602" s="51"/>
    </row>
    <row r="603">
      <c r="A603" s="51"/>
      <c r="B603" s="51"/>
      <c r="C603" s="51"/>
    </row>
    <row r="604">
      <c r="A604" s="51"/>
      <c r="B604" s="51"/>
      <c r="C604" s="51"/>
    </row>
    <row r="605">
      <c r="A605" s="51"/>
      <c r="B605" s="51"/>
      <c r="C605" s="51"/>
    </row>
    <row r="606">
      <c r="A606" s="51"/>
      <c r="B606" s="51"/>
      <c r="C606" s="51"/>
    </row>
    <row r="607">
      <c r="A607" s="51"/>
      <c r="B607" s="51"/>
      <c r="C607" s="51"/>
    </row>
    <row r="608">
      <c r="A608" s="51"/>
      <c r="B608" s="51"/>
      <c r="C608" s="51"/>
    </row>
    <row r="609">
      <c r="A609" s="51"/>
      <c r="B609" s="51"/>
      <c r="C609" s="51"/>
    </row>
    <row r="610">
      <c r="A610" s="51"/>
      <c r="B610" s="51"/>
      <c r="C610" s="51"/>
    </row>
    <row r="611">
      <c r="A611" s="51"/>
      <c r="B611" s="51"/>
      <c r="C611" s="51"/>
    </row>
    <row r="612">
      <c r="A612" s="51"/>
      <c r="B612" s="51"/>
      <c r="C612" s="51"/>
    </row>
    <row r="613">
      <c r="A613" s="51"/>
      <c r="B613" s="51"/>
      <c r="C613" s="51"/>
    </row>
    <row r="614">
      <c r="A614" s="51"/>
      <c r="B614" s="51"/>
      <c r="C614" s="51"/>
    </row>
    <row r="615">
      <c r="A615" s="51"/>
      <c r="B615" s="51"/>
      <c r="C615" s="51"/>
    </row>
    <row r="616">
      <c r="A616" s="51"/>
      <c r="B616" s="51"/>
      <c r="C616" s="51"/>
    </row>
    <row r="617">
      <c r="A617" s="51"/>
      <c r="B617" s="51"/>
      <c r="C617" s="51"/>
    </row>
    <row r="618">
      <c r="A618" s="51"/>
      <c r="B618" s="51"/>
      <c r="C618" s="51"/>
    </row>
    <row r="619">
      <c r="A619" s="51"/>
      <c r="B619" s="51"/>
      <c r="C619" s="51"/>
    </row>
    <row r="620">
      <c r="A620" s="51"/>
      <c r="B620" s="51"/>
      <c r="C620" s="51"/>
    </row>
    <row r="621">
      <c r="A621" s="51"/>
      <c r="B621" s="51"/>
      <c r="C621" s="51"/>
    </row>
    <row r="622">
      <c r="A622" s="51"/>
      <c r="B622" s="51"/>
      <c r="C622" s="51"/>
    </row>
    <row r="623">
      <c r="A623" s="51"/>
      <c r="B623" s="51"/>
      <c r="C623" s="51"/>
    </row>
    <row r="624">
      <c r="A624" s="51"/>
      <c r="B624" s="51"/>
      <c r="C624" s="51"/>
    </row>
    <row r="625">
      <c r="A625" s="51"/>
      <c r="B625" s="51"/>
      <c r="C625" s="51"/>
    </row>
    <row r="626">
      <c r="A626" s="51"/>
      <c r="B626" s="51"/>
      <c r="C626" s="51"/>
    </row>
    <row r="627">
      <c r="A627" s="51"/>
      <c r="B627" s="51"/>
      <c r="C627" s="51"/>
    </row>
    <row r="628">
      <c r="A628" s="51"/>
      <c r="B628" s="51"/>
      <c r="C628" s="51"/>
    </row>
    <row r="629">
      <c r="A629" s="51"/>
      <c r="B629" s="51"/>
      <c r="C629" s="51"/>
    </row>
    <row r="630">
      <c r="A630" s="51"/>
      <c r="B630" s="51"/>
      <c r="C630" s="51"/>
    </row>
    <row r="631">
      <c r="A631" s="51"/>
      <c r="B631" s="51"/>
      <c r="C631" s="51"/>
    </row>
    <row r="632">
      <c r="A632" s="51"/>
      <c r="B632" s="51"/>
      <c r="C632" s="51"/>
    </row>
    <row r="633">
      <c r="A633" s="51"/>
      <c r="B633" s="51"/>
      <c r="C633" s="51"/>
    </row>
    <row r="634">
      <c r="A634" s="51"/>
      <c r="B634" s="51"/>
      <c r="C634" s="51"/>
    </row>
    <row r="635">
      <c r="A635" s="51"/>
      <c r="B635" s="51"/>
      <c r="C635" s="51"/>
    </row>
    <row r="636">
      <c r="A636" s="51"/>
      <c r="B636" s="51"/>
      <c r="C636" s="51"/>
    </row>
    <row r="637">
      <c r="A637" s="51"/>
      <c r="B637" s="51"/>
      <c r="C637" s="51"/>
    </row>
    <row r="638">
      <c r="A638" s="51"/>
      <c r="B638" s="51"/>
      <c r="C638" s="51"/>
    </row>
    <row r="639">
      <c r="A639" s="51"/>
      <c r="B639" s="51"/>
      <c r="C639" s="51"/>
    </row>
    <row r="640">
      <c r="A640" s="51"/>
      <c r="B640" s="51"/>
      <c r="C640" s="51"/>
    </row>
    <row r="641">
      <c r="A641" s="51"/>
      <c r="B641" s="51"/>
      <c r="C641" s="51"/>
    </row>
    <row r="642">
      <c r="A642" s="51"/>
      <c r="B642" s="51"/>
      <c r="C642" s="51"/>
    </row>
    <row r="643">
      <c r="A643" s="51"/>
      <c r="B643" s="51"/>
      <c r="C643" s="51"/>
    </row>
    <row r="644">
      <c r="A644" s="51"/>
      <c r="B644" s="51"/>
      <c r="C644" s="51"/>
    </row>
    <row r="645">
      <c r="A645" s="51"/>
      <c r="B645" s="51"/>
      <c r="C645" s="51"/>
    </row>
    <row r="646">
      <c r="A646" s="51"/>
      <c r="B646" s="51"/>
      <c r="C646" s="51"/>
    </row>
    <row r="647">
      <c r="A647" s="51"/>
      <c r="B647" s="51"/>
      <c r="C647" s="51"/>
    </row>
    <row r="648">
      <c r="A648" s="51"/>
      <c r="B648" s="51"/>
      <c r="C648" s="51"/>
    </row>
    <row r="649">
      <c r="A649" s="51"/>
      <c r="B649" s="51"/>
      <c r="C649" s="51"/>
    </row>
    <row r="650">
      <c r="A650" s="51"/>
      <c r="B650" s="51"/>
      <c r="C650" s="51"/>
    </row>
    <row r="651">
      <c r="A651" s="51"/>
      <c r="B651" s="51"/>
      <c r="C651" s="51"/>
    </row>
    <row r="652">
      <c r="A652" s="51"/>
      <c r="B652" s="51"/>
      <c r="C652" s="51"/>
    </row>
    <row r="653">
      <c r="A653" s="51"/>
      <c r="B653" s="51"/>
      <c r="C653" s="51"/>
    </row>
    <row r="654">
      <c r="A654" s="51"/>
      <c r="B654" s="51"/>
      <c r="C654" s="51"/>
    </row>
    <row r="655">
      <c r="A655" s="51"/>
      <c r="B655" s="51"/>
      <c r="C655" s="51"/>
    </row>
    <row r="656">
      <c r="A656" s="51"/>
      <c r="B656" s="51"/>
      <c r="C656" s="51"/>
    </row>
    <row r="657">
      <c r="A657" s="51"/>
      <c r="B657" s="51"/>
      <c r="C657" s="51"/>
    </row>
    <row r="658">
      <c r="A658" s="51"/>
      <c r="B658" s="51"/>
      <c r="C658" s="51"/>
    </row>
    <row r="659">
      <c r="A659" s="51"/>
      <c r="B659" s="51"/>
      <c r="C659" s="51"/>
    </row>
    <row r="660">
      <c r="A660" s="51"/>
      <c r="B660" s="51"/>
      <c r="C660" s="51"/>
    </row>
    <row r="661">
      <c r="A661" s="51"/>
      <c r="B661" s="51"/>
      <c r="C661" s="51"/>
    </row>
    <row r="662">
      <c r="A662" s="51"/>
      <c r="B662" s="51"/>
      <c r="C662" s="51"/>
    </row>
    <row r="663">
      <c r="A663" s="51"/>
      <c r="B663" s="51"/>
      <c r="C663" s="51"/>
    </row>
    <row r="664">
      <c r="A664" s="51"/>
      <c r="B664" s="51"/>
      <c r="C664" s="51"/>
    </row>
    <row r="665">
      <c r="A665" s="51"/>
      <c r="B665" s="51"/>
      <c r="C665" s="51"/>
    </row>
    <row r="666">
      <c r="A666" s="51"/>
      <c r="B666" s="51"/>
      <c r="C666" s="51"/>
    </row>
    <row r="667">
      <c r="A667" s="51"/>
      <c r="B667" s="51"/>
      <c r="C667" s="51"/>
    </row>
    <row r="668">
      <c r="A668" s="51"/>
      <c r="B668" s="51"/>
      <c r="C668" s="51"/>
    </row>
    <row r="669">
      <c r="A669" s="51"/>
      <c r="B669" s="51"/>
      <c r="C669" s="51"/>
    </row>
    <row r="670">
      <c r="A670" s="51"/>
      <c r="B670" s="51"/>
      <c r="C670" s="51"/>
    </row>
    <row r="671">
      <c r="A671" s="51"/>
      <c r="B671" s="51"/>
      <c r="C671" s="51"/>
    </row>
    <row r="672">
      <c r="A672" s="51"/>
      <c r="B672" s="51"/>
      <c r="C672" s="51"/>
    </row>
    <row r="673">
      <c r="A673" s="51"/>
      <c r="B673" s="51"/>
      <c r="C673" s="51"/>
    </row>
    <row r="674">
      <c r="A674" s="51"/>
      <c r="B674" s="51"/>
      <c r="C674" s="51"/>
    </row>
    <row r="675">
      <c r="A675" s="51"/>
      <c r="B675" s="51"/>
      <c r="C675" s="51"/>
    </row>
    <row r="676">
      <c r="A676" s="51"/>
      <c r="B676" s="51"/>
      <c r="C676" s="51"/>
    </row>
    <row r="677">
      <c r="A677" s="51"/>
      <c r="B677" s="51"/>
      <c r="C677" s="51"/>
    </row>
    <row r="678">
      <c r="A678" s="51"/>
      <c r="B678" s="51"/>
      <c r="C678" s="51"/>
    </row>
    <row r="679">
      <c r="A679" s="51"/>
      <c r="B679" s="51"/>
      <c r="C679" s="51"/>
    </row>
    <row r="680">
      <c r="A680" s="51"/>
      <c r="B680" s="51"/>
      <c r="C680" s="51"/>
    </row>
    <row r="681">
      <c r="A681" s="51"/>
      <c r="B681" s="51"/>
      <c r="C681" s="51"/>
    </row>
    <row r="682">
      <c r="A682" s="51"/>
      <c r="B682" s="51"/>
      <c r="C682" s="51"/>
    </row>
    <row r="683">
      <c r="A683" s="51"/>
      <c r="B683" s="51"/>
      <c r="C683" s="51"/>
    </row>
    <row r="684">
      <c r="A684" s="51"/>
      <c r="B684" s="51"/>
      <c r="C684" s="51"/>
    </row>
    <row r="685">
      <c r="A685" s="51"/>
      <c r="B685" s="51"/>
      <c r="C685" s="51"/>
    </row>
    <row r="686">
      <c r="A686" s="51"/>
      <c r="B686" s="51"/>
      <c r="C686" s="51"/>
    </row>
    <row r="687">
      <c r="A687" s="51"/>
      <c r="B687" s="51"/>
      <c r="C687" s="51"/>
    </row>
    <row r="688">
      <c r="A688" s="51"/>
      <c r="B688" s="51"/>
      <c r="C688" s="51"/>
    </row>
    <row r="689">
      <c r="A689" s="51"/>
      <c r="B689" s="51"/>
      <c r="C689" s="51"/>
    </row>
    <row r="690">
      <c r="A690" s="51"/>
      <c r="B690" s="51"/>
      <c r="C690" s="51"/>
    </row>
    <row r="691">
      <c r="A691" s="51"/>
      <c r="B691" s="51"/>
      <c r="C691" s="51"/>
    </row>
    <row r="692">
      <c r="A692" s="51"/>
      <c r="B692" s="51"/>
      <c r="C692" s="51"/>
    </row>
    <row r="693">
      <c r="A693" s="51"/>
      <c r="B693" s="51"/>
      <c r="C693" s="51"/>
    </row>
    <row r="694">
      <c r="A694" s="51"/>
      <c r="B694" s="51"/>
      <c r="C694" s="51"/>
    </row>
    <row r="695">
      <c r="A695" s="51"/>
      <c r="B695" s="51"/>
      <c r="C695" s="51"/>
    </row>
    <row r="696">
      <c r="A696" s="51"/>
      <c r="B696" s="51"/>
      <c r="C696" s="51"/>
    </row>
    <row r="697">
      <c r="A697" s="51"/>
      <c r="B697" s="51"/>
      <c r="C697" s="51"/>
    </row>
    <row r="698">
      <c r="A698" s="51"/>
      <c r="B698" s="51"/>
      <c r="C698" s="51"/>
    </row>
    <row r="699">
      <c r="A699" s="51"/>
      <c r="B699" s="51"/>
      <c r="C699" s="51"/>
    </row>
    <row r="700">
      <c r="A700" s="51"/>
      <c r="B700" s="51"/>
      <c r="C700" s="51"/>
    </row>
    <row r="701">
      <c r="A701" s="51"/>
      <c r="B701" s="51"/>
      <c r="C701" s="51"/>
    </row>
    <row r="702">
      <c r="A702" s="51"/>
      <c r="B702" s="51"/>
      <c r="C702" s="51"/>
    </row>
    <row r="703">
      <c r="A703" s="51"/>
      <c r="B703" s="51"/>
      <c r="C703" s="51"/>
    </row>
    <row r="704">
      <c r="A704" s="51"/>
      <c r="B704" s="51"/>
      <c r="C704" s="51"/>
    </row>
    <row r="705">
      <c r="A705" s="51"/>
      <c r="B705" s="51"/>
      <c r="C705" s="51"/>
    </row>
    <row r="706">
      <c r="A706" s="51"/>
      <c r="B706" s="51"/>
      <c r="C706" s="51"/>
    </row>
    <row r="707">
      <c r="A707" s="51"/>
      <c r="B707" s="51"/>
      <c r="C707" s="51"/>
    </row>
    <row r="708">
      <c r="A708" s="51"/>
      <c r="B708" s="51"/>
      <c r="C708" s="51"/>
    </row>
    <row r="709">
      <c r="A709" s="51"/>
      <c r="B709" s="51"/>
      <c r="C709" s="51"/>
    </row>
    <row r="710">
      <c r="A710" s="51"/>
      <c r="B710" s="51"/>
      <c r="C710" s="51"/>
    </row>
    <row r="711">
      <c r="A711" s="51"/>
      <c r="B711" s="51"/>
      <c r="C711" s="51"/>
    </row>
    <row r="712">
      <c r="A712" s="51"/>
      <c r="B712" s="51"/>
      <c r="C712" s="51"/>
    </row>
    <row r="713">
      <c r="A713" s="51"/>
      <c r="B713" s="51"/>
      <c r="C713" s="51"/>
    </row>
    <row r="714">
      <c r="A714" s="51"/>
      <c r="B714" s="51"/>
      <c r="C714" s="51"/>
    </row>
    <row r="715">
      <c r="A715" s="51"/>
      <c r="B715" s="51"/>
      <c r="C715" s="51"/>
    </row>
    <row r="716">
      <c r="A716" s="51"/>
      <c r="B716" s="51"/>
      <c r="C716" s="51"/>
    </row>
    <row r="717">
      <c r="A717" s="51"/>
      <c r="B717" s="51"/>
      <c r="C717" s="51"/>
    </row>
    <row r="718">
      <c r="A718" s="51"/>
      <c r="B718" s="51"/>
      <c r="C718" s="51"/>
    </row>
    <row r="719">
      <c r="A719" s="51"/>
      <c r="B719" s="51"/>
      <c r="C719" s="51"/>
    </row>
    <row r="720">
      <c r="A720" s="51"/>
      <c r="B720" s="51"/>
      <c r="C720" s="51"/>
    </row>
    <row r="721">
      <c r="A721" s="51"/>
      <c r="B721" s="51"/>
      <c r="C721" s="51"/>
    </row>
    <row r="722">
      <c r="A722" s="51"/>
      <c r="B722" s="51"/>
      <c r="C722" s="51"/>
    </row>
    <row r="723">
      <c r="A723" s="51"/>
      <c r="B723" s="51"/>
      <c r="C723" s="51"/>
    </row>
    <row r="724">
      <c r="A724" s="51"/>
      <c r="B724" s="51"/>
      <c r="C724" s="51"/>
    </row>
    <row r="725">
      <c r="A725" s="51"/>
      <c r="B725" s="51"/>
      <c r="C725" s="51"/>
    </row>
    <row r="726">
      <c r="A726" s="51"/>
      <c r="B726" s="51"/>
      <c r="C726" s="51"/>
    </row>
    <row r="727">
      <c r="A727" s="51"/>
      <c r="B727" s="51"/>
      <c r="C727" s="51"/>
    </row>
    <row r="728">
      <c r="A728" s="51"/>
      <c r="B728" s="51"/>
      <c r="C728" s="51"/>
    </row>
    <row r="729">
      <c r="A729" s="51"/>
      <c r="B729" s="51"/>
      <c r="C729" s="51"/>
    </row>
    <row r="730">
      <c r="A730" s="51"/>
      <c r="B730" s="51"/>
      <c r="C730" s="51"/>
    </row>
    <row r="731">
      <c r="A731" s="51"/>
      <c r="B731" s="51"/>
      <c r="C731" s="51"/>
    </row>
    <row r="732">
      <c r="A732" s="51"/>
      <c r="B732" s="51"/>
      <c r="C732" s="51"/>
    </row>
    <row r="733">
      <c r="A733" s="51"/>
      <c r="B733" s="51"/>
      <c r="C733" s="51"/>
    </row>
    <row r="734">
      <c r="A734" s="51"/>
      <c r="B734" s="51"/>
      <c r="C734" s="51"/>
    </row>
    <row r="735">
      <c r="A735" s="51"/>
      <c r="B735" s="51"/>
      <c r="C735" s="51"/>
    </row>
    <row r="736">
      <c r="A736" s="51"/>
      <c r="B736" s="51"/>
      <c r="C736" s="51"/>
    </row>
    <row r="737">
      <c r="A737" s="51"/>
      <c r="B737" s="51"/>
      <c r="C737" s="51"/>
    </row>
    <row r="738">
      <c r="A738" s="51"/>
      <c r="B738" s="51"/>
      <c r="C738" s="51"/>
    </row>
    <row r="739">
      <c r="A739" s="51"/>
      <c r="B739" s="51"/>
      <c r="C739" s="51"/>
    </row>
    <row r="740">
      <c r="A740" s="51"/>
      <c r="B740" s="51"/>
      <c r="C740" s="51"/>
    </row>
    <row r="741">
      <c r="A741" s="51"/>
      <c r="B741" s="51"/>
      <c r="C741" s="51"/>
    </row>
    <row r="742">
      <c r="A742" s="51"/>
      <c r="B742" s="51"/>
      <c r="C742" s="51"/>
    </row>
    <row r="743">
      <c r="A743" s="51"/>
      <c r="B743" s="51"/>
      <c r="C743" s="51"/>
    </row>
    <row r="744">
      <c r="A744" s="51"/>
      <c r="B744" s="51"/>
      <c r="C744" s="51"/>
    </row>
    <row r="745">
      <c r="A745" s="51"/>
      <c r="B745" s="51"/>
      <c r="C745" s="51"/>
    </row>
    <row r="746">
      <c r="A746" s="51"/>
      <c r="B746" s="51"/>
      <c r="C746" s="51"/>
    </row>
    <row r="747">
      <c r="A747" s="51"/>
      <c r="B747" s="51"/>
      <c r="C747" s="51"/>
    </row>
    <row r="748">
      <c r="A748" s="51"/>
      <c r="B748" s="51"/>
      <c r="C748" s="51"/>
    </row>
    <row r="749">
      <c r="A749" s="51"/>
      <c r="B749" s="51"/>
      <c r="C749" s="51"/>
    </row>
    <row r="750">
      <c r="A750" s="51"/>
      <c r="B750" s="51"/>
      <c r="C750" s="51"/>
    </row>
    <row r="751">
      <c r="A751" s="51"/>
      <c r="B751" s="51"/>
      <c r="C751" s="51"/>
    </row>
    <row r="752">
      <c r="A752" s="51"/>
      <c r="B752" s="51"/>
      <c r="C752" s="51"/>
    </row>
    <row r="753">
      <c r="A753" s="51"/>
      <c r="B753" s="51"/>
      <c r="C753" s="51"/>
    </row>
    <row r="754">
      <c r="A754" s="51"/>
      <c r="B754" s="51"/>
      <c r="C754" s="51"/>
    </row>
    <row r="755">
      <c r="A755" s="51"/>
      <c r="B755" s="51"/>
      <c r="C755" s="51"/>
    </row>
    <row r="756">
      <c r="A756" s="51"/>
      <c r="B756" s="51"/>
      <c r="C756" s="51"/>
    </row>
    <row r="757">
      <c r="A757" s="51"/>
      <c r="B757" s="51"/>
      <c r="C757" s="51"/>
    </row>
    <row r="758">
      <c r="A758" s="51"/>
      <c r="B758" s="51"/>
      <c r="C758" s="51"/>
    </row>
    <row r="759">
      <c r="A759" s="51"/>
      <c r="B759" s="51"/>
      <c r="C759" s="51"/>
    </row>
    <row r="760">
      <c r="A760" s="51"/>
      <c r="B760" s="51"/>
      <c r="C760" s="51"/>
    </row>
    <row r="761">
      <c r="A761" s="51"/>
      <c r="B761" s="51"/>
      <c r="C761" s="51"/>
    </row>
    <row r="762">
      <c r="A762" s="51"/>
      <c r="B762" s="51"/>
      <c r="C762" s="51"/>
    </row>
    <row r="763">
      <c r="A763" s="51"/>
      <c r="B763" s="51"/>
      <c r="C763" s="51"/>
    </row>
    <row r="764">
      <c r="A764" s="51"/>
      <c r="B764" s="51"/>
      <c r="C764" s="51"/>
    </row>
    <row r="765">
      <c r="A765" s="51"/>
      <c r="B765" s="51"/>
      <c r="C765" s="51"/>
    </row>
    <row r="766">
      <c r="A766" s="51"/>
      <c r="B766" s="51"/>
      <c r="C766" s="51"/>
    </row>
    <row r="767">
      <c r="A767" s="51"/>
      <c r="B767" s="51"/>
      <c r="C767" s="51"/>
    </row>
    <row r="768">
      <c r="A768" s="51"/>
      <c r="B768" s="51"/>
      <c r="C768" s="51"/>
    </row>
    <row r="769">
      <c r="A769" s="51"/>
      <c r="B769" s="51"/>
      <c r="C769" s="51"/>
    </row>
    <row r="770">
      <c r="A770" s="51"/>
      <c r="B770" s="51"/>
      <c r="C770" s="51"/>
    </row>
    <row r="771">
      <c r="A771" s="51"/>
      <c r="B771" s="51"/>
      <c r="C771" s="51"/>
    </row>
    <row r="772">
      <c r="A772" s="51"/>
      <c r="B772" s="51"/>
      <c r="C772" s="51"/>
    </row>
    <row r="773">
      <c r="A773" s="51"/>
      <c r="B773" s="51"/>
      <c r="C773" s="51"/>
    </row>
    <row r="774">
      <c r="A774" s="51"/>
      <c r="B774" s="51"/>
      <c r="C774" s="51"/>
    </row>
    <row r="775">
      <c r="A775" s="51"/>
      <c r="B775" s="51"/>
      <c r="C775" s="51"/>
    </row>
    <row r="776">
      <c r="A776" s="51"/>
      <c r="B776" s="51"/>
      <c r="C776" s="51"/>
    </row>
    <row r="777">
      <c r="A777" s="51"/>
      <c r="B777" s="51"/>
      <c r="C777" s="51"/>
    </row>
    <row r="778">
      <c r="A778" s="51"/>
      <c r="B778" s="51"/>
      <c r="C778" s="51"/>
    </row>
    <row r="779">
      <c r="A779" s="51"/>
      <c r="B779" s="51"/>
      <c r="C779" s="51"/>
    </row>
    <row r="780">
      <c r="A780" s="51"/>
      <c r="B780" s="51"/>
      <c r="C780" s="51"/>
    </row>
    <row r="781">
      <c r="A781" s="51"/>
      <c r="B781" s="51"/>
      <c r="C781" s="51"/>
    </row>
    <row r="782">
      <c r="A782" s="51"/>
      <c r="B782" s="51"/>
      <c r="C782" s="51"/>
    </row>
    <row r="783">
      <c r="A783" s="51"/>
      <c r="B783" s="51"/>
      <c r="C783" s="51"/>
    </row>
    <row r="784">
      <c r="A784" s="51"/>
      <c r="B784" s="51"/>
      <c r="C784" s="51"/>
    </row>
    <row r="785">
      <c r="A785" s="51"/>
      <c r="B785" s="51"/>
      <c r="C785" s="51"/>
    </row>
    <row r="786">
      <c r="A786" s="51"/>
      <c r="B786" s="51"/>
      <c r="C786" s="51"/>
    </row>
    <row r="787">
      <c r="A787" s="51"/>
      <c r="B787" s="51"/>
      <c r="C787" s="51"/>
    </row>
    <row r="788">
      <c r="A788" s="51"/>
      <c r="B788" s="51"/>
      <c r="C788" s="51"/>
    </row>
    <row r="789">
      <c r="A789" s="51"/>
      <c r="B789" s="51"/>
      <c r="C789" s="51"/>
    </row>
    <row r="790">
      <c r="A790" s="51"/>
      <c r="B790" s="51"/>
      <c r="C790" s="51"/>
    </row>
    <row r="791">
      <c r="A791" s="51"/>
      <c r="B791" s="51"/>
      <c r="C791" s="51"/>
    </row>
    <row r="792">
      <c r="A792" s="51"/>
      <c r="B792" s="51"/>
      <c r="C792" s="51"/>
    </row>
    <row r="793">
      <c r="A793" s="51"/>
      <c r="B793" s="51"/>
      <c r="C793" s="51"/>
    </row>
    <row r="794">
      <c r="A794" s="51"/>
      <c r="B794" s="51"/>
      <c r="C794" s="51"/>
    </row>
    <row r="795">
      <c r="A795" s="51"/>
      <c r="B795" s="51"/>
      <c r="C795" s="51"/>
    </row>
    <row r="796">
      <c r="A796" s="51"/>
      <c r="B796" s="51"/>
      <c r="C796" s="51"/>
    </row>
    <row r="797">
      <c r="A797" s="51"/>
      <c r="B797" s="51"/>
      <c r="C797" s="51"/>
    </row>
    <row r="798">
      <c r="A798" s="51"/>
      <c r="B798" s="51"/>
      <c r="C798" s="51"/>
    </row>
    <row r="799">
      <c r="A799" s="51"/>
      <c r="B799" s="51"/>
      <c r="C799" s="51"/>
    </row>
    <row r="800">
      <c r="A800" s="51"/>
      <c r="B800" s="51"/>
      <c r="C800" s="51"/>
    </row>
    <row r="801">
      <c r="A801" s="51"/>
      <c r="B801" s="51"/>
      <c r="C801" s="51"/>
    </row>
    <row r="802">
      <c r="A802" s="51"/>
      <c r="B802" s="51"/>
      <c r="C802" s="51"/>
    </row>
    <row r="803">
      <c r="A803" s="51"/>
      <c r="B803" s="51"/>
      <c r="C803" s="51"/>
    </row>
    <row r="804">
      <c r="A804" s="51"/>
      <c r="B804" s="51"/>
      <c r="C804" s="51"/>
    </row>
    <row r="805">
      <c r="A805" s="51"/>
      <c r="B805" s="51"/>
      <c r="C805" s="51"/>
    </row>
    <row r="806">
      <c r="A806" s="51"/>
      <c r="B806" s="51"/>
      <c r="C806" s="51"/>
    </row>
    <row r="807">
      <c r="A807" s="51"/>
      <c r="B807" s="51"/>
      <c r="C807" s="51"/>
    </row>
    <row r="808">
      <c r="A808" s="51"/>
      <c r="B808" s="51"/>
      <c r="C808" s="51"/>
    </row>
    <row r="809">
      <c r="A809" s="51"/>
      <c r="B809" s="51"/>
      <c r="C809" s="51"/>
    </row>
    <row r="810">
      <c r="A810" s="51"/>
      <c r="B810" s="51"/>
      <c r="C810" s="51"/>
    </row>
    <row r="811">
      <c r="A811" s="51"/>
      <c r="B811" s="51"/>
      <c r="C811" s="51"/>
    </row>
    <row r="812">
      <c r="A812" s="51"/>
      <c r="B812" s="51"/>
      <c r="C812" s="51"/>
    </row>
    <row r="813">
      <c r="A813" s="51"/>
      <c r="B813" s="51"/>
      <c r="C813" s="51"/>
    </row>
    <row r="814">
      <c r="A814" s="51"/>
      <c r="B814" s="51"/>
      <c r="C814" s="51"/>
    </row>
    <row r="815">
      <c r="A815" s="51"/>
      <c r="B815" s="51"/>
      <c r="C815" s="51"/>
    </row>
    <row r="816">
      <c r="A816" s="51"/>
      <c r="B816" s="51"/>
      <c r="C816" s="51"/>
    </row>
    <row r="817">
      <c r="A817" s="51"/>
      <c r="B817" s="51"/>
      <c r="C817" s="51"/>
    </row>
    <row r="818">
      <c r="A818" s="51"/>
      <c r="B818" s="51"/>
      <c r="C818" s="51"/>
    </row>
    <row r="819">
      <c r="A819" s="51"/>
      <c r="B819" s="51"/>
      <c r="C819" s="51"/>
    </row>
    <row r="820">
      <c r="A820" s="51"/>
      <c r="B820" s="51"/>
      <c r="C820" s="51"/>
    </row>
    <row r="821">
      <c r="A821" s="51"/>
      <c r="B821" s="51"/>
      <c r="C821" s="51"/>
    </row>
    <row r="822">
      <c r="A822" s="51"/>
      <c r="B822" s="51"/>
      <c r="C822" s="51"/>
    </row>
    <row r="823">
      <c r="A823" s="51"/>
      <c r="B823" s="51"/>
      <c r="C823" s="51"/>
    </row>
    <row r="824">
      <c r="A824" s="51"/>
      <c r="B824" s="51"/>
      <c r="C824" s="51"/>
    </row>
    <row r="825">
      <c r="A825" s="51"/>
      <c r="B825" s="51"/>
      <c r="C825" s="51"/>
    </row>
    <row r="826">
      <c r="A826" s="51"/>
      <c r="B826" s="51"/>
      <c r="C826" s="51"/>
    </row>
    <row r="827">
      <c r="A827" s="51"/>
      <c r="B827" s="51"/>
      <c r="C827" s="51"/>
    </row>
    <row r="828">
      <c r="A828" s="51"/>
      <c r="B828" s="51"/>
      <c r="C828" s="51"/>
    </row>
    <row r="829">
      <c r="A829" s="51"/>
      <c r="B829" s="51"/>
      <c r="C829" s="51"/>
    </row>
    <row r="830">
      <c r="A830" s="51"/>
      <c r="B830" s="51"/>
      <c r="C830" s="51"/>
    </row>
    <row r="831">
      <c r="A831" s="51"/>
      <c r="B831" s="51"/>
      <c r="C831" s="51"/>
    </row>
    <row r="832">
      <c r="A832" s="51"/>
      <c r="B832" s="51"/>
      <c r="C832" s="51"/>
    </row>
    <row r="833">
      <c r="A833" s="51"/>
      <c r="B833" s="51"/>
      <c r="C833" s="51"/>
    </row>
    <row r="834">
      <c r="A834" s="51"/>
      <c r="B834" s="51"/>
      <c r="C834" s="51"/>
    </row>
    <row r="835">
      <c r="A835" s="51"/>
      <c r="B835" s="51"/>
      <c r="C835" s="51"/>
    </row>
    <row r="836">
      <c r="A836" s="51"/>
      <c r="B836" s="51"/>
      <c r="C836" s="51"/>
    </row>
    <row r="837">
      <c r="A837" s="51"/>
      <c r="B837" s="51"/>
      <c r="C837" s="51"/>
    </row>
    <row r="838">
      <c r="A838" s="51"/>
      <c r="B838" s="51"/>
      <c r="C838" s="51"/>
    </row>
    <row r="839">
      <c r="A839" s="51"/>
      <c r="B839" s="51"/>
      <c r="C839" s="51"/>
    </row>
    <row r="840">
      <c r="A840" s="51"/>
      <c r="B840" s="51"/>
      <c r="C840" s="51"/>
    </row>
    <row r="841">
      <c r="A841" s="51"/>
      <c r="B841" s="51"/>
      <c r="C841" s="51"/>
    </row>
    <row r="842">
      <c r="A842" s="51"/>
      <c r="B842" s="51"/>
      <c r="C842" s="51"/>
    </row>
    <row r="843">
      <c r="A843" s="51"/>
      <c r="B843" s="51"/>
      <c r="C843" s="51"/>
    </row>
    <row r="844">
      <c r="A844" s="51"/>
      <c r="B844" s="51"/>
      <c r="C844" s="51"/>
    </row>
    <row r="845">
      <c r="A845" s="51"/>
      <c r="B845" s="51"/>
      <c r="C845" s="51"/>
    </row>
    <row r="846">
      <c r="A846" s="51"/>
      <c r="B846" s="51"/>
      <c r="C846" s="51"/>
    </row>
    <row r="847">
      <c r="A847" s="51"/>
      <c r="B847" s="51"/>
      <c r="C847" s="51"/>
    </row>
    <row r="848">
      <c r="A848" s="51"/>
      <c r="B848" s="51"/>
      <c r="C848" s="51"/>
    </row>
    <row r="849">
      <c r="A849" s="51"/>
      <c r="B849" s="51"/>
      <c r="C849" s="51"/>
    </row>
    <row r="850">
      <c r="A850" s="51"/>
      <c r="B850" s="51"/>
      <c r="C850" s="51"/>
    </row>
    <row r="851">
      <c r="A851" s="51"/>
      <c r="B851" s="51"/>
      <c r="C851" s="51"/>
    </row>
    <row r="852">
      <c r="A852" s="51"/>
      <c r="B852" s="51"/>
      <c r="C852" s="51"/>
    </row>
    <row r="853">
      <c r="A853" s="51"/>
      <c r="B853" s="51"/>
      <c r="C853" s="51"/>
    </row>
    <row r="854">
      <c r="A854" s="51"/>
      <c r="B854" s="51"/>
      <c r="C854" s="51"/>
    </row>
    <row r="855">
      <c r="A855" s="51"/>
      <c r="B855" s="51"/>
      <c r="C855" s="51"/>
    </row>
    <row r="856">
      <c r="A856" s="51"/>
      <c r="B856" s="51"/>
      <c r="C856" s="51"/>
    </row>
    <row r="857">
      <c r="A857" s="51"/>
      <c r="B857" s="51"/>
      <c r="C857" s="51"/>
    </row>
    <row r="858">
      <c r="A858" s="51"/>
      <c r="B858" s="51"/>
      <c r="C858" s="51"/>
    </row>
    <row r="859">
      <c r="A859" s="51"/>
      <c r="B859" s="51"/>
      <c r="C859" s="51"/>
    </row>
    <row r="860">
      <c r="A860" s="51"/>
      <c r="B860" s="51"/>
      <c r="C860" s="51"/>
    </row>
    <row r="861">
      <c r="A861" s="51"/>
      <c r="B861" s="51"/>
      <c r="C861" s="51"/>
    </row>
    <row r="862">
      <c r="A862" s="51"/>
      <c r="B862" s="51"/>
      <c r="C862" s="51"/>
    </row>
    <row r="863">
      <c r="A863" s="51"/>
      <c r="B863" s="51"/>
      <c r="C863" s="51"/>
    </row>
    <row r="864">
      <c r="A864" s="51"/>
      <c r="B864" s="51"/>
      <c r="C864" s="51"/>
    </row>
    <row r="865">
      <c r="A865" s="51"/>
      <c r="B865" s="51"/>
      <c r="C865" s="51"/>
    </row>
    <row r="866">
      <c r="A866" s="51"/>
      <c r="B866" s="51"/>
      <c r="C866" s="51"/>
    </row>
    <row r="867">
      <c r="A867" s="51"/>
      <c r="B867" s="51"/>
      <c r="C867" s="51"/>
    </row>
    <row r="868">
      <c r="A868" s="51"/>
      <c r="B868" s="51"/>
      <c r="C868" s="51"/>
    </row>
    <row r="869">
      <c r="A869" s="51"/>
      <c r="B869" s="51"/>
      <c r="C869" s="51"/>
    </row>
    <row r="870">
      <c r="A870" s="51"/>
      <c r="B870" s="51"/>
      <c r="C870" s="51"/>
    </row>
    <row r="871">
      <c r="A871" s="51"/>
      <c r="B871" s="51"/>
      <c r="C871" s="51"/>
    </row>
    <row r="872">
      <c r="A872" s="51"/>
      <c r="B872" s="51"/>
      <c r="C872" s="51"/>
    </row>
    <row r="873">
      <c r="A873" s="51"/>
      <c r="B873" s="51"/>
      <c r="C873" s="51"/>
    </row>
    <row r="874">
      <c r="A874" s="51"/>
      <c r="B874" s="51"/>
      <c r="C874" s="51"/>
    </row>
    <row r="875">
      <c r="A875" s="51"/>
      <c r="B875" s="51"/>
      <c r="C875" s="51"/>
    </row>
    <row r="876">
      <c r="A876" s="51"/>
      <c r="B876" s="51"/>
      <c r="C876" s="51"/>
    </row>
    <row r="877">
      <c r="A877" s="51"/>
      <c r="B877" s="51"/>
      <c r="C877" s="51"/>
    </row>
    <row r="878">
      <c r="A878" s="51"/>
      <c r="B878" s="51"/>
      <c r="C878" s="51"/>
    </row>
    <row r="879">
      <c r="A879" s="51"/>
      <c r="B879" s="51"/>
      <c r="C879" s="51"/>
    </row>
    <row r="880">
      <c r="A880" s="51"/>
      <c r="B880" s="51"/>
      <c r="C880" s="51"/>
    </row>
    <row r="881">
      <c r="A881" s="51"/>
      <c r="B881" s="51"/>
      <c r="C881" s="51"/>
    </row>
    <row r="882">
      <c r="A882" s="51"/>
      <c r="B882" s="51"/>
      <c r="C882" s="51"/>
    </row>
    <row r="883">
      <c r="A883" s="51"/>
      <c r="B883" s="51"/>
      <c r="C883" s="51"/>
    </row>
    <row r="884">
      <c r="A884" s="51"/>
      <c r="B884" s="51"/>
      <c r="C884" s="51"/>
    </row>
    <row r="885">
      <c r="A885" s="51"/>
      <c r="B885" s="51"/>
      <c r="C885" s="51"/>
    </row>
    <row r="886">
      <c r="A886" s="51"/>
      <c r="B886" s="51"/>
      <c r="C886" s="51"/>
    </row>
    <row r="887">
      <c r="A887" s="51"/>
      <c r="B887" s="51"/>
      <c r="C887" s="51"/>
    </row>
    <row r="888">
      <c r="A888" s="51"/>
      <c r="B888" s="51"/>
      <c r="C888" s="51"/>
    </row>
    <row r="889">
      <c r="A889" s="51"/>
      <c r="B889" s="51"/>
      <c r="C889" s="51"/>
    </row>
    <row r="890">
      <c r="A890" s="51"/>
      <c r="B890" s="51"/>
      <c r="C890" s="51"/>
    </row>
    <row r="891">
      <c r="A891" s="51"/>
      <c r="B891" s="51"/>
      <c r="C891" s="51"/>
    </row>
    <row r="892">
      <c r="A892" s="51"/>
      <c r="B892" s="51"/>
      <c r="C892" s="51"/>
    </row>
    <row r="893">
      <c r="A893" s="51"/>
      <c r="B893" s="51"/>
      <c r="C893" s="51"/>
    </row>
    <row r="894">
      <c r="A894" s="51"/>
      <c r="B894" s="51"/>
      <c r="C894" s="51"/>
    </row>
    <row r="895">
      <c r="A895" s="51"/>
      <c r="B895" s="51"/>
      <c r="C895" s="51"/>
    </row>
    <row r="896">
      <c r="A896" s="51"/>
      <c r="B896" s="51"/>
      <c r="C896" s="51"/>
    </row>
    <row r="897">
      <c r="A897" s="51"/>
      <c r="B897" s="51"/>
      <c r="C897" s="51"/>
    </row>
    <row r="898">
      <c r="A898" s="51"/>
      <c r="B898" s="51"/>
      <c r="C898" s="51"/>
    </row>
    <row r="899">
      <c r="A899" s="51"/>
      <c r="B899" s="51"/>
      <c r="C899" s="51"/>
    </row>
    <row r="900">
      <c r="A900" s="51"/>
      <c r="B900" s="51"/>
      <c r="C900" s="51"/>
    </row>
    <row r="901">
      <c r="A901" s="51"/>
      <c r="B901" s="51"/>
      <c r="C901" s="51"/>
    </row>
    <row r="902">
      <c r="A902" s="51"/>
      <c r="B902" s="51"/>
      <c r="C902" s="51"/>
    </row>
    <row r="903">
      <c r="A903" s="51"/>
      <c r="B903" s="51"/>
      <c r="C903" s="51"/>
    </row>
    <row r="904">
      <c r="A904" s="51"/>
      <c r="B904" s="51"/>
      <c r="C904" s="51"/>
    </row>
    <row r="905">
      <c r="A905" s="51"/>
      <c r="B905" s="51"/>
      <c r="C905" s="51"/>
    </row>
    <row r="906">
      <c r="A906" s="51"/>
      <c r="B906" s="51"/>
      <c r="C906" s="51"/>
    </row>
    <row r="907">
      <c r="A907" s="51"/>
      <c r="B907" s="51"/>
      <c r="C907" s="51"/>
    </row>
    <row r="908">
      <c r="A908" s="51"/>
      <c r="B908" s="51"/>
      <c r="C908" s="51"/>
    </row>
    <row r="909">
      <c r="A909" s="51"/>
      <c r="B909" s="51"/>
      <c r="C909" s="51"/>
    </row>
    <row r="910">
      <c r="A910" s="51"/>
      <c r="B910" s="51"/>
      <c r="C910" s="51"/>
    </row>
    <row r="911">
      <c r="A911" s="51"/>
      <c r="B911" s="51"/>
      <c r="C911" s="51"/>
    </row>
    <row r="912">
      <c r="A912" s="51"/>
      <c r="B912" s="51"/>
      <c r="C912" s="51"/>
    </row>
    <row r="913">
      <c r="A913" s="51"/>
      <c r="B913" s="51"/>
      <c r="C913" s="51"/>
    </row>
    <row r="914">
      <c r="A914" s="51"/>
      <c r="B914" s="51"/>
      <c r="C914" s="51"/>
    </row>
    <row r="915">
      <c r="A915" s="51"/>
      <c r="B915" s="51"/>
      <c r="C915" s="51"/>
    </row>
    <row r="916">
      <c r="A916" s="51"/>
      <c r="B916" s="51"/>
      <c r="C916" s="51"/>
    </row>
    <row r="917">
      <c r="A917" s="51"/>
      <c r="B917" s="51"/>
      <c r="C917" s="51"/>
    </row>
    <row r="918">
      <c r="A918" s="51"/>
      <c r="B918" s="51"/>
      <c r="C918" s="51"/>
    </row>
    <row r="919">
      <c r="A919" s="51"/>
      <c r="B919" s="51"/>
      <c r="C919" s="51"/>
    </row>
    <row r="920">
      <c r="A920" s="51"/>
      <c r="B920" s="51"/>
      <c r="C920" s="51"/>
    </row>
    <row r="921">
      <c r="A921" s="51"/>
      <c r="B921" s="51"/>
      <c r="C921" s="51"/>
    </row>
    <row r="922">
      <c r="A922" s="51"/>
      <c r="B922" s="51"/>
      <c r="C922" s="51"/>
    </row>
    <row r="923">
      <c r="A923" s="51"/>
      <c r="B923" s="51"/>
      <c r="C923" s="51"/>
    </row>
    <row r="924">
      <c r="A924" s="51"/>
      <c r="B924" s="51"/>
      <c r="C924" s="51"/>
    </row>
    <row r="925">
      <c r="A925" s="51"/>
      <c r="B925" s="51"/>
      <c r="C925" s="51"/>
    </row>
    <row r="926">
      <c r="A926" s="51"/>
      <c r="B926" s="51"/>
      <c r="C926" s="51"/>
    </row>
    <row r="927">
      <c r="A927" s="51"/>
      <c r="B927" s="51"/>
      <c r="C927" s="51"/>
    </row>
    <row r="928">
      <c r="A928" s="51"/>
      <c r="B928" s="51"/>
      <c r="C928" s="51"/>
    </row>
    <row r="929">
      <c r="A929" s="51"/>
      <c r="B929" s="51"/>
      <c r="C929" s="51"/>
    </row>
    <row r="930">
      <c r="A930" s="51"/>
      <c r="B930" s="51"/>
      <c r="C930" s="51"/>
    </row>
    <row r="931">
      <c r="A931" s="51"/>
      <c r="B931" s="51"/>
      <c r="C931" s="51"/>
    </row>
    <row r="932">
      <c r="A932" s="51"/>
      <c r="B932" s="51"/>
      <c r="C932" s="51"/>
    </row>
    <row r="933">
      <c r="A933" s="51"/>
      <c r="B933" s="51"/>
      <c r="C933" s="51"/>
    </row>
    <row r="934">
      <c r="A934" s="51"/>
      <c r="B934" s="51"/>
      <c r="C934" s="51"/>
    </row>
    <row r="935">
      <c r="A935" s="51"/>
      <c r="B935" s="51"/>
      <c r="C935" s="51"/>
    </row>
    <row r="936">
      <c r="A936" s="51"/>
      <c r="B936" s="51"/>
      <c r="C936" s="51"/>
    </row>
    <row r="937">
      <c r="A937" s="51"/>
      <c r="B937" s="51"/>
      <c r="C937" s="51"/>
    </row>
    <row r="938">
      <c r="A938" s="51"/>
      <c r="B938" s="51"/>
      <c r="C938" s="51"/>
    </row>
    <row r="939">
      <c r="A939" s="51"/>
      <c r="B939" s="51"/>
      <c r="C939" s="51"/>
    </row>
    <row r="940">
      <c r="A940" s="51"/>
      <c r="B940" s="51"/>
      <c r="C940" s="51"/>
    </row>
    <row r="941">
      <c r="A941" s="51"/>
      <c r="B941" s="51"/>
      <c r="C941" s="51"/>
    </row>
    <row r="942">
      <c r="A942" s="51"/>
      <c r="B942" s="51"/>
      <c r="C942" s="51"/>
    </row>
    <row r="943">
      <c r="A943" s="51"/>
      <c r="B943" s="51"/>
      <c r="C943" s="51"/>
    </row>
    <row r="944">
      <c r="A944" s="51"/>
      <c r="B944" s="51"/>
      <c r="C944" s="51"/>
    </row>
    <row r="945">
      <c r="A945" s="51"/>
      <c r="B945" s="51"/>
      <c r="C945" s="51"/>
    </row>
    <row r="946">
      <c r="A946" s="51"/>
      <c r="B946" s="51"/>
      <c r="C946" s="51"/>
    </row>
    <row r="947">
      <c r="A947" s="51"/>
      <c r="B947" s="51"/>
      <c r="C947" s="51"/>
    </row>
    <row r="948">
      <c r="A948" s="51"/>
      <c r="B948" s="51"/>
      <c r="C948" s="51"/>
    </row>
    <row r="949">
      <c r="A949" s="51"/>
      <c r="B949" s="51"/>
      <c r="C949" s="51"/>
    </row>
    <row r="950">
      <c r="A950" s="51"/>
      <c r="B950" s="51"/>
      <c r="C950" s="51"/>
    </row>
    <row r="951">
      <c r="A951" s="51"/>
      <c r="B951" s="51"/>
      <c r="C951" s="51"/>
    </row>
    <row r="952">
      <c r="A952" s="51"/>
      <c r="B952" s="51"/>
      <c r="C952" s="51"/>
    </row>
    <row r="953">
      <c r="A953" s="51"/>
      <c r="B953" s="51"/>
      <c r="C953" s="51"/>
    </row>
    <row r="954">
      <c r="A954" s="51"/>
      <c r="B954" s="51"/>
      <c r="C954" s="51"/>
    </row>
    <row r="955">
      <c r="A955" s="51"/>
      <c r="B955" s="51"/>
      <c r="C955" s="51"/>
    </row>
    <row r="956">
      <c r="A956" s="51"/>
      <c r="B956" s="51"/>
      <c r="C956" s="51"/>
    </row>
    <row r="957">
      <c r="A957" s="51"/>
      <c r="B957" s="51"/>
      <c r="C957" s="51"/>
    </row>
    <row r="958">
      <c r="A958" s="51"/>
      <c r="B958" s="51"/>
      <c r="C958" s="51"/>
    </row>
    <row r="959">
      <c r="A959" s="51"/>
      <c r="B959" s="51"/>
      <c r="C959" s="51"/>
    </row>
    <row r="960">
      <c r="A960" s="51"/>
      <c r="B960" s="51"/>
      <c r="C960" s="51"/>
    </row>
    <row r="961">
      <c r="A961" s="51"/>
      <c r="B961" s="51"/>
      <c r="C961" s="51"/>
    </row>
    <row r="962">
      <c r="A962" s="51"/>
      <c r="B962" s="51"/>
      <c r="C962" s="51"/>
    </row>
    <row r="963">
      <c r="A963" s="51"/>
      <c r="B963" s="51"/>
      <c r="C963" s="51"/>
    </row>
    <row r="964">
      <c r="A964" s="51"/>
      <c r="B964" s="51"/>
      <c r="C964" s="51"/>
    </row>
    <row r="965">
      <c r="A965" s="51"/>
      <c r="B965" s="51"/>
      <c r="C965" s="51"/>
    </row>
    <row r="966">
      <c r="A966" s="51"/>
      <c r="B966" s="51"/>
      <c r="C966" s="51"/>
    </row>
    <row r="967">
      <c r="A967" s="51"/>
      <c r="B967" s="51"/>
      <c r="C967" s="51"/>
    </row>
    <row r="968">
      <c r="A968" s="51"/>
      <c r="B968" s="51"/>
      <c r="C968" s="51"/>
    </row>
    <row r="969">
      <c r="A969" s="51"/>
      <c r="B969" s="51"/>
      <c r="C969" s="51"/>
    </row>
    <row r="970">
      <c r="A970" s="51"/>
      <c r="B970" s="51"/>
      <c r="C970" s="51"/>
    </row>
    <row r="971">
      <c r="A971" s="51"/>
      <c r="B971" s="51"/>
      <c r="C971" s="51"/>
    </row>
    <row r="972">
      <c r="A972" s="51"/>
      <c r="B972" s="51"/>
      <c r="C972" s="51"/>
    </row>
    <row r="973">
      <c r="A973" s="51"/>
      <c r="B973" s="51"/>
      <c r="C973" s="51"/>
    </row>
    <row r="974">
      <c r="A974" s="51"/>
      <c r="B974" s="51"/>
      <c r="C974" s="51"/>
    </row>
    <row r="975">
      <c r="A975" s="51"/>
      <c r="B975" s="51"/>
      <c r="C975" s="51"/>
    </row>
    <row r="976">
      <c r="A976" s="51"/>
      <c r="B976" s="51"/>
      <c r="C976" s="51"/>
    </row>
    <row r="977">
      <c r="A977" s="51"/>
      <c r="B977" s="51"/>
      <c r="C977" s="51"/>
    </row>
    <row r="978">
      <c r="A978" s="51"/>
      <c r="B978" s="51"/>
      <c r="C978" s="51"/>
    </row>
    <row r="979">
      <c r="A979" s="51"/>
      <c r="B979" s="51"/>
      <c r="C979" s="51"/>
    </row>
    <row r="980">
      <c r="A980" s="51"/>
      <c r="B980" s="51"/>
      <c r="C980" s="51"/>
    </row>
    <row r="981">
      <c r="A981" s="51"/>
      <c r="B981" s="51"/>
      <c r="C981" s="51"/>
    </row>
    <row r="982">
      <c r="A982" s="51"/>
      <c r="B982" s="51"/>
      <c r="C982" s="51"/>
    </row>
    <row r="983">
      <c r="A983" s="51"/>
      <c r="B983" s="51"/>
      <c r="C983" s="51"/>
    </row>
    <row r="984">
      <c r="A984" s="51"/>
      <c r="B984" s="51"/>
      <c r="C984" s="51"/>
    </row>
    <row r="985">
      <c r="A985" s="51"/>
      <c r="B985" s="51"/>
      <c r="C985" s="51"/>
    </row>
    <row r="986">
      <c r="A986" s="51"/>
      <c r="B986" s="51"/>
      <c r="C986" s="51"/>
    </row>
    <row r="987">
      <c r="A987" s="51"/>
      <c r="B987" s="51"/>
      <c r="C987" s="51"/>
    </row>
    <row r="988">
      <c r="A988" s="51"/>
      <c r="B988" s="51"/>
      <c r="C988" s="51"/>
    </row>
    <row r="989">
      <c r="A989" s="51"/>
      <c r="B989" s="51"/>
      <c r="C989" s="51"/>
    </row>
    <row r="990">
      <c r="A990" s="51"/>
      <c r="B990" s="51"/>
      <c r="C990" s="51"/>
    </row>
    <row r="991">
      <c r="A991" s="51"/>
      <c r="B991" s="51"/>
      <c r="C991" s="51"/>
    </row>
    <row r="992">
      <c r="A992" s="51"/>
      <c r="B992" s="51"/>
      <c r="C992" s="51"/>
    </row>
    <row r="993">
      <c r="A993" s="51"/>
      <c r="B993" s="51"/>
      <c r="C993" s="51"/>
    </row>
    <row r="994">
      <c r="A994" s="51"/>
      <c r="B994" s="51"/>
      <c r="C994" s="51"/>
    </row>
    <row r="995">
      <c r="A995" s="51"/>
      <c r="B995" s="51"/>
      <c r="C995" s="51"/>
    </row>
    <row r="996">
      <c r="A996" s="51"/>
      <c r="B996" s="51"/>
      <c r="C996" s="51"/>
    </row>
    <row r="997">
      <c r="A997" s="51"/>
      <c r="B997" s="51"/>
      <c r="C997" s="51"/>
    </row>
    <row r="998">
      <c r="A998" s="51"/>
      <c r="B998" s="51"/>
      <c r="C998" s="51"/>
    </row>
    <row r="999">
      <c r="A999" s="51"/>
      <c r="B999" s="51"/>
      <c r="C999" s="51"/>
    </row>
    <row r="1000">
      <c r="A1000" s="51"/>
      <c r="B1000" s="51"/>
      <c r="C1000" s="5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75"/>
    <col customWidth="1" min="2" max="2" width="44.0"/>
    <col customWidth="1" min="3" max="3" width="4.0"/>
    <col customWidth="1" min="4" max="4" width="13.75"/>
    <col customWidth="1" min="5" max="5" width="18.25"/>
    <col customWidth="1" min="6" max="6" width="29.63"/>
    <col customWidth="1" min="7" max="7" width="25.75"/>
    <col customWidth="1" min="8" max="9" width="16.5"/>
    <col customWidth="1" min="10" max="10" width="15.38"/>
    <col customWidth="1" min="11" max="11" width="53.75"/>
    <col customWidth="1" min="12" max="12" width="16.75"/>
  </cols>
  <sheetData>
    <row r="1">
      <c r="A1" s="52" t="str">
        <f>IFERROR(__xludf.DUMMYFUNCTION("importrange(""https://docs.google.com/spreadsheets/d/1CDBo-9hz0-Vc7e-hgjG1qdIZ07-PEdLlMatzssJhTJU/edit?usp=sharing"",""tbl driver 2!A:K"")"),"NIK")</f>
        <v>NIK</v>
      </c>
      <c r="B1" s="52" t="str">
        <f>IFERROR(__xludf.DUMMYFUNCTION("""COMPUTED_VALUE"""),"Employee Name")</f>
        <v>Employee Name</v>
      </c>
      <c r="C1" s="52" t="str">
        <f>IFERROR(__xludf.DUMMYFUNCTION("""COMPUTED_VALUE"""),"Age")</f>
        <v>Age</v>
      </c>
      <c r="D1" s="52" t="str">
        <f>IFERROR(__xludf.DUMMYFUNCTION("""COMPUTED_VALUE"""),"Agama")</f>
        <v>Agama</v>
      </c>
      <c r="E1" s="52" t="str">
        <f>IFERROR(__xludf.DUMMYFUNCTION("""COMPUTED_VALUE"""),"Company")</f>
        <v>Company</v>
      </c>
      <c r="F1" s="52" t="str">
        <f>IFERROR(__xludf.DUMMYFUNCTION("""COMPUTED_VALUE"""),"Job Position")</f>
        <v>Job Position</v>
      </c>
      <c r="G1" s="52" t="str">
        <f>IFERROR(__xludf.DUMMYFUNCTION("""COMPUTED_VALUE"""),"Department")</f>
        <v>Department</v>
      </c>
      <c r="H1" s="52" t="str">
        <f>IFERROR(__xludf.DUMMYFUNCTION("""COMPUTED_VALUE"""),"Manager")</f>
        <v>Manager</v>
      </c>
      <c r="I1" s="52" t="str">
        <f>IFERROR(__xludf.DUMMYFUNCTION("""COMPUTED_VALUE"""),"Spouse Birthdate")</f>
        <v>Spouse Birthdate</v>
      </c>
      <c r="J1" s="53" t="str">
        <f>IFERROR(__xludf.DUMMYFUNCTION("""COMPUTED_VALUE"""),"ID EMPLOYEE")</f>
        <v>ID EMPLOYEE</v>
      </c>
      <c r="K1" s="52"/>
      <c r="L1" s="54" t="s">
        <v>263</v>
      </c>
      <c r="M1" s="52"/>
      <c r="N1" s="52"/>
      <c r="O1" s="52"/>
      <c r="P1" s="52"/>
      <c r="Q1" s="52"/>
      <c r="R1" s="52"/>
      <c r="S1" s="52"/>
      <c r="T1" s="52"/>
      <c r="U1" s="52"/>
      <c r="V1" s="52"/>
      <c r="W1" s="52"/>
      <c r="X1" s="52"/>
      <c r="Y1" s="52"/>
      <c r="Z1" s="52"/>
    </row>
    <row r="2">
      <c r="A2" s="52">
        <f>IFERROR(__xludf.DUMMYFUNCTION("""COMPUTED_VALUE"""),1.07231813E8)</f>
        <v>107231813</v>
      </c>
      <c r="B2" s="52" t="str">
        <f>IFERROR(__xludf.DUMMYFUNCTION("""COMPUTED_VALUE"""),"A FADIL NUGRAHA PRATAMA")</f>
        <v>A FADIL NUGRAHA PRATAMA</v>
      </c>
      <c r="C2" s="52">
        <f>IFERROR(__xludf.DUMMYFUNCTION("""COMPUTED_VALUE"""),24.0)</f>
        <v>24</v>
      </c>
      <c r="D2" s="52" t="str">
        <f>IFERROR(__xludf.DUMMYFUNCTION("""COMPUTED_VALUE"""),"Islam")</f>
        <v>Islam</v>
      </c>
      <c r="E2" s="52" t="str">
        <f>IFERROR(__xludf.DUMMYFUNCTION("""COMPUTED_VALUE"""),"CV. SENTOSA ABADI")</f>
        <v>CV. SENTOSA ABADI</v>
      </c>
      <c r="F2" s="52" t="str">
        <f>IFERROR(__xludf.DUMMYFUNCTION("""COMPUTED_VALUE"""),"JUNIOR MPE")</f>
        <v>JUNIOR MPE</v>
      </c>
      <c r="G2" s="52" t="str">
        <f>IFERROR(__xludf.DUMMYFUNCTION("""COMPUTED_VALUE"""),"MPE")</f>
        <v>MPE</v>
      </c>
      <c r="H2" s="52" t="str">
        <f>IFERROR(__xludf.DUMMYFUNCTION("""COMPUTED_VALUE"""),"[0102150007] EKY SIDIK PRATAMA, ST")</f>
        <v>[0102150007] EKY SIDIK PRATAMA, ST</v>
      </c>
      <c r="I2" s="52"/>
      <c r="J2" s="53" t="str">
        <f>IFERROR(__xludf.DUMMYFUNCTION("""COMPUTED_VALUE"""),"[107231813] A FADIL NUGRAHA PRATAMA")</f>
        <v>[107231813] A FADIL NUGRAHA PRATAMA</v>
      </c>
      <c r="K2" s="52"/>
      <c r="L2" s="52" t="str">
        <f t="shared" ref="L2:L603" si="1">if(J2="","",round((today() - J2)/365,0))</f>
        <v>#VALUE!</v>
      </c>
      <c r="M2" s="52"/>
      <c r="N2" s="52"/>
      <c r="O2" s="52"/>
      <c r="P2" s="52"/>
      <c r="Q2" s="52"/>
      <c r="R2" s="52"/>
      <c r="S2" s="52"/>
      <c r="T2" s="52"/>
      <c r="U2" s="52"/>
      <c r="V2" s="52"/>
      <c r="W2" s="52"/>
      <c r="X2" s="52"/>
      <c r="Y2" s="52"/>
      <c r="Z2" s="52"/>
    </row>
    <row r="3">
      <c r="A3" s="52">
        <f>IFERROR(__xludf.DUMMYFUNCTION("""COMPUTED_VALUE"""),1.07201164E8)</f>
        <v>107201164</v>
      </c>
      <c r="B3" s="52" t="str">
        <f>IFERROR(__xludf.DUMMYFUNCTION("""COMPUTED_VALUE"""),"A.CHRISTI ARI WIBOWO")</f>
        <v>A.CHRISTI ARI WIBOWO</v>
      </c>
      <c r="C3" s="52">
        <f>IFERROR(__xludf.DUMMYFUNCTION("""COMPUTED_VALUE"""),46.0)</f>
        <v>46</v>
      </c>
      <c r="D3" s="52" t="str">
        <f>IFERROR(__xludf.DUMMYFUNCTION("""COMPUTED_VALUE"""),"Kristen Khatolik")</f>
        <v>Kristen Khatolik</v>
      </c>
      <c r="E3" s="52" t="str">
        <f>IFERROR(__xludf.DUMMYFUNCTION("""COMPUTED_VALUE"""),"CV. SENTOSA ABADI")</f>
        <v>CV. SENTOSA ABADI</v>
      </c>
      <c r="F3" s="52" t="str">
        <f>IFERROR(__xludf.DUMMYFUNCTION("""COMPUTED_VALUE"""),"HEAD OF GRADE CONTROL")</f>
        <v>HEAD OF GRADE CONTROL</v>
      </c>
      <c r="G3" s="52" t="str">
        <f>IFERROR(__xludf.DUMMYFUNCTION("""COMPUTED_VALUE"""),"GRADE CONTROL")</f>
        <v>GRADE CONTROL</v>
      </c>
      <c r="H3" s="52" t="str">
        <f>IFERROR(__xludf.DUMMYFUNCTION("""COMPUTED_VALUE"""),"[0102150007] EKY SIDIK PRATAMA, ST")</f>
        <v>[0102150007] EKY SIDIK PRATAMA, ST</v>
      </c>
      <c r="I3" s="55">
        <f>IFERROR(__xludf.DUMMYFUNCTION("""COMPUTED_VALUE"""),28339.0)</f>
        <v>28339</v>
      </c>
      <c r="J3" s="53" t="str">
        <f>IFERROR(__xludf.DUMMYFUNCTION("""COMPUTED_VALUE"""),"[107201164] A.CHRISTI ARI WIBOWO")</f>
        <v>[107201164] A.CHRISTI ARI WIBOWO</v>
      </c>
      <c r="K3" s="52"/>
      <c r="L3" s="52" t="str">
        <f t="shared" si="1"/>
        <v>#VALUE!</v>
      </c>
      <c r="M3" s="52"/>
      <c r="N3" s="52"/>
      <c r="O3" s="52"/>
      <c r="P3" s="52"/>
      <c r="Q3" s="52"/>
      <c r="R3" s="52"/>
      <c r="S3" s="52"/>
      <c r="T3" s="52"/>
      <c r="U3" s="52"/>
      <c r="V3" s="52"/>
      <c r="W3" s="52"/>
      <c r="X3" s="52"/>
      <c r="Y3" s="52"/>
      <c r="Z3" s="52"/>
    </row>
    <row r="4">
      <c r="A4" s="52">
        <f>IFERROR(__xludf.DUMMYFUNCTION("""COMPUTED_VALUE"""),2.032419E8)</f>
        <v>203241900</v>
      </c>
      <c r="B4" s="52" t="str">
        <f>IFERROR(__xludf.DUMMYFUNCTION("""COMPUTED_VALUE"""),"ABD DJALIL")</f>
        <v>ABD DJALIL</v>
      </c>
      <c r="C4" s="52">
        <f>IFERROR(__xludf.DUMMYFUNCTION("""COMPUTED_VALUE"""),0.0)</f>
        <v>0</v>
      </c>
      <c r="D4" s="52"/>
      <c r="E4" s="52" t="str">
        <f>IFERROR(__xludf.DUMMYFUNCTION("""COMPUTED_VALUE"""),"CV. Adil Prima Perkasa")</f>
        <v>CV. Adil Prima Perkasa</v>
      </c>
      <c r="F4" s="52" t="str">
        <f>IFERROR(__xludf.DUMMYFUNCTION("""COMPUTED_VALUE"""),"DRIVER LT")</f>
        <v>DRIVER LT</v>
      </c>
      <c r="G4" s="52" t="str">
        <f>IFERROR(__xludf.DUMMYFUNCTION("""COMPUTED_VALUE"""),"KENDARAAN &amp; UNIT SUPPORT")</f>
        <v>KENDARAAN &amp; UNIT SUPPORT</v>
      </c>
      <c r="H4" s="52" t="str">
        <f>IFERROR(__xludf.DUMMYFUNCTION("""COMPUTED_VALUE"""),"[0102150004] NAFTALI RARE'A, ST")</f>
        <v>[0102150004] NAFTALI RARE'A, ST</v>
      </c>
      <c r="I4" s="52"/>
      <c r="J4" s="53" t="str">
        <f>IFERROR(__xludf.DUMMYFUNCTION("""COMPUTED_VALUE"""),"[203241900] ABD DJALIL")</f>
        <v>[203241900] ABD DJALIL</v>
      </c>
      <c r="K4" s="52"/>
      <c r="L4" s="52" t="str">
        <f t="shared" si="1"/>
        <v>#VALUE!</v>
      </c>
      <c r="M4" s="52"/>
      <c r="N4" s="52"/>
      <c r="O4" s="52"/>
      <c r="P4" s="52"/>
      <c r="Q4" s="52"/>
      <c r="R4" s="52"/>
      <c r="S4" s="52"/>
      <c r="T4" s="52"/>
      <c r="U4" s="52"/>
      <c r="V4" s="52"/>
      <c r="W4" s="52"/>
      <c r="X4" s="52"/>
      <c r="Y4" s="52"/>
      <c r="Z4" s="52"/>
    </row>
    <row r="5">
      <c r="A5" s="52">
        <f>IFERROR(__xludf.DUMMYFUNCTION("""COMPUTED_VALUE"""),2.04241906E8)</f>
        <v>204241906</v>
      </c>
      <c r="B5" s="52" t="str">
        <f>IFERROR(__xludf.DUMMYFUNCTION("""COMPUTED_VALUE"""),"ABD HAKIM AZIS")</f>
        <v>ABD HAKIM AZIS</v>
      </c>
      <c r="C5" s="52">
        <f>IFERROR(__xludf.DUMMYFUNCTION("""COMPUTED_VALUE"""),21.0)</f>
        <v>21</v>
      </c>
      <c r="D5" s="52" t="str">
        <f>IFERROR(__xludf.DUMMYFUNCTION("""COMPUTED_VALUE"""),"Islam")</f>
        <v>Islam</v>
      </c>
      <c r="E5" s="52" t="str">
        <f>IFERROR(__xludf.DUMMYFUNCTION("""COMPUTED_VALUE"""),"CV. Adil Prima Perkasa")</f>
        <v>CV. Adil Prima Perkasa</v>
      </c>
      <c r="F5" s="52" t="str">
        <f>IFERROR(__xludf.DUMMYFUNCTION("""COMPUTED_VALUE"""),"HELPER MEKANIK ALAT BERAT")</f>
        <v>HELPER MEKANIK ALAT BERAT</v>
      </c>
      <c r="G5" s="52" t="str">
        <f>IFERROR(__xludf.DUMMYFUNCTION("""COMPUTED_VALUE"""),"WORKSHOP")</f>
        <v>WORKSHOP</v>
      </c>
      <c r="H5" s="52" t="str">
        <f>IFERROR(__xludf.DUMMYFUNCTION("""COMPUTED_VALUE"""),"[0106190928] NATAN KONDO")</f>
        <v>[0106190928] NATAN KONDO</v>
      </c>
      <c r="I5" s="52"/>
      <c r="J5" s="53" t="str">
        <f>IFERROR(__xludf.DUMMYFUNCTION("""COMPUTED_VALUE"""),"[204241906] ABD HAKIM AZIS")</f>
        <v>[204241906] ABD HAKIM AZIS</v>
      </c>
      <c r="K5" s="52"/>
      <c r="L5" s="52" t="str">
        <f t="shared" si="1"/>
        <v>#VALUE!</v>
      </c>
      <c r="M5" s="52"/>
      <c r="N5" s="52"/>
      <c r="O5" s="52"/>
      <c r="P5" s="52"/>
      <c r="Q5" s="52"/>
      <c r="R5" s="52"/>
      <c r="S5" s="52"/>
      <c r="T5" s="52"/>
      <c r="U5" s="52"/>
      <c r="V5" s="52"/>
      <c r="W5" s="52"/>
      <c r="X5" s="52"/>
      <c r="Y5" s="52"/>
      <c r="Z5" s="52"/>
    </row>
    <row r="6">
      <c r="A6" s="52">
        <f>IFERROR(__xludf.DUMMYFUNCTION("""COMPUTED_VALUE"""),1.05211389E8)</f>
        <v>105211389</v>
      </c>
      <c r="B6" s="52" t="str">
        <f>IFERROR(__xludf.DUMMYFUNCTION("""COMPUTED_VALUE"""),"ABD. ASIS")</f>
        <v>ABD. ASIS</v>
      </c>
      <c r="C6" s="52">
        <f>IFERROR(__xludf.DUMMYFUNCTION("""COMPUTED_VALUE"""),30.0)</f>
        <v>30</v>
      </c>
      <c r="D6" s="52" t="str">
        <f>IFERROR(__xludf.DUMMYFUNCTION("""COMPUTED_VALUE"""),"Islam")</f>
        <v>Islam</v>
      </c>
      <c r="E6" s="52" t="str">
        <f>IFERROR(__xludf.DUMMYFUNCTION("""COMPUTED_VALUE"""),"CV. SENTOSA ABADI")</f>
        <v>CV. SENTOSA ABADI</v>
      </c>
      <c r="F6" s="52" t="str">
        <f>IFERROR(__xludf.DUMMYFUNCTION("""COMPUTED_VALUE"""),"MEKANIK ALAT BERAT")</f>
        <v>MEKANIK ALAT BERAT</v>
      </c>
      <c r="G6" s="52" t="str">
        <f>IFERROR(__xludf.DUMMYFUNCTION("""COMPUTED_VALUE"""),"WORKSHOP")</f>
        <v>WORKSHOP</v>
      </c>
      <c r="H6" s="52" t="str">
        <f>IFERROR(__xludf.DUMMYFUNCTION("""COMPUTED_VALUE"""),"[0106190928] NATAN KONDO")</f>
        <v>[0106190928] NATAN KONDO</v>
      </c>
      <c r="I6" s="55">
        <f>IFERROR(__xludf.DUMMYFUNCTION("""COMPUTED_VALUE"""),36412.0)</f>
        <v>36412</v>
      </c>
      <c r="J6" s="53" t="str">
        <f>IFERROR(__xludf.DUMMYFUNCTION("""COMPUTED_VALUE"""),"[105211389] ABD. ASIS")</f>
        <v>[105211389] ABD. ASIS</v>
      </c>
      <c r="K6" s="52"/>
      <c r="L6" s="52" t="str">
        <f t="shared" si="1"/>
        <v>#VALUE!</v>
      </c>
      <c r="M6" s="52"/>
      <c r="N6" s="52"/>
      <c r="O6" s="52"/>
      <c r="P6" s="52"/>
      <c r="Q6" s="52"/>
      <c r="R6" s="52"/>
      <c r="S6" s="52"/>
      <c r="T6" s="52"/>
      <c r="U6" s="52"/>
      <c r="V6" s="52"/>
      <c r="W6" s="52"/>
      <c r="X6" s="52"/>
      <c r="Y6" s="52"/>
      <c r="Z6" s="52"/>
    </row>
    <row r="7">
      <c r="A7" s="52">
        <f>IFERROR(__xludf.DUMMYFUNCTION("""COMPUTED_VALUE"""),2.02201128E8)</f>
        <v>202201128</v>
      </c>
      <c r="B7" s="52" t="str">
        <f>IFERROR(__xludf.DUMMYFUNCTION("""COMPUTED_VALUE"""),"ABD. RIFAI")</f>
        <v>ABD. RIFAI</v>
      </c>
      <c r="C7" s="52">
        <f>IFERROR(__xludf.DUMMYFUNCTION("""COMPUTED_VALUE"""),54.0)</f>
        <v>54</v>
      </c>
      <c r="D7" s="52" t="str">
        <f>IFERROR(__xludf.DUMMYFUNCTION("""COMPUTED_VALUE"""),"Islam")</f>
        <v>Islam</v>
      </c>
      <c r="E7" s="52" t="str">
        <f>IFERROR(__xludf.DUMMYFUNCTION("""COMPUTED_VALUE"""),"CV. Adil Prima Perkasa")</f>
        <v>CV. Adil Prima Perkasa</v>
      </c>
      <c r="F7" s="52" t="str">
        <f>IFERROR(__xludf.DUMMYFUNCTION("""COMPUTED_VALUE"""),"OPERATOR BULLDOZER")</f>
        <v>OPERATOR BULLDOZER</v>
      </c>
      <c r="G7" s="52" t="str">
        <f>IFERROR(__xludf.DUMMYFUNCTION("""COMPUTED_VALUE"""),"PRODUKSI")</f>
        <v>PRODUKSI</v>
      </c>
      <c r="H7" s="52" t="str">
        <f>IFERROR(__xludf.DUMMYFUNCTION("""COMPUTED_VALUE"""),"[0102130003] PURNAWAN")</f>
        <v>[0102130003] PURNAWAN</v>
      </c>
      <c r="I7" s="55">
        <f>IFERROR(__xludf.DUMMYFUNCTION("""COMPUTED_VALUE"""),26160.0)</f>
        <v>26160</v>
      </c>
      <c r="J7" s="53" t="str">
        <f>IFERROR(__xludf.DUMMYFUNCTION("""COMPUTED_VALUE"""),"[202201128] ABD. RIFAI")</f>
        <v>[202201128] ABD. RIFAI</v>
      </c>
      <c r="K7" s="52"/>
      <c r="L7" s="52" t="str">
        <f t="shared" si="1"/>
        <v>#VALUE!</v>
      </c>
      <c r="M7" s="52"/>
      <c r="N7" s="52"/>
      <c r="O7" s="52"/>
      <c r="P7" s="52"/>
      <c r="Q7" s="52"/>
      <c r="R7" s="52"/>
      <c r="S7" s="52"/>
      <c r="T7" s="52"/>
      <c r="U7" s="52"/>
      <c r="V7" s="52"/>
      <c r="W7" s="52"/>
      <c r="X7" s="52"/>
      <c r="Y7" s="52"/>
      <c r="Z7" s="52"/>
    </row>
    <row r="8">
      <c r="A8" s="52">
        <f>IFERROR(__xludf.DUMMYFUNCTION("""COMPUTED_VALUE"""),1.09201236E8)</f>
        <v>109201236</v>
      </c>
      <c r="B8" s="52" t="str">
        <f>IFERROR(__xludf.DUMMYFUNCTION("""COMPUTED_VALUE"""),"ABDUL")</f>
        <v>ABDUL</v>
      </c>
      <c r="C8" s="52">
        <f>IFERROR(__xludf.DUMMYFUNCTION("""COMPUTED_VALUE"""),44.0)</f>
        <v>44</v>
      </c>
      <c r="D8" s="52" t="str">
        <f>IFERROR(__xludf.DUMMYFUNCTION("""COMPUTED_VALUE"""),"Islam")</f>
        <v>Islam</v>
      </c>
      <c r="E8" s="52" t="str">
        <f>IFERROR(__xludf.DUMMYFUNCTION("""COMPUTED_VALUE"""),"CV. SENTOSA ABADI")</f>
        <v>CV. SENTOSA ABADI</v>
      </c>
      <c r="F8" s="52" t="str">
        <f>IFERROR(__xludf.DUMMYFUNCTION("""COMPUTED_VALUE"""),"DRIVER DT H700ZY")</f>
        <v>DRIVER DT H700ZY</v>
      </c>
      <c r="G8" s="52" t="str">
        <f>IFERROR(__xludf.DUMMYFUNCTION("""COMPUTED_VALUE"""),"KENDARAAN &amp; UNIT SUPPORT")</f>
        <v>KENDARAAN &amp; UNIT SUPPORT</v>
      </c>
      <c r="H8" s="52" t="str">
        <f>IFERROR(__xludf.DUMMYFUNCTION("""COMPUTED_VALUE"""),"[0102150004] NAFTALI RARE'A, ST")</f>
        <v>[0102150004] NAFTALI RARE'A, ST</v>
      </c>
      <c r="I8" s="55">
        <f>IFERROR(__xludf.DUMMYFUNCTION("""COMPUTED_VALUE"""),31567.0)</f>
        <v>31567</v>
      </c>
      <c r="J8" s="53" t="str">
        <f>IFERROR(__xludf.DUMMYFUNCTION("""COMPUTED_VALUE"""),"[109201236] ABDUL")</f>
        <v>[109201236] ABDUL</v>
      </c>
      <c r="K8" s="52"/>
      <c r="L8" s="52" t="str">
        <f t="shared" si="1"/>
        <v>#VALUE!</v>
      </c>
      <c r="M8" s="52"/>
      <c r="N8" s="52"/>
      <c r="O8" s="52"/>
      <c r="P8" s="52"/>
      <c r="Q8" s="52"/>
      <c r="R8" s="52"/>
      <c r="S8" s="52"/>
      <c r="T8" s="52"/>
      <c r="U8" s="52"/>
      <c r="V8" s="52"/>
      <c r="W8" s="52"/>
      <c r="X8" s="52"/>
      <c r="Y8" s="52"/>
      <c r="Z8" s="52"/>
    </row>
    <row r="9">
      <c r="A9" s="52">
        <f>IFERROR(__xludf.DUMMYFUNCTION("""COMPUTED_VALUE"""),3.04210058E8)</f>
        <v>304210058</v>
      </c>
      <c r="B9" s="52" t="str">
        <f>IFERROR(__xludf.DUMMYFUNCTION("""COMPUTED_VALUE"""),"ABDUL HALIM")</f>
        <v>ABDUL HALIM</v>
      </c>
      <c r="C9" s="52">
        <f>IFERROR(__xludf.DUMMYFUNCTION("""COMPUTED_VALUE"""),28.0)</f>
        <v>28</v>
      </c>
      <c r="D9" s="52" t="str">
        <f>IFERROR(__xludf.DUMMYFUNCTION("""COMPUTED_VALUE"""),"Islam")</f>
        <v>Islam</v>
      </c>
      <c r="E9" s="52" t="str">
        <f>IFERROR(__xludf.DUMMYFUNCTION("""COMPUTED_VALUE"""),"CV. Monalisa")</f>
        <v>CV. Monalisa</v>
      </c>
      <c r="F9" s="52" t="str">
        <f>IFERROR(__xludf.DUMMYFUNCTION("""COMPUTED_VALUE"""),"SAFETY OFFICER")</f>
        <v>SAFETY OFFICER</v>
      </c>
      <c r="G9" s="52" t="str">
        <f>IFERROR(__xludf.DUMMYFUNCTION("""COMPUTED_VALUE"""),"HSE")</f>
        <v>HSE</v>
      </c>
      <c r="H9" s="52" t="str">
        <f>IFERROR(__xludf.DUMMYFUNCTION("""COMPUTED_VALUE"""),"[0409230007] SLAMET WAHYUDI SAPUTRA")</f>
        <v>[0409230007] SLAMET WAHYUDI SAPUTRA</v>
      </c>
      <c r="I9" s="55">
        <f>IFERROR(__xludf.DUMMYFUNCTION("""COMPUTED_VALUE"""),35150.0)</f>
        <v>35150</v>
      </c>
      <c r="J9" s="53" t="str">
        <f>IFERROR(__xludf.DUMMYFUNCTION("""COMPUTED_VALUE"""),"[304210058] ABDUL HALIM")</f>
        <v>[304210058] ABDUL HALIM</v>
      </c>
      <c r="K9" s="52"/>
      <c r="L9" s="52" t="str">
        <f t="shared" si="1"/>
        <v>#VALUE!</v>
      </c>
      <c r="M9" s="52"/>
      <c r="N9" s="52"/>
      <c r="O9" s="52"/>
      <c r="P9" s="52"/>
      <c r="Q9" s="52"/>
      <c r="R9" s="52"/>
      <c r="S9" s="52"/>
      <c r="T9" s="52"/>
      <c r="U9" s="52"/>
      <c r="V9" s="52"/>
      <c r="W9" s="52"/>
      <c r="X9" s="52"/>
      <c r="Y9" s="52"/>
      <c r="Z9" s="52"/>
    </row>
    <row r="10">
      <c r="A10" s="52">
        <f>IFERROR(__xludf.DUMMYFUNCTION("""COMPUTED_VALUE"""),1.1221156E8)</f>
        <v>112211560</v>
      </c>
      <c r="B10" s="52" t="str">
        <f>IFERROR(__xludf.DUMMYFUNCTION("""COMPUTED_VALUE"""),"ABDUL MUTTAQIEN")</f>
        <v>ABDUL MUTTAQIEN</v>
      </c>
      <c r="C10" s="52">
        <f>IFERROR(__xludf.DUMMYFUNCTION("""COMPUTED_VALUE"""),24.0)</f>
        <v>24</v>
      </c>
      <c r="D10" s="52" t="str">
        <f>IFERROR(__xludf.DUMMYFUNCTION("""COMPUTED_VALUE"""),"Islam")</f>
        <v>Islam</v>
      </c>
      <c r="E10" s="52" t="str">
        <f>IFERROR(__xludf.DUMMYFUNCTION("""COMPUTED_VALUE"""),"CV. SENTOSA ABADI")</f>
        <v>CV. SENTOSA ABADI</v>
      </c>
      <c r="F10" s="52" t="str">
        <f>IFERROR(__xludf.DUMMYFUNCTION("""COMPUTED_VALUE"""),"CHECKER PRODUKSI")</f>
        <v>CHECKER PRODUKSI</v>
      </c>
      <c r="G10" s="52" t="str">
        <f>IFERROR(__xludf.DUMMYFUNCTION("""COMPUTED_VALUE"""),"PRODUKSI")</f>
        <v>PRODUKSI</v>
      </c>
      <c r="H10" s="52" t="str">
        <f>IFERROR(__xludf.DUMMYFUNCTION("""COMPUTED_VALUE"""),"[0102130003] PURNAWAN")</f>
        <v>[0102130003] PURNAWAN</v>
      </c>
      <c r="I10" s="52"/>
      <c r="J10" s="53" t="str">
        <f>IFERROR(__xludf.DUMMYFUNCTION("""COMPUTED_VALUE"""),"[112211560] ABDUL MUTTAQIEN")</f>
        <v>[112211560] ABDUL MUTTAQIEN</v>
      </c>
      <c r="K10" s="52"/>
      <c r="L10" s="52" t="str">
        <f t="shared" si="1"/>
        <v>#VALUE!</v>
      </c>
      <c r="M10" s="52"/>
      <c r="N10" s="52"/>
      <c r="O10" s="52"/>
      <c r="P10" s="52"/>
      <c r="Q10" s="52"/>
      <c r="R10" s="52"/>
      <c r="S10" s="52"/>
      <c r="T10" s="52"/>
      <c r="U10" s="52"/>
      <c r="V10" s="52"/>
      <c r="W10" s="52"/>
      <c r="X10" s="52"/>
      <c r="Y10" s="52"/>
      <c r="Z10" s="52"/>
    </row>
    <row r="11">
      <c r="A11" s="52">
        <f>IFERROR(__xludf.DUMMYFUNCTION("""COMPUTED_VALUE"""),1.09201217E8)</f>
        <v>109201217</v>
      </c>
      <c r="B11" s="52" t="str">
        <f>IFERROR(__xludf.DUMMYFUNCTION("""COMPUTED_VALUE"""),"ADE ILHAMZAH SALAM")</f>
        <v>ADE ILHAMZAH SALAM</v>
      </c>
      <c r="C11" s="52">
        <f>IFERROR(__xludf.DUMMYFUNCTION("""COMPUTED_VALUE"""),40.0)</f>
        <v>40</v>
      </c>
      <c r="D11" s="52" t="str">
        <f>IFERROR(__xludf.DUMMYFUNCTION("""COMPUTED_VALUE"""),"Kristen Protestan")</f>
        <v>Kristen Protestan</v>
      </c>
      <c r="E11" s="52" t="str">
        <f>IFERROR(__xludf.DUMMYFUNCTION("""COMPUTED_VALUE"""),"CV. SENTOSA ABADI")</f>
        <v>CV. SENTOSA ABADI</v>
      </c>
      <c r="F11" s="52" t="str">
        <f>IFERROR(__xludf.DUMMYFUNCTION("""COMPUTED_VALUE"""),"ASISTEN FOREMAN PRODUKSI")</f>
        <v>ASISTEN FOREMAN PRODUKSI</v>
      </c>
      <c r="G11" s="52" t="str">
        <f>IFERROR(__xludf.DUMMYFUNCTION("""COMPUTED_VALUE"""),"PRODUKSI")</f>
        <v>PRODUKSI</v>
      </c>
      <c r="H11" s="52" t="str">
        <f>IFERROR(__xludf.DUMMYFUNCTION("""COMPUTED_VALUE"""),"[0102130003] PURNAWAN")</f>
        <v>[0102130003] PURNAWAN</v>
      </c>
      <c r="I11" s="55">
        <f>IFERROR(__xludf.DUMMYFUNCTION("""COMPUTED_VALUE"""),32708.0)</f>
        <v>32708</v>
      </c>
      <c r="J11" s="53" t="str">
        <f>IFERROR(__xludf.DUMMYFUNCTION("""COMPUTED_VALUE"""),"[109201217] ADE ILHAMZAH SALAM")</f>
        <v>[109201217] ADE ILHAMZAH SALAM</v>
      </c>
      <c r="K11" s="52"/>
      <c r="L11" s="52" t="str">
        <f t="shared" si="1"/>
        <v>#VALUE!</v>
      </c>
      <c r="M11" s="52"/>
      <c r="N11" s="52"/>
      <c r="O11" s="52"/>
      <c r="P11" s="52"/>
      <c r="Q11" s="52"/>
      <c r="R11" s="52"/>
      <c r="S11" s="52"/>
      <c r="T11" s="52"/>
      <c r="U11" s="52"/>
      <c r="V11" s="52"/>
      <c r="W11" s="52"/>
      <c r="X11" s="52"/>
      <c r="Y11" s="52"/>
      <c r="Z11" s="52"/>
    </row>
    <row r="12">
      <c r="A12" s="52">
        <f>IFERROR(__xludf.DUMMYFUNCTION("""COMPUTED_VALUE"""),2.10201258E8)</f>
        <v>210201258</v>
      </c>
      <c r="B12" s="52" t="str">
        <f>IFERROR(__xludf.DUMMYFUNCTION("""COMPUTED_VALUE"""),"ADHI PRANATA")</f>
        <v>ADHI PRANATA</v>
      </c>
      <c r="C12" s="52">
        <f>IFERROR(__xludf.DUMMYFUNCTION("""COMPUTED_VALUE"""),29.0)</f>
        <v>29</v>
      </c>
      <c r="D12" s="52" t="str">
        <f>IFERROR(__xludf.DUMMYFUNCTION("""COMPUTED_VALUE"""),"Hindu")</f>
        <v>Hindu</v>
      </c>
      <c r="E12" s="52" t="str">
        <f>IFERROR(__xludf.DUMMYFUNCTION("""COMPUTED_VALUE"""),"CV. Adil Prima Perkasa")</f>
        <v>CV. Adil Prima Perkasa</v>
      </c>
      <c r="F12" s="52" t="str">
        <f>IFERROR(__xludf.DUMMYFUNCTION("""COMPUTED_VALUE"""),"OPERATOR BULLDOZER")</f>
        <v>OPERATOR BULLDOZER</v>
      </c>
      <c r="G12" s="52" t="str">
        <f>IFERROR(__xludf.DUMMYFUNCTION("""COMPUTED_VALUE"""),"PRODUKSI")</f>
        <v>PRODUKSI</v>
      </c>
      <c r="H12" s="52" t="str">
        <f>IFERROR(__xludf.DUMMYFUNCTION("""COMPUTED_VALUE"""),"[0102130003] PURNAWAN")</f>
        <v>[0102130003] PURNAWAN</v>
      </c>
      <c r="I12" s="52"/>
      <c r="J12" s="53" t="str">
        <f>IFERROR(__xludf.DUMMYFUNCTION("""COMPUTED_VALUE"""),"[210201258] ADHI PRANATA")</f>
        <v>[210201258] ADHI PRANATA</v>
      </c>
      <c r="K12" s="52"/>
      <c r="L12" s="52" t="str">
        <f t="shared" si="1"/>
        <v>#VALUE!</v>
      </c>
      <c r="M12" s="52"/>
      <c r="N12" s="52"/>
      <c r="O12" s="52"/>
      <c r="P12" s="52"/>
      <c r="Q12" s="52"/>
      <c r="R12" s="52"/>
      <c r="S12" s="52"/>
      <c r="T12" s="52"/>
      <c r="U12" s="52"/>
      <c r="V12" s="52"/>
      <c r="W12" s="52"/>
      <c r="X12" s="52"/>
      <c r="Y12" s="52"/>
      <c r="Z12" s="52"/>
    </row>
    <row r="13">
      <c r="A13" s="52">
        <f>IFERROR(__xludf.DUMMYFUNCTION("""COMPUTED_VALUE"""),2.10231841E8)</f>
        <v>210231841</v>
      </c>
      <c r="B13" s="52" t="str">
        <f>IFERROR(__xludf.DUMMYFUNCTION("""COMPUTED_VALUE"""),"ADI PANGREKSO")</f>
        <v>ADI PANGREKSO</v>
      </c>
      <c r="C13" s="52">
        <f>IFERROR(__xludf.DUMMYFUNCTION("""COMPUTED_VALUE"""),51.0)</f>
        <v>51</v>
      </c>
      <c r="D13" s="52" t="str">
        <f>IFERROR(__xludf.DUMMYFUNCTION("""COMPUTED_VALUE"""),"Kristen Protestan")</f>
        <v>Kristen Protestan</v>
      </c>
      <c r="E13" s="52" t="str">
        <f>IFERROR(__xludf.DUMMYFUNCTION("""COMPUTED_VALUE"""),"CV. Adil Prima Perkasa")</f>
        <v>CV. Adil Prima Perkasa</v>
      </c>
      <c r="F13" s="52" t="str">
        <f>IFERROR(__xludf.DUMMYFUNCTION("""COMPUTED_VALUE"""),"MEKANIK")</f>
        <v>MEKANIK</v>
      </c>
      <c r="G13" s="52" t="str">
        <f>IFERROR(__xludf.DUMMYFUNCTION("""COMPUTED_VALUE"""),"WORKSHOP")</f>
        <v>WORKSHOP</v>
      </c>
      <c r="H13" s="52" t="str">
        <f>IFERROR(__xludf.DUMMYFUNCTION("""COMPUTED_VALUE"""),"[0106190928] NATAN KONDO")</f>
        <v>[0106190928] NATAN KONDO</v>
      </c>
      <c r="I13" s="55">
        <f>IFERROR(__xludf.DUMMYFUNCTION("""COMPUTED_VALUE"""),29567.0)</f>
        <v>29567</v>
      </c>
      <c r="J13" s="53" t="str">
        <f>IFERROR(__xludf.DUMMYFUNCTION("""COMPUTED_VALUE"""),"[210231841] ADI PANGREKSO")</f>
        <v>[210231841] ADI PANGREKSO</v>
      </c>
      <c r="K13" s="52"/>
      <c r="L13" s="52" t="str">
        <f t="shared" si="1"/>
        <v>#VALUE!</v>
      </c>
      <c r="M13" s="52"/>
      <c r="N13" s="52"/>
      <c r="O13" s="52"/>
      <c r="P13" s="52"/>
      <c r="Q13" s="52"/>
      <c r="R13" s="52"/>
      <c r="S13" s="52"/>
      <c r="T13" s="52"/>
      <c r="U13" s="52"/>
      <c r="V13" s="52"/>
      <c r="W13" s="52"/>
      <c r="X13" s="52"/>
      <c r="Y13" s="52"/>
      <c r="Z13" s="52"/>
    </row>
    <row r="14">
      <c r="A14" s="52">
        <f>IFERROR(__xludf.DUMMYFUNCTION("""COMPUTED_VALUE"""),2.11221703E8)</f>
        <v>211221703</v>
      </c>
      <c r="B14" s="52" t="str">
        <f>IFERROR(__xludf.DUMMYFUNCTION("""COMPUTED_VALUE"""),"ADI PAWATAK")</f>
        <v>ADI PAWATAK</v>
      </c>
      <c r="C14" s="52">
        <f>IFERROR(__xludf.DUMMYFUNCTION("""COMPUTED_VALUE"""),21.0)</f>
        <v>21</v>
      </c>
      <c r="D14" s="52" t="str">
        <f>IFERROR(__xludf.DUMMYFUNCTION("""COMPUTED_VALUE"""),"Islam")</f>
        <v>Islam</v>
      </c>
      <c r="E14" s="52" t="str">
        <f>IFERROR(__xludf.DUMMYFUNCTION("""COMPUTED_VALUE"""),"CV. Adil Prima Perkasa")</f>
        <v>CV. Adil Prima Perkasa</v>
      </c>
      <c r="F14" s="52" t="str">
        <f>IFERROR(__xludf.DUMMYFUNCTION("""COMPUTED_VALUE"""),"HELPER MEKANIK LV")</f>
        <v>HELPER MEKANIK LV</v>
      </c>
      <c r="G14" s="52" t="str">
        <f>IFERROR(__xludf.DUMMYFUNCTION("""COMPUTED_VALUE"""),"WORKSHOP")</f>
        <v>WORKSHOP</v>
      </c>
      <c r="H14" s="52" t="str">
        <f>IFERROR(__xludf.DUMMYFUNCTION("""COMPUTED_VALUE"""),"[0106190928] NATAN KONDO")</f>
        <v>[0106190928] NATAN KONDO</v>
      </c>
      <c r="I14" s="52"/>
      <c r="J14" s="53" t="str">
        <f>IFERROR(__xludf.DUMMYFUNCTION("""COMPUTED_VALUE"""),"[211221703] ADI PAWATAK")</f>
        <v>[211221703] ADI PAWATAK</v>
      </c>
      <c r="K14" s="52"/>
      <c r="L14" s="52" t="str">
        <f t="shared" si="1"/>
        <v>#VALUE!</v>
      </c>
      <c r="M14" s="52"/>
      <c r="N14" s="52"/>
      <c r="O14" s="52"/>
      <c r="P14" s="52"/>
      <c r="Q14" s="52"/>
      <c r="R14" s="52"/>
      <c r="S14" s="52"/>
      <c r="T14" s="52"/>
      <c r="U14" s="52"/>
      <c r="V14" s="52"/>
      <c r="W14" s="52"/>
      <c r="X14" s="52"/>
      <c r="Y14" s="52"/>
      <c r="Z14" s="52"/>
    </row>
    <row r="15">
      <c r="A15" s="52"/>
      <c r="B15" s="52" t="str">
        <f>IFERROR(__xludf.DUMMYFUNCTION("""COMPUTED_VALUE"""),"ADRI")</f>
        <v>ADRI</v>
      </c>
      <c r="C15" s="52"/>
      <c r="D15" s="52"/>
      <c r="E15" s="52" t="str">
        <f>IFERROR(__xludf.DUMMYFUNCTION("""COMPUTED_VALUE"""),"CV. SENTOSA ABADI")</f>
        <v>CV. SENTOSA ABADI</v>
      </c>
      <c r="F15" s="52"/>
      <c r="G15" s="52"/>
      <c r="H15" s="52"/>
      <c r="I15" s="52"/>
      <c r="J15" s="53" t="str">
        <f>IFERROR(__xludf.DUMMYFUNCTION("""COMPUTED_VALUE"""),"[] ADRI")</f>
        <v>[] ADRI</v>
      </c>
      <c r="K15" s="52"/>
      <c r="L15" s="52" t="str">
        <f t="shared" si="1"/>
        <v>#VALUE!</v>
      </c>
      <c r="M15" s="52"/>
      <c r="N15" s="52"/>
      <c r="O15" s="52"/>
      <c r="P15" s="52"/>
      <c r="Q15" s="52"/>
      <c r="R15" s="52"/>
      <c r="S15" s="52"/>
      <c r="T15" s="52"/>
      <c r="U15" s="52"/>
      <c r="V15" s="52"/>
      <c r="W15" s="52"/>
      <c r="X15" s="52"/>
      <c r="Y15" s="52"/>
      <c r="Z15" s="52"/>
    </row>
    <row r="16">
      <c r="A16" s="52">
        <f>IFERROR(__xludf.DUMMYFUNCTION("""COMPUTED_VALUE"""),1.10211515E8)</f>
        <v>110211515</v>
      </c>
      <c r="B16" s="52" t="str">
        <f>IFERROR(__xludf.DUMMYFUNCTION("""COMPUTED_VALUE"""),"ADRIANUS PATI OPENG")</f>
        <v>ADRIANUS PATI OPENG</v>
      </c>
      <c r="C16" s="52">
        <f>IFERROR(__xludf.DUMMYFUNCTION("""COMPUTED_VALUE"""),34.0)</f>
        <v>34</v>
      </c>
      <c r="D16" s="52" t="str">
        <f>IFERROR(__xludf.DUMMYFUNCTION("""COMPUTED_VALUE"""),"Kristen Protestan")</f>
        <v>Kristen Protestan</v>
      </c>
      <c r="E16" s="52" t="str">
        <f>IFERROR(__xludf.DUMMYFUNCTION("""COMPUTED_VALUE"""),"CV. SENTOSA ABADI")</f>
        <v>CV. SENTOSA ABADI</v>
      </c>
      <c r="F16" s="52" t="str">
        <f>IFERROR(__xludf.DUMMYFUNCTION("""COMPUTED_VALUE"""),"DRIVER LV")</f>
        <v>DRIVER LV</v>
      </c>
      <c r="G16" s="52" t="str">
        <f>IFERROR(__xludf.DUMMYFUNCTION("""COMPUTED_VALUE"""),"KENDARAAN &amp; UNIT SUPPORT")</f>
        <v>KENDARAAN &amp; UNIT SUPPORT</v>
      </c>
      <c r="H16" s="52" t="str">
        <f>IFERROR(__xludf.DUMMYFUNCTION("""COMPUTED_VALUE"""),"[0102150004] NAFTALI RARE'A, ST")</f>
        <v>[0102150004] NAFTALI RARE'A, ST</v>
      </c>
      <c r="I16" s="52"/>
      <c r="J16" s="53" t="str">
        <f>IFERROR(__xludf.DUMMYFUNCTION("""COMPUTED_VALUE"""),"[110211515] ADRIANUS PATI OPENG")</f>
        <v>[110211515] ADRIANUS PATI OPENG</v>
      </c>
      <c r="K16" s="52"/>
      <c r="L16" s="52" t="str">
        <f t="shared" si="1"/>
        <v>#VALUE!</v>
      </c>
      <c r="M16" s="52"/>
      <c r="N16" s="52"/>
      <c r="O16" s="52"/>
      <c r="P16" s="52"/>
      <c r="Q16" s="52"/>
      <c r="R16" s="52"/>
      <c r="S16" s="52"/>
      <c r="T16" s="52"/>
      <c r="U16" s="52"/>
      <c r="V16" s="52"/>
      <c r="W16" s="52"/>
      <c r="X16" s="52"/>
      <c r="Y16" s="52"/>
      <c r="Z16" s="52"/>
    </row>
    <row r="17">
      <c r="A17" s="52">
        <f>IFERROR(__xludf.DUMMYFUNCTION("""COMPUTED_VALUE"""),1.11211534E8)</f>
        <v>111211534</v>
      </c>
      <c r="B17" s="52" t="str">
        <f>IFERROR(__xludf.DUMMYFUNCTION("""COMPUTED_VALUE"""),"ADRIAWAN")</f>
        <v>ADRIAWAN</v>
      </c>
      <c r="C17" s="52">
        <f>IFERROR(__xludf.DUMMYFUNCTION("""COMPUTED_VALUE"""),24.0)</f>
        <v>24</v>
      </c>
      <c r="D17" s="52" t="str">
        <f>IFERROR(__xludf.DUMMYFUNCTION("""COMPUTED_VALUE"""),"Islam")</f>
        <v>Islam</v>
      </c>
      <c r="E17" s="52" t="str">
        <f>IFERROR(__xludf.DUMMYFUNCTION("""COMPUTED_VALUE"""),"CV. SENTOSA ABADI")</f>
        <v>CV. SENTOSA ABADI</v>
      </c>
      <c r="F17" s="52" t="str">
        <f>IFERROR(__xludf.DUMMYFUNCTION("""COMPUTED_VALUE"""),"HELPER TYRE")</f>
        <v>HELPER TYRE</v>
      </c>
      <c r="G17" s="52" t="str">
        <f>IFERROR(__xludf.DUMMYFUNCTION("""COMPUTED_VALUE"""),"WORKSHOP")</f>
        <v>WORKSHOP</v>
      </c>
      <c r="H17" s="52" t="str">
        <f>IFERROR(__xludf.DUMMYFUNCTION("""COMPUTED_VALUE"""),"[0102120144] JUFRY KOMALING")</f>
        <v>[0102120144] JUFRY KOMALING</v>
      </c>
      <c r="I17" s="52"/>
      <c r="J17" s="53" t="str">
        <f>IFERROR(__xludf.DUMMYFUNCTION("""COMPUTED_VALUE"""),"[111211534] ADRIAWAN")</f>
        <v>[111211534] ADRIAWAN</v>
      </c>
      <c r="K17" s="52"/>
      <c r="L17" s="52" t="str">
        <f t="shared" si="1"/>
        <v>#VALUE!</v>
      </c>
      <c r="M17" s="52"/>
      <c r="N17" s="52"/>
      <c r="O17" s="52"/>
      <c r="P17" s="52"/>
      <c r="Q17" s="52"/>
      <c r="R17" s="52"/>
      <c r="S17" s="52"/>
      <c r="T17" s="52"/>
      <c r="U17" s="52"/>
      <c r="V17" s="52"/>
      <c r="W17" s="52"/>
      <c r="X17" s="52"/>
      <c r="Y17" s="52"/>
      <c r="Z17" s="52"/>
    </row>
    <row r="18">
      <c r="A18" s="52">
        <f>IFERROR(__xludf.DUMMYFUNCTION("""COMPUTED_VALUE"""),1.09211475E8)</f>
        <v>109211475</v>
      </c>
      <c r="B18" s="52" t="str">
        <f>IFERROR(__xludf.DUMMYFUNCTION("""COMPUTED_VALUE"""),"AGRIAWAN")</f>
        <v>AGRIAWAN</v>
      </c>
      <c r="C18" s="52">
        <f>IFERROR(__xludf.DUMMYFUNCTION("""COMPUTED_VALUE"""),22.0)</f>
        <v>22</v>
      </c>
      <c r="D18" s="52" t="str">
        <f>IFERROR(__xludf.DUMMYFUNCTION("""COMPUTED_VALUE"""),"Islam")</f>
        <v>Islam</v>
      </c>
      <c r="E18" s="52" t="str">
        <f>IFERROR(__xludf.DUMMYFUNCTION("""COMPUTED_VALUE"""),"CV. SENTOSA ABADI")</f>
        <v>CV. SENTOSA ABADI</v>
      </c>
      <c r="F18" s="52" t="str">
        <f>IFERROR(__xludf.DUMMYFUNCTION("""COMPUTED_VALUE"""),"HELPER TYRE")</f>
        <v>HELPER TYRE</v>
      </c>
      <c r="G18" s="52" t="str">
        <f>IFERROR(__xludf.DUMMYFUNCTION("""COMPUTED_VALUE"""),"WORKSHOP")</f>
        <v>WORKSHOP</v>
      </c>
      <c r="H18" s="52" t="str">
        <f>IFERROR(__xludf.DUMMYFUNCTION("""COMPUTED_VALUE"""),"[0106190928] NATAN KONDO")</f>
        <v>[0106190928] NATAN KONDO</v>
      </c>
      <c r="I18" s="52"/>
      <c r="J18" s="53" t="str">
        <f>IFERROR(__xludf.DUMMYFUNCTION("""COMPUTED_VALUE"""),"[109211475] AGRIAWAN")</f>
        <v>[109211475] AGRIAWAN</v>
      </c>
      <c r="K18" s="52"/>
      <c r="L18" s="52" t="str">
        <f t="shared" si="1"/>
        <v>#VALUE!</v>
      </c>
      <c r="M18" s="52"/>
      <c r="N18" s="52"/>
      <c r="O18" s="52"/>
      <c r="P18" s="52"/>
      <c r="Q18" s="52"/>
      <c r="R18" s="52"/>
      <c r="S18" s="52"/>
      <c r="T18" s="52"/>
      <c r="U18" s="52"/>
      <c r="V18" s="52"/>
      <c r="W18" s="52"/>
      <c r="X18" s="52"/>
      <c r="Y18" s="52"/>
      <c r="Z18" s="52"/>
    </row>
    <row r="19">
      <c r="A19" s="52">
        <f>IFERROR(__xludf.DUMMYFUNCTION("""COMPUTED_VALUE"""),1.04211384E8)</f>
        <v>104211384</v>
      </c>
      <c r="B19" s="52" t="str">
        <f>IFERROR(__xludf.DUMMYFUNCTION("""COMPUTED_VALUE"""),"AGUNG YOGA PRATAMA")</f>
        <v>AGUNG YOGA PRATAMA</v>
      </c>
      <c r="C19" s="52">
        <f>IFERROR(__xludf.DUMMYFUNCTION("""COMPUTED_VALUE"""),27.0)</f>
        <v>27</v>
      </c>
      <c r="D19" s="52" t="str">
        <f>IFERROR(__xludf.DUMMYFUNCTION("""COMPUTED_VALUE"""),"Islam")</f>
        <v>Islam</v>
      </c>
      <c r="E19" s="52" t="str">
        <f>IFERROR(__xludf.DUMMYFUNCTION("""COMPUTED_VALUE"""),"CV. SENTOSA ABADI")</f>
        <v>CV. SENTOSA ABADI</v>
      </c>
      <c r="F19" s="52" t="str">
        <f>IFERROR(__xludf.DUMMYFUNCTION("""COMPUTED_VALUE"""),"STAFF HRD")</f>
        <v>STAFF HRD</v>
      </c>
      <c r="G19" s="52" t="str">
        <f>IFERROR(__xludf.DUMMYFUNCTION("""COMPUTED_VALUE"""),"HRD &amp; GA")</f>
        <v>HRD &amp; GA</v>
      </c>
      <c r="H19" s="52" t="str">
        <f>IFERROR(__xludf.DUMMYFUNCTION("""COMPUTED_VALUE"""),"[0108191037] ERNIE FRISLIA")</f>
        <v>[0108191037] ERNIE FRISLIA</v>
      </c>
      <c r="I19" s="52"/>
      <c r="J19" s="53" t="str">
        <f>IFERROR(__xludf.DUMMYFUNCTION("""COMPUTED_VALUE"""),"[104211384] AGUNG YOGA PRATAMA")</f>
        <v>[104211384] AGUNG YOGA PRATAMA</v>
      </c>
      <c r="K19" s="52"/>
      <c r="L19" s="52" t="str">
        <f t="shared" si="1"/>
        <v>#VALUE!</v>
      </c>
      <c r="M19" s="52"/>
      <c r="N19" s="52"/>
      <c r="O19" s="52"/>
      <c r="P19" s="52"/>
      <c r="Q19" s="52"/>
      <c r="R19" s="52"/>
      <c r="S19" s="52"/>
      <c r="T19" s="52"/>
      <c r="U19" s="52"/>
      <c r="V19" s="52"/>
      <c r="W19" s="52"/>
      <c r="X19" s="52"/>
      <c r="Y19" s="52"/>
      <c r="Z19" s="52"/>
    </row>
    <row r="20">
      <c r="A20" s="52">
        <f>IFERROR(__xludf.DUMMYFUNCTION("""COMPUTED_VALUE"""),2.04150633E8)</f>
        <v>204150633</v>
      </c>
      <c r="B20" s="52" t="str">
        <f>IFERROR(__xludf.DUMMYFUNCTION("""COMPUTED_VALUE"""),"AGUS AMIRUDDIN")</f>
        <v>AGUS AMIRUDDIN</v>
      </c>
      <c r="C20" s="52">
        <f>IFERROR(__xludf.DUMMYFUNCTION("""COMPUTED_VALUE"""),52.0)</f>
        <v>52</v>
      </c>
      <c r="D20" s="52" t="str">
        <f>IFERROR(__xludf.DUMMYFUNCTION("""COMPUTED_VALUE"""),"Islam")</f>
        <v>Islam</v>
      </c>
      <c r="E20" s="52" t="str">
        <f>IFERROR(__xludf.DUMMYFUNCTION("""COMPUTED_VALUE"""),"CV. Adil Prima Perkasa")</f>
        <v>CV. Adil Prima Perkasa</v>
      </c>
      <c r="F20" s="52" t="str">
        <f>IFERROR(__xludf.DUMMYFUNCTION("""COMPUTED_VALUE"""),"FOREMAN PRODUKSI")</f>
        <v>FOREMAN PRODUKSI</v>
      </c>
      <c r="G20" s="52" t="str">
        <f>IFERROR(__xludf.DUMMYFUNCTION("""COMPUTED_VALUE"""),"PRODUKSI")</f>
        <v>PRODUKSI</v>
      </c>
      <c r="H20" s="52" t="str">
        <f>IFERROR(__xludf.DUMMYFUNCTION("""COMPUTED_VALUE"""),"[0102130003] PURNAWAN")</f>
        <v>[0102130003] PURNAWAN</v>
      </c>
      <c r="I20" s="52"/>
      <c r="J20" s="53" t="str">
        <f>IFERROR(__xludf.DUMMYFUNCTION("""COMPUTED_VALUE"""),"[204150633] AGUS AMIRUDDIN")</f>
        <v>[204150633] AGUS AMIRUDDIN</v>
      </c>
      <c r="K20" s="52"/>
      <c r="L20" s="52" t="str">
        <f t="shared" si="1"/>
        <v>#VALUE!</v>
      </c>
      <c r="M20" s="52"/>
      <c r="N20" s="52"/>
      <c r="O20" s="52"/>
      <c r="P20" s="52"/>
      <c r="Q20" s="52"/>
      <c r="R20" s="52"/>
      <c r="S20" s="52"/>
      <c r="T20" s="52"/>
      <c r="U20" s="52"/>
      <c r="V20" s="52"/>
      <c r="W20" s="52"/>
      <c r="X20" s="52"/>
      <c r="Y20" s="52"/>
      <c r="Z20" s="52"/>
    </row>
    <row r="21">
      <c r="A21" s="52">
        <f>IFERROR(__xludf.DUMMYFUNCTION("""COMPUTED_VALUE"""),1.02190759E8)</f>
        <v>102190759</v>
      </c>
      <c r="B21" s="52" t="str">
        <f>IFERROR(__xludf.DUMMYFUNCTION("""COMPUTED_VALUE"""),"AGUS MULYADI")</f>
        <v>AGUS MULYADI</v>
      </c>
      <c r="C21" s="52">
        <f>IFERROR(__xludf.DUMMYFUNCTION("""COMPUTED_VALUE"""),31.0)</f>
        <v>31</v>
      </c>
      <c r="D21" s="52" t="str">
        <f>IFERROR(__xludf.DUMMYFUNCTION("""COMPUTED_VALUE"""),"Islam")</f>
        <v>Islam</v>
      </c>
      <c r="E21" s="52" t="str">
        <f>IFERROR(__xludf.DUMMYFUNCTION("""COMPUTED_VALUE"""),"CV. SENTOSA ABADI")</f>
        <v>CV. SENTOSA ABADI</v>
      </c>
      <c r="F21" s="52" t="str">
        <f>IFERROR(__xludf.DUMMYFUNCTION("""COMPUTED_VALUE"""),"CHECKER KENDARAAN")</f>
        <v>CHECKER KENDARAAN</v>
      </c>
      <c r="G21" s="52" t="str">
        <f>IFERROR(__xludf.DUMMYFUNCTION("""COMPUTED_VALUE"""),"KENDARAAN &amp; UNIT SUPPORT")</f>
        <v>KENDARAAN &amp; UNIT SUPPORT</v>
      </c>
      <c r="H21" s="52" t="str">
        <f>IFERROR(__xludf.DUMMYFUNCTION("""COMPUTED_VALUE"""),"[0102150004] NAFTALI RARE'A, ST")</f>
        <v>[0102150004] NAFTALI RARE'A, ST</v>
      </c>
      <c r="I21" s="55">
        <f>IFERROR(__xludf.DUMMYFUNCTION("""COMPUTED_VALUE"""),34858.0)</f>
        <v>34858</v>
      </c>
      <c r="J21" s="53" t="str">
        <f>IFERROR(__xludf.DUMMYFUNCTION("""COMPUTED_VALUE"""),"[102190759] AGUS MULYADI")</f>
        <v>[102190759] AGUS MULYADI</v>
      </c>
      <c r="K21" s="52"/>
      <c r="L21" s="52" t="str">
        <f t="shared" si="1"/>
        <v>#VALUE!</v>
      </c>
      <c r="M21" s="52"/>
      <c r="N21" s="52"/>
      <c r="O21" s="52"/>
      <c r="P21" s="52"/>
      <c r="Q21" s="52"/>
      <c r="R21" s="52"/>
      <c r="S21" s="52"/>
      <c r="T21" s="52"/>
      <c r="U21" s="52"/>
      <c r="V21" s="52"/>
      <c r="W21" s="52"/>
      <c r="X21" s="52"/>
      <c r="Y21" s="52"/>
      <c r="Z21" s="52"/>
    </row>
    <row r="22">
      <c r="A22" s="52">
        <f>IFERROR(__xludf.DUMMYFUNCTION("""COMPUTED_VALUE"""),2.04241907E8)</f>
        <v>204241907</v>
      </c>
      <c r="B22" s="52" t="str">
        <f>IFERROR(__xludf.DUMMYFUNCTION("""COMPUTED_VALUE"""),"AGUSMAN")</f>
        <v>AGUSMAN</v>
      </c>
      <c r="C22" s="52">
        <f>IFERROR(__xludf.DUMMYFUNCTION("""COMPUTED_VALUE"""),0.0)</f>
        <v>0</v>
      </c>
      <c r="D22" s="52" t="str">
        <f>IFERROR(__xludf.DUMMYFUNCTION("""COMPUTED_VALUE"""),"Islam")</f>
        <v>Islam</v>
      </c>
      <c r="E22" s="52" t="str">
        <f>IFERROR(__xludf.DUMMYFUNCTION("""COMPUTED_VALUE"""),"CV. Adil Prima Perkasa")</f>
        <v>CV. Adil Prima Perkasa</v>
      </c>
      <c r="F22" s="52" t="str">
        <f>IFERROR(__xludf.DUMMYFUNCTION("""COMPUTED_VALUE"""),"HELPER MEKANIK ALAT BERAT")</f>
        <v>HELPER MEKANIK ALAT BERAT</v>
      </c>
      <c r="G22" s="52" t="str">
        <f>IFERROR(__xludf.DUMMYFUNCTION("""COMPUTED_VALUE"""),"WORKSHOP")</f>
        <v>WORKSHOP</v>
      </c>
      <c r="H22" s="52" t="str">
        <f>IFERROR(__xludf.DUMMYFUNCTION("""COMPUTED_VALUE"""),"[0106190928] NATAN KONDO")</f>
        <v>[0106190928] NATAN KONDO</v>
      </c>
      <c r="I22" s="52"/>
      <c r="J22" s="53" t="str">
        <f>IFERROR(__xludf.DUMMYFUNCTION("""COMPUTED_VALUE"""),"[204241907] AGUSMAN")</f>
        <v>[204241907] AGUSMAN</v>
      </c>
      <c r="K22" s="52"/>
      <c r="L22" s="52" t="str">
        <f t="shared" si="1"/>
        <v>#VALUE!</v>
      </c>
      <c r="M22" s="52"/>
      <c r="N22" s="52"/>
      <c r="O22" s="52"/>
      <c r="P22" s="52"/>
      <c r="Q22" s="52"/>
      <c r="R22" s="52"/>
      <c r="S22" s="52"/>
      <c r="T22" s="52"/>
      <c r="U22" s="52"/>
      <c r="V22" s="52"/>
      <c r="W22" s="52"/>
      <c r="X22" s="52"/>
      <c r="Y22" s="52"/>
      <c r="Z22" s="52"/>
    </row>
    <row r="23">
      <c r="A23" s="52">
        <f>IFERROR(__xludf.DUMMYFUNCTION("""COMPUTED_VALUE"""),2.02190768E8)</f>
        <v>202190768</v>
      </c>
      <c r="B23" s="52" t="str">
        <f>IFERROR(__xludf.DUMMYFUNCTION("""COMPUTED_VALUE"""),"AGUSTINUS WIRIANA")</f>
        <v>AGUSTINUS WIRIANA</v>
      </c>
      <c r="C23" s="52">
        <f>IFERROR(__xludf.DUMMYFUNCTION("""COMPUTED_VALUE"""),24.0)</f>
        <v>24</v>
      </c>
      <c r="D23" s="52" t="str">
        <f>IFERROR(__xludf.DUMMYFUNCTION("""COMPUTED_VALUE"""),"Kristen Khatolik")</f>
        <v>Kristen Khatolik</v>
      </c>
      <c r="E23" s="52" t="str">
        <f>IFERROR(__xludf.DUMMYFUNCTION("""COMPUTED_VALUE"""),"CV. Adil Prima Perkasa")</f>
        <v>CV. Adil Prima Perkasa</v>
      </c>
      <c r="F23" s="52" t="str">
        <f>IFERROR(__xludf.DUMMYFUNCTION("""COMPUTED_VALUE"""),"OPERATOR EXCAVATOR")</f>
        <v>OPERATOR EXCAVATOR</v>
      </c>
      <c r="G23" s="52" t="str">
        <f>IFERROR(__xludf.DUMMYFUNCTION("""COMPUTED_VALUE"""),"PRODUKSI")</f>
        <v>PRODUKSI</v>
      </c>
      <c r="H23" s="52" t="str">
        <f>IFERROR(__xludf.DUMMYFUNCTION("""COMPUTED_VALUE"""),"[0102130003] PURNAWAN")</f>
        <v>[0102130003] PURNAWAN</v>
      </c>
      <c r="I23" s="52"/>
      <c r="J23" s="53" t="str">
        <f>IFERROR(__xludf.DUMMYFUNCTION("""COMPUTED_VALUE"""),"[202190768] AGUSTINUS WIRIANA")</f>
        <v>[202190768] AGUSTINUS WIRIANA</v>
      </c>
      <c r="K23" s="52"/>
      <c r="L23" s="52" t="str">
        <f t="shared" si="1"/>
        <v>#VALUE!</v>
      </c>
      <c r="M23" s="52"/>
      <c r="N23" s="52"/>
      <c r="O23" s="52"/>
      <c r="P23" s="52"/>
      <c r="Q23" s="52"/>
      <c r="R23" s="52"/>
      <c r="S23" s="52"/>
      <c r="T23" s="52"/>
      <c r="U23" s="52"/>
      <c r="V23" s="52"/>
      <c r="W23" s="52"/>
      <c r="X23" s="52"/>
      <c r="Y23" s="52"/>
      <c r="Z23" s="52"/>
    </row>
    <row r="24">
      <c r="A24" s="52">
        <f>IFERROR(__xludf.DUMMYFUNCTION("""COMPUTED_VALUE"""),1.04211363E8)</f>
        <v>104211363</v>
      </c>
      <c r="B24" s="52" t="str">
        <f>IFERROR(__xludf.DUMMYFUNCTION("""COMPUTED_VALUE"""),"AHIRABIN TENGE")</f>
        <v>AHIRABIN TENGE</v>
      </c>
      <c r="C24" s="52">
        <f>IFERROR(__xludf.DUMMYFUNCTION("""COMPUTED_VALUE"""),51.0)</f>
        <v>51</v>
      </c>
      <c r="D24" s="52" t="str">
        <f>IFERROR(__xludf.DUMMYFUNCTION("""COMPUTED_VALUE"""),"Islam")</f>
        <v>Islam</v>
      </c>
      <c r="E24" s="52" t="str">
        <f>IFERROR(__xludf.DUMMYFUNCTION("""COMPUTED_VALUE"""),"CV. SENTOSA ABADI")</f>
        <v>CV. SENTOSA ABADI</v>
      </c>
      <c r="F24" s="52" t="str">
        <f>IFERROR(__xludf.DUMMYFUNCTION("""COMPUTED_VALUE"""),"HELPER MECHANIC DT OTR")</f>
        <v>HELPER MECHANIC DT OTR</v>
      </c>
      <c r="G24" s="52" t="str">
        <f>IFERROR(__xludf.DUMMYFUNCTION("""COMPUTED_VALUE"""),"WORKSHOP")</f>
        <v>WORKSHOP</v>
      </c>
      <c r="H24" s="52" t="str">
        <f>IFERROR(__xludf.DUMMYFUNCTION("""COMPUTED_VALUE"""),"[0104211387] MIRZAL")</f>
        <v>[0104211387] MIRZAL</v>
      </c>
      <c r="I24" s="55">
        <f>IFERROR(__xludf.DUMMYFUNCTION("""COMPUTED_VALUE"""),30272.0)</f>
        <v>30272</v>
      </c>
      <c r="J24" s="53" t="str">
        <f>IFERROR(__xludf.DUMMYFUNCTION("""COMPUTED_VALUE"""),"[104211363] AHIRABIN TENGE")</f>
        <v>[104211363] AHIRABIN TENGE</v>
      </c>
      <c r="K24" s="52"/>
      <c r="L24" s="52" t="str">
        <f t="shared" si="1"/>
        <v>#VALUE!</v>
      </c>
      <c r="M24" s="52"/>
      <c r="N24" s="52"/>
      <c r="O24" s="52"/>
      <c r="P24" s="52"/>
      <c r="Q24" s="52"/>
      <c r="R24" s="52"/>
      <c r="S24" s="52"/>
      <c r="T24" s="52"/>
      <c r="U24" s="52"/>
      <c r="V24" s="52"/>
      <c r="W24" s="52"/>
      <c r="X24" s="52"/>
      <c r="Y24" s="52"/>
      <c r="Z24" s="52"/>
    </row>
    <row r="25">
      <c r="A25" s="52">
        <f>IFERROR(__xludf.DUMMYFUNCTION("""COMPUTED_VALUE"""),2.11211538E8)</f>
        <v>211211538</v>
      </c>
      <c r="B25" s="52" t="str">
        <f>IFERROR(__xludf.DUMMYFUNCTION("""COMPUTED_VALUE"""),"AHMAD ALFIAN LUBIS")</f>
        <v>AHMAD ALFIAN LUBIS</v>
      </c>
      <c r="C25" s="52">
        <f>IFERROR(__xludf.DUMMYFUNCTION("""COMPUTED_VALUE"""),29.0)</f>
        <v>29</v>
      </c>
      <c r="D25" s="52" t="str">
        <f>IFERROR(__xludf.DUMMYFUNCTION("""COMPUTED_VALUE"""),"Islam")</f>
        <v>Islam</v>
      </c>
      <c r="E25" s="52" t="str">
        <f>IFERROR(__xludf.DUMMYFUNCTION("""COMPUTED_VALUE"""),"CV. Adil Prima Perkasa")</f>
        <v>CV. Adil Prima Perkasa</v>
      </c>
      <c r="F25" s="52" t="str">
        <f>IFERROR(__xludf.DUMMYFUNCTION("""COMPUTED_VALUE"""),"HELPER MEKANIK ALAT BERAT")</f>
        <v>HELPER MEKANIK ALAT BERAT</v>
      </c>
      <c r="G25" s="52" t="str">
        <f>IFERROR(__xludf.DUMMYFUNCTION("""COMPUTED_VALUE"""),"WORKSHOP")</f>
        <v>WORKSHOP</v>
      </c>
      <c r="H25" s="52" t="str">
        <f>IFERROR(__xludf.DUMMYFUNCTION("""COMPUTED_VALUE"""),"[0106190928] NATAN KONDO")</f>
        <v>[0106190928] NATAN KONDO</v>
      </c>
      <c r="I25" s="52"/>
      <c r="J25" s="53" t="str">
        <f>IFERROR(__xludf.DUMMYFUNCTION("""COMPUTED_VALUE"""),"[211211538] AHMAD ALFIAN LUBIS")</f>
        <v>[211211538] AHMAD ALFIAN LUBIS</v>
      </c>
      <c r="K25" s="52"/>
      <c r="L25" s="52" t="str">
        <f t="shared" si="1"/>
        <v>#VALUE!</v>
      </c>
      <c r="M25" s="52"/>
      <c r="N25" s="52"/>
      <c r="O25" s="52"/>
      <c r="P25" s="52"/>
      <c r="Q25" s="52"/>
      <c r="R25" s="52"/>
      <c r="S25" s="52"/>
      <c r="T25" s="52"/>
      <c r="U25" s="52"/>
      <c r="V25" s="52"/>
      <c r="W25" s="52"/>
      <c r="X25" s="52"/>
      <c r="Y25" s="52"/>
      <c r="Z25" s="52"/>
    </row>
    <row r="26">
      <c r="A26" s="52">
        <f>IFERROR(__xludf.DUMMYFUNCTION("""COMPUTED_VALUE"""),2.06241946E8)</f>
        <v>206241946</v>
      </c>
      <c r="B26" s="52" t="str">
        <f>IFERROR(__xludf.DUMMYFUNCTION("""COMPUTED_VALUE"""),"AHMAD ATKONI")</f>
        <v>AHMAD ATKONI</v>
      </c>
      <c r="C26" s="52">
        <f>IFERROR(__xludf.DUMMYFUNCTION("""COMPUTED_VALUE"""),24.0)</f>
        <v>24</v>
      </c>
      <c r="D26" s="52" t="str">
        <f>IFERROR(__xludf.DUMMYFUNCTION("""COMPUTED_VALUE"""),"Islam")</f>
        <v>Islam</v>
      </c>
      <c r="E26" s="52" t="str">
        <f>IFERROR(__xludf.DUMMYFUNCTION("""COMPUTED_VALUE"""),"CV. Adil Prima Perkasa")</f>
        <v>CV. Adil Prima Perkasa</v>
      </c>
      <c r="F26" s="52" t="str">
        <f>IFERROR(__xludf.DUMMYFUNCTION("""COMPUTED_VALUE"""),"DRIVER LT")</f>
        <v>DRIVER LT</v>
      </c>
      <c r="G26" s="52" t="str">
        <f>IFERROR(__xludf.DUMMYFUNCTION("""COMPUTED_VALUE"""),"KENDARAAN &amp; UNIT SUPPORT")</f>
        <v>KENDARAAN &amp; UNIT SUPPORT</v>
      </c>
      <c r="H26" s="52" t="str">
        <f>IFERROR(__xludf.DUMMYFUNCTION("""COMPUTED_VALUE"""),"[0102150004] NAFTALI RARE'A, ST")</f>
        <v>[0102150004] NAFTALI RARE'A, ST</v>
      </c>
      <c r="I26" s="52"/>
      <c r="J26" s="53" t="str">
        <f>IFERROR(__xludf.DUMMYFUNCTION("""COMPUTED_VALUE"""),"[206241946] AHMAD ATKONI")</f>
        <v>[206241946] AHMAD ATKONI</v>
      </c>
      <c r="K26" s="52"/>
      <c r="L26" s="52" t="str">
        <f t="shared" si="1"/>
        <v>#VALUE!</v>
      </c>
      <c r="M26" s="52"/>
      <c r="N26" s="52"/>
      <c r="O26" s="52"/>
      <c r="P26" s="52"/>
      <c r="Q26" s="52"/>
      <c r="R26" s="52"/>
      <c r="S26" s="52"/>
      <c r="T26" s="52"/>
      <c r="U26" s="52"/>
      <c r="V26" s="52"/>
      <c r="W26" s="52"/>
      <c r="X26" s="52"/>
      <c r="Y26" s="52"/>
      <c r="Z26" s="52"/>
    </row>
    <row r="27">
      <c r="A27" s="52">
        <f>IFERROR(__xludf.DUMMYFUNCTION("""COMPUTED_VALUE"""),2.06241981E8)</f>
        <v>206241981</v>
      </c>
      <c r="B27" s="52" t="str">
        <f>IFERROR(__xludf.DUMMYFUNCTION("""COMPUTED_VALUE"""),"AHMAD ATKONI - 3566/APP/HRD/PKWT/VI/2024")</f>
        <v>AHMAD ATKONI - 3566/APP/HRD/PKWT/VI/2024</v>
      </c>
      <c r="C27" s="52">
        <f>IFERROR(__xludf.DUMMYFUNCTION("""COMPUTED_VALUE"""),0.0)</f>
        <v>0</v>
      </c>
      <c r="D27" s="52"/>
      <c r="E27" s="52" t="str">
        <f>IFERROR(__xludf.DUMMYFUNCTION("""COMPUTED_VALUE"""),"CV. Adil Prima Perkasa")</f>
        <v>CV. Adil Prima Perkasa</v>
      </c>
      <c r="F27" s="52" t="str">
        <f>IFERROR(__xludf.DUMMYFUNCTION("""COMPUTED_VALUE"""),"FALSE")</f>
        <v>FALSE</v>
      </c>
      <c r="G27" s="52" t="str">
        <f>IFERROR(__xludf.DUMMYFUNCTION("""COMPUTED_VALUE"""),"KENDARAAN &amp; UNIT SUPPORT")</f>
        <v>KENDARAAN &amp; UNIT SUPPORT</v>
      </c>
      <c r="H27" s="52" t="str">
        <f>IFERROR(__xludf.DUMMYFUNCTION("""COMPUTED_VALUE"""),"FALSE")</f>
        <v>FALSE</v>
      </c>
      <c r="I27" s="52"/>
      <c r="J27" s="53" t="str">
        <f>IFERROR(__xludf.DUMMYFUNCTION("""COMPUTED_VALUE"""),"[206241981] AHMAD ATKONI - 3566/APP/HRD/PKWT/VI/2024")</f>
        <v>[206241981] AHMAD ATKONI - 3566/APP/HRD/PKWT/VI/2024</v>
      </c>
      <c r="K27" s="52"/>
      <c r="L27" s="52" t="str">
        <f t="shared" si="1"/>
        <v>#VALUE!</v>
      </c>
      <c r="M27" s="52"/>
      <c r="N27" s="52"/>
      <c r="O27" s="52"/>
      <c r="P27" s="52"/>
      <c r="Q27" s="52"/>
      <c r="R27" s="52"/>
      <c r="S27" s="52"/>
      <c r="T27" s="52"/>
      <c r="U27" s="52"/>
      <c r="V27" s="52"/>
      <c r="W27" s="52"/>
      <c r="X27" s="52"/>
      <c r="Y27" s="52"/>
      <c r="Z27" s="52"/>
    </row>
    <row r="28">
      <c r="A28" s="52">
        <f>IFERROR(__xludf.DUMMYFUNCTION("""COMPUTED_VALUE"""),1.02150022E8)</f>
        <v>102150022</v>
      </c>
      <c r="B28" s="52" t="str">
        <f>IFERROR(__xludf.DUMMYFUNCTION("""COMPUTED_VALUE"""),"AHMAD SERANG")</f>
        <v>AHMAD SERANG</v>
      </c>
      <c r="C28" s="52">
        <f>IFERROR(__xludf.DUMMYFUNCTION("""COMPUTED_VALUE"""),36.0)</f>
        <v>36</v>
      </c>
      <c r="D28" s="52" t="str">
        <f>IFERROR(__xludf.DUMMYFUNCTION("""COMPUTED_VALUE"""),"Islam")</f>
        <v>Islam</v>
      </c>
      <c r="E28" s="52" t="str">
        <f>IFERROR(__xludf.DUMMYFUNCTION("""COMPUTED_VALUE"""),"CV. SENTOSA ABADI")</f>
        <v>CV. SENTOSA ABADI</v>
      </c>
      <c r="F28" s="52" t="str">
        <f>IFERROR(__xludf.DUMMYFUNCTION("""COMPUTED_VALUE"""),"OPERATOR EXCAVATOR")</f>
        <v>OPERATOR EXCAVATOR</v>
      </c>
      <c r="G28" s="52" t="str">
        <f>IFERROR(__xludf.DUMMYFUNCTION("""COMPUTED_VALUE"""),"PRODUKSI")</f>
        <v>PRODUKSI</v>
      </c>
      <c r="H28" s="52" t="str">
        <f>IFERROR(__xludf.DUMMYFUNCTION("""COMPUTED_VALUE"""),"[0102130003] PURNAWAN")</f>
        <v>[0102130003] PURNAWAN</v>
      </c>
      <c r="I28" s="55">
        <f>IFERROR(__xludf.DUMMYFUNCTION("""COMPUTED_VALUE"""),34060.0)</f>
        <v>34060</v>
      </c>
      <c r="J28" s="53" t="str">
        <f>IFERROR(__xludf.DUMMYFUNCTION("""COMPUTED_VALUE"""),"[102150022] AHMAD SERANG")</f>
        <v>[102150022] AHMAD SERANG</v>
      </c>
      <c r="K28" s="52"/>
      <c r="L28" s="52" t="str">
        <f t="shared" si="1"/>
        <v>#VALUE!</v>
      </c>
      <c r="M28" s="52"/>
      <c r="N28" s="52"/>
      <c r="O28" s="52"/>
      <c r="P28" s="52"/>
      <c r="Q28" s="52"/>
      <c r="R28" s="52"/>
      <c r="S28" s="52"/>
      <c r="T28" s="52"/>
      <c r="U28" s="52"/>
      <c r="V28" s="52"/>
      <c r="W28" s="52"/>
      <c r="X28" s="52"/>
      <c r="Y28" s="52"/>
      <c r="Z28" s="52"/>
    </row>
    <row r="29">
      <c r="A29" s="52">
        <f>IFERROR(__xludf.DUMMYFUNCTION("""COMPUTED_VALUE"""),2.11211542E8)</f>
        <v>211211542</v>
      </c>
      <c r="B29" s="52" t="str">
        <f>IFERROR(__xludf.DUMMYFUNCTION("""COMPUTED_VALUE"""),"AIDIL L. SARANANI")</f>
        <v>AIDIL L. SARANANI</v>
      </c>
      <c r="C29" s="52">
        <f>IFERROR(__xludf.DUMMYFUNCTION("""COMPUTED_VALUE"""),41.0)</f>
        <v>41</v>
      </c>
      <c r="D29" s="52" t="str">
        <f>IFERROR(__xludf.DUMMYFUNCTION("""COMPUTED_VALUE"""),"Islam")</f>
        <v>Islam</v>
      </c>
      <c r="E29" s="52" t="str">
        <f>IFERROR(__xludf.DUMMYFUNCTION("""COMPUTED_VALUE"""),"CV. Adil Prima Perkasa")</f>
        <v>CV. Adil Prima Perkasa</v>
      </c>
      <c r="F29" s="52" t="str">
        <f>IFERROR(__xludf.DUMMYFUNCTION("""COMPUTED_VALUE"""),"DRIVER DT H700ZY")</f>
        <v>DRIVER DT H700ZY</v>
      </c>
      <c r="G29" s="52" t="str">
        <f>IFERROR(__xludf.DUMMYFUNCTION("""COMPUTED_VALUE"""),"KENDARAAN &amp; UNIT SUPPORT")</f>
        <v>KENDARAAN &amp; UNIT SUPPORT</v>
      </c>
      <c r="H29" s="52" t="str">
        <f>IFERROR(__xludf.DUMMYFUNCTION("""COMPUTED_VALUE"""),"[0102150004] NAFTALI RARE'A, ST")</f>
        <v>[0102150004] NAFTALI RARE'A, ST</v>
      </c>
      <c r="I29" s="55">
        <f>IFERROR(__xludf.DUMMYFUNCTION("""COMPUTED_VALUE"""),30380.0)</f>
        <v>30380</v>
      </c>
      <c r="J29" s="53" t="str">
        <f>IFERROR(__xludf.DUMMYFUNCTION("""COMPUTED_VALUE"""),"[211211542] AIDIL L. SARANANI")</f>
        <v>[211211542] AIDIL L. SARANANI</v>
      </c>
      <c r="K29" s="52"/>
      <c r="L29" s="52" t="str">
        <f t="shared" si="1"/>
        <v>#VALUE!</v>
      </c>
      <c r="M29" s="52"/>
      <c r="N29" s="52"/>
      <c r="O29" s="52"/>
      <c r="P29" s="52"/>
      <c r="Q29" s="52"/>
      <c r="R29" s="52"/>
      <c r="S29" s="52"/>
      <c r="T29" s="52"/>
      <c r="U29" s="52"/>
      <c r="V29" s="52"/>
      <c r="W29" s="52"/>
      <c r="X29" s="52"/>
      <c r="Y29" s="52"/>
      <c r="Z29" s="52"/>
    </row>
    <row r="30">
      <c r="A30" s="52">
        <f>IFERROR(__xludf.DUMMYFUNCTION("""COMPUTED_VALUE"""),1.101911E8)</f>
        <v>110191100</v>
      </c>
      <c r="B30" s="52" t="str">
        <f>IFERROR(__xludf.DUMMYFUNCTION("""COMPUTED_VALUE"""),"AKMAL")</f>
        <v>AKMAL</v>
      </c>
      <c r="C30" s="52">
        <f>IFERROR(__xludf.DUMMYFUNCTION("""COMPUTED_VALUE"""),41.0)</f>
        <v>41</v>
      </c>
      <c r="D30" s="52" t="str">
        <f>IFERROR(__xludf.DUMMYFUNCTION("""COMPUTED_VALUE"""),"Islam")</f>
        <v>Islam</v>
      </c>
      <c r="E30" s="52" t="str">
        <f>IFERROR(__xludf.DUMMYFUNCTION("""COMPUTED_VALUE"""),"CV. SENTOSA ABADI")</f>
        <v>CV. SENTOSA ABADI</v>
      </c>
      <c r="F30" s="52" t="str">
        <f>IFERROR(__xludf.DUMMYFUNCTION("""COMPUTED_VALUE"""),"DRIVER DT H700ZY")</f>
        <v>DRIVER DT H700ZY</v>
      </c>
      <c r="G30" s="52" t="str">
        <f>IFERROR(__xludf.DUMMYFUNCTION("""COMPUTED_VALUE"""),"KENDARAAN &amp; UNIT SUPPORT")</f>
        <v>KENDARAAN &amp; UNIT SUPPORT</v>
      </c>
      <c r="H30" s="52" t="str">
        <f>IFERROR(__xludf.DUMMYFUNCTION("""COMPUTED_VALUE"""),"[0102150004] NAFTALI RARE'A, ST")</f>
        <v>[0102150004] NAFTALI RARE'A, ST</v>
      </c>
      <c r="I30" s="55">
        <f>IFERROR(__xludf.DUMMYFUNCTION("""COMPUTED_VALUE"""),30744.0)</f>
        <v>30744</v>
      </c>
      <c r="J30" s="53" t="str">
        <f>IFERROR(__xludf.DUMMYFUNCTION("""COMPUTED_VALUE"""),"[110191100] AKMAL")</f>
        <v>[110191100] AKMAL</v>
      </c>
      <c r="K30" s="52"/>
      <c r="L30" s="52" t="str">
        <f t="shared" si="1"/>
        <v>#VALUE!</v>
      </c>
      <c r="M30" s="52"/>
      <c r="N30" s="52"/>
      <c r="O30" s="52"/>
      <c r="P30" s="52"/>
      <c r="Q30" s="52"/>
      <c r="R30" s="52"/>
      <c r="S30" s="52"/>
      <c r="T30" s="52"/>
      <c r="U30" s="52"/>
      <c r="V30" s="52"/>
      <c r="W30" s="52"/>
      <c r="X30" s="52"/>
      <c r="Y30" s="52"/>
      <c r="Z30" s="52"/>
    </row>
    <row r="31">
      <c r="A31" s="52">
        <f>IFERROR(__xludf.DUMMYFUNCTION("""COMPUTED_VALUE"""),2.05241933E8)</f>
        <v>205241933</v>
      </c>
      <c r="B31" s="52" t="str">
        <f>IFERROR(__xludf.DUMMYFUNCTION("""COMPUTED_VALUE"""),"AKMAL ENHAS")</f>
        <v>AKMAL ENHAS</v>
      </c>
      <c r="C31" s="52">
        <f>IFERROR(__xludf.DUMMYFUNCTION("""COMPUTED_VALUE"""),0.0)</f>
        <v>0</v>
      </c>
      <c r="D31" s="52"/>
      <c r="E31" s="52" t="str">
        <f>IFERROR(__xludf.DUMMYFUNCTION("""COMPUTED_VALUE"""),"CV. Adil Prima Perkasa")</f>
        <v>CV. Adil Prima Perkasa</v>
      </c>
      <c r="F31" s="52" t="str">
        <f>IFERROR(__xludf.DUMMYFUNCTION("""COMPUTED_VALUE"""),"DRIVER LV")</f>
        <v>DRIVER LV</v>
      </c>
      <c r="G31" s="52" t="str">
        <f>IFERROR(__xludf.DUMMYFUNCTION("""COMPUTED_VALUE"""),"KENDARAAN &amp; UNIT SUPPORT")</f>
        <v>KENDARAAN &amp; UNIT SUPPORT</v>
      </c>
      <c r="H31" s="52" t="str">
        <f>IFERROR(__xludf.DUMMYFUNCTION("""COMPUTED_VALUE"""),"[0102150004] NAFTALI RARE'A, ST")</f>
        <v>[0102150004] NAFTALI RARE'A, ST</v>
      </c>
      <c r="I31" s="52"/>
      <c r="J31" s="53" t="str">
        <f>IFERROR(__xludf.DUMMYFUNCTION("""COMPUTED_VALUE"""),"[205241933] AKMAL ENHAS")</f>
        <v>[205241933] AKMAL ENHAS</v>
      </c>
      <c r="K31" s="52"/>
      <c r="L31" s="52" t="str">
        <f t="shared" si="1"/>
        <v>#VALUE!</v>
      </c>
      <c r="M31" s="52"/>
      <c r="N31" s="52"/>
      <c r="O31" s="52"/>
      <c r="P31" s="52"/>
      <c r="Q31" s="52"/>
      <c r="R31" s="52"/>
      <c r="S31" s="52"/>
      <c r="T31" s="52"/>
      <c r="U31" s="52"/>
      <c r="V31" s="52"/>
      <c r="W31" s="52"/>
      <c r="X31" s="52"/>
      <c r="Y31" s="52"/>
      <c r="Z31" s="52"/>
    </row>
    <row r="32">
      <c r="A32" s="52">
        <f>IFERROR(__xludf.DUMMYFUNCTION("""COMPUTED_VALUE"""),1.12231862E8)</f>
        <v>112231862</v>
      </c>
      <c r="B32" s="52" t="str">
        <f>IFERROR(__xludf.DUMMYFUNCTION("""COMPUTED_VALUE"""),"ALAM")</f>
        <v>ALAM</v>
      </c>
      <c r="C32" s="52">
        <f>IFERROR(__xludf.DUMMYFUNCTION("""COMPUTED_VALUE"""),0.0)</f>
        <v>0</v>
      </c>
      <c r="D32" s="52"/>
      <c r="E32" s="52" t="str">
        <f>IFERROR(__xludf.DUMMYFUNCTION("""COMPUTED_VALUE"""),"CV. SENTOSA ABADI")</f>
        <v>CV. SENTOSA ABADI</v>
      </c>
      <c r="F32" s="52" t="str">
        <f>IFERROR(__xludf.DUMMYFUNCTION("""COMPUTED_VALUE"""),"DRIVER DT H500")</f>
        <v>DRIVER DT H500</v>
      </c>
      <c r="G32" s="52" t="str">
        <f>IFERROR(__xludf.DUMMYFUNCTION("""COMPUTED_VALUE"""),"KENDARAAN &amp; UNIT SUPPORT")</f>
        <v>KENDARAAN &amp; UNIT SUPPORT</v>
      </c>
      <c r="H32" s="52" t="str">
        <f>IFERROR(__xludf.DUMMYFUNCTION("""COMPUTED_VALUE"""),"[0102150004] NAFTALI RARE'A, ST")</f>
        <v>[0102150004] NAFTALI RARE'A, ST</v>
      </c>
      <c r="I32" s="52"/>
      <c r="J32" s="53" t="str">
        <f>IFERROR(__xludf.DUMMYFUNCTION("""COMPUTED_VALUE"""),"[112231862] ALAM")</f>
        <v>[112231862] ALAM</v>
      </c>
      <c r="K32" s="52"/>
      <c r="L32" s="52" t="str">
        <f t="shared" si="1"/>
        <v>#VALUE!</v>
      </c>
      <c r="M32" s="52"/>
      <c r="N32" s="52"/>
      <c r="O32" s="52"/>
      <c r="P32" s="52"/>
      <c r="Q32" s="52"/>
      <c r="R32" s="52"/>
      <c r="S32" s="52"/>
      <c r="T32" s="52"/>
      <c r="U32" s="52"/>
      <c r="V32" s="52"/>
      <c r="W32" s="52"/>
      <c r="X32" s="52"/>
      <c r="Y32" s="52"/>
      <c r="Z32" s="52"/>
    </row>
    <row r="33">
      <c r="A33" s="52">
        <f>IFERROR(__xludf.DUMMYFUNCTION("""COMPUTED_VALUE"""),2.03221605E8)</f>
        <v>203221605</v>
      </c>
      <c r="B33" s="52" t="str">
        <f>IFERROR(__xludf.DUMMYFUNCTION("""COMPUTED_VALUE"""),"ALBERT PALABURU")</f>
        <v>ALBERT PALABURU</v>
      </c>
      <c r="C33" s="52">
        <f>IFERROR(__xludf.DUMMYFUNCTION("""COMPUTED_VALUE"""),46.0)</f>
        <v>46</v>
      </c>
      <c r="D33" s="52" t="str">
        <f>IFERROR(__xludf.DUMMYFUNCTION("""COMPUTED_VALUE"""),"Kristen Khatolik")</f>
        <v>Kristen Khatolik</v>
      </c>
      <c r="E33" s="52" t="str">
        <f>IFERROR(__xludf.DUMMYFUNCTION("""COMPUTED_VALUE"""),"CV. Adil Prima Perkasa")</f>
        <v>CV. Adil Prima Perkasa</v>
      </c>
      <c r="F33" s="52" t="str">
        <f>IFERROR(__xludf.DUMMYFUNCTION("""COMPUTED_VALUE"""),"DRIVER DT H700ZY")</f>
        <v>DRIVER DT H700ZY</v>
      </c>
      <c r="G33" s="52" t="str">
        <f>IFERROR(__xludf.DUMMYFUNCTION("""COMPUTED_VALUE"""),"KENDARAAN &amp; UNIT SUPPORT")</f>
        <v>KENDARAAN &amp; UNIT SUPPORT</v>
      </c>
      <c r="H33" s="52" t="str">
        <f>IFERROR(__xludf.DUMMYFUNCTION("""COMPUTED_VALUE"""),"[0102150004] NAFTALI RARE'A, ST")</f>
        <v>[0102150004] NAFTALI RARE'A, ST</v>
      </c>
      <c r="I33" s="55">
        <f>IFERROR(__xludf.DUMMYFUNCTION("""COMPUTED_VALUE"""),29983.0)</f>
        <v>29983</v>
      </c>
      <c r="J33" s="53" t="str">
        <f>IFERROR(__xludf.DUMMYFUNCTION("""COMPUTED_VALUE"""),"[203221605] ALBERT PALABURU")</f>
        <v>[203221605] ALBERT PALABURU</v>
      </c>
      <c r="K33" s="52"/>
      <c r="L33" s="52" t="str">
        <f t="shared" si="1"/>
        <v>#VALUE!</v>
      </c>
      <c r="M33" s="52"/>
      <c r="N33" s="52"/>
      <c r="O33" s="52"/>
      <c r="P33" s="52"/>
      <c r="Q33" s="52"/>
      <c r="R33" s="52"/>
      <c r="S33" s="52"/>
      <c r="T33" s="52"/>
      <c r="U33" s="52"/>
      <c r="V33" s="52"/>
      <c r="W33" s="52"/>
      <c r="X33" s="52"/>
      <c r="Y33" s="52"/>
      <c r="Z33" s="52"/>
    </row>
    <row r="34">
      <c r="A34" s="52"/>
      <c r="B34" s="52" t="str">
        <f>IFERROR(__xludf.DUMMYFUNCTION("""COMPUTED_VALUE"""),"ALBERTUS KAPONG")</f>
        <v>ALBERTUS KAPONG</v>
      </c>
      <c r="C34" s="52">
        <f>IFERROR(__xludf.DUMMYFUNCTION("""COMPUTED_VALUE"""),0.0)</f>
        <v>0</v>
      </c>
      <c r="D34" s="52"/>
      <c r="E34" s="52" t="str">
        <f>IFERROR(__xludf.DUMMYFUNCTION("""COMPUTED_VALUE"""),"CV. Adil Prima Perkasa")</f>
        <v>CV. Adil Prima Perkasa</v>
      </c>
      <c r="F34" s="52" t="str">
        <f>IFERROR(__xludf.DUMMYFUNCTION("""COMPUTED_VALUE"""),"FALSE")</f>
        <v>FALSE</v>
      </c>
      <c r="G34" s="52" t="str">
        <f>IFERROR(__xludf.DUMMYFUNCTION("""COMPUTED_VALUE"""),"FINANCE")</f>
        <v>FINANCE</v>
      </c>
      <c r="H34" s="52" t="str">
        <f>IFERROR(__xludf.DUMMYFUNCTION("""COMPUTED_VALUE"""),"FALSE")</f>
        <v>FALSE</v>
      </c>
      <c r="I34" s="52"/>
      <c r="J34" s="53" t="str">
        <f>IFERROR(__xludf.DUMMYFUNCTION("""COMPUTED_VALUE"""),"[] ALBERTUS KAPONG")</f>
        <v>[] ALBERTUS KAPONG</v>
      </c>
      <c r="K34" s="52"/>
      <c r="L34" s="52" t="str">
        <f t="shared" si="1"/>
        <v>#VALUE!</v>
      </c>
      <c r="M34" s="52"/>
      <c r="N34" s="52"/>
      <c r="O34" s="52"/>
      <c r="P34" s="52"/>
      <c r="Q34" s="52"/>
      <c r="R34" s="52"/>
      <c r="S34" s="52"/>
      <c r="T34" s="52"/>
      <c r="U34" s="52"/>
      <c r="V34" s="52"/>
      <c r="W34" s="52"/>
      <c r="X34" s="52"/>
      <c r="Y34" s="52"/>
      <c r="Z34" s="52"/>
    </row>
    <row r="35">
      <c r="A35" s="52">
        <f>IFERROR(__xludf.DUMMYFUNCTION("""COMPUTED_VALUE"""),2.03241894E8)</f>
        <v>203241894</v>
      </c>
      <c r="B35" s="52" t="str">
        <f>IFERROR(__xludf.DUMMYFUNCTION("""COMPUTED_VALUE"""),"ALDY JIBRIEL PANE")</f>
        <v>ALDY JIBRIEL PANE</v>
      </c>
      <c r="C35" s="52">
        <f>IFERROR(__xludf.DUMMYFUNCTION("""COMPUTED_VALUE"""),0.0)</f>
        <v>0</v>
      </c>
      <c r="D35" s="52"/>
      <c r="E35" s="52" t="str">
        <f>IFERROR(__xludf.DUMMYFUNCTION("""COMPUTED_VALUE"""),"CV. Adil Prima Perkasa")</f>
        <v>CV. Adil Prima Perkasa</v>
      </c>
      <c r="F35" s="52" t="str">
        <f>IFERROR(__xludf.DUMMYFUNCTION("""COMPUTED_VALUE"""),"CREW SURVEY")</f>
        <v>CREW SURVEY</v>
      </c>
      <c r="G35" s="52" t="str">
        <f>IFERROR(__xludf.DUMMYFUNCTION("""COMPUTED_VALUE"""),"MPE")</f>
        <v>MPE</v>
      </c>
      <c r="H35" s="52" t="str">
        <f>IFERROR(__xludf.DUMMYFUNCTION("""COMPUTED_VALUE"""),"[0102150007] EKY SIDIK PRATAMA, ST")</f>
        <v>[0102150007] EKY SIDIK PRATAMA, ST</v>
      </c>
      <c r="I35" s="52"/>
      <c r="J35" s="53" t="str">
        <f>IFERROR(__xludf.DUMMYFUNCTION("""COMPUTED_VALUE"""),"[203241894] ALDY JIBRIEL PANE")</f>
        <v>[203241894] ALDY JIBRIEL PANE</v>
      </c>
      <c r="K35" s="52"/>
      <c r="L35" s="52" t="str">
        <f t="shared" si="1"/>
        <v>#VALUE!</v>
      </c>
      <c r="M35" s="52"/>
      <c r="N35" s="52"/>
      <c r="O35" s="52"/>
      <c r="P35" s="52"/>
      <c r="Q35" s="52"/>
      <c r="R35" s="52"/>
      <c r="S35" s="52"/>
      <c r="T35" s="52"/>
      <c r="U35" s="52"/>
      <c r="V35" s="52"/>
      <c r="W35" s="52"/>
      <c r="X35" s="52"/>
      <c r="Y35" s="52"/>
      <c r="Z35" s="52"/>
    </row>
    <row r="36">
      <c r="A36" s="52">
        <f>IFERROR(__xludf.DUMMYFUNCTION("""COMPUTED_VALUE"""),2.02221583E8)</f>
        <v>202221583</v>
      </c>
      <c r="B36" s="52" t="str">
        <f>IFERROR(__xludf.DUMMYFUNCTION("""COMPUTED_VALUE"""),"ALFI SAHRIN")</f>
        <v>ALFI SAHRIN</v>
      </c>
      <c r="C36" s="52">
        <f>IFERROR(__xludf.DUMMYFUNCTION("""COMPUTED_VALUE"""),22.0)</f>
        <v>22</v>
      </c>
      <c r="D36" s="52" t="str">
        <f>IFERROR(__xludf.DUMMYFUNCTION("""COMPUTED_VALUE"""),"Islam")</f>
        <v>Islam</v>
      </c>
      <c r="E36" s="52" t="str">
        <f>IFERROR(__xludf.DUMMYFUNCTION("""COMPUTED_VALUE"""),"CV. Adil Prima Perkasa")</f>
        <v>CV. Adil Prima Perkasa</v>
      </c>
      <c r="F36" s="52" t="str">
        <f>IFERROR(__xludf.DUMMYFUNCTION("""COMPUTED_VALUE"""),"BAGIAN UMUM")</f>
        <v>BAGIAN UMUM</v>
      </c>
      <c r="G36" s="52" t="str">
        <f>IFERROR(__xludf.DUMMYFUNCTION("""COMPUTED_VALUE"""),"HRD &amp; GA")</f>
        <v>HRD &amp; GA</v>
      </c>
      <c r="H36" s="52" t="str">
        <f>IFERROR(__xludf.DUMMYFUNCTION("""COMPUTED_VALUE"""),"[0103231738] MARYA SUSAN SIMBANGU")</f>
        <v>[0103231738] MARYA SUSAN SIMBANGU</v>
      </c>
      <c r="I36" s="52"/>
      <c r="J36" s="53" t="str">
        <f>IFERROR(__xludf.DUMMYFUNCTION("""COMPUTED_VALUE"""),"[202221583] ALFI SAHRIN")</f>
        <v>[202221583] ALFI SAHRIN</v>
      </c>
      <c r="K36" s="52"/>
      <c r="L36" s="52" t="str">
        <f t="shared" si="1"/>
        <v>#VALUE!</v>
      </c>
      <c r="M36" s="52"/>
      <c r="N36" s="52"/>
      <c r="O36" s="52"/>
      <c r="P36" s="52"/>
      <c r="Q36" s="52"/>
      <c r="R36" s="52"/>
      <c r="S36" s="52"/>
      <c r="T36" s="52"/>
      <c r="U36" s="52"/>
      <c r="V36" s="52"/>
      <c r="W36" s="52"/>
      <c r="X36" s="52"/>
      <c r="Y36" s="52"/>
      <c r="Z36" s="52"/>
    </row>
    <row r="37">
      <c r="A37" s="52">
        <f>IFERROR(__xludf.DUMMYFUNCTION("""COMPUTED_VALUE"""),2.07211444E8)</f>
        <v>207211444</v>
      </c>
      <c r="B37" s="52" t="str">
        <f>IFERROR(__xludf.DUMMYFUNCTION("""COMPUTED_VALUE"""),"ALFRENDI LEONARD TANGGI")</f>
        <v>ALFRENDI LEONARD TANGGI</v>
      </c>
      <c r="C37" s="52">
        <f>IFERROR(__xludf.DUMMYFUNCTION("""COMPUTED_VALUE"""),24.0)</f>
        <v>24</v>
      </c>
      <c r="D37" s="52" t="str">
        <f>IFERROR(__xludf.DUMMYFUNCTION("""COMPUTED_VALUE"""),"Kristen Protestan")</f>
        <v>Kristen Protestan</v>
      </c>
      <c r="E37" s="52" t="str">
        <f>IFERROR(__xludf.DUMMYFUNCTION("""COMPUTED_VALUE"""),"CV. Adil Prima Perkasa")</f>
        <v>CV. Adil Prima Perkasa</v>
      </c>
      <c r="F37" s="52" t="str">
        <f>IFERROR(__xludf.DUMMYFUNCTION("""COMPUTED_VALUE"""),"WASHING MAN")</f>
        <v>WASHING MAN</v>
      </c>
      <c r="G37" s="52" t="str">
        <f>IFERROR(__xludf.DUMMYFUNCTION("""COMPUTED_VALUE"""),"WORKSHOP")</f>
        <v>WORKSHOP</v>
      </c>
      <c r="H37" s="52" t="str">
        <f>IFERROR(__xludf.DUMMYFUNCTION("""COMPUTED_VALUE"""),"[0106190928] NATAN KONDO")</f>
        <v>[0106190928] NATAN KONDO</v>
      </c>
      <c r="I37" s="52"/>
      <c r="J37" s="53" t="str">
        <f>IFERROR(__xludf.DUMMYFUNCTION("""COMPUTED_VALUE"""),"[207211444] ALFRENDI LEONARD TANGGI")</f>
        <v>[207211444] ALFRENDI LEONARD TANGGI</v>
      </c>
      <c r="K37" s="52"/>
      <c r="L37" s="52" t="str">
        <f t="shared" si="1"/>
        <v>#VALUE!</v>
      </c>
      <c r="M37" s="52"/>
      <c r="N37" s="52"/>
      <c r="O37" s="52"/>
      <c r="P37" s="52"/>
      <c r="Q37" s="52"/>
      <c r="R37" s="52"/>
      <c r="S37" s="52"/>
      <c r="T37" s="52"/>
      <c r="U37" s="52"/>
      <c r="V37" s="52"/>
      <c r="W37" s="52"/>
      <c r="X37" s="52"/>
      <c r="Y37" s="52"/>
      <c r="Z37" s="52"/>
    </row>
    <row r="38">
      <c r="A38" s="52">
        <f>IFERROR(__xludf.DUMMYFUNCTION("""COMPUTED_VALUE"""),2.06189004E8)</f>
        <v>206189004</v>
      </c>
      <c r="B38" s="52" t="str">
        <f>IFERROR(__xludf.DUMMYFUNCTION("""COMPUTED_VALUE"""),"ALFRETH ALVIAN TIAKI")</f>
        <v>ALFRETH ALVIAN TIAKI</v>
      </c>
      <c r="C38" s="52">
        <f>IFERROR(__xludf.DUMMYFUNCTION("""COMPUTED_VALUE"""),0.0)</f>
        <v>0</v>
      </c>
      <c r="D38" s="52"/>
      <c r="E38" s="52" t="str">
        <f>IFERROR(__xludf.DUMMYFUNCTION("""COMPUTED_VALUE"""),"CV. Adil Prima Perkasa")</f>
        <v>CV. Adil Prima Perkasa</v>
      </c>
      <c r="F38" s="52" t="str">
        <f>IFERROR(__xludf.DUMMYFUNCTION("""COMPUTED_VALUE"""),"FALSE")</f>
        <v>FALSE</v>
      </c>
      <c r="G38" s="52" t="str">
        <f>IFERROR(__xludf.DUMMYFUNCTION("""COMPUTED_VALUE"""),"FINANCE")</f>
        <v>FINANCE</v>
      </c>
      <c r="H38" s="52" t="str">
        <f>IFERROR(__xludf.DUMMYFUNCTION("""COMPUTED_VALUE"""),"[0101199001] Monita Febyanti")</f>
        <v>[0101199001] Monita Febyanti</v>
      </c>
      <c r="I38" s="52"/>
      <c r="J38" s="53" t="str">
        <f>IFERROR(__xludf.DUMMYFUNCTION("""COMPUTED_VALUE"""),"[206189004] ALFRETH ALVIAN TIAKI")</f>
        <v>[206189004] ALFRETH ALVIAN TIAKI</v>
      </c>
      <c r="K38" s="52"/>
      <c r="L38" s="52" t="str">
        <f t="shared" si="1"/>
        <v>#VALUE!</v>
      </c>
      <c r="M38" s="52"/>
      <c r="N38" s="52"/>
      <c r="O38" s="52"/>
      <c r="P38" s="52"/>
      <c r="Q38" s="52"/>
      <c r="R38" s="52"/>
      <c r="S38" s="52"/>
      <c r="T38" s="52"/>
      <c r="U38" s="52"/>
      <c r="V38" s="52"/>
      <c r="W38" s="52"/>
      <c r="X38" s="52"/>
      <c r="Y38" s="52"/>
      <c r="Z38" s="52"/>
    </row>
    <row r="39">
      <c r="A39" s="52">
        <f>IFERROR(__xludf.DUMMYFUNCTION("""COMPUTED_VALUE"""),1.03180405E8)</f>
        <v>103180405</v>
      </c>
      <c r="B39" s="52" t="str">
        <f>IFERROR(__xludf.DUMMYFUNCTION("""COMPUTED_VALUE"""),"ALKHISER M. LUMIMPUO")</f>
        <v>ALKHISER M. LUMIMPUO</v>
      </c>
      <c r="C39" s="52">
        <f>IFERROR(__xludf.DUMMYFUNCTION("""COMPUTED_VALUE"""),48.0)</f>
        <v>48</v>
      </c>
      <c r="D39" s="52" t="str">
        <f>IFERROR(__xludf.DUMMYFUNCTION("""COMPUTED_VALUE"""),"Kristen Protestan")</f>
        <v>Kristen Protestan</v>
      </c>
      <c r="E39" s="52" t="str">
        <f>IFERROR(__xludf.DUMMYFUNCTION("""COMPUTED_VALUE"""),"CV. SENTOSA ABADI")</f>
        <v>CV. SENTOSA ABADI</v>
      </c>
      <c r="F39" s="52" t="str">
        <f>IFERROR(__xludf.DUMMYFUNCTION("""COMPUTED_VALUE"""),"FOREMAN KENDARAAN")</f>
        <v>FOREMAN KENDARAAN</v>
      </c>
      <c r="G39" s="52" t="str">
        <f>IFERROR(__xludf.DUMMYFUNCTION("""COMPUTED_VALUE"""),"KENDARAAN &amp; UNIT SUPPORT")</f>
        <v>KENDARAAN &amp; UNIT SUPPORT</v>
      </c>
      <c r="H39" s="52" t="str">
        <f>IFERROR(__xludf.DUMMYFUNCTION("""COMPUTED_VALUE"""),"[0102150004] NAFTALI RARE'A, ST")</f>
        <v>[0102150004] NAFTALI RARE'A, ST</v>
      </c>
      <c r="I39" s="55">
        <f>IFERROR(__xludf.DUMMYFUNCTION("""COMPUTED_VALUE"""),27424.0)</f>
        <v>27424</v>
      </c>
      <c r="J39" s="53" t="str">
        <f>IFERROR(__xludf.DUMMYFUNCTION("""COMPUTED_VALUE"""),"[103180405] ALKHISER M. LUMIMPUO")</f>
        <v>[103180405] ALKHISER M. LUMIMPUO</v>
      </c>
      <c r="K39" s="52"/>
      <c r="L39" s="52" t="str">
        <f t="shared" si="1"/>
        <v>#VALUE!</v>
      </c>
      <c r="M39" s="52"/>
      <c r="N39" s="52"/>
      <c r="O39" s="52"/>
      <c r="P39" s="52"/>
      <c r="Q39" s="52"/>
      <c r="R39" s="52"/>
      <c r="S39" s="52"/>
      <c r="T39" s="52"/>
      <c r="U39" s="52"/>
      <c r="V39" s="52"/>
      <c r="W39" s="52"/>
      <c r="X39" s="52"/>
      <c r="Y39" s="52"/>
      <c r="Z39" s="52"/>
    </row>
    <row r="40">
      <c r="A40" s="52">
        <f>IFERROR(__xludf.DUMMYFUNCTION("""COMPUTED_VALUE"""),2.02211339E8)</f>
        <v>202211339</v>
      </c>
      <c r="B40" s="52" t="str">
        <f>IFERROR(__xludf.DUMMYFUNCTION("""COMPUTED_VALUE"""),"ALVIANUS DUMA'")</f>
        <v>ALVIANUS DUMA'</v>
      </c>
      <c r="C40" s="52">
        <f>IFERROR(__xludf.DUMMYFUNCTION("""COMPUTED_VALUE"""),27.0)</f>
        <v>27</v>
      </c>
      <c r="D40" s="52" t="str">
        <f>IFERROR(__xludf.DUMMYFUNCTION("""COMPUTED_VALUE"""),"Kristen Khatolik")</f>
        <v>Kristen Khatolik</v>
      </c>
      <c r="E40" s="52" t="str">
        <f>IFERROR(__xludf.DUMMYFUNCTION("""COMPUTED_VALUE"""),"CV. Adil Prima Perkasa")</f>
        <v>CV. Adil Prima Perkasa</v>
      </c>
      <c r="F40" s="52" t="str">
        <f>IFERROR(__xludf.DUMMYFUNCTION("""COMPUTED_VALUE"""),"OPERATOR EXCAVATOR")</f>
        <v>OPERATOR EXCAVATOR</v>
      </c>
      <c r="G40" s="52" t="str">
        <f>IFERROR(__xludf.DUMMYFUNCTION("""COMPUTED_VALUE"""),"PRODUKSI")</f>
        <v>PRODUKSI</v>
      </c>
      <c r="H40" s="52" t="str">
        <f>IFERROR(__xludf.DUMMYFUNCTION("""COMPUTED_VALUE"""),"[0102130003] PURNAWAN")</f>
        <v>[0102130003] PURNAWAN</v>
      </c>
      <c r="I40" s="52"/>
      <c r="J40" s="53" t="str">
        <f>IFERROR(__xludf.DUMMYFUNCTION("""COMPUTED_VALUE"""),"[202211339] ALVIANUS DUMA'")</f>
        <v>[202211339] ALVIANUS DUMA'</v>
      </c>
      <c r="K40" s="52"/>
      <c r="L40" s="52" t="str">
        <f t="shared" si="1"/>
        <v>#VALUE!</v>
      </c>
      <c r="M40" s="52"/>
      <c r="N40" s="52"/>
      <c r="O40" s="52"/>
      <c r="P40" s="52"/>
      <c r="Q40" s="52"/>
      <c r="R40" s="52"/>
      <c r="S40" s="52"/>
      <c r="T40" s="52"/>
      <c r="U40" s="52"/>
      <c r="V40" s="52"/>
      <c r="W40" s="52"/>
      <c r="X40" s="52"/>
      <c r="Y40" s="52"/>
      <c r="Z40" s="52"/>
    </row>
    <row r="41">
      <c r="A41" s="52">
        <f>IFERROR(__xludf.DUMMYFUNCTION("""COMPUTED_VALUE"""),2.03190787E8)</f>
        <v>203190787</v>
      </c>
      <c r="B41" s="52" t="str">
        <f>IFERROR(__xludf.DUMMYFUNCTION("""COMPUTED_VALUE"""),"ALYMUDDIN TAMBA")</f>
        <v>ALYMUDDIN TAMBA</v>
      </c>
      <c r="C41" s="52">
        <f>IFERROR(__xludf.DUMMYFUNCTION("""COMPUTED_VALUE"""),43.0)</f>
        <v>43</v>
      </c>
      <c r="D41" s="52" t="str">
        <f>IFERROR(__xludf.DUMMYFUNCTION("""COMPUTED_VALUE"""),"Islam")</f>
        <v>Islam</v>
      </c>
      <c r="E41" s="52" t="str">
        <f>IFERROR(__xludf.DUMMYFUNCTION("""COMPUTED_VALUE"""),"CV. Adil Prima Perkasa")</f>
        <v>CV. Adil Prima Perkasa</v>
      </c>
      <c r="F41" s="52" t="str">
        <f>IFERROR(__xludf.DUMMYFUNCTION("""COMPUTED_VALUE"""),"DRIVER DT H700ZY")</f>
        <v>DRIVER DT H700ZY</v>
      </c>
      <c r="G41" s="52" t="str">
        <f>IFERROR(__xludf.DUMMYFUNCTION("""COMPUTED_VALUE"""),"KENDARAAN &amp; UNIT SUPPORT")</f>
        <v>KENDARAAN &amp; UNIT SUPPORT</v>
      </c>
      <c r="H41" s="52" t="str">
        <f>IFERROR(__xludf.DUMMYFUNCTION("""COMPUTED_VALUE"""),"[0102150004] NAFTALI RARE'A, ST")</f>
        <v>[0102150004] NAFTALI RARE'A, ST</v>
      </c>
      <c r="I41" s="52"/>
      <c r="J41" s="53" t="str">
        <f>IFERROR(__xludf.DUMMYFUNCTION("""COMPUTED_VALUE"""),"[203190787] ALYMUDDIN TAMBA")</f>
        <v>[203190787] ALYMUDDIN TAMBA</v>
      </c>
      <c r="K41" s="52"/>
      <c r="L41" s="52" t="str">
        <f t="shared" si="1"/>
        <v>#VALUE!</v>
      </c>
      <c r="M41" s="52"/>
      <c r="N41" s="52"/>
      <c r="O41" s="52"/>
      <c r="P41" s="52"/>
      <c r="Q41" s="52"/>
      <c r="R41" s="52"/>
      <c r="S41" s="52"/>
      <c r="T41" s="52"/>
      <c r="U41" s="52"/>
      <c r="V41" s="52"/>
      <c r="W41" s="52"/>
      <c r="X41" s="52"/>
      <c r="Y41" s="52"/>
      <c r="Z41" s="52"/>
    </row>
    <row r="42">
      <c r="A42" s="52">
        <f>IFERROR(__xludf.DUMMYFUNCTION("""COMPUTED_VALUE"""),2.0122157E8)</f>
        <v>201221570</v>
      </c>
      <c r="B42" s="52" t="str">
        <f>IFERROR(__xludf.DUMMYFUNCTION("""COMPUTED_VALUE"""),"AMAL RAIS")</f>
        <v>AMAL RAIS</v>
      </c>
      <c r="C42" s="52">
        <f>IFERROR(__xludf.DUMMYFUNCTION("""COMPUTED_VALUE"""),28.0)</f>
        <v>28</v>
      </c>
      <c r="D42" s="52" t="str">
        <f>IFERROR(__xludf.DUMMYFUNCTION("""COMPUTED_VALUE"""),"Islam")</f>
        <v>Islam</v>
      </c>
      <c r="E42" s="52" t="str">
        <f>IFERROR(__xludf.DUMMYFUNCTION("""COMPUTED_VALUE"""),"CV. Adil Prima Perkasa")</f>
        <v>CV. Adil Prima Perkasa</v>
      </c>
      <c r="F42" s="52" t="str">
        <f>IFERROR(__xludf.DUMMYFUNCTION("""COMPUTED_VALUE"""),"DRIVER DT H700ZY")</f>
        <v>DRIVER DT H700ZY</v>
      </c>
      <c r="G42" s="52" t="str">
        <f>IFERROR(__xludf.DUMMYFUNCTION("""COMPUTED_VALUE"""),"KENDARAAN &amp; UNIT SUPPORT")</f>
        <v>KENDARAAN &amp; UNIT SUPPORT</v>
      </c>
      <c r="H42" s="52" t="str">
        <f>IFERROR(__xludf.DUMMYFUNCTION("""COMPUTED_VALUE"""),"[0102150004] NAFTALI RARE'A, ST")</f>
        <v>[0102150004] NAFTALI RARE'A, ST</v>
      </c>
      <c r="I42" s="52"/>
      <c r="J42" s="53" t="str">
        <f>IFERROR(__xludf.DUMMYFUNCTION("""COMPUTED_VALUE"""),"[201221570] AMAL RAIS")</f>
        <v>[201221570] AMAL RAIS</v>
      </c>
      <c r="K42" s="52"/>
      <c r="L42" s="52" t="str">
        <f t="shared" si="1"/>
        <v>#VALUE!</v>
      </c>
      <c r="M42" s="52"/>
      <c r="N42" s="52"/>
      <c r="O42" s="52"/>
      <c r="P42" s="52"/>
      <c r="Q42" s="52"/>
      <c r="R42" s="52"/>
      <c r="S42" s="52"/>
      <c r="T42" s="52"/>
      <c r="U42" s="52"/>
      <c r="V42" s="52"/>
      <c r="W42" s="52"/>
      <c r="X42" s="52"/>
      <c r="Y42" s="52"/>
      <c r="Z42" s="52"/>
    </row>
    <row r="43">
      <c r="A43" s="52">
        <f>IFERROR(__xludf.DUMMYFUNCTION("""COMPUTED_VALUE"""),2.11180653E8)</f>
        <v>211180653</v>
      </c>
      <c r="B43" s="52" t="str">
        <f>IFERROR(__xludf.DUMMYFUNCTION("""COMPUTED_VALUE"""),"AMBO IRI")</f>
        <v>AMBO IRI</v>
      </c>
      <c r="C43" s="52">
        <f>IFERROR(__xludf.DUMMYFUNCTION("""COMPUTED_VALUE"""),52.0)</f>
        <v>52</v>
      </c>
      <c r="D43" s="52" t="str">
        <f>IFERROR(__xludf.DUMMYFUNCTION("""COMPUTED_VALUE"""),"Islam")</f>
        <v>Islam</v>
      </c>
      <c r="E43" s="52" t="str">
        <f>IFERROR(__xludf.DUMMYFUNCTION("""COMPUTED_VALUE"""),"CV. Adil Prima Perkasa")</f>
        <v>CV. Adil Prima Perkasa</v>
      </c>
      <c r="F43" s="52" t="str">
        <f>IFERROR(__xludf.DUMMYFUNCTION("""COMPUTED_VALUE"""),"OPERATOR EXCAVATOR")</f>
        <v>OPERATOR EXCAVATOR</v>
      </c>
      <c r="G43" s="52" t="str">
        <f>IFERROR(__xludf.DUMMYFUNCTION("""COMPUTED_VALUE"""),"PRODUKSI")</f>
        <v>PRODUKSI</v>
      </c>
      <c r="H43" s="52" t="str">
        <f>IFERROR(__xludf.DUMMYFUNCTION("""COMPUTED_VALUE"""),"[0102130003] PURNAWAN")</f>
        <v>[0102130003] PURNAWAN</v>
      </c>
      <c r="I43" s="55">
        <f>IFERROR(__xludf.DUMMYFUNCTION("""COMPUTED_VALUE"""),31031.0)</f>
        <v>31031</v>
      </c>
      <c r="J43" s="53" t="str">
        <f>IFERROR(__xludf.DUMMYFUNCTION("""COMPUTED_VALUE"""),"[211180653] AMBO IRI")</f>
        <v>[211180653] AMBO IRI</v>
      </c>
      <c r="K43" s="52"/>
      <c r="L43" s="52" t="str">
        <f t="shared" si="1"/>
        <v>#VALUE!</v>
      </c>
      <c r="M43" s="52"/>
      <c r="N43" s="52"/>
      <c r="O43" s="52"/>
      <c r="P43" s="52"/>
      <c r="Q43" s="52"/>
      <c r="R43" s="52"/>
      <c r="S43" s="52"/>
      <c r="T43" s="52"/>
      <c r="U43" s="52"/>
      <c r="V43" s="52"/>
      <c r="W43" s="52"/>
      <c r="X43" s="52"/>
      <c r="Y43" s="52"/>
      <c r="Z43" s="52"/>
    </row>
    <row r="44">
      <c r="A44" s="52">
        <f>IFERROR(__xludf.DUMMYFUNCTION("""COMPUTED_VALUE"""),2.05231763E8)</f>
        <v>205231763</v>
      </c>
      <c r="B44" s="52" t="str">
        <f>IFERROR(__xludf.DUMMYFUNCTION("""COMPUTED_VALUE"""),"AMBO ULENG")</f>
        <v>AMBO ULENG</v>
      </c>
      <c r="C44" s="52">
        <f>IFERROR(__xludf.DUMMYFUNCTION("""COMPUTED_VALUE"""),0.0)</f>
        <v>0</v>
      </c>
      <c r="D44" s="52"/>
      <c r="E44" s="52" t="str">
        <f>IFERROR(__xludf.DUMMYFUNCTION("""COMPUTED_VALUE"""),"CV. Adil Prima Perkasa")</f>
        <v>CV. Adil Prima Perkasa</v>
      </c>
      <c r="F44" s="52" t="str">
        <f>IFERROR(__xludf.DUMMYFUNCTION("""COMPUTED_VALUE"""),"DRIVER DT H700ZS")</f>
        <v>DRIVER DT H700ZS</v>
      </c>
      <c r="G44" s="52" t="str">
        <f>IFERROR(__xludf.DUMMYFUNCTION("""COMPUTED_VALUE"""),"KENDARAAN &amp; UNIT SUPPORT")</f>
        <v>KENDARAAN &amp; UNIT SUPPORT</v>
      </c>
      <c r="H44" s="52" t="str">
        <f>IFERROR(__xludf.DUMMYFUNCTION("""COMPUTED_VALUE"""),"[0102150004] NAFTALI RARE'A, ST")</f>
        <v>[0102150004] NAFTALI RARE'A, ST</v>
      </c>
      <c r="I44" s="52"/>
      <c r="J44" s="53" t="str">
        <f>IFERROR(__xludf.DUMMYFUNCTION("""COMPUTED_VALUE"""),"[205231763] AMBO ULENG")</f>
        <v>[205231763] AMBO ULENG</v>
      </c>
      <c r="K44" s="52"/>
      <c r="L44" s="52" t="str">
        <f t="shared" si="1"/>
        <v>#VALUE!</v>
      </c>
      <c r="M44" s="52"/>
      <c r="N44" s="52"/>
      <c r="O44" s="52"/>
      <c r="P44" s="52"/>
      <c r="Q44" s="52"/>
      <c r="R44" s="52"/>
      <c r="S44" s="52"/>
      <c r="T44" s="52"/>
      <c r="U44" s="52"/>
      <c r="V44" s="52"/>
      <c r="W44" s="52"/>
      <c r="X44" s="52"/>
      <c r="Y44" s="52"/>
      <c r="Z44" s="52"/>
    </row>
    <row r="45">
      <c r="A45" s="52">
        <f>IFERROR(__xludf.DUMMYFUNCTION("""COMPUTED_VALUE"""),3.08210087E8)</f>
        <v>308210087</v>
      </c>
      <c r="B45" s="52" t="str">
        <f>IFERROR(__xludf.DUMMYFUNCTION("""COMPUTED_VALUE"""),"AMINUDDIN")</f>
        <v>AMINUDDIN</v>
      </c>
      <c r="C45" s="52">
        <f>IFERROR(__xludf.DUMMYFUNCTION("""COMPUTED_VALUE"""),47.0)</f>
        <v>47</v>
      </c>
      <c r="D45" s="52" t="str">
        <f>IFERROR(__xludf.DUMMYFUNCTION("""COMPUTED_VALUE"""),"Islam")</f>
        <v>Islam</v>
      </c>
      <c r="E45" s="52" t="str">
        <f>IFERROR(__xludf.DUMMYFUNCTION("""COMPUTED_VALUE"""),"CV. Monalisa")</f>
        <v>CV. Monalisa</v>
      </c>
      <c r="F45" s="52" t="str">
        <f>IFERROR(__xludf.DUMMYFUNCTION("""COMPUTED_VALUE"""),"OPERATOR EXCAVATOR")</f>
        <v>OPERATOR EXCAVATOR</v>
      </c>
      <c r="G45" s="52" t="str">
        <f>IFERROR(__xludf.DUMMYFUNCTION("""COMPUTED_VALUE"""),"PRODUKSI")</f>
        <v>PRODUKSI</v>
      </c>
      <c r="H45" s="52" t="str">
        <f>IFERROR(__xludf.DUMMYFUNCTION("""COMPUTED_VALUE"""),"[0305210064] JACKSON MATHINDAS")</f>
        <v>[0305210064] JACKSON MATHINDAS</v>
      </c>
      <c r="I45" s="55">
        <f>IFERROR(__xludf.DUMMYFUNCTION("""COMPUTED_VALUE"""),29476.0)</f>
        <v>29476</v>
      </c>
      <c r="J45" s="53" t="str">
        <f>IFERROR(__xludf.DUMMYFUNCTION("""COMPUTED_VALUE"""),"[308210087] AMINUDDIN")</f>
        <v>[308210087] AMINUDDIN</v>
      </c>
      <c r="K45" s="52"/>
      <c r="L45" s="52" t="str">
        <f t="shared" si="1"/>
        <v>#VALUE!</v>
      </c>
      <c r="M45" s="52"/>
      <c r="N45" s="52"/>
      <c r="O45" s="52"/>
      <c r="P45" s="52"/>
      <c r="Q45" s="52"/>
      <c r="R45" s="52"/>
      <c r="S45" s="52"/>
      <c r="T45" s="52"/>
      <c r="U45" s="52"/>
      <c r="V45" s="52"/>
      <c r="W45" s="52"/>
      <c r="X45" s="52"/>
      <c r="Y45" s="52"/>
      <c r="Z45" s="52"/>
    </row>
    <row r="46">
      <c r="A46" s="52">
        <f>IFERROR(__xludf.DUMMYFUNCTION("""COMPUTED_VALUE"""),2.04190824E8)</f>
        <v>204190824</v>
      </c>
      <c r="B46" s="52" t="str">
        <f>IFERROR(__xludf.DUMMYFUNCTION("""COMPUTED_VALUE"""),"AMIRUDDIN")</f>
        <v>AMIRUDDIN</v>
      </c>
      <c r="C46" s="52">
        <f>IFERROR(__xludf.DUMMYFUNCTION("""COMPUTED_VALUE"""),43.0)</f>
        <v>43</v>
      </c>
      <c r="D46" s="52" t="str">
        <f>IFERROR(__xludf.DUMMYFUNCTION("""COMPUTED_VALUE"""),"Islam")</f>
        <v>Islam</v>
      </c>
      <c r="E46" s="52" t="str">
        <f>IFERROR(__xludf.DUMMYFUNCTION("""COMPUTED_VALUE"""),"CV. Adil Prima Perkasa")</f>
        <v>CV. Adil Prima Perkasa</v>
      </c>
      <c r="F46" s="52" t="str">
        <f>IFERROR(__xludf.DUMMYFUNCTION("""COMPUTED_VALUE"""),"DRIVER DT H700ZY")</f>
        <v>DRIVER DT H700ZY</v>
      </c>
      <c r="G46" s="52" t="str">
        <f>IFERROR(__xludf.DUMMYFUNCTION("""COMPUTED_VALUE"""),"KENDARAAN &amp; UNIT SUPPORT")</f>
        <v>KENDARAAN &amp; UNIT SUPPORT</v>
      </c>
      <c r="H46" s="52" t="str">
        <f>IFERROR(__xludf.DUMMYFUNCTION("""COMPUTED_VALUE"""),"[0102150004] NAFTALI RARE'A, ST")</f>
        <v>[0102150004] NAFTALI RARE'A, ST</v>
      </c>
      <c r="I46" s="55">
        <f>IFERROR(__xludf.DUMMYFUNCTION("""COMPUTED_VALUE"""),30682.0)</f>
        <v>30682</v>
      </c>
      <c r="J46" s="53" t="str">
        <f>IFERROR(__xludf.DUMMYFUNCTION("""COMPUTED_VALUE"""),"[204190824] AMIRUDDIN")</f>
        <v>[204190824] AMIRUDDIN</v>
      </c>
      <c r="K46" s="52"/>
      <c r="L46" s="52" t="str">
        <f t="shared" si="1"/>
        <v>#VALUE!</v>
      </c>
      <c r="M46" s="52"/>
      <c r="N46" s="52"/>
      <c r="O46" s="52"/>
      <c r="P46" s="52"/>
      <c r="Q46" s="52"/>
      <c r="R46" s="52"/>
      <c r="S46" s="52"/>
      <c r="T46" s="52"/>
      <c r="U46" s="52"/>
      <c r="V46" s="52"/>
      <c r="W46" s="52"/>
      <c r="X46" s="52"/>
      <c r="Y46" s="52"/>
      <c r="Z46" s="52"/>
    </row>
    <row r="47">
      <c r="A47" s="52"/>
      <c r="B47" s="52" t="str">
        <f>IFERROR(__xludf.DUMMYFUNCTION("""COMPUTED_VALUE"""),"ANDHIKA RATNASARI POBELA")</f>
        <v>ANDHIKA RATNASARI POBELA</v>
      </c>
      <c r="C47" s="52">
        <f>IFERROR(__xludf.DUMMYFUNCTION("""COMPUTED_VALUE"""),0.0)</f>
        <v>0</v>
      </c>
      <c r="D47" s="52"/>
      <c r="E47" s="52" t="str">
        <f>IFERROR(__xludf.DUMMYFUNCTION("""COMPUTED_VALUE"""),"CV. SENTOSA ABADI")</f>
        <v>CV. SENTOSA ABADI</v>
      </c>
      <c r="F47" s="52" t="str">
        <f>IFERROR(__xludf.DUMMYFUNCTION("""COMPUTED_VALUE"""),"FALSE")</f>
        <v>FALSE</v>
      </c>
      <c r="G47" s="52" t="str">
        <f>IFERROR(__xludf.DUMMYFUNCTION("""COMPUTED_VALUE"""),"FINANCE")</f>
        <v>FINANCE</v>
      </c>
      <c r="H47" s="52" t="str">
        <f>IFERROR(__xludf.DUMMYFUNCTION("""COMPUTED_VALUE"""),"[0206189004] ALFRETH ALVIAN TIAKI")</f>
        <v>[0206189004] ALFRETH ALVIAN TIAKI</v>
      </c>
      <c r="I47" s="52"/>
      <c r="J47" s="53" t="str">
        <f>IFERROR(__xludf.DUMMYFUNCTION("""COMPUTED_VALUE"""),"[] ANDHIKA RATNASARI POBELA")</f>
        <v>[] ANDHIKA RATNASARI POBELA</v>
      </c>
      <c r="K47" s="52"/>
      <c r="L47" s="52" t="str">
        <f t="shared" si="1"/>
        <v>#VALUE!</v>
      </c>
      <c r="M47" s="52"/>
      <c r="N47" s="52"/>
      <c r="O47" s="52"/>
      <c r="P47" s="52"/>
      <c r="Q47" s="52"/>
      <c r="R47" s="52"/>
      <c r="S47" s="52"/>
      <c r="T47" s="52"/>
      <c r="U47" s="52"/>
      <c r="V47" s="52"/>
      <c r="W47" s="52"/>
      <c r="X47" s="52"/>
      <c r="Y47" s="52"/>
      <c r="Z47" s="52"/>
    </row>
    <row r="48">
      <c r="A48" s="52">
        <f>IFERROR(__xludf.DUMMYFUNCTION("""COMPUTED_VALUE"""),2.04241905E8)</f>
        <v>204241905</v>
      </c>
      <c r="B48" s="52" t="str">
        <f>IFERROR(__xludf.DUMMYFUNCTION("""COMPUTED_VALUE"""),"ANDI")</f>
        <v>ANDI</v>
      </c>
      <c r="C48" s="52">
        <f>IFERROR(__xludf.DUMMYFUNCTION("""COMPUTED_VALUE"""),29.0)</f>
        <v>29</v>
      </c>
      <c r="D48" s="52" t="str">
        <f>IFERROR(__xludf.DUMMYFUNCTION("""COMPUTED_VALUE"""),"Islam")</f>
        <v>Islam</v>
      </c>
      <c r="E48" s="52" t="str">
        <f>IFERROR(__xludf.DUMMYFUNCTION("""COMPUTED_VALUE"""),"CV. Adil Prima Perkasa")</f>
        <v>CV. Adil Prima Perkasa</v>
      </c>
      <c r="F48" s="52" t="str">
        <f>IFERROR(__xludf.DUMMYFUNCTION("""COMPUTED_VALUE"""),"CREW SURVEY")</f>
        <v>CREW SURVEY</v>
      </c>
      <c r="G48" s="52" t="str">
        <f>IFERROR(__xludf.DUMMYFUNCTION("""COMPUTED_VALUE"""),"MPE")</f>
        <v>MPE</v>
      </c>
      <c r="H48" s="52" t="str">
        <f>IFERROR(__xludf.DUMMYFUNCTION("""COMPUTED_VALUE"""),"[0102150007] EKY SIDIK PRATAMA, ST")</f>
        <v>[0102150007] EKY SIDIK PRATAMA, ST</v>
      </c>
      <c r="I48" s="52"/>
      <c r="J48" s="53" t="str">
        <f>IFERROR(__xludf.DUMMYFUNCTION("""COMPUTED_VALUE"""),"[204241905] ANDI")</f>
        <v>[204241905] ANDI</v>
      </c>
      <c r="K48" s="52"/>
      <c r="L48" s="52" t="str">
        <f t="shared" si="1"/>
        <v>#VALUE!</v>
      </c>
      <c r="M48" s="52"/>
      <c r="N48" s="52"/>
      <c r="O48" s="52"/>
      <c r="P48" s="52"/>
      <c r="Q48" s="52"/>
      <c r="R48" s="52"/>
      <c r="S48" s="52"/>
      <c r="T48" s="52"/>
      <c r="U48" s="52"/>
      <c r="V48" s="52"/>
      <c r="W48" s="52"/>
      <c r="X48" s="52"/>
      <c r="Y48" s="52"/>
      <c r="Z48" s="52"/>
    </row>
    <row r="49">
      <c r="A49" s="52">
        <f>IFERROR(__xludf.DUMMYFUNCTION("""COMPUTED_VALUE"""),2.07221661E8)</f>
        <v>207221661</v>
      </c>
      <c r="B49" s="52" t="str">
        <f>IFERROR(__xludf.DUMMYFUNCTION("""COMPUTED_VALUE"""),"ANDI ARIFIN")</f>
        <v>ANDI ARIFIN</v>
      </c>
      <c r="C49" s="52">
        <f>IFERROR(__xludf.DUMMYFUNCTION("""COMPUTED_VALUE"""),65.0)</f>
        <v>65</v>
      </c>
      <c r="D49" s="52" t="str">
        <f>IFERROR(__xludf.DUMMYFUNCTION("""COMPUTED_VALUE"""),"Islam")</f>
        <v>Islam</v>
      </c>
      <c r="E49" s="52" t="str">
        <f>IFERROR(__xludf.DUMMYFUNCTION("""COMPUTED_VALUE"""),"CV. SENTOSA ABADI")</f>
        <v>CV. SENTOSA ABADI</v>
      </c>
      <c r="F49" s="52" t="str">
        <f>IFERROR(__xludf.DUMMYFUNCTION("""COMPUTED_VALUE"""),"DRIVER DT H700ZY")</f>
        <v>DRIVER DT H700ZY</v>
      </c>
      <c r="G49" s="52" t="str">
        <f>IFERROR(__xludf.DUMMYFUNCTION("""COMPUTED_VALUE"""),"KENDARAAN &amp; UNIT SUPPORT")</f>
        <v>KENDARAAN &amp; UNIT SUPPORT</v>
      </c>
      <c r="H49" s="52" t="str">
        <f>IFERROR(__xludf.DUMMYFUNCTION("""COMPUTED_VALUE"""),"[0102150004] NAFTALI RARE'A, ST")</f>
        <v>[0102150004] NAFTALI RARE'A, ST</v>
      </c>
      <c r="I49" s="55">
        <f>IFERROR(__xludf.DUMMYFUNCTION("""COMPUTED_VALUE"""),26481.0)</f>
        <v>26481</v>
      </c>
      <c r="J49" s="53" t="str">
        <f>IFERROR(__xludf.DUMMYFUNCTION("""COMPUTED_VALUE"""),"[207221661] ANDI ARIFIN")</f>
        <v>[207221661] ANDI ARIFIN</v>
      </c>
      <c r="K49" s="52"/>
      <c r="L49" s="52" t="str">
        <f t="shared" si="1"/>
        <v>#VALUE!</v>
      </c>
      <c r="M49" s="52"/>
      <c r="N49" s="52"/>
      <c r="O49" s="52"/>
      <c r="P49" s="52"/>
      <c r="Q49" s="52"/>
      <c r="R49" s="52"/>
      <c r="S49" s="52"/>
      <c r="T49" s="52"/>
      <c r="U49" s="52"/>
      <c r="V49" s="52"/>
      <c r="W49" s="52"/>
      <c r="X49" s="52"/>
      <c r="Y49" s="52"/>
      <c r="Z49" s="52"/>
    </row>
    <row r="50">
      <c r="A50" s="52">
        <f>IFERROR(__xludf.DUMMYFUNCTION("""COMPUTED_VALUE"""),1.07221659E8)</f>
        <v>107221659</v>
      </c>
      <c r="B50" s="52" t="str">
        <f>IFERROR(__xludf.DUMMYFUNCTION("""COMPUTED_VALUE"""),"ANDI B.")</f>
        <v>ANDI B.</v>
      </c>
      <c r="C50" s="52">
        <f>IFERROR(__xludf.DUMMYFUNCTION("""COMPUTED_VALUE"""),47.0)</f>
        <v>47</v>
      </c>
      <c r="D50" s="52" t="str">
        <f>IFERROR(__xludf.DUMMYFUNCTION("""COMPUTED_VALUE"""),"Islam")</f>
        <v>Islam</v>
      </c>
      <c r="E50" s="52" t="str">
        <f>IFERROR(__xludf.DUMMYFUNCTION("""COMPUTED_VALUE"""),"CV. SENTOSA ABADI")</f>
        <v>CV. SENTOSA ABADI</v>
      </c>
      <c r="F50" s="52" t="str">
        <f>IFERROR(__xludf.DUMMYFUNCTION("""COMPUTED_VALUE"""),"DRIVER DT H700ZY")</f>
        <v>DRIVER DT H700ZY</v>
      </c>
      <c r="G50" s="52" t="str">
        <f>IFERROR(__xludf.DUMMYFUNCTION("""COMPUTED_VALUE"""),"KENDARAAN &amp; UNIT SUPPORT")</f>
        <v>KENDARAAN &amp; UNIT SUPPORT</v>
      </c>
      <c r="H50" s="52" t="str">
        <f>IFERROR(__xludf.DUMMYFUNCTION("""COMPUTED_VALUE"""),"[0102150004] NAFTALI RARE'A, ST")</f>
        <v>[0102150004] NAFTALI RARE'A, ST</v>
      </c>
      <c r="I50" s="55">
        <f>IFERROR(__xludf.DUMMYFUNCTION("""COMPUTED_VALUE"""),32690.0)</f>
        <v>32690</v>
      </c>
      <c r="J50" s="53" t="str">
        <f>IFERROR(__xludf.DUMMYFUNCTION("""COMPUTED_VALUE"""),"[107221659] ANDI B.")</f>
        <v>[107221659] ANDI B.</v>
      </c>
      <c r="K50" s="52"/>
      <c r="L50" s="52" t="str">
        <f t="shared" si="1"/>
        <v>#VALUE!</v>
      </c>
      <c r="M50" s="52"/>
      <c r="N50" s="52"/>
      <c r="O50" s="52"/>
      <c r="P50" s="52"/>
      <c r="Q50" s="52"/>
      <c r="R50" s="52"/>
      <c r="S50" s="52"/>
      <c r="T50" s="52"/>
      <c r="U50" s="52"/>
      <c r="V50" s="52"/>
      <c r="W50" s="52"/>
      <c r="X50" s="52"/>
      <c r="Y50" s="52"/>
      <c r="Z50" s="52"/>
    </row>
    <row r="51">
      <c r="A51" s="52">
        <f>IFERROR(__xludf.DUMMYFUNCTION("""COMPUTED_VALUE"""),2.09120697E8)</f>
        <v>209120697</v>
      </c>
      <c r="B51" s="52" t="str">
        <f>IFERROR(__xludf.DUMMYFUNCTION("""COMPUTED_VALUE"""),"ANDI HAMRIN")</f>
        <v>ANDI HAMRIN</v>
      </c>
      <c r="C51" s="52">
        <f>IFERROR(__xludf.DUMMYFUNCTION("""COMPUTED_VALUE"""),47.0)</f>
        <v>47</v>
      </c>
      <c r="D51" s="52" t="str">
        <f>IFERROR(__xludf.DUMMYFUNCTION("""COMPUTED_VALUE"""),"Islam")</f>
        <v>Islam</v>
      </c>
      <c r="E51" s="52" t="str">
        <f>IFERROR(__xludf.DUMMYFUNCTION("""COMPUTED_VALUE"""),"CV. Adil Prima Perkasa")</f>
        <v>CV. Adil Prima Perkasa</v>
      </c>
      <c r="F51" s="52" t="str">
        <f>IFERROR(__xludf.DUMMYFUNCTION("""COMPUTED_VALUE"""),"DRIVER DT H700ZY")</f>
        <v>DRIVER DT H700ZY</v>
      </c>
      <c r="G51" s="52" t="str">
        <f>IFERROR(__xludf.DUMMYFUNCTION("""COMPUTED_VALUE"""),"KENDARAAN &amp; UNIT SUPPORT")</f>
        <v>KENDARAAN &amp; UNIT SUPPORT</v>
      </c>
      <c r="H51" s="52" t="str">
        <f>IFERROR(__xludf.DUMMYFUNCTION("""COMPUTED_VALUE"""),"[0102150004] NAFTALI RARE'A, ST")</f>
        <v>[0102150004] NAFTALI RARE'A, ST</v>
      </c>
      <c r="I51" s="52"/>
      <c r="J51" s="53" t="str">
        <f>IFERROR(__xludf.DUMMYFUNCTION("""COMPUTED_VALUE"""),"[209120697] ANDI HAMRIN")</f>
        <v>[209120697] ANDI HAMRIN</v>
      </c>
      <c r="K51" s="52"/>
      <c r="L51" s="52" t="str">
        <f t="shared" si="1"/>
        <v>#VALUE!</v>
      </c>
      <c r="M51" s="52"/>
      <c r="N51" s="52"/>
      <c r="O51" s="52"/>
      <c r="P51" s="52"/>
      <c r="Q51" s="52"/>
      <c r="R51" s="52"/>
      <c r="S51" s="52"/>
      <c r="T51" s="52"/>
      <c r="U51" s="52"/>
      <c r="V51" s="52"/>
      <c r="W51" s="52"/>
      <c r="X51" s="52"/>
      <c r="Y51" s="52"/>
      <c r="Z51" s="52"/>
    </row>
    <row r="52">
      <c r="A52" s="52">
        <f>IFERROR(__xludf.DUMMYFUNCTION("""COMPUTED_VALUE"""),1.07201159E8)</f>
        <v>107201159</v>
      </c>
      <c r="B52" s="52" t="str">
        <f>IFERROR(__xludf.DUMMYFUNCTION("""COMPUTED_VALUE"""),"ANDI WISANDI")</f>
        <v>ANDI WISANDI</v>
      </c>
      <c r="C52" s="52">
        <f>IFERROR(__xludf.DUMMYFUNCTION("""COMPUTED_VALUE"""),38.0)</f>
        <v>38</v>
      </c>
      <c r="D52" s="52" t="str">
        <f>IFERROR(__xludf.DUMMYFUNCTION("""COMPUTED_VALUE"""),"Islam")</f>
        <v>Islam</v>
      </c>
      <c r="E52" s="52" t="str">
        <f>IFERROR(__xludf.DUMMYFUNCTION("""COMPUTED_VALUE"""),"CV. SENTOSA ABADI")</f>
        <v>CV. SENTOSA ABADI</v>
      </c>
      <c r="F52" s="52" t="str">
        <f>IFERROR(__xludf.DUMMYFUNCTION("""COMPUTED_VALUE"""),"MEKANIK ALAT BERAT")</f>
        <v>MEKANIK ALAT BERAT</v>
      </c>
      <c r="G52" s="52" t="str">
        <f>IFERROR(__xludf.DUMMYFUNCTION("""COMPUTED_VALUE"""),"WORKSHOP")</f>
        <v>WORKSHOP</v>
      </c>
      <c r="H52" s="52" t="str">
        <f>IFERROR(__xludf.DUMMYFUNCTION("""COMPUTED_VALUE"""),"[0106190928] NATAN KONDO")</f>
        <v>[0106190928] NATAN KONDO</v>
      </c>
      <c r="I52" s="52"/>
      <c r="J52" s="53" t="str">
        <f>IFERROR(__xludf.DUMMYFUNCTION("""COMPUTED_VALUE"""),"[107201159] ANDI WISANDI")</f>
        <v>[107201159] ANDI WISANDI</v>
      </c>
      <c r="K52" s="52"/>
      <c r="L52" s="52" t="str">
        <f t="shared" si="1"/>
        <v>#VALUE!</v>
      </c>
      <c r="M52" s="52"/>
      <c r="N52" s="52"/>
      <c r="O52" s="52"/>
      <c r="P52" s="52"/>
      <c r="Q52" s="52"/>
      <c r="R52" s="52"/>
      <c r="S52" s="52"/>
      <c r="T52" s="52"/>
      <c r="U52" s="52"/>
      <c r="V52" s="52"/>
      <c r="W52" s="52"/>
      <c r="X52" s="52"/>
      <c r="Y52" s="52"/>
      <c r="Z52" s="52"/>
    </row>
    <row r="53">
      <c r="A53" s="52">
        <f>IFERROR(__xludf.DUMMYFUNCTION("""COMPUTED_VALUE"""),1.08201201E8)</f>
        <v>108201201</v>
      </c>
      <c r="B53" s="52" t="str">
        <f>IFERROR(__xludf.DUMMYFUNCTION("""COMPUTED_VALUE"""),"ANDILLA")</f>
        <v>ANDILLA</v>
      </c>
      <c r="C53" s="52">
        <f>IFERROR(__xludf.DUMMYFUNCTION("""COMPUTED_VALUE"""),27.0)</f>
        <v>27</v>
      </c>
      <c r="D53" s="52" t="str">
        <f>IFERROR(__xludf.DUMMYFUNCTION("""COMPUTED_VALUE"""),"Islam")</f>
        <v>Islam</v>
      </c>
      <c r="E53" s="52" t="str">
        <f>IFERROR(__xludf.DUMMYFUNCTION("""COMPUTED_VALUE"""),"CV. SENTOSA ABADI")</f>
        <v>CV. SENTOSA ABADI</v>
      </c>
      <c r="F53" s="52" t="str">
        <f>IFERROR(__xludf.DUMMYFUNCTION("""COMPUTED_VALUE"""),"OPERATOR ADT")</f>
        <v>OPERATOR ADT</v>
      </c>
      <c r="G53" s="52" t="str">
        <f>IFERROR(__xludf.DUMMYFUNCTION("""COMPUTED_VALUE"""),"PRODUKSI")</f>
        <v>PRODUKSI</v>
      </c>
      <c r="H53" s="52" t="str">
        <f>IFERROR(__xludf.DUMMYFUNCTION("""COMPUTED_VALUE"""),"[0102130003] PURNAWAN")</f>
        <v>[0102130003] PURNAWAN</v>
      </c>
      <c r="I53" s="52"/>
      <c r="J53" s="53" t="str">
        <f>IFERROR(__xludf.DUMMYFUNCTION("""COMPUTED_VALUE"""),"[108201201] ANDILLA")</f>
        <v>[108201201] ANDILLA</v>
      </c>
      <c r="K53" s="52"/>
      <c r="L53" s="52" t="str">
        <f t="shared" si="1"/>
        <v>#VALUE!</v>
      </c>
      <c r="M53" s="52"/>
      <c r="N53" s="52"/>
      <c r="O53" s="52"/>
      <c r="P53" s="52"/>
      <c r="Q53" s="52"/>
      <c r="R53" s="52"/>
      <c r="S53" s="52"/>
      <c r="T53" s="52"/>
      <c r="U53" s="52"/>
      <c r="V53" s="52"/>
      <c r="W53" s="52"/>
      <c r="X53" s="52"/>
      <c r="Y53" s="52"/>
      <c r="Z53" s="52"/>
    </row>
    <row r="54">
      <c r="A54" s="52">
        <f>IFERROR(__xludf.DUMMYFUNCTION("""COMPUTED_VALUE"""),2.05231759E8)</f>
        <v>205231759</v>
      </c>
      <c r="B54" s="52" t="str">
        <f>IFERROR(__xludf.DUMMYFUNCTION("""COMPUTED_VALUE"""),"ANDRE MINTI")</f>
        <v>ANDRE MINTI</v>
      </c>
      <c r="C54" s="52">
        <f>IFERROR(__xludf.DUMMYFUNCTION("""COMPUTED_VALUE"""),27.0)</f>
        <v>27</v>
      </c>
      <c r="D54" s="52" t="str">
        <f>IFERROR(__xludf.DUMMYFUNCTION("""COMPUTED_VALUE"""),"Kristen Protestan")</f>
        <v>Kristen Protestan</v>
      </c>
      <c r="E54" s="52" t="str">
        <f>IFERROR(__xludf.DUMMYFUNCTION("""COMPUTED_VALUE"""),"CV. Adil Prima Perkasa")</f>
        <v>CV. Adil Prima Perkasa</v>
      </c>
      <c r="F54" s="52" t="str">
        <f>IFERROR(__xludf.DUMMYFUNCTION("""COMPUTED_VALUE"""),"DRIVER DT")</f>
        <v>DRIVER DT</v>
      </c>
      <c r="G54" s="52" t="str">
        <f>IFERROR(__xludf.DUMMYFUNCTION("""COMPUTED_VALUE"""),"KENDARAAN &amp; UNIT SUPPORT")</f>
        <v>KENDARAAN &amp; UNIT SUPPORT</v>
      </c>
      <c r="H54" s="52" t="str">
        <f>IFERROR(__xludf.DUMMYFUNCTION("""COMPUTED_VALUE"""),"[0102150004] NAFTALI RARE'A, ST")</f>
        <v>[0102150004] NAFTALI RARE'A, ST</v>
      </c>
      <c r="I54" s="52"/>
      <c r="J54" s="53" t="str">
        <f>IFERROR(__xludf.DUMMYFUNCTION("""COMPUTED_VALUE"""),"[205231759] ANDRE MINTI")</f>
        <v>[205231759] ANDRE MINTI</v>
      </c>
      <c r="K54" s="52"/>
      <c r="L54" s="52" t="str">
        <f t="shared" si="1"/>
        <v>#VALUE!</v>
      </c>
      <c r="M54" s="52"/>
      <c r="N54" s="52"/>
      <c r="O54" s="52"/>
      <c r="P54" s="52"/>
      <c r="Q54" s="52"/>
      <c r="R54" s="52"/>
      <c r="S54" s="52"/>
      <c r="T54" s="52"/>
      <c r="U54" s="52"/>
      <c r="V54" s="52"/>
      <c r="W54" s="52"/>
      <c r="X54" s="52"/>
      <c r="Y54" s="52"/>
      <c r="Z54" s="52"/>
    </row>
    <row r="55">
      <c r="A55" s="52">
        <f>IFERROR(__xludf.DUMMYFUNCTION("""COMPUTED_VALUE"""),2.06231787E8)</f>
        <v>206231787</v>
      </c>
      <c r="B55" s="52" t="str">
        <f>IFERROR(__xludf.DUMMYFUNCTION("""COMPUTED_VALUE"""),"ANDRE WILLIAM MANUSIWA")</f>
        <v>ANDRE WILLIAM MANUSIWA</v>
      </c>
      <c r="C55" s="52">
        <f>IFERROR(__xludf.DUMMYFUNCTION("""COMPUTED_VALUE"""),20.0)</f>
        <v>20</v>
      </c>
      <c r="D55" s="52" t="str">
        <f>IFERROR(__xludf.DUMMYFUNCTION("""COMPUTED_VALUE"""),"Kristen Protestan")</f>
        <v>Kristen Protestan</v>
      </c>
      <c r="E55" s="52" t="str">
        <f>IFERROR(__xludf.DUMMYFUNCTION("""COMPUTED_VALUE"""),"CV. Adil Prima Perkasa")</f>
        <v>CV. Adil Prima Perkasa</v>
      </c>
      <c r="F55" s="52" t="str">
        <f>IFERROR(__xludf.DUMMYFUNCTION("""COMPUTED_VALUE"""),"HELPER FUEL")</f>
        <v>HELPER FUEL</v>
      </c>
      <c r="G55" s="52" t="str">
        <f>IFERROR(__xludf.DUMMYFUNCTION("""COMPUTED_VALUE"""),"MPE")</f>
        <v>MPE</v>
      </c>
      <c r="H55" s="52" t="str">
        <f>IFERROR(__xludf.DUMMYFUNCTION("""COMPUTED_VALUE"""),"[0102150007] EKY SIDIK PRATAMA, ST")</f>
        <v>[0102150007] EKY SIDIK PRATAMA, ST</v>
      </c>
      <c r="I55" s="52"/>
      <c r="J55" s="53" t="str">
        <f>IFERROR(__xludf.DUMMYFUNCTION("""COMPUTED_VALUE"""),"[206231787] ANDRE WILLIAM MANUSIWA")</f>
        <v>[206231787] ANDRE WILLIAM MANUSIWA</v>
      </c>
      <c r="K55" s="52"/>
      <c r="L55" s="52" t="str">
        <f t="shared" si="1"/>
        <v>#VALUE!</v>
      </c>
      <c r="M55" s="52"/>
      <c r="N55" s="52"/>
      <c r="O55" s="52"/>
      <c r="P55" s="52"/>
      <c r="Q55" s="52"/>
      <c r="R55" s="52"/>
      <c r="S55" s="52"/>
      <c r="T55" s="52"/>
      <c r="U55" s="52"/>
      <c r="V55" s="52"/>
      <c r="W55" s="52"/>
      <c r="X55" s="52"/>
      <c r="Y55" s="52"/>
      <c r="Z55" s="52"/>
    </row>
    <row r="56">
      <c r="A56" s="52">
        <f>IFERROR(__xludf.DUMMYFUNCTION("""COMPUTED_VALUE"""),1.11180596E8)</f>
        <v>111180596</v>
      </c>
      <c r="B56" s="52" t="str">
        <f>IFERROR(__xludf.DUMMYFUNCTION("""COMPUTED_VALUE"""),"ANDRI S. TARIFUDDIN")</f>
        <v>ANDRI S. TARIFUDDIN</v>
      </c>
      <c r="C56" s="52">
        <f>IFERROR(__xludf.DUMMYFUNCTION("""COMPUTED_VALUE"""),28.0)</f>
        <v>28</v>
      </c>
      <c r="D56" s="52" t="str">
        <f>IFERROR(__xludf.DUMMYFUNCTION("""COMPUTED_VALUE"""),"Islam")</f>
        <v>Islam</v>
      </c>
      <c r="E56" s="52" t="str">
        <f>IFERROR(__xludf.DUMMYFUNCTION("""COMPUTED_VALUE"""),"CV. SENTOSA ABADI")</f>
        <v>CV. SENTOSA ABADI</v>
      </c>
      <c r="F56" s="52" t="str">
        <f>IFERROR(__xludf.DUMMYFUNCTION("""COMPUTED_VALUE"""),"OPERATOR ADT")</f>
        <v>OPERATOR ADT</v>
      </c>
      <c r="G56" s="52" t="str">
        <f>IFERROR(__xludf.DUMMYFUNCTION("""COMPUTED_VALUE"""),"PRODUKSI")</f>
        <v>PRODUKSI</v>
      </c>
      <c r="H56" s="52" t="str">
        <f>IFERROR(__xludf.DUMMYFUNCTION("""COMPUTED_VALUE"""),"[0102130003] PURNAWAN")</f>
        <v>[0102130003] PURNAWAN</v>
      </c>
      <c r="I56" s="52"/>
      <c r="J56" s="53" t="str">
        <f>IFERROR(__xludf.DUMMYFUNCTION("""COMPUTED_VALUE"""),"[111180596] ANDRI S. TARIFUDDIN")</f>
        <v>[111180596] ANDRI S. TARIFUDDIN</v>
      </c>
      <c r="K56" s="52"/>
      <c r="L56" s="52" t="str">
        <f t="shared" si="1"/>
        <v>#VALUE!</v>
      </c>
      <c r="M56" s="52"/>
      <c r="N56" s="52"/>
      <c r="O56" s="52"/>
      <c r="P56" s="52"/>
      <c r="Q56" s="52"/>
      <c r="R56" s="52"/>
      <c r="S56" s="52"/>
      <c r="T56" s="52"/>
      <c r="U56" s="52"/>
      <c r="V56" s="52"/>
      <c r="W56" s="52"/>
      <c r="X56" s="52"/>
      <c r="Y56" s="52"/>
      <c r="Z56" s="52"/>
    </row>
    <row r="57">
      <c r="A57" s="52">
        <f>IFERROR(__xludf.DUMMYFUNCTION("""COMPUTED_VALUE"""),2.09231831E8)</f>
        <v>209231831</v>
      </c>
      <c r="B57" s="52" t="str">
        <f>IFERROR(__xludf.DUMMYFUNCTION("""COMPUTED_VALUE"""),"ANGGI SIR HERYANTO")</f>
        <v>ANGGI SIR HERYANTO</v>
      </c>
      <c r="C57" s="52">
        <f>IFERROR(__xludf.DUMMYFUNCTION("""COMPUTED_VALUE"""),0.0)</f>
        <v>0</v>
      </c>
      <c r="D57" s="52"/>
      <c r="E57" s="52" t="str">
        <f>IFERROR(__xludf.DUMMYFUNCTION("""COMPUTED_VALUE"""),"CV. Adil Prima Perkasa")</f>
        <v>CV. Adil Prima Perkasa</v>
      </c>
      <c r="F57" s="52" t="str">
        <f>IFERROR(__xludf.DUMMYFUNCTION("""COMPUTED_VALUE"""),"DRIVER DT H500")</f>
        <v>DRIVER DT H500</v>
      </c>
      <c r="G57" s="52" t="str">
        <f>IFERROR(__xludf.DUMMYFUNCTION("""COMPUTED_VALUE"""),"KENDARAAN &amp; UNIT SUPPORT")</f>
        <v>KENDARAAN &amp; UNIT SUPPORT</v>
      </c>
      <c r="H57" s="52" t="str">
        <f>IFERROR(__xludf.DUMMYFUNCTION("""COMPUTED_VALUE"""),"[0102150004] NAFTALI RARE'A, ST")</f>
        <v>[0102150004] NAFTALI RARE'A, ST</v>
      </c>
      <c r="I57" s="52"/>
      <c r="J57" s="53" t="str">
        <f>IFERROR(__xludf.DUMMYFUNCTION("""COMPUTED_VALUE"""),"[209231831] ANGGI SIR HERYANTO")</f>
        <v>[209231831] ANGGI SIR HERYANTO</v>
      </c>
      <c r="K57" s="52"/>
      <c r="L57" s="52" t="str">
        <f t="shared" si="1"/>
        <v>#VALUE!</v>
      </c>
      <c r="M57" s="52"/>
      <c r="N57" s="52"/>
      <c r="O57" s="52"/>
      <c r="P57" s="52"/>
      <c r="Q57" s="52"/>
      <c r="R57" s="52"/>
      <c r="S57" s="52"/>
      <c r="T57" s="52"/>
      <c r="U57" s="52"/>
      <c r="V57" s="52"/>
      <c r="W57" s="52"/>
      <c r="X57" s="52"/>
      <c r="Y57" s="52"/>
      <c r="Z57" s="52"/>
    </row>
    <row r="58">
      <c r="A58" s="52">
        <f>IFERROR(__xludf.DUMMYFUNCTION("""COMPUTED_VALUE"""),1.09211492E8)</f>
        <v>109211492</v>
      </c>
      <c r="B58" s="52" t="str">
        <f>IFERROR(__xludf.DUMMYFUNCTION("""COMPUTED_VALUE"""),"ANI NURAINI")</f>
        <v>ANI NURAINI</v>
      </c>
      <c r="C58" s="52">
        <f>IFERROR(__xludf.DUMMYFUNCTION("""COMPUTED_VALUE"""),43.0)</f>
        <v>43</v>
      </c>
      <c r="D58" s="52" t="str">
        <f>IFERROR(__xludf.DUMMYFUNCTION("""COMPUTED_VALUE"""),"Islam")</f>
        <v>Islam</v>
      </c>
      <c r="E58" s="52" t="str">
        <f>IFERROR(__xludf.DUMMYFUNCTION("""COMPUTED_VALUE"""),"CV. SENTOSA ABADI")</f>
        <v>CV. SENTOSA ABADI</v>
      </c>
      <c r="F58" s="52" t="str">
        <f>IFERROR(__xludf.DUMMYFUNCTION("""COMPUTED_VALUE"""),"STOCKER")</f>
        <v>STOCKER</v>
      </c>
      <c r="G58" s="52" t="str">
        <f>IFERROR(__xludf.DUMMYFUNCTION("""COMPUTED_VALUE"""),"HRD &amp; GA")</f>
        <v>HRD &amp; GA</v>
      </c>
      <c r="H58" s="52" t="str">
        <f>IFERROR(__xludf.DUMMYFUNCTION("""COMPUTED_VALUE"""),"[0103231738] MARYA SUSAN SIMBANGU")</f>
        <v>[0103231738] MARYA SUSAN SIMBANGU</v>
      </c>
      <c r="I58" s="55">
        <f>IFERROR(__xludf.DUMMYFUNCTION("""COMPUTED_VALUE"""),34304.0)</f>
        <v>34304</v>
      </c>
      <c r="J58" s="53" t="str">
        <f>IFERROR(__xludf.DUMMYFUNCTION("""COMPUTED_VALUE"""),"[109211492] ANI NURAINI")</f>
        <v>[109211492] ANI NURAINI</v>
      </c>
      <c r="K58" s="52"/>
      <c r="L58" s="52" t="str">
        <f t="shared" si="1"/>
        <v>#VALUE!</v>
      </c>
      <c r="M58" s="52"/>
      <c r="N58" s="52"/>
      <c r="O58" s="52"/>
      <c r="P58" s="52"/>
      <c r="Q58" s="52"/>
      <c r="R58" s="52"/>
      <c r="S58" s="52"/>
      <c r="T58" s="52"/>
      <c r="U58" s="52"/>
      <c r="V58" s="52"/>
      <c r="W58" s="52"/>
      <c r="X58" s="52"/>
      <c r="Y58" s="52"/>
      <c r="Z58" s="52"/>
    </row>
    <row r="59">
      <c r="A59" s="52">
        <f>IFERROR(__xludf.DUMMYFUNCTION("""COMPUTED_VALUE"""),2.01241876E8)</f>
        <v>201241876</v>
      </c>
      <c r="B59" s="52" t="str">
        <f>IFERROR(__xludf.DUMMYFUNCTION("""COMPUTED_VALUE"""),"ANIL")</f>
        <v>ANIL</v>
      </c>
      <c r="C59" s="52">
        <f>IFERROR(__xludf.DUMMYFUNCTION("""COMPUTED_VALUE"""),1.0)</f>
        <v>1</v>
      </c>
      <c r="D59" s="52" t="str">
        <f>IFERROR(__xludf.DUMMYFUNCTION("""COMPUTED_VALUE"""),"Islam")</f>
        <v>Islam</v>
      </c>
      <c r="E59" s="52" t="str">
        <f>IFERROR(__xludf.DUMMYFUNCTION("""COMPUTED_VALUE"""),"CV. Adil Prima Perkasa")</f>
        <v>CV. Adil Prima Perkasa</v>
      </c>
      <c r="F59" s="52" t="str">
        <f>IFERROR(__xludf.DUMMYFUNCTION("""COMPUTED_VALUE"""),"OFFICE BOY")</f>
        <v>OFFICE BOY</v>
      </c>
      <c r="G59" s="52" t="str">
        <f>IFERROR(__xludf.DUMMYFUNCTION("""COMPUTED_VALUE"""),"HRD &amp; GA")</f>
        <v>HRD &amp; GA</v>
      </c>
      <c r="H59" s="52" t="str">
        <f>IFERROR(__xludf.DUMMYFUNCTION("""COMPUTED_VALUE"""),"[0108191037] ERNIE FRISLIA")</f>
        <v>[0108191037] ERNIE FRISLIA</v>
      </c>
      <c r="I59" s="52"/>
      <c r="J59" s="53" t="str">
        <f>IFERROR(__xludf.DUMMYFUNCTION("""COMPUTED_VALUE"""),"[201241876] ANIL")</f>
        <v>[201241876] ANIL</v>
      </c>
      <c r="K59" s="52"/>
      <c r="L59" s="52" t="str">
        <f t="shared" si="1"/>
        <v>#VALUE!</v>
      </c>
      <c r="M59" s="52"/>
      <c r="N59" s="52"/>
      <c r="O59" s="52"/>
      <c r="P59" s="52"/>
      <c r="Q59" s="52"/>
      <c r="R59" s="52"/>
      <c r="S59" s="52"/>
      <c r="T59" s="52"/>
      <c r="U59" s="52"/>
      <c r="V59" s="52"/>
      <c r="W59" s="52"/>
      <c r="X59" s="52"/>
      <c r="Y59" s="52"/>
      <c r="Z59" s="52"/>
    </row>
    <row r="60">
      <c r="A60" s="52">
        <f>IFERROR(__xludf.DUMMYFUNCTION("""COMPUTED_VALUE"""),2.01221577E8)</f>
        <v>201221577</v>
      </c>
      <c r="B60" s="52" t="str">
        <f>IFERROR(__xludf.DUMMYFUNCTION("""COMPUTED_VALUE"""),"ANNA GLORIA SOMALINGGI")</f>
        <v>ANNA GLORIA SOMALINGGI</v>
      </c>
      <c r="C60" s="52">
        <f>IFERROR(__xludf.DUMMYFUNCTION("""COMPUTED_VALUE"""),30.0)</f>
        <v>30</v>
      </c>
      <c r="D60" s="52" t="str">
        <f>IFERROR(__xludf.DUMMYFUNCTION("""COMPUTED_VALUE"""),"Kristen Protestan")</f>
        <v>Kristen Protestan</v>
      </c>
      <c r="E60" s="52" t="str">
        <f>IFERROR(__xludf.DUMMYFUNCTION("""COMPUTED_VALUE"""),"CV. Adil Prima Perkasa")</f>
        <v>CV. Adil Prima Perkasa</v>
      </c>
      <c r="F60" s="52" t="str">
        <f>IFERROR(__xludf.DUMMYFUNCTION("""COMPUTED_VALUE"""),"ADMIN MPE")</f>
        <v>ADMIN MPE</v>
      </c>
      <c r="G60" s="52" t="str">
        <f>IFERROR(__xludf.DUMMYFUNCTION("""COMPUTED_VALUE"""),"MPE")</f>
        <v>MPE</v>
      </c>
      <c r="H60" s="52" t="str">
        <f>IFERROR(__xludf.DUMMYFUNCTION("""COMPUTED_VALUE"""),"[0102150007] EKY SIDIK PRATAMA, ST")</f>
        <v>[0102150007] EKY SIDIK PRATAMA, ST</v>
      </c>
      <c r="I60" s="55">
        <f>IFERROR(__xludf.DUMMYFUNCTION("""COMPUTED_VALUE"""),33335.0)</f>
        <v>33335</v>
      </c>
      <c r="J60" s="53" t="str">
        <f>IFERROR(__xludf.DUMMYFUNCTION("""COMPUTED_VALUE"""),"[201221577] ANNA GLORIA SOMALINGGI")</f>
        <v>[201221577] ANNA GLORIA SOMALINGGI</v>
      </c>
      <c r="K60" s="52"/>
      <c r="L60" s="52" t="str">
        <f t="shared" si="1"/>
        <v>#VALUE!</v>
      </c>
      <c r="M60" s="52"/>
      <c r="N60" s="52"/>
      <c r="O60" s="52"/>
      <c r="P60" s="52"/>
      <c r="Q60" s="52"/>
      <c r="R60" s="52"/>
      <c r="S60" s="52"/>
      <c r="T60" s="52"/>
      <c r="U60" s="52"/>
      <c r="V60" s="52"/>
      <c r="W60" s="52"/>
      <c r="X60" s="52"/>
      <c r="Y60" s="52"/>
      <c r="Z60" s="52"/>
    </row>
    <row r="61">
      <c r="A61" s="52">
        <f>IFERROR(__xludf.DUMMYFUNCTION("""COMPUTED_VALUE"""),1.07201158E8)</f>
        <v>107201158</v>
      </c>
      <c r="B61" s="52" t="str">
        <f>IFERROR(__xludf.DUMMYFUNCTION("""COMPUTED_VALUE"""),"ANSHAR")</f>
        <v>ANSHAR</v>
      </c>
      <c r="C61" s="52">
        <f>IFERROR(__xludf.DUMMYFUNCTION("""COMPUTED_VALUE"""),55.0)</f>
        <v>55</v>
      </c>
      <c r="D61" s="52" t="str">
        <f>IFERROR(__xludf.DUMMYFUNCTION("""COMPUTED_VALUE"""),"Islam")</f>
        <v>Islam</v>
      </c>
      <c r="E61" s="52" t="str">
        <f>IFERROR(__xludf.DUMMYFUNCTION("""COMPUTED_VALUE"""),"CV. SENTOSA ABADI")</f>
        <v>CV. SENTOSA ABADI</v>
      </c>
      <c r="F61" s="52" t="str">
        <f>IFERROR(__xludf.DUMMYFUNCTION("""COMPUTED_VALUE"""),"DRIVER DT H700ZY")</f>
        <v>DRIVER DT H700ZY</v>
      </c>
      <c r="G61" s="52" t="str">
        <f>IFERROR(__xludf.DUMMYFUNCTION("""COMPUTED_VALUE"""),"KENDARAAN &amp; UNIT SUPPORT")</f>
        <v>KENDARAAN &amp; UNIT SUPPORT</v>
      </c>
      <c r="H61" s="52" t="str">
        <f>IFERROR(__xludf.DUMMYFUNCTION("""COMPUTED_VALUE"""),"[0102150004] NAFTALI RARE'A, ST")</f>
        <v>[0102150004] NAFTALI RARE'A, ST</v>
      </c>
      <c r="I61" s="52"/>
      <c r="J61" s="53" t="str">
        <f>IFERROR(__xludf.DUMMYFUNCTION("""COMPUTED_VALUE"""),"[107201158] ANSHAR")</f>
        <v>[107201158] ANSHAR</v>
      </c>
      <c r="K61" s="52"/>
      <c r="L61" s="52" t="str">
        <f t="shared" si="1"/>
        <v>#VALUE!</v>
      </c>
      <c r="M61" s="52"/>
      <c r="N61" s="52"/>
      <c r="O61" s="52"/>
      <c r="P61" s="52"/>
      <c r="Q61" s="52"/>
      <c r="R61" s="52"/>
      <c r="S61" s="52"/>
      <c r="T61" s="52"/>
      <c r="U61" s="52"/>
      <c r="V61" s="52"/>
      <c r="W61" s="52"/>
      <c r="X61" s="52"/>
      <c r="Y61" s="52"/>
      <c r="Z61" s="52"/>
    </row>
    <row r="62">
      <c r="A62" s="52">
        <f>IFERROR(__xludf.DUMMYFUNCTION("""COMPUTED_VALUE"""),2.06211414E8)</f>
        <v>206211414</v>
      </c>
      <c r="B62" s="52" t="str">
        <f>IFERROR(__xludf.DUMMYFUNCTION("""COMPUTED_VALUE"""),"ANTONIUS")</f>
        <v>ANTONIUS</v>
      </c>
      <c r="C62" s="52">
        <f>IFERROR(__xludf.DUMMYFUNCTION("""COMPUTED_VALUE"""),38.0)</f>
        <v>38</v>
      </c>
      <c r="D62" s="52" t="str">
        <f>IFERROR(__xludf.DUMMYFUNCTION("""COMPUTED_VALUE"""),"Kristen Protestan")</f>
        <v>Kristen Protestan</v>
      </c>
      <c r="E62" s="52" t="str">
        <f>IFERROR(__xludf.DUMMYFUNCTION("""COMPUTED_VALUE"""),"CV. Adil Prima Perkasa")</f>
        <v>CV. Adil Prima Perkasa</v>
      </c>
      <c r="F62" s="52" t="str">
        <f>IFERROR(__xludf.DUMMYFUNCTION("""COMPUTED_VALUE"""),"OPERATOR BULLDOZER")</f>
        <v>OPERATOR BULLDOZER</v>
      </c>
      <c r="G62" s="52" t="str">
        <f>IFERROR(__xludf.DUMMYFUNCTION("""COMPUTED_VALUE"""),"PRODUKSI")</f>
        <v>PRODUKSI</v>
      </c>
      <c r="H62" s="52" t="str">
        <f>IFERROR(__xludf.DUMMYFUNCTION("""COMPUTED_VALUE"""),"[0102130003] PURNAWAN")</f>
        <v>[0102130003] PURNAWAN</v>
      </c>
      <c r="I62" s="52"/>
      <c r="J62" s="53" t="str">
        <f>IFERROR(__xludf.DUMMYFUNCTION("""COMPUTED_VALUE"""),"[206211414] ANTONIUS")</f>
        <v>[206211414] ANTONIUS</v>
      </c>
      <c r="K62" s="52"/>
      <c r="L62" s="52" t="str">
        <f t="shared" si="1"/>
        <v>#VALUE!</v>
      </c>
      <c r="M62" s="52"/>
      <c r="N62" s="52"/>
      <c r="O62" s="52"/>
      <c r="P62" s="52"/>
      <c r="Q62" s="52"/>
      <c r="R62" s="52"/>
      <c r="S62" s="52"/>
      <c r="T62" s="52"/>
      <c r="U62" s="52"/>
      <c r="V62" s="52"/>
      <c r="W62" s="52"/>
      <c r="X62" s="52"/>
      <c r="Y62" s="52"/>
      <c r="Z62" s="52"/>
    </row>
    <row r="63">
      <c r="A63" s="52">
        <f>IFERROR(__xludf.DUMMYFUNCTION("""COMPUTED_VALUE"""),2.03211348E8)</f>
        <v>203211348</v>
      </c>
      <c r="B63" s="52" t="str">
        <f>IFERROR(__xludf.DUMMYFUNCTION("""COMPUTED_VALUE"""),"ANTONIUS RUPANG")</f>
        <v>ANTONIUS RUPANG</v>
      </c>
      <c r="C63" s="52">
        <f>IFERROR(__xludf.DUMMYFUNCTION("""COMPUTED_VALUE"""),30.0)</f>
        <v>30</v>
      </c>
      <c r="D63" s="52" t="str">
        <f>IFERROR(__xludf.DUMMYFUNCTION("""COMPUTED_VALUE"""),"Kristen Khatolik")</f>
        <v>Kristen Khatolik</v>
      </c>
      <c r="E63" s="52" t="str">
        <f>IFERROR(__xludf.DUMMYFUNCTION("""COMPUTED_VALUE"""),"CV. Adil Prima Perkasa")</f>
        <v>CV. Adil Prima Perkasa</v>
      </c>
      <c r="F63" s="52" t="str">
        <f>IFERROR(__xludf.DUMMYFUNCTION("""COMPUTED_VALUE"""),"OPERATOR EXCAVATOR")</f>
        <v>OPERATOR EXCAVATOR</v>
      </c>
      <c r="G63" s="52" t="str">
        <f>IFERROR(__xludf.DUMMYFUNCTION("""COMPUTED_VALUE"""),"PRODUKSI")</f>
        <v>PRODUKSI</v>
      </c>
      <c r="H63" s="52" t="str">
        <f>IFERROR(__xludf.DUMMYFUNCTION("""COMPUTED_VALUE"""),"[0102130003] PURNAWAN")</f>
        <v>[0102130003] PURNAWAN</v>
      </c>
      <c r="I63" s="55">
        <f>IFERROR(__xludf.DUMMYFUNCTION("""COMPUTED_VALUE"""),33488.0)</f>
        <v>33488</v>
      </c>
      <c r="J63" s="53" t="str">
        <f>IFERROR(__xludf.DUMMYFUNCTION("""COMPUTED_VALUE"""),"[203211348] ANTONIUS RUPANG")</f>
        <v>[203211348] ANTONIUS RUPANG</v>
      </c>
      <c r="K63" s="52"/>
      <c r="L63" s="52" t="str">
        <f t="shared" si="1"/>
        <v>#VALUE!</v>
      </c>
      <c r="M63" s="52"/>
      <c r="N63" s="52"/>
      <c r="O63" s="52"/>
      <c r="P63" s="52"/>
      <c r="Q63" s="52"/>
      <c r="R63" s="52"/>
      <c r="S63" s="52"/>
      <c r="T63" s="52"/>
      <c r="U63" s="52"/>
      <c r="V63" s="52"/>
      <c r="W63" s="52"/>
      <c r="X63" s="52"/>
      <c r="Y63" s="52"/>
      <c r="Z63" s="52"/>
    </row>
    <row r="64">
      <c r="A64" s="52">
        <f>IFERROR(__xludf.DUMMYFUNCTION("""COMPUTED_VALUE"""),1.0720116E8)</f>
        <v>107201160</v>
      </c>
      <c r="B64" s="52" t="str">
        <f>IFERROR(__xludf.DUMMYFUNCTION("""COMPUTED_VALUE"""),"APENDI")</f>
        <v>APENDI</v>
      </c>
      <c r="C64" s="52">
        <f>IFERROR(__xludf.DUMMYFUNCTION("""COMPUTED_VALUE"""),39.0)</f>
        <v>39</v>
      </c>
      <c r="D64" s="52" t="str">
        <f>IFERROR(__xludf.DUMMYFUNCTION("""COMPUTED_VALUE"""),"Islam")</f>
        <v>Islam</v>
      </c>
      <c r="E64" s="52" t="str">
        <f>IFERROR(__xludf.DUMMYFUNCTION("""COMPUTED_VALUE"""),"CV. SENTOSA ABADI")</f>
        <v>CV. SENTOSA ABADI</v>
      </c>
      <c r="F64" s="52" t="str">
        <f>IFERROR(__xludf.DUMMYFUNCTION("""COMPUTED_VALUE"""),"OPERATOR EXCAVATOR")</f>
        <v>OPERATOR EXCAVATOR</v>
      </c>
      <c r="G64" s="52" t="str">
        <f>IFERROR(__xludf.DUMMYFUNCTION("""COMPUTED_VALUE"""),"PRODUKSI")</f>
        <v>PRODUKSI</v>
      </c>
      <c r="H64" s="52" t="str">
        <f>IFERROR(__xludf.DUMMYFUNCTION("""COMPUTED_VALUE"""),"[0102130003] PURNAWAN")</f>
        <v>[0102130003] PURNAWAN</v>
      </c>
      <c r="I64" s="52"/>
      <c r="J64" s="53" t="str">
        <f>IFERROR(__xludf.DUMMYFUNCTION("""COMPUTED_VALUE"""),"[107201160] APENDI")</f>
        <v>[107201160] APENDI</v>
      </c>
      <c r="K64" s="52"/>
      <c r="L64" s="52" t="str">
        <f t="shared" si="1"/>
        <v>#VALUE!</v>
      </c>
      <c r="M64" s="52"/>
      <c r="N64" s="52"/>
      <c r="O64" s="52"/>
      <c r="P64" s="52"/>
      <c r="Q64" s="52"/>
      <c r="R64" s="52"/>
      <c r="S64" s="52"/>
      <c r="T64" s="52"/>
      <c r="U64" s="52"/>
      <c r="V64" s="52"/>
      <c r="W64" s="52"/>
      <c r="X64" s="52"/>
      <c r="Y64" s="52"/>
      <c r="Z64" s="52"/>
    </row>
    <row r="65">
      <c r="A65" s="52">
        <f>IFERROR(__xludf.DUMMYFUNCTION("""COMPUTED_VALUE"""),2.04231744E8)</f>
        <v>204231744</v>
      </c>
      <c r="B65" s="52" t="str">
        <f>IFERROR(__xludf.DUMMYFUNCTION("""COMPUTED_VALUE"""),"AQIL")</f>
        <v>AQIL</v>
      </c>
      <c r="C65" s="52">
        <f>IFERROR(__xludf.DUMMYFUNCTION("""COMPUTED_VALUE"""),22.0)</f>
        <v>22</v>
      </c>
      <c r="D65" s="52" t="str">
        <f>IFERROR(__xludf.DUMMYFUNCTION("""COMPUTED_VALUE"""),"Islam")</f>
        <v>Islam</v>
      </c>
      <c r="E65" s="52" t="str">
        <f>IFERROR(__xludf.DUMMYFUNCTION("""COMPUTED_VALUE"""),"CV. Adil Prima Perkasa")</f>
        <v>CV. Adil Prima Perkasa</v>
      </c>
      <c r="F65" s="52" t="str">
        <f>IFERROR(__xludf.DUMMYFUNCTION("""COMPUTED_VALUE"""),"OFFICE BOY")</f>
        <v>OFFICE BOY</v>
      </c>
      <c r="G65" s="52" t="str">
        <f>IFERROR(__xludf.DUMMYFUNCTION("""COMPUTED_VALUE"""),"HRD &amp; GA")</f>
        <v>HRD &amp; GA</v>
      </c>
      <c r="H65" s="52" t="str">
        <f>IFERROR(__xludf.DUMMYFUNCTION("""COMPUTED_VALUE"""),"FALSE")</f>
        <v>FALSE</v>
      </c>
      <c r="I65" s="55">
        <f>IFERROR(__xludf.DUMMYFUNCTION("""COMPUTED_VALUE"""),37325.0)</f>
        <v>37325</v>
      </c>
      <c r="J65" s="53" t="str">
        <f>IFERROR(__xludf.DUMMYFUNCTION("""COMPUTED_VALUE"""),"[204231744] AQIL")</f>
        <v>[204231744] AQIL</v>
      </c>
      <c r="K65" s="52"/>
      <c r="L65" s="52" t="str">
        <f t="shared" si="1"/>
        <v>#VALUE!</v>
      </c>
      <c r="M65" s="52"/>
      <c r="N65" s="52"/>
      <c r="O65" s="52"/>
      <c r="P65" s="52"/>
      <c r="Q65" s="52"/>
      <c r="R65" s="52"/>
      <c r="S65" s="52"/>
      <c r="T65" s="52"/>
      <c r="U65" s="52"/>
      <c r="V65" s="52"/>
      <c r="W65" s="52"/>
      <c r="X65" s="52"/>
      <c r="Y65" s="52"/>
      <c r="Z65" s="52"/>
    </row>
    <row r="66">
      <c r="A66" s="52">
        <f>IFERROR(__xludf.DUMMYFUNCTION("""COMPUTED_VALUE"""),1.08201187E8)</f>
        <v>108201187</v>
      </c>
      <c r="B66" s="52" t="str">
        <f>IFERROR(__xludf.DUMMYFUNCTION("""COMPUTED_VALUE"""),"ARAFNAL")</f>
        <v>ARAFNAL</v>
      </c>
      <c r="C66" s="52">
        <f>IFERROR(__xludf.DUMMYFUNCTION("""COMPUTED_VALUE"""),27.0)</f>
        <v>27</v>
      </c>
      <c r="D66" s="52" t="str">
        <f>IFERROR(__xludf.DUMMYFUNCTION("""COMPUTED_VALUE"""),"Islam")</f>
        <v>Islam</v>
      </c>
      <c r="E66" s="52" t="str">
        <f>IFERROR(__xludf.DUMMYFUNCTION("""COMPUTED_VALUE"""),"CV. SENTOSA ABADI")</f>
        <v>CV. SENTOSA ABADI</v>
      </c>
      <c r="F66" s="52" t="str">
        <f>IFERROR(__xludf.DUMMYFUNCTION("""COMPUTED_VALUE"""),"DRIVER DT H700ZS")</f>
        <v>DRIVER DT H700ZS</v>
      </c>
      <c r="G66" s="52" t="str">
        <f>IFERROR(__xludf.DUMMYFUNCTION("""COMPUTED_VALUE"""),"KENDARAAN &amp; UNIT SUPPORT")</f>
        <v>KENDARAAN &amp; UNIT SUPPORT</v>
      </c>
      <c r="H66" s="52" t="str">
        <f>IFERROR(__xludf.DUMMYFUNCTION("""COMPUTED_VALUE"""),"[0102150004] NAFTALI RARE'A, ST")</f>
        <v>[0102150004] NAFTALI RARE'A, ST</v>
      </c>
      <c r="I66" s="52"/>
      <c r="J66" s="53" t="str">
        <f>IFERROR(__xludf.DUMMYFUNCTION("""COMPUTED_VALUE"""),"[108201187] ARAFNAL")</f>
        <v>[108201187] ARAFNAL</v>
      </c>
      <c r="K66" s="52"/>
      <c r="L66" s="52" t="str">
        <f t="shared" si="1"/>
        <v>#VALUE!</v>
      </c>
      <c r="M66" s="52"/>
      <c r="N66" s="52"/>
      <c r="O66" s="52"/>
      <c r="P66" s="52"/>
      <c r="Q66" s="52"/>
      <c r="R66" s="52"/>
      <c r="S66" s="52"/>
      <c r="T66" s="52"/>
      <c r="U66" s="52"/>
      <c r="V66" s="52"/>
      <c r="W66" s="52"/>
      <c r="X66" s="52"/>
      <c r="Y66" s="52"/>
      <c r="Z66" s="52"/>
    </row>
    <row r="67">
      <c r="A67" s="52">
        <f>IFERROR(__xludf.DUMMYFUNCTION("""COMPUTED_VALUE"""),2.03241898E8)</f>
        <v>203241898</v>
      </c>
      <c r="B67" s="52" t="str">
        <f>IFERROR(__xludf.DUMMYFUNCTION("""COMPUTED_VALUE"""),"ARDI")</f>
        <v>ARDI</v>
      </c>
      <c r="C67" s="52">
        <f>IFERROR(__xludf.DUMMYFUNCTION("""COMPUTED_VALUE"""),0.0)</f>
        <v>0</v>
      </c>
      <c r="D67" s="52"/>
      <c r="E67" s="52" t="str">
        <f>IFERROR(__xludf.DUMMYFUNCTION("""COMPUTED_VALUE"""),"CV. Adil Prima Perkasa")</f>
        <v>CV. Adil Prima Perkasa</v>
      </c>
      <c r="F67" s="52" t="str">
        <f>IFERROR(__xludf.DUMMYFUNCTION("""COMPUTED_VALUE"""),"CREW SURVEY")</f>
        <v>CREW SURVEY</v>
      </c>
      <c r="G67" s="52" t="str">
        <f>IFERROR(__xludf.DUMMYFUNCTION("""COMPUTED_VALUE"""),"MPE")</f>
        <v>MPE</v>
      </c>
      <c r="H67" s="52" t="str">
        <f>IFERROR(__xludf.DUMMYFUNCTION("""COMPUTED_VALUE"""),"[0102150007] EKY SIDIK PRATAMA, ST")</f>
        <v>[0102150007] EKY SIDIK PRATAMA, ST</v>
      </c>
      <c r="I67" s="52"/>
      <c r="J67" s="53" t="str">
        <f>IFERROR(__xludf.DUMMYFUNCTION("""COMPUTED_VALUE"""),"[203241898] ARDI")</f>
        <v>[203241898] ARDI</v>
      </c>
      <c r="K67" s="52"/>
      <c r="L67" s="52" t="str">
        <f t="shared" si="1"/>
        <v>#VALUE!</v>
      </c>
      <c r="M67" s="52"/>
      <c r="N67" s="52"/>
      <c r="O67" s="52"/>
      <c r="P67" s="52"/>
      <c r="Q67" s="52"/>
      <c r="R67" s="52"/>
      <c r="S67" s="52"/>
      <c r="T67" s="52"/>
      <c r="U67" s="52"/>
      <c r="V67" s="52"/>
      <c r="W67" s="52"/>
      <c r="X67" s="52"/>
      <c r="Y67" s="52"/>
      <c r="Z67" s="52"/>
    </row>
    <row r="68">
      <c r="A68" s="52">
        <f>IFERROR(__xludf.DUMMYFUNCTION("""COMPUTED_VALUE"""),2.03221614E8)</f>
        <v>203221614</v>
      </c>
      <c r="B68" s="52" t="str">
        <f>IFERROR(__xludf.DUMMYFUNCTION("""COMPUTED_VALUE"""),"ARDIAN")</f>
        <v>ARDIAN</v>
      </c>
      <c r="C68" s="52">
        <f>IFERROR(__xludf.DUMMYFUNCTION("""COMPUTED_VALUE"""),24.0)</f>
        <v>24</v>
      </c>
      <c r="D68" s="52" t="str">
        <f>IFERROR(__xludf.DUMMYFUNCTION("""COMPUTED_VALUE"""),"Islam")</f>
        <v>Islam</v>
      </c>
      <c r="E68" s="52" t="str">
        <f>IFERROR(__xludf.DUMMYFUNCTION("""COMPUTED_VALUE"""),"CV. Adil Prima Perkasa")</f>
        <v>CV. Adil Prima Perkasa</v>
      </c>
      <c r="F68" s="52" t="str">
        <f>IFERROR(__xludf.DUMMYFUNCTION("""COMPUTED_VALUE"""),"OPERATOR EXCAVATOR")</f>
        <v>OPERATOR EXCAVATOR</v>
      </c>
      <c r="G68" s="52" t="str">
        <f>IFERROR(__xludf.DUMMYFUNCTION("""COMPUTED_VALUE"""),"PRODUKSI")</f>
        <v>PRODUKSI</v>
      </c>
      <c r="H68" s="52" t="str">
        <f>IFERROR(__xludf.DUMMYFUNCTION("""COMPUTED_VALUE"""),"[0102130003] PURNAWAN")</f>
        <v>[0102130003] PURNAWAN</v>
      </c>
      <c r="I68" s="52"/>
      <c r="J68" s="53" t="str">
        <f>IFERROR(__xludf.DUMMYFUNCTION("""COMPUTED_VALUE"""),"[203221614] ARDIAN")</f>
        <v>[203221614] ARDIAN</v>
      </c>
      <c r="K68" s="52"/>
      <c r="L68" s="52" t="str">
        <f t="shared" si="1"/>
        <v>#VALUE!</v>
      </c>
      <c r="M68" s="52"/>
      <c r="N68" s="52"/>
      <c r="O68" s="52"/>
      <c r="P68" s="52"/>
      <c r="Q68" s="52"/>
      <c r="R68" s="52"/>
      <c r="S68" s="52"/>
      <c r="T68" s="52"/>
      <c r="U68" s="52"/>
      <c r="V68" s="52"/>
      <c r="W68" s="52"/>
      <c r="X68" s="52"/>
      <c r="Y68" s="52"/>
      <c r="Z68" s="52"/>
    </row>
    <row r="69">
      <c r="A69" s="52">
        <f>IFERROR(__xludf.DUMMYFUNCTION("""COMPUTED_VALUE"""),2.05241921E8)</f>
        <v>205241921</v>
      </c>
      <c r="B69" s="52" t="str">
        <f>IFERROR(__xludf.DUMMYFUNCTION("""COMPUTED_VALUE"""),"ARDIANSYAH")</f>
        <v>ARDIANSYAH</v>
      </c>
      <c r="C69" s="52">
        <f>IFERROR(__xludf.DUMMYFUNCTION("""COMPUTED_VALUE"""),0.0)</f>
        <v>0</v>
      </c>
      <c r="D69" s="52"/>
      <c r="E69" s="52" t="str">
        <f>IFERROR(__xludf.DUMMYFUNCTION("""COMPUTED_VALUE"""),"CV. Adil Prima Perkasa")</f>
        <v>CV. Adil Prima Perkasa</v>
      </c>
      <c r="F69" s="52" t="str">
        <f>IFERROR(__xludf.DUMMYFUNCTION("""COMPUTED_VALUE"""),"HELPER MECHANIC MAINTENANCE")</f>
        <v>HELPER MECHANIC MAINTENANCE</v>
      </c>
      <c r="G69" s="52" t="str">
        <f>IFERROR(__xludf.DUMMYFUNCTION("""COMPUTED_VALUE"""),"WORKSHOP")</f>
        <v>WORKSHOP</v>
      </c>
      <c r="H69" s="52" t="str">
        <f>IFERROR(__xludf.DUMMYFUNCTION("""COMPUTED_VALUE"""),"[0106190928] NATAN KONDO")</f>
        <v>[0106190928] NATAN KONDO</v>
      </c>
      <c r="I69" s="52"/>
      <c r="J69" s="53" t="str">
        <f>IFERROR(__xludf.DUMMYFUNCTION("""COMPUTED_VALUE"""),"[205241921] ARDIANSYAH")</f>
        <v>[205241921] ARDIANSYAH</v>
      </c>
      <c r="K69" s="52"/>
      <c r="L69" s="52" t="str">
        <f t="shared" si="1"/>
        <v>#VALUE!</v>
      </c>
      <c r="M69" s="52"/>
      <c r="N69" s="52"/>
      <c r="O69" s="52"/>
      <c r="P69" s="52"/>
      <c r="Q69" s="52"/>
      <c r="R69" s="52"/>
      <c r="S69" s="52"/>
      <c r="T69" s="52"/>
      <c r="U69" s="52"/>
      <c r="V69" s="52"/>
      <c r="W69" s="52"/>
      <c r="X69" s="52"/>
      <c r="Y69" s="52"/>
      <c r="Z69" s="52"/>
    </row>
    <row r="70">
      <c r="A70" s="52">
        <f>IFERROR(__xludf.DUMMYFUNCTION("""COMPUTED_VALUE"""),2.04241911E8)</f>
        <v>204241911</v>
      </c>
      <c r="B70" s="52" t="str">
        <f>IFERROR(__xludf.DUMMYFUNCTION("""COMPUTED_VALUE"""),"ARHAM")</f>
        <v>ARHAM</v>
      </c>
      <c r="C70" s="52">
        <f>IFERROR(__xludf.DUMMYFUNCTION("""COMPUTED_VALUE"""),0.0)</f>
        <v>0</v>
      </c>
      <c r="D70" s="52"/>
      <c r="E70" s="52" t="str">
        <f>IFERROR(__xludf.DUMMYFUNCTION("""COMPUTED_VALUE"""),"CV. Adil Prima Perkasa")</f>
        <v>CV. Adil Prima Perkasa</v>
      </c>
      <c r="F70" s="52" t="str">
        <f>IFERROR(__xludf.DUMMYFUNCTION("""COMPUTED_VALUE"""),"HELPER MEKANIK")</f>
        <v>HELPER MEKANIK</v>
      </c>
      <c r="G70" s="52" t="str">
        <f>IFERROR(__xludf.DUMMYFUNCTION("""COMPUTED_VALUE"""),"WORKSHOP")</f>
        <v>WORKSHOP</v>
      </c>
      <c r="H70" s="52" t="str">
        <f>IFERROR(__xludf.DUMMYFUNCTION("""COMPUTED_VALUE"""),"[0106190928] NATAN KONDO")</f>
        <v>[0106190928] NATAN KONDO</v>
      </c>
      <c r="I70" s="52"/>
      <c r="J70" s="53" t="str">
        <f>IFERROR(__xludf.DUMMYFUNCTION("""COMPUTED_VALUE"""),"[204241911] ARHAM")</f>
        <v>[204241911] ARHAM</v>
      </c>
      <c r="K70" s="52"/>
      <c r="L70" s="52" t="str">
        <f t="shared" si="1"/>
        <v>#VALUE!</v>
      </c>
      <c r="M70" s="52"/>
      <c r="N70" s="52"/>
      <c r="O70" s="52"/>
      <c r="P70" s="52"/>
      <c r="Q70" s="52"/>
      <c r="R70" s="52"/>
      <c r="S70" s="52"/>
      <c r="T70" s="52"/>
      <c r="U70" s="52"/>
      <c r="V70" s="52"/>
      <c r="W70" s="52"/>
      <c r="X70" s="52"/>
      <c r="Y70" s="52"/>
      <c r="Z70" s="52"/>
    </row>
    <row r="71">
      <c r="A71" s="52">
        <f>IFERROR(__xludf.DUMMYFUNCTION("""COMPUTED_VALUE"""),2.01241879E8)</f>
        <v>201241879</v>
      </c>
      <c r="B71" s="52" t="str">
        <f>IFERROR(__xludf.DUMMYFUNCTION("""COMPUTED_VALUE"""),"ARIADI TURUSI")</f>
        <v>ARIADI TURUSI</v>
      </c>
      <c r="C71" s="52">
        <f>IFERROR(__xludf.DUMMYFUNCTION("""COMPUTED_VALUE"""),0.0)</f>
        <v>0</v>
      </c>
      <c r="D71" s="52"/>
      <c r="E71" s="52" t="str">
        <f>IFERROR(__xludf.DUMMYFUNCTION("""COMPUTED_VALUE"""),"CV. Adil Prima Perkasa")</f>
        <v>CV. Adil Prima Perkasa</v>
      </c>
      <c r="F71" s="52" t="str">
        <f>IFERROR(__xludf.DUMMYFUNCTION("""COMPUTED_VALUE"""),"HELPER FUEL")</f>
        <v>HELPER FUEL</v>
      </c>
      <c r="G71" s="52" t="str">
        <f>IFERROR(__xludf.DUMMYFUNCTION("""COMPUTED_VALUE"""),"MPE")</f>
        <v>MPE</v>
      </c>
      <c r="H71" s="52" t="str">
        <f>IFERROR(__xludf.DUMMYFUNCTION("""COMPUTED_VALUE"""),"[0102150007] EKY SIDIK PRATAMA, ST")</f>
        <v>[0102150007] EKY SIDIK PRATAMA, ST</v>
      </c>
      <c r="I71" s="52"/>
      <c r="J71" s="53" t="str">
        <f>IFERROR(__xludf.DUMMYFUNCTION("""COMPUTED_VALUE"""),"[201241879] ARIADI TURUSI")</f>
        <v>[201241879] ARIADI TURUSI</v>
      </c>
      <c r="K71" s="52"/>
      <c r="L71" s="52" t="str">
        <f t="shared" si="1"/>
        <v>#VALUE!</v>
      </c>
      <c r="M71" s="52"/>
      <c r="N71" s="52"/>
      <c r="O71" s="52"/>
      <c r="P71" s="52"/>
      <c r="Q71" s="52"/>
      <c r="R71" s="52"/>
      <c r="S71" s="52"/>
      <c r="T71" s="52"/>
      <c r="U71" s="52"/>
      <c r="V71" s="52"/>
      <c r="W71" s="52"/>
      <c r="X71" s="52"/>
      <c r="Y71" s="52"/>
      <c r="Z71" s="52"/>
    </row>
    <row r="72">
      <c r="A72" s="52"/>
      <c r="B72" s="52" t="str">
        <f>IFERROR(__xludf.DUMMYFUNCTION("""COMPUTED_VALUE"""),"ARIAI")</f>
        <v>ARIAI</v>
      </c>
      <c r="C72" s="52">
        <f>IFERROR(__xludf.DUMMYFUNCTION("""COMPUTED_VALUE"""),0.0)</f>
        <v>0</v>
      </c>
      <c r="D72" s="52"/>
      <c r="E72" s="52" t="str">
        <f>IFERROR(__xludf.DUMMYFUNCTION("""COMPUTED_VALUE"""),"CV. Adil Prima Perkasa")</f>
        <v>CV. Adil Prima Perkasa</v>
      </c>
      <c r="F72" s="52" t="str">
        <f>IFERROR(__xludf.DUMMYFUNCTION("""COMPUTED_VALUE"""),"FALSE")</f>
        <v>FALSE</v>
      </c>
      <c r="G72" s="52" t="str">
        <f>IFERROR(__xludf.DUMMYFUNCTION("""COMPUTED_VALUE"""),"FALSE")</f>
        <v>FALSE</v>
      </c>
      <c r="H72" s="52" t="str">
        <f>IFERROR(__xludf.DUMMYFUNCTION("""COMPUTED_VALUE"""),"FALSE")</f>
        <v>FALSE</v>
      </c>
      <c r="I72" s="52"/>
      <c r="J72" s="53" t="str">
        <f>IFERROR(__xludf.DUMMYFUNCTION("""COMPUTED_VALUE"""),"[] ARIAI")</f>
        <v>[] ARIAI</v>
      </c>
      <c r="K72" s="52"/>
      <c r="L72" s="52" t="str">
        <f t="shared" si="1"/>
        <v>#VALUE!</v>
      </c>
      <c r="M72" s="52"/>
      <c r="N72" s="52"/>
      <c r="O72" s="52"/>
      <c r="P72" s="52"/>
      <c r="Q72" s="52"/>
      <c r="R72" s="52"/>
      <c r="S72" s="52"/>
      <c r="T72" s="52"/>
      <c r="U72" s="52"/>
      <c r="V72" s="52"/>
      <c r="W72" s="52"/>
      <c r="X72" s="52"/>
      <c r="Y72" s="52"/>
      <c r="Z72" s="52"/>
    </row>
    <row r="73">
      <c r="A73" s="52">
        <f>IFERROR(__xludf.DUMMYFUNCTION("""COMPUTED_VALUE"""),2.12231868E8)</f>
        <v>212231868</v>
      </c>
      <c r="B73" s="52" t="str">
        <f>IFERROR(__xludf.DUMMYFUNCTION("""COMPUTED_VALUE"""),"ARIEF MOWOSE")</f>
        <v>ARIEF MOWOSE</v>
      </c>
      <c r="C73" s="52">
        <f>IFERROR(__xludf.DUMMYFUNCTION("""COMPUTED_VALUE"""),0.0)</f>
        <v>0</v>
      </c>
      <c r="D73" s="52"/>
      <c r="E73" s="52" t="str">
        <f>IFERROR(__xludf.DUMMYFUNCTION("""COMPUTED_VALUE"""),"CV. Adil Prima Perkasa")</f>
        <v>CV. Adil Prima Perkasa</v>
      </c>
      <c r="F73" s="52" t="str">
        <f>IFERROR(__xludf.DUMMYFUNCTION("""COMPUTED_VALUE"""),"DRIVER DT H500")</f>
        <v>DRIVER DT H500</v>
      </c>
      <c r="G73" s="52" t="str">
        <f>IFERROR(__xludf.DUMMYFUNCTION("""COMPUTED_VALUE"""),"KENDARAAN &amp; UNIT SUPPORT")</f>
        <v>KENDARAAN &amp; UNIT SUPPORT</v>
      </c>
      <c r="H73" s="52" t="str">
        <f>IFERROR(__xludf.DUMMYFUNCTION("""COMPUTED_VALUE"""),"[0102150004] NAFTALI RARE'A, ST")</f>
        <v>[0102150004] NAFTALI RARE'A, ST</v>
      </c>
      <c r="I73" s="52"/>
      <c r="J73" s="53" t="str">
        <f>IFERROR(__xludf.DUMMYFUNCTION("""COMPUTED_VALUE"""),"[212231868] ARIEF MOWOSE")</f>
        <v>[212231868] ARIEF MOWOSE</v>
      </c>
      <c r="K73" s="52"/>
      <c r="L73" s="52" t="str">
        <f t="shared" si="1"/>
        <v>#VALUE!</v>
      </c>
      <c r="M73" s="52"/>
      <c r="N73" s="52"/>
      <c r="O73" s="52"/>
      <c r="P73" s="52"/>
      <c r="Q73" s="52"/>
      <c r="R73" s="52"/>
      <c r="S73" s="52"/>
      <c r="T73" s="52"/>
      <c r="U73" s="52"/>
      <c r="V73" s="52"/>
      <c r="W73" s="52"/>
      <c r="X73" s="52"/>
      <c r="Y73" s="52"/>
      <c r="Z73" s="52"/>
    </row>
    <row r="74">
      <c r="A74" s="52">
        <f>IFERROR(__xludf.DUMMYFUNCTION("""COMPUTED_VALUE"""),2.12180734E8)</f>
        <v>212180734</v>
      </c>
      <c r="B74" s="52" t="str">
        <f>IFERROR(__xludf.DUMMYFUNCTION("""COMPUTED_VALUE"""),"ARIS")</f>
        <v>ARIS</v>
      </c>
      <c r="C74" s="52">
        <f>IFERROR(__xludf.DUMMYFUNCTION("""COMPUTED_VALUE"""),31.0)</f>
        <v>31</v>
      </c>
      <c r="D74" s="52" t="str">
        <f>IFERROR(__xludf.DUMMYFUNCTION("""COMPUTED_VALUE"""),"Islam")</f>
        <v>Islam</v>
      </c>
      <c r="E74" s="52" t="str">
        <f>IFERROR(__xludf.DUMMYFUNCTION("""COMPUTED_VALUE"""),"CV. Adil Prima Perkasa")</f>
        <v>CV. Adil Prima Perkasa</v>
      </c>
      <c r="F74" s="52" t="str">
        <f>IFERROR(__xludf.DUMMYFUNCTION("""COMPUTED_VALUE"""),"OPERATOR EXCAVATOR")</f>
        <v>OPERATOR EXCAVATOR</v>
      </c>
      <c r="G74" s="52" t="str">
        <f>IFERROR(__xludf.DUMMYFUNCTION("""COMPUTED_VALUE"""),"PRODUKSI")</f>
        <v>PRODUKSI</v>
      </c>
      <c r="H74" s="52" t="str">
        <f>IFERROR(__xludf.DUMMYFUNCTION("""COMPUTED_VALUE"""),"[0102130003] PURNAWAN")</f>
        <v>[0102130003] PURNAWAN</v>
      </c>
      <c r="I74" s="55">
        <f>IFERROR(__xludf.DUMMYFUNCTION("""COMPUTED_VALUE"""),35057.0)</f>
        <v>35057</v>
      </c>
      <c r="J74" s="53" t="str">
        <f>IFERROR(__xludf.DUMMYFUNCTION("""COMPUTED_VALUE"""),"[212180734] ARIS")</f>
        <v>[212180734] ARIS</v>
      </c>
      <c r="K74" s="52"/>
      <c r="L74" s="52" t="str">
        <f t="shared" si="1"/>
        <v>#VALUE!</v>
      </c>
      <c r="M74" s="52"/>
      <c r="N74" s="52"/>
      <c r="O74" s="52"/>
      <c r="P74" s="52"/>
      <c r="Q74" s="52"/>
      <c r="R74" s="52"/>
      <c r="S74" s="52"/>
      <c r="T74" s="52"/>
      <c r="U74" s="52"/>
      <c r="V74" s="52"/>
      <c r="W74" s="52"/>
      <c r="X74" s="52"/>
      <c r="Y74" s="52"/>
      <c r="Z74" s="52"/>
    </row>
    <row r="75">
      <c r="A75" s="52">
        <f>IFERROR(__xludf.DUMMYFUNCTION("""COMPUTED_VALUE"""),2.1223187E8)</f>
        <v>212231870</v>
      </c>
      <c r="B75" s="52" t="str">
        <f>IFERROR(__xludf.DUMMYFUNCTION("""COMPUTED_VALUE"""),"ARIZAL")</f>
        <v>ARIZAL</v>
      </c>
      <c r="C75" s="52">
        <f>IFERROR(__xludf.DUMMYFUNCTION("""COMPUTED_VALUE"""),0.0)</f>
        <v>0</v>
      </c>
      <c r="D75" s="52"/>
      <c r="E75" s="52" t="str">
        <f>IFERROR(__xludf.DUMMYFUNCTION("""COMPUTED_VALUE"""),"CV. Adil Prima Perkasa")</f>
        <v>CV. Adil Prima Perkasa</v>
      </c>
      <c r="F75" s="52" t="str">
        <f>IFERROR(__xludf.DUMMYFUNCTION("""COMPUTED_VALUE"""),"DRIVER DT H500")</f>
        <v>DRIVER DT H500</v>
      </c>
      <c r="G75" s="52" t="str">
        <f>IFERROR(__xludf.DUMMYFUNCTION("""COMPUTED_VALUE"""),"KENDARAAN &amp; UNIT SUPPORT")</f>
        <v>KENDARAAN &amp; UNIT SUPPORT</v>
      </c>
      <c r="H75" s="52" t="str">
        <f>IFERROR(__xludf.DUMMYFUNCTION("""COMPUTED_VALUE"""),"[0102150004] NAFTALI RARE'A, ST")</f>
        <v>[0102150004] NAFTALI RARE'A, ST</v>
      </c>
      <c r="I75" s="52"/>
      <c r="J75" s="53" t="str">
        <f>IFERROR(__xludf.DUMMYFUNCTION("""COMPUTED_VALUE"""),"[212231870] ARIZAL")</f>
        <v>[212231870] ARIZAL</v>
      </c>
      <c r="K75" s="52"/>
      <c r="L75" s="52" t="str">
        <f t="shared" si="1"/>
        <v>#VALUE!</v>
      </c>
      <c r="M75" s="52"/>
      <c r="N75" s="52"/>
      <c r="O75" s="52"/>
      <c r="P75" s="52"/>
      <c r="Q75" s="52"/>
      <c r="R75" s="52"/>
      <c r="S75" s="52"/>
      <c r="T75" s="52"/>
      <c r="U75" s="52"/>
      <c r="V75" s="52"/>
      <c r="W75" s="52"/>
      <c r="X75" s="52"/>
      <c r="Y75" s="52"/>
      <c r="Z75" s="52"/>
    </row>
    <row r="76">
      <c r="A76" s="52">
        <f>IFERROR(__xludf.DUMMYFUNCTION("""COMPUTED_VALUE"""),2.02221582E8)</f>
        <v>202221582</v>
      </c>
      <c r="B76" s="52" t="str">
        <f>IFERROR(__xludf.DUMMYFUNCTION("""COMPUTED_VALUE"""),"ARLIANUS DAGUL")</f>
        <v>ARLIANUS DAGUL</v>
      </c>
      <c r="C76" s="52">
        <f>IFERROR(__xludf.DUMMYFUNCTION("""COMPUTED_VALUE"""),21.0)</f>
        <v>21</v>
      </c>
      <c r="D76" s="52" t="str">
        <f>IFERROR(__xludf.DUMMYFUNCTION("""COMPUTED_VALUE"""),"Kristen Khatolik")</f>
        <v>Kristen Khatolik</v>
      </c>
      <c r="E76" s="52" t="str">
        <f>IFERROR(__xludf.DUMMYFUNCTION("""COMPUTED_VALUE"""),"CV. Adil Prima Perkasa")</f>
        <v>CV. Adil Prima Perkasa</v>
      </c>
      <c r="F76" s="52" t="str">
        <f>IFERROR(__xludf.DUMMYFUNCTION("""COMPUTED_VALUE"""),"CREW PREPARASI")</f>
        <v>CREW PREPARASI</v>
      </c>
      <c r="G76" s="52" t="str">
        <f>IFERROR(__xludf.DUMMYFUNCTION("""COMPUTED_VALUE"""),"GRADE CONTROL")</f>
        <v>GRADE CONTROL</v>
      </c>
      <c r="H76" s="52" t="str">
        <f>IFERROR(__xludf.DUMMYFUNCTION("""COMPUTED_VALUE"""),"[0107201164] A.CHRISTI ARI WIBOWO")</f>
        <v>[0107201164] A.CHRISTI ARI WIBOWO</v>
      </c>
      <c r="I76" s="52"/>
      <c r="J76" s="53" t="str">
        <f>IFERROR(__xludf.DUMMYFUNCTION("""COMPUTED_VALUE"""),"[202221582] ARLIANUS DAGUL")</f>
        <v>[202221582] ARLIANUS DAGUL</v>
      </c>
      <c r="K76" s="52"/>
      <c r="L76" s="52" t="str">
        <f t="shared" si="1"/>
        <v>#VALUE!</v>
      </c>
      <c r="M76" s="52"/>
      <c r="N76" s="52"/>
      <c r="O76" s="52"/>
      <c r="P76" s="52"/>
      <c r="Q76" s="52"/>
      <c r="R76" s="52"/>
      <c r="S76" s="52"/>
      <c r="T76" s="52"/>
      <c r="U76" s="52"/>
      <c r="V76" s="52"/>
      <c r="W76" s="52"/>
      <c r="X76" s="52"/>
      <c r="Y76" s="52"/>
      <c r="Z76" s="52"/>
    </row>
    <row r="77">
      <c r="A77" s="52">
        <f>IFERROR(__xludf.DUMMYFUNCTION("""COMPUTED_VALUE"""),2.09221672E8)</f>
        <v>209221672</v>
      </c>
      <c r="B77" s="52" t="str">
        <f>IFERROR(__xludf.DUMMYFUNCTION("""COMPUTED_VALUE"""),"ARMANSYAH")</f>
        <v>ARMANSYAH</v>
      </c>
      <c r="C77" s="52">
        <f>IFERROR(__xludf.DUMMYFUNCTION("""COMPUTED_VALUE"""),33.0)</f>
        <v>33</v>
      </c>
      <c r="D77" s="52" t="str">
        <f>IFERROR(__xludf.DUMMYFUNCTION("""COMPUTED_VALUE"""),"Islam")</f>
        <v>Islam</v>
      </c>
      <c r="E77" s="52" t="str">
        <f>IFERROR(__xludf.DUMMYFUNCTION("""COMPUTED_VALUE"""),"CV. Adil Prima Perkasa")</f>
        <v>CV. Adil Prima Perkasa</v>
      </c>
      <c r="F77" s="52" t="str">
        <f>IFERROR(__xludf.DUMMYFUNCTION("""COMPUTED_VALUE"""),"DRIVER LV")</f>
        <v>DRIVER LV</v>
      </c>
      <c r="G77" s="52" t="str">
        <f>IFERROR(__xludf.DUMMYFUNCTION("""COMPUTED_VALUE"""),"KENDARAAN &amp; UNIT SUPPORT")</f>
        <v>KENDARAAN &amp; UNIT SUPPORT</v>
      </c>
      <c r="H77" s="52" t="str">
        <f>IFERROR(__xludf.DUMMYFUNCTION("""COMPUTED_VALUE"""),"[0102150004] NAFTALI RARE'A, ST")</f>
        <v>[0102150004] NAFTALI RARE'A, ST</v>
      </c>
      <c r="I77" s="55">
        <f>IFERROR(__xludf.DUMMYFUNCTION("""COMPUTED_VALUE"""),29386.0)</f>
        <v>29386</v>
      </c>
      <c r="J77" s="53" t="str">
        <f>IFERROR(__xludf.DUMMYFUNCTION("""COMPUTED_VALUE"""),"[209221672] ARMANSYAH")</f>
        <v>[209221672] ARMANSYAH</v>
      </c>
      <c r="K77" s="52"/>
      <c r="L77" s="52" t="str">
        <f t="shared" si="1"/>
        <v>#VALUE!</v>
      </c>
      <c r="M77" s="52"/>
      <c r="N77" s="52"/>
      <c r="O77" s="52"/>
      <c r="P77" s="52"/>
      <c r="Q77" s="52"/>
      <c r="R77" s="52"/>
      <c r="S77" s="52"/>
      <c r="T77" s="52"/>
      <c r="U77" s="52"/>
      <c r="V77" s="52"/>
      <c r="W77" s="52"/>
      <c r="X77" s="52"/>
      <c r="Y77" s="52"/>
      <c r="Z77" s="52"/>
    </row>
    <row r="78">
      <c r="A78" s="52">
        <f>IFERROR(__xludf.DUMMYFUNCTION("""COMPUTED_VALUE"""),2.03221612E8)</f>
        <v>203221612</v>
      </c>
      <c r="B78" s="52" t="str">
        <f>IFERROR(__xludf.DUMMYFUNCTION("""COMPUTED_VALUE"""),"ARSYAD")</f>
        <v>ARSYAD</v>
      </c>
      <c r="C78" s="52">
        <f>IFERROR(__xludf.DUMMYFUNCTION("""COMPUTED_VALUE"""),42.0)</f>
        <v>42</v>
      </c>
      <c r="D78" s="52" t="str">
        <f>IFERROR(__xludf.DUMMYFUNCTION("""COMPUTED_VALUE"""),"Islam")</f>
        <v>Islam</v>
      </c>
      <c r="E78" s="52" t="str">
        <f>IFERROR(__xludf.DUMMYFUNCTION("""COMPUTED_VALUE"""),"CV. Adil Prima Perkasa")</f>
        <v>CV. Adil Prima Perkasa</v>
      </c>
      <c r="F78" s="52" t="str">
        <f>IFERROR(__xludf.DUMMYFUNCTION("""COMPUTED_VALUE"""),"OPERATOR EXCAVATOR")</f>
        <v>OPERATOR EXCAVATOR</v>
      </c>
      <c r="G78" s="52" t="str">
        <f>IFERROR(__xludf.DUMMYFUNCTION("""COMPUTED_VALUE"""),"PRODUKSI")</f>
        <v>PRODUKSI</v>
      </c>
      <c r="H78" s="52" t="str">
        <f>IFERROR(__xludf.DUMMYFUNCTION("""COMPUTED_VALUE"""),"[0102130003] PURNAWAN")</f>
        <v>[0102130003] PURNAWAN</v>
      </c>
      <c r="I78" s="55">
        <f>IFERROR(__xludf.DUMMYFUNCTION("""COMPUTED_VALUE"""),30839.0)</f>
        <v>30839</v>
      </c>
      <c r="J78" s="53" t="str">
        <f>IFERROR(__xludf.DUMMYFUNCTION("""COMPUTED_VALUE"""),"[203221612] ARSYAD")</f>
        <v>[203221612] ARSYAD</v>
      </c>
      <c r="K78" s="52"/>
      <c r="L78" s="52" t="str">
        <f t="shared" si="1"/>
        <v>#VALUE!</v>
      </c>
      <c r="M78" s="52"/>
      <c r="N78" s="52"/>
      <c r="O78" s="52"/>
      <c r="P78" s="52"/>
      <c r="Q78" s="52"/>
      <c r="R78" s="52"/>
      <c r="S78" s="52"/>
      <c r="T78" s="52"/>
      <c r="U78" s="52"/>
      <c r="V78" s="52"/>
      <c r="W78" s="52"/>
      <c r="X78" s="52"/>
      <c r="Y78" s="52"/>
      <c r="Z78" s="52"/>
    </row>
    <row r="79">
      <c r="A79" s="52"/>
      <c r="B79" s="52" t="str">
        <f>IFERROR(__xludf.DUMMYFUNCTION("""COMPUTED_VALUE"""),"ASKRA")</f>
        <v>ASKRA</v>
      </c>
      <c r="C79" s="52">
        <f>IFERROR(__xludf.DUMMYFUNCTION("""COMPUTED_VALUE"""),0.0)</f>
        <v>0</v>
      </c>
      <c r="D79" s="52"/>
      <c r="E79" s="52" t="str">
        <f>IFERROR(__xludf.DUMMYFUNCTION("""COMPUTED_VALUE"""),"CV. Adil Prima Perkasa")</f>
        <v>CV. Adil Prima Perkasa</v>
      </c>
      <c r="F79" s="52" t="str">
        <f>IFERROR(__xludf.DUMMYFUNCTION("""COMPUTED_VALUE"""),"FALSE")</f>
        <v>FALSE</v>
      </c>
      <c r="G79" s="52" t="str">
        <f>IFERROR(__xludf.DUMMYFUNCTION("""COMPUTED_VALUE"""),"FALSE")</f>
        <v>FALSE</v>
      </c>
      <c r="H79" s="52" t="str">
        <f>IFERROR(__xludf.DUMMYFUNCTION("""COMPUTED_VALUE"""),"FALSE")</f>
        <v>FALSE</v>
      </c>
      <c r="I79" s="52"/>
      <c r="J79" s="53" t="str">
        <f>IFERROR(__xludf.DUMMYFUNCTION("""COMPUTED_VALUE"""),"[] ASKRA")</f>
        <v>[] ASKRA</v>
      </c>
      <c r="K79" s="52"/>
      <c r="L79" s="52" t="str">
        <f t="shared" si="1"/>
        <v>#VALUE!</v>
      </c>
      <c r="M79" s="52"/>
      <c r="N79" s="52"/>
      <c r="O79" s="52"/>
      <c r="P79" s="52"/>
      <c r="Q79" s="52"/>
      <c r="R79" s="52"/>
      <c r="S79" s="52"/>
      <c r="T79" s="52"/>
      <c r="U79" s="52"/>
      <c r="V79" s="52"/>
      <c r="W79" s="52"/>
      <c r="X79" s="52"/>
      <c r="Y79" s="52"/>
      <c r="Z79" s="52"/>
    </row>
    <row r="80">
      <c r="A80" s="52">
        <f>IFERROR(__xludf.DUMMYFUNCTION("""COMPUTED_VALUE"""),2.08201189E8)</f>
        <v>208201189</v>
      </c>
      <c r="B80" s="52" t="str">
        <f>IFERROR(__xludf.DUMMYFUNCTION("""COMPUTED_VALUE"""),"ASRIADY")</f>
        <v>ASRIADY</v>
      </c>
      <c r="C80" s="52">
        <f>IFERROR(__xludf.DUMMYFUNCTION("""COMPUTED_VALUE"""),32.0)</f>
        <v>32</v>
      </c>
      <c r="D80" s="52" t="str">
        <f>IFERROR(__xludf.DUMMYFUNCTION("""COMPUTED_VALUE"""),"Islam")</f>
        <v>Islam</v>
      </c>
      <c r="E80" s="52" t="str">
        <f>IFERROR(__xludf.DUMMYFUNCTION("""COMPUTED_VALUE"""),"CV. Adil Prima Perkasa")</f>
        <v>CV. Adil Prima Perkasa</v>
      </c>
      <c r="F80" s="52" t="str">
        <f>IFERROR(__xludf.DUMMYFUNCTION("""COMPUTED_VALUE"""),"OPERATOR EXCAVATOR")</f>
        <v>OPERATOR EXCAVATOR</v>
      </c>
      <c r="G80" s="52" t="str">
        <f>IFERROR(__xludf.DUMMYFUNCTION("""COMPUTED_VALUE"""),"PRODUKSI")</f>
        <v>PRODUKSI</v>
      </c>
      <c r="H80" s="52" t="str">
        <f>IFERROR(__xludf.DUMMYFUNCTION("""COMPUTED_VALUE"""),"[0102130003] PURNAWAN")</f>
        <v>[0102130003] PURNAWAN</v>
      </c>
      <c r="I80" s="55">
        <f>IFERROR(__xludf.DUMMYFUNCTION("""COMPUTED_VALUE"""),30628.0)</f>
        <v>30628</v>
      </c>
      <c r="J80" s="53" t="str">
        <f>IFERROR(__xludf.DUMMYFUNCTION("""COMPUTED_VALUE"""),"[208201189] ASRIADY")</f>
        <v>[208201189] ASRIADY</v>
      </c>
      <c r="K80" s="52"/>
      <c r="L80" s="52" t="str">
        <f t="shared" si="1"/>
        <v>#VALUE!</v>
      </c>
      <c r="M80" s="52"/>
      <c r="N80" s="52"/>
      <c r="O80" s="52"/>
      <c r="P80" s="52"/>
      <c r="Q80" s="52"/>
      <c r="R80" s="52"/>
      <c r="S80" s="52"/>
      <c r="T80" s="52"/>
      <c r="U80" s="52"/>
      <c r="V80" s="52"/>
      <c r="W80" s="52"/>
      <c r="X80" s="52"/>
      <c r="Y80" s="52"/>
      <c r="Z80" s="52"/>
    </row>
    <row r="81">
      <c r="A81" s="52">
        <f>IFERROR(__xludf.DUMMYFUNCTION("""COMPUTED_VALUE"""),2.12221712E8)</f>
        <v>212221712</v>
      </c>
      <c r="B81" s="52" t="str">
        <f>IFERROR(__xludf.DUMMYFUNCTION("""COMPUTED_VALUE"""),"ASRIANTO")</f>
        <v>ASRIANTO</v>
      </c>
      <c r="C81" s="52">
        <f>IFERROR(__xludf.DUMMYFUNCTION("""COMPUTED_VALUE"""),30.0)</f>
        <v>30</v>
      </c>
      <c r="D81" s="52" t="str">
        <f>IFERROR(__xludf.DUMMYFUNCTION("""COMPUTED_VALUE"""),"Islam")</f>
        <v>Islam</v>
      </c>
      <c r="E81" s="52" t="str">
        <f>IFERROR(__xludf.DUMMYFUNCTION("""COMPUTED_VALUE"""),"CV. Adil Prima Perkasa")</f>
        <v>CV. Adil Prima Perkasa</v>
      </c>
      <c r="F81" s="52" t="str">
        <f>IFERROR(__xludf.DUMMYFUNCTION("""COMPUTED_VALUE"""),"DRIVER DT H700ZS")</f>
        <v>DRIVER DT H700ZS</v>
      </c>
      <c r="G81" s="52" t="str">
        <f>IFERROR(__xludf.DUMMYFUNCTION("""COMPUTED_VALUE"""),"KENDARAAN &amp; UNIT SUPPORT")</f>
        <v>KENDARAAN &amp; UNIT SUPPORT</v>
      </c>
      <c r="H81" s="52" t="str">
        <f>IFERROR(__xludf.DUMMYFUNCTION("""COMPUTED_VALUE"""),"[0102150004] NAFTALI RARE'A, ST")</f>
        <v>[0102150004] NAFTALI RARE'A, ST</v>
      </c>
      <c r="I81" s="55">
        <f>IFERROR(__xludf.DUMMYFUNCTION("""COMPUTED_VALUE"""),36828.0)</f>
        <v>36828</v>
      </c>
      <c r="J81" s="53" t="str">
        <f>IFERROR(__xludf.DUMMYFUNCTION("""COMPUTED_VALUE"""),"[212221712] ASRIANTO")</f>
        <v>[212221712] ASRIANTO</v>
      </c>
      <c r="K81" s="52"/>
      <c r="L81" s="52" t="str">
        <f t="shared" si="1"/>
        <v>#VALUE!</v>
      </c>
      <c r="M81" s="52"/>
      <c r="N81" s="52"/>
      <c r="O81" s="52"/>
      <c r="P81" s="52"/>
      <c r="Q81" s="52"/>
      <c r="R81" s="52"/>
      <c r="S81" s="52"/>
      <c r="T81" s="52"/>
      <c r="U81" s="52"/>
      <c r="V81" s="52"/>
      <c r="W81" s="52"/>
      <c r="X81" s="52"/>
      <c r="Y81" s="52"/>
      <c r="Z81" s="52"/>
    </row>
    <row r="82">
      <c r="A82" s="52">
        <f>IFERROR(__xludf.DUMMYFUNCTION("""COMPUTED_VALUE"""),1.12180619E8)</f>
        <v>112180619</v>
      </c>
      <c r="B82" s="52" t="str">
        <f>IFERROR(__xludf.DUMMYFUNCTION("""COMPUTED_VALUE"""),"ASRIN AHIMA")</f>
        <v>ASRIN AHIMA</v>
      </c>
      <c r="C82" s="52">
        <f>IFERROR(__xludf.DUMMYFUNCTION("""COMPUTED_VALUE"""),44.0)</f>
        <v>44</v>
      </c>
      <c r="D82" s="52" t="str">
        <f>IFERROR(__xludf.DUMMYFUNCTION("""COMPUTED_VALUE"""),"Islam")</f>
        <v>Islam</v>
      </c>
      <c r="E82" s="52" t="str">
        <f>IFERROR(__xludf.DUMMYFUNCTION("""COMPUTED_VALUE"""),"CV. SENTOSA ABADI")</f>
        <v>CV. SENTOSA ABADI</v>
      </c>
      <c r="F82" s="52" t="str">
        <f>IFERROR(__xludf.DUMMYFUNCTION("""COMPUTED_VALUE"""),"FOREMAN PRODUKSI")</f>
        <v>FOREMAN PRODUKSI</v>
      </c>
      <c r="G82" s="52" t="str">
        <f>IFERROR(__xludf.DUMMYFUNCTION("""COMPUTED_VALUE"""),"PRODUKSI")</f>
        <v>PRODUKSI</v>
      </c>
      <c r="H82" s="52" t="str">
        <f>IFERROR(__xludf.DUMMYFUNCTION("""COMPUTED_VALUE"""),"[0102130003] PURNAWAN")</f>
        <v>[0102130003] PURNAWAN</v>
      </c>
      <c r="I82" s="52"/>
      <c r="J82" s="53" t="str">
        <f>IFERROR(__xludf.DUMMYFUNCTION("""COMPUTED_VALUE"""),"[112180619] ASRIN AHIMA")</f>
        <v>[112180619] ASRIN AHIMA</v>
      </c>
      <c r="K82" s="52"/>
      <c r="L82" s="52" t="str">
        <f t="shared" si="1"/>
        <v>#VALUE!</v>
      </c>
      <c r="M82" s="52"/>
      <c r="N82" s="52"/>
      <c r="O82" s="52"/>
      <c r="P82" s="52"/>
      <c r="Q82" s="52"/>
      <c r="R82" s="52"/>
      <c r="S82" s="52"/>
      <c r="T82" s="52"/>
      <c r="U82" s="52"/>
      <c r="V82" s="52"/>
      <c r="W82" s="52"/>
      <c r="X82" s="52"/>
      <c r="Y82" s="52"/>
      <c r="Z82" s="52"/>
    </row>
    <row r="83">
      <c r="A83" s="52">
        <f>IFERROR(__xludf.DUMMYFUNCTION("""COMPUTED_VALUE"""),2.02211342E8)</f>
        <v>202211342</v>
      </c>
      <c r="B83" s="52" t="str">
        <f>IFERROR(__xludf.DUMMYFUNCTION("""COMPUTED_VALUE"""),"ASRUL")</f>
        <v>ASRUL</v>
      </c>
      <c r="C83" s="52">
        <f>IFERROR(__xludf.DUMMYFUNCTION("""COMPUTED_VALUE"""),33.0)</f>
        <v>33</v>
      </c>
      <c r="D83" s="52" t="str">
        <f>IFERROR(__xludf.DUMMYFUNCTION("""COMPUTED_VALUE"""),"Islam")</f>
        <v>Islam</v>
      </c>
      <c r="E83" s="52" t="str">
        <f>IFERROR(__xludf.DUMMYFUNCTION("""COMPUTED_VALUE"""),"CV. Adil Prima Perkasa")</f>
        <v>CV. Adil Prima Perkasa</v>
      </c>
      <c r="F83" s="52" t="str">
        <f>IFERROR(__xludf.DUMMYFUNCTION("""COMPUTED_VALUE"""),"OPERATOR EXCAVATOR")</f>
        <v>OPERATOR EXCAVATOR</v>
      </c>
      <c r="G83" s="52" t="str">
        <f>IFERROR(__xludf.DUMMYFUNCTION("""COMPUTED_VALUE"""),"PRODUKSI")</f>
        <v>PRODUKSI</v>
      </c>
      <c r="H83" s="52" t="str">
        <f>IFERROR(__xludf.DUMMYFUNCTION("""COMPUTED_VALUE"""),"[0102130003] PURNAWAN")</f>
        <v>[0102130003] PURNAWAN</v>
      </c>
      <c r="I83" s="55">
        <f>IFERROR(__xludf.DUMMYFUNCTION("""COMPUTED_VALUE"""),31738.0)</f>
        <v>31738</v>
      </c>
      <c r="J83" s="53" t="str">
        <f>IFERROR(__xludf.DUMMYFUNCTION("""COMPUTED_VALUE"""),"[202211342] ASRUL")</f>
        <v>[202211342] ASRUL</v>
      </c>
      <c r="K83" s="52"/>
      <c r="L83" s="52" t="str">
        <f t="shared" si="1"/>
        <v>#VALUE!</v>
      </c>
      <c r="M83" s="52"/>
      <c r="N83" s="52"/>
      <c r="O83" s="52"/>
      <c r="P83" s="52"/>
      <c r="Q83" s="52"/>
      <c r="R83" s="52"/>
      <c r="S83" s="52"/>
      <c r="T83" s="52"/>
      <c r="U83" s="52"/>
      <c r="V83" s="52"/>
      <c r="W83" s="52"/>
      <c r="X83" s="52"/>
      <c r="Y83" s="52"/>
      <c r="Z83" s="52"/>
    </row>
    <row r="84">
      <c r="A84" s="52">
        <f>IFERROR(__xludf.DUMMYFUNCTION("""COMPUTED_VALUE"""),1.09201214E8)</f>
        <v>109201214</v>
      </c>
      <c r="B84" s="52" t="str">
        <f>IFERROR(__xludf.DUMMYFUNCTION("""COMPUTED_VALUE"""),"ASRUL SANDI")</f>
        <v>ASRUL SANDI</v>
      </c>
      <c r="C84" s="52">
        <f>IFERROR(__xludf.DUMMYFUNCTION("""COMPUTED_VALUE"""),28.0)</f>
        <v>28</v>
      </c>
      <c r="D84" s="52" t="str">
        <f>IFERROR(__xludf.DUMMYFUNCTION("""COMPUTED_VALUE"""),"Islam")</f>
        <v>Islam</v>
      </c>
      <c r="E84" s="52" t="str">
        <f>IFERROR(__xludf.DUMMYFUNCTION("""COMPUTED_VALUE"""),"CV. SENTOSA ABADI")</f>
        <v>CV. SENTOSA ABADI</v>
      </c>
      <c r="F84" s="52" t="str">
        <f>IFERROR(__xludf.DUMMYFUNCTION("""COMPUTED_VALUE"""),"OPERATOR EXCAVATOR")</f>
        <v>OPERATOR EXCAVATOR</v>
      </c>
      <c r="G84" s="52" t="str">
        <f>IFERROR(__xludf.DUMMYFUNCTION("""COMPUTED_VALUE"""),"PRODUKSI")</f>
        <v>PRODUKSI</v>
      </c>
      <c r="H84" s="52" t="str">
        <f>IFERROR(__xludf.DUMMYFUNCTION("""COMPUTED_VALUE"""),"[0102130003] PURNAWAN")</f>
        <v>[0102130003] PURNAWAN</v>
      </c>
      <c r="I84" s="55">
        <f>IFERROR(__xludf.DUMMYFUNCTION("""COMPUTED_VALUE"""),34990.0)</f>
        <v>34990</v>
      </c>
      <c r="J84" s="53" t="str">
        <f>IFERROR(__xludf.DUMMYFUNCTION("""COMPUTED_VALUE"""),"[109201214] ASRUL SANDI")</f>
        <v>[109201214] ASRUL SANDI</v>
      </c>
      <c r="K84" s="52"/>
      <c r="L84" s="52" t="str">
        <f t="shared" si="1"/>
        <v>#VALUE!</v>
      </c>
      <c r="M84" s="52"/>
      <c r="N84" s="52"/>
      <c r="O84" s="52"/>
      <c r="P84" s="52"/>
      <c r="Q84" s="52"/>
      <c r="R84" s="52"/>
      <c r="S84" s="52"/>
      <c r="T84" s="52"/>
      <c r="U84" s="52"/>
      <c r="V84" s="52"/>
      <c r="W84" s="52"/>
      <c r="X84" s="52"/>
      <c r="Y84" s="52"/>
      <c r="Z84" s="52"/>
    </row>
    <row r="85">
      <c r="A85" s="52">
        <f>IFERROR(__xludf.DUMMYFUNCTION("""COMPUTED_VALUE"""),2.12211551E8)</f>
        <v>212211551</v>
      </c>
      <c r="B85" s="52" t="str">
        <f>IFERROR(__xludf.DUMMYFUNCTION("""COMPUTED_VALUE"""),"ASSE")</f>
        <v>ASSE</v>
      </c>
      <c r="C85" s="52">
        <f>IFERROR(__xludf.DUMMYFUNCTION("""COMPUTED_VALUE"""),42.0)</f>
        <v>42</v>
      </c>
      <c r="D85" s="52" t="str">
        <f>IFERROR(__xludf.DUMMYFUNCTION("""COMPUTED_VALUE"""),"Islam")</f>
        <v>Islam</v>
      </c>
      <c r="E85" s="52" t="str">
        <f>IFERROR(__xludf.DUMMYFUNCTION("""COMPUTED_VALUE"""),"CV. Adil Prima Perkasa")</f>
        <v>CV. Adil Prima Perkasa</v>
      </c>
      <c r="F85" s="52" t="str">
        <f>IFERROR(__xludf.DUMMYFUNCTION("""COMPUTED_VALUE"""),"DRIVER DT H700ZY")</f>
        <v>DRIVER DT H700ZY</v>
      </c>
      <c r="G85" s="52" t="str">
        <f>IFERROR(__xludf.DUMMYFUNCTION("""COMPUTED_VALUE"""),"KENDARAAN &amp; UNIT SUPPORT")</f>
        <v>KENDARAAN &amp; UNIT SUPPORT</v>
      </c>
      <c r="H85" s="52" t="str">
        <f>IFERROR(__xludf.DUMMYFUNCTION("""COMPUTED_VALUE"""),"[0102150004] NAFTALI RARE'A, ST")</f>
        <v>[0102150004] NAFTALI RARE'A, ST</v>
      </c>
      <c r="I85" s="55">
        <f>IFERROR(__xludf.DUMMYFUNCTION("""COMPUTED_VALUE"""),31575.0)</f>
        <v>31575</v>
      </c>
      <c r="J85" s="53" t="str">
        <f>IFERROR(__xludf.DUMMYFUNCTION("""COMPUTED_VALUE"""),"[212211551] ASSE")</f>
        <v>[212211551] ASSE</v>
      </c>
      <c r="K85" s="52"/>
      <c r="L85" s="52" t="str">
        <f t="shared" si="1"/>
        <v>#VALUE!</v>
      </c>
      <c r="M85" s="52"/>
      <c r="N85" s="52"/>
      <c r="O85" s="52"/>
      <c r="P85" s="52"/>
      <c r="Q85" s="52"/>
      <c r="R85" s="52"/>
      <c r="S85" s="52"/>
      <c r="T85" s="52"/>
      <c r="U85" s="52"/>
      <c r="V85" s="52"/>
      <c r="W85" s="52"/>
      <c r="X85" s="52"/>
      <c r="Y85" s="52"/>
      <c r="Z85" s="52"/>
    </row>
    <row r="86">
      <c r="A86" s="52">
        <f>IFERROR(__xludf.DUMMYFUNCTION("""COMPUTED_VALUE"""),1.12201311E8)</f>
        <v>112201311</v>
      </c>
      <c r="B86" s="52" t="str">
        <f>IFERROR(__xludf.DUMMYFUNCTION("""COMPUTED_VALUE"""),"ASTITI RAHAYU")</f>
        <v>ASTITI RAHAYU</v>
      </c>
      <c r="C86" s="52">
        <f>IFERROR(__xludf.DUMMYFUNCTION("""COMPUTED_VALUE"""),26.0)</f>
        <v>26</v>
      </c>
      <c r="D86" s="52" t="str">
        <f>IFERROR(__xludf.DUMMYFUNCTION("""COMPUTED_VALUE"""),"Islam")</f>
        <v>Islam</v>
      </c>
      <c r="E86" s="52" t="str">
        <f>IFERROR(__xludf.DUMMYFUNCTION("""COMPUTED_VALUE"""),"CV. SENTOSA ABADI")</f>
        <v>CV. SENTOSA ABADI</v>
      </c>
      <c r="F86" s="52" t="str">
        <f>IFERROR(__xludf.DUMMYFUNCTION("""COMPUTED_VALUE"""),"TREASURY (KASIR)")</f>
        <v>TREASURY (KASIR)</v>
      </c>
      <c r="G86" s="52" t="str">
        <f>IFERROR(__xludf.DUMMYFUNCTION("""COMPUTED_VALUE"""),"FINANCE")</f>
        <v>FINANCE</v>
      </c>
      <c r="H86" s="52" t="str">
        <f>IFERROR(__xludf.DUMMYFUNCTION("""COMPUTED_VALUE"""),"[0206189004] ALFRETH ALVIAN TIAKI")</f>
        <v>[0206189004] ALFRETH ALVIAN TIAKI</v>
      </c>
      <c r="I86" s="52"/>
      <c r="J86" s="53" t="str">
        <f>IFERROR(__xludf.DUMMYFUNCTION("""COMPUTED_VALUE"""),"[112201311] ASTITI RAHAYU")</f>
        <v>[112201311] ASTITI RAHAYU</v>
      </c>
      <c r="K86" s="52"/>
      <c r="L86" s="52" t="str">
        <f t="shared" si="1"/>
        <v>#VALUE!</v>
      </c>
      <c r="M86" s="52"/>
      <c r="N86" s="52"/>
      <c r="O86" s="52"/>
      <c r="P86" s="52"/>
      <c r="Q86" s="52"/>
      <c r="R86" s="52"/>
      <c r="S86" s="52"/>
      <c r="T86" s="52"/>
      <c r="U86" s="52"/>
      <c r="V86" s="52"/>
      <c r="W86" s="52"/>
      <c r="X86" s="52"/>
      <c r="Y86" s="52"/>
      <c r="Z86" s="52"/>
    </row>
    <row r="87">
      <c r="A87" s="52">
        <f>IFERROR(__xludf.DUMMYFUNCTION("""COMPUTED_VALUE"""),1.04211367E8)</f>
        <v>104211367</v>
      </c>
      <c r="B87" s="52" t="str">
        <f>IFERROR(__xludf.DUMMYFUNCTION("""COMPUTED_VALUE"""),"AWALUDIN")</f>
        <v>AWALUDIN</v>
      </c>
      <c r="C87" s="52">
        <f>IFERROR(__xludf.DUMMYFUNCTION("""COMPUTED_VALUE"""),28.0)</f>
        <v>28</v>
      </c>
      <c r="D87" s="52" t="str">
        <f>IFERROR(__xludf.DUMMYFUNCTION("""COMPUTED_VALUE"""),"Islam")</f>
        <v>Islam</v>
      </c>
      <c r="E87" s="52" t="str">
        <f>IFERROR(__xludf.DUMMYFUNCTION("""COMPUTED_VALUE"""),"CV. SENTOSA ABADI")</f>
        <v>CV. SENTOSA ABADI</v>
      </c>
      <c r="F87" s="52" t="str">
        <f>IFERROR(__xludf.DUMMYFUNCTION("""COMPUTED_VALUE"""),"DRIVER DT H700ZY")</f>
        <v>DRIVER DT H700ZY</v>
      </c>
      <c r="G87" s="52" t="str">
        <f>IFERROR(__xludf.DUMMYFUNCTION("""COMPUTED_VALUE"""),"KENDARAAN &amp; UNIT SUPPORT")</f>
        <v>KENDARAAN &amp; UNIT SUPPORT</v>
      </c>
      <c r="H87" s="52" t="str">
        <f>IFERROR(__xludf.DUMMYFUNCTION("""COMPUTED_VALUE"""),"[0102150004] NAFTALI RARE'A, ST")</f>
        <v>[0102150004] NAFTALI RARE'A, ST</v>
      </c>
      <c r="I87" s="52"/>
      <c r="J87" s="53" t="str">
        <f>IFERROR(__xludf.DUMMYFUNCTION("""COMPUTED_VALUE"""),"[104211367] AWALUDIN")</f>
        <v>[104211367] AWALUDIN</v>
      </c>
      <c r="K87" s="52"/>
      <c r="L87" s="52" t="str">
        <f t="shared" si="1"/>
        <v>#VALUE!</v>
      </c>
      <c r="M87" s="52"/>
      <c r="N87" s="52"/>
      <c r="O87" s="52"/>
      <c r="P87" s="52"/>
      <c r="Q87" s="52"/>
      <c r="R87" s="52"/>
      <c r="S87" s="52"/>
      <c r="T87" s="52"/>
      <c r="U87" s="52"/>
      <c r="V87" s="52"/>
      <c r="W87" s="52"/>
      <c r="X87" s="52"/>
      <c r="Y87" s="52"/>
      <c r="Z87" s="52"/>
    </row>
    <row r="88">
      <c r="A88" s="52">
        <f>IFERROR(__xludf.DUMMYFUNCTION("""COMPUTED_VALUE"""),1.072318E8)</f>
        <v>107231800</v>
      </c>
      <c r="B88" s="52" t="str">
        <f>IFERROR(__xludf.DUMMYFUNCTION("""COMPUTED_VALUE"""),"AWALUDIN MASAHENGKE")</f>
        <v>AWALUDIN MASAHENGKE</v>
      </c>
      <c r="C88" s="52">
        <f>IFERROR(__xludf.DUMMYFUNCTION("""COMPUTED_VALUE"""),47.0)</f>
        <v>47</v>
      </c>
      <c r="D88" s="52" t="str">
        <f>IFERROR(__xludf.DUMMYFUNCTION("""COMPUTED_VALUE"""),"Islam")</f>
        <v>Islam</v>
      </c>
      <c r="E88" s="52" t="str">
        <f>IFERROR(__xludf.DUMMYFUNCTION("""COMPUTED_VALUE"""),"CV. SENTOSA ABADI")</f>
        <v>CV. SENTOSA ABADI</v>
      </c>
      <c r="F88" s="52" t="str">
        <f>IFERROR(__xludf.DUMMYFUNCTION("""COMPUTED_VALUE"""),"SECURITY")</f>
        <v>SECURITY</v>
      </c>
      <c r="G88" s="52" t="str">
        <f>IFERROR(__xludf.DUMMYFUNCTION("""COMPUTED_VALUE"""),"HRD &amp; GA")</f>
        <v>HRD &amp; GA</v>
      </c>
      <c r="H88" s="52" t="str">
        <f>IFERROR(__xludf.DUMMYFUNCTION("""COMPUTED_VALUE"""),"[0108221664] DEVI SIMAN")</f>
        <v>[0108221664] DEVI SIMAN</v>
      </c>
      <c r="I88" s="52"/>
      <c r="J88" s="53" t="str">
        <f>IFERROR(__xludf.DUMMYFUNCTION("""COMPUTED_VALUE"""),"[107231800] AWALUDIN MASAHENGKE")</f>
        <v>[107231800] AWALUDIN MASAHENGKE</v>
      </c>
      <c r="K88" s="52"/>
      <c r="L88" s="52" t="str">
        <f t="shared" si="1"/>
        <v>#VALUE!</v>
      </c>
      <c r="M88" s="52"/>
      <c r="N88" s="52"/>
      <c r="O88" s="52"/>
      <c r="P88" s="52"/>
      <c r="Q88" s="52"/>
      <c r="R88" s="52"/>
      <c r="S88" s="52"/>
      <c r="T88" s="52"/>
      <c r="U88" s="52"/>
      <c r="V88" s="52"/>
      <c r="W88" s="52"/>
      <c r="X88" s="52"/>
      <c r="Y88" s="52"/>
      <c r="Z88" s="52"/>
    </row>
    <row r="89">
      <c r="A89" s="52">
        <f>IFERROR(__xludf.DUMMYFUNCTION("""COMPUTED_VALUE"""),2.05241936E8)</f>
        <v>205241936</v>
      </c>
      <c r="B89" s="52" t="str">
        <f>IFERROR(__xludf.DUMMYFUNCTION("""COMPUTED_VALUE"""),"AYUB")</f>
        <v>AYUB</v>
      </c>
      <c r="C89" s="52">
        <f>IFERROR(__xludf.DUMMYFUNCTION("""COMPUTED_VALUE"""),18.0)</f>
        <v>18</v>
      </c>
      <c r="D89" s="52" t="str">
        <f>IFERROR(__xludf.DUMMYFUNCTION("""COMPUTED_VALUE"""),"Islam")</f>
        <v>Islam</v>
      </c>
      <c r="E89" s="52" t="str">
        <f>IFERROR(__xludf.DUMMYFUNCTION("""COMPUTED_VALUE"""),"CV. Adil Prima Perkasa")</f>
        <v>CV. Adil Prima Perkasa</v>
      </c>
      <c r="F89" s="52" t="str">
        <f>IFERROR(__xludf.DUMMYFUNCTION("""COMPUTED_VALUE"""),"OFFICE BOY")</f>
        <v>OFFICE BOY</v>
      </c>
      <c r="G89" s="52" t="str">
        <f>IFERROR(__xludf.DUMMYFUNCTION("""COMPUTED_VALUE"""),"HRD &amp; GA")</f>
        <v>HRD &amp; GA</v>
      </c>
      <c r="H89" s="52" t="str">
        <f>IFERROR(__xludf.DUMMYFUNCTION("""COMPUTED_VALUE"""),"[0108191037] ERNIE FRISLIA")</f>
        <v>[0108191037] ERNIE FRISLIA</v>
      </c>
      <c r="I89" s="52"/>
      <c r="J89" s="53" t="str">
        <f>IFERROR(__xludf.DUMMYFUNCTION("""COMPUTED_VALUE"""),"[205241936] AYUB")</f>
        <v>[205241936] AYUB</v>
      </c>
      <c r="K89" s="52"/>
      <c r="L89" s="52" t="str">
        <f t="shared" si="1"/>
        <v>#VALUE!</v>
      </c>
      <c r="M89" s="52"/>
      <c r="N89" s="52"/>
      <c r="O89" s="52"/>
      <c r="P89" s="52"/>
      <c r="Q89" s="52"/>
      <c r="R89" s="52"/>
      <c r="S89" s="52"/>
      <c r="T89" s="52"/>
      <c r="U89" s="52"/>
      <c r="V89" s="52"/>
      <c r="W89" s="52"/>
      <c r="X89" s="52"/>
      <c r="Y89" s="52"/>
      <c r="Z89" s="52"/>
    </row>
    <row r="90">
      <c r="A90" s="52"/>
      <c r="B90" s="52" t="str">
        <f>IFERROR(__xludf.DUMMYFUNCTION("""COMPUTED_VALUE"""),"Administrator")</f>
        <v>Administrator</v>
      </c>
      <c r="C90" s="52">
        <f>IFERROR(__xludf.DUMMYFUNCTION("""COMPUTED_VALUE"""),0.0)</f>
        <v>0</v>
      </c>
      <c r="D90" s="52"/>
      <c r="E90" s="52" t="str">
        <f>IFERROR(__xludf.DUMMYFUNCTION("""COMPUTED_VALUE"""),"CV. SENTOSA ABADI")</f>
        <v>CV. SENTOSA ABADI</v>
      </c>
      <c r="F90" s="52" t="str">
        <f>IFERROR(__xludf.DUMMYFUNCTION("""COMPUTED_VALUE"""),"FALSE")</f>
        <v>FALSE</v>
      </c>
      <c r="G90" s="52" t="str">
        <f>IFERROR(__xludf.DUMMYFUNCTION("""COMPUTED_VALUE"""),"FALSE")</f>
        <v>FALSE</v>
      </c>
      <c r="H90" s="52" t="str">
        <f>IFERROR(__xludf.DUMMYFUNCTION("""COMPUTED_VALUE"""),"FALSE")</f>
        <v>FALSE</v>
      </c>
      <c r="I90" s="52"/>
      <c r="J90" s="53" t="str">
        <f>IFERROR(__xludf.DUMMYFUNCTION("""COMPUTED_VALUE"""),"[] Administrator")</f>
        <v>[] Administrator</v>
      </c>
      <c r="K90" s="52"/>
      <c r="L90" s="52" t="str">
        <f t="shared" si="1"/>
        <v>#VALUE!</v>
      </c>
      <c r="M90" s="52"/>
      <c r="N90" s="52"/>
      <c r="O90" s="52"/>
      <c r="P90" s="52"/>
      <c r="Q90" s="52"/>
      <c r="R90" s="52"/>
      <c r="S90" s="52"/>
      <c r="T90" s="52"/>
      <c r="U90" s="52"/>
      <c r="V90" s="52"/>
      <c r="W90" s="52"/>
      <c r="X90" s="52"/>
      <c r="Y90" s="52"/>
      <c r="Z90" s="52"/>
    </row>
    <row r="91">
      <c r="A91" s="52">
        <f>IFERROR(__xludf.DUMMYFUNCTION("""COMPUTED_VALUE"""),2.08201204E8)</f>
        <v>208201204</v>
      </c>
      <c r="B91" s="52" t="str">
        <f>IFERROR(__xludf.DUMMYFUNCTION("""COMPUTED_VALUE"""),"BAHARUDDIN")</f>
        <v>BAHARUDDIN</v>
      </c>
      <c r="C91" s="52">
        <f>IFERROR(__xludf.DUMMYFUNCTION("""COMPUTED_VALUE"""),46.0)</f>
        <v>46</v>
      </c>
      <c r="D91" s="52" t="str">
        <f>IFERROR(__xludf.DUMMYFUNCTION("""COMPUTED_VALUE"""),"Islam")</f>
        <v>Islam</v>
      </c>
      <c r="E91" s="52" t="str">
        <f>IFERROR(__xludf.DUMMYFUNCTION("""COMPUTED_VALUE"""),"CV. Adil Prima Perkasa")</f>
        <v>CV. Adil Prima Perkasa</v>
      </c>
      <c r="F91" s="52" t="str">
        <f>IFERROR(__xludf.DUMMYFUNCTION("""COMPUTED_VALUE"""),"DRIVER DT H700ZY")</f>
        <v>DRIVER DT H700ZY</v>
      </c>
      <c r="G91" s="52" t="str">
        <f>IFERROR(__xludf.DUMMYFUNCTION("""COMPUTED_VALUE"""),"KENDARAAN &amp; UNIT SUPPORT")</f>
        <v>KENDARAAN &amp; UNIT SUPPORT</v>
      </c>
      <c r="H91" s="52" t="str">
        <f>IFERROR(__xludf.DUMMYFUNCTION("""COMPUTED_VALUE"""),"[0102150004] NAFTALI RARE'A, ST")</f>
        <v>[0102150004] NAFTALI RARE'A, ST</v>
      </c>
      <c r="I91" s="55">
        <f>IFERROR(__xludf.DUMMYFUNCTION("""COMPUTED_VALUE"""),28668.0)</f>
        <v>28668</v>
      </c>
      <c r="J91" s="53" t="str">
        <f>IFERROR(__xludf.DUMMYFUNCTION("""COMPUTED_VALUE"""),"[208201204] BAHARUDDIN")</f>
        <v>[208201204] BAHARUDDIN</v>
      </c>
      <c r="K91" s="52"/>
      <c r="L91" s="52" t="str">
        <f t="shared" si="1"/>
        <v>#VALUE!</v>
      </c>
      <c r="M91" s="52"/>
      <c r="N91" s="52"/>
      <c r="O91" s="52"/>
      <c r="P91" s="52"/>
      <c r="Q91" s="52"/>
      <c r="R91" s="52"/>
      <c r="S91" s="52"/>
      <c r="T91" s="52"/>
      <c r="U91" s="52"/>
      <c r="V91" s="52"/>
      <c r="W91" s="52"/>
      <c r="X91" s="52"/>
      <c r="Y91" s="52"/>
      <c r="Z91" s="52"/>
    </row>
    <row r="92">
      <c r="A92" s="52">
        <f>IFERROR(__xludf.DUMMYFUNCTION("""COMPUTED_VALUE"""),2.02221585E8)</f>
        <v>202221585</v>
      </c>
      <c r="B92" s="52" t="str">
        <f>IFERROR(__xludf.DUMMYFUNCTION("""COMPUTED_VALUE"""),"BAHARUDDIN")</f>
        <v>BAHARUDDIN</v>
      </c>
      <c r="C92" s="52">
        <f>IFERROR(__xludf.DUMMYFUNCTION("""COMPUTED_VALUE"""),30.0)</f>
        <v>30</v>
      </c>
      <c r="D92" s="52" t="str">
        <f>IFERROR(__xludf.DUMMYFUNCTION("""COMPUTED_VALUE"""),"Islam")</f>
        <v>Islam</v>
      </c>
      <c r="E92" s="52" t="str">
        <f>IFERROR(__xludf.DUMMYFUNCTION("""COMPUTED_VALUE"""),"CV. Adil Prima Perkasa")</f>
        <v>CV. Adil Prima Perkasa</v>
      </c>
      <c r="F92" s="52" t="str">
        <f>IFERROR(__xludf.DUMMYFUNCTION("""COMPUTED_VALUE"""),"CREW PREPARASI")</f>
        <v>CREW PREPARASI</v>
      </c>
      <c r="G92" s="52" t="str">
        <f>IFERROR(__xludf.DUMMYFUNCTION("""COMPUTED_VALUE"""),"GRADE CONTROL")</f>
        <v>GRADE CONTROL</v>
      </c>
      <c r="H92" s="52" t="str">
        <f>IFERROR(__xludf.DUMMYFUNCTION("""COMPUTED_VALUE"""),"[0107201164] A.CHRISTI ARI WIBOWO")</f>
        <v>[0107201164] A.CHRISTI ARI WIBOWO</v>
      </c>
      <c r="I92" s="55">
        <f>IFERROR(__xludf.DUMMYFUNCTION("""COMPUTED_VALUE"""),34447.0)</f>
        <v>34447</v>
      </c>
      <c r="J92" s="53" t="str">
        <f>IFERROR(__xludf.DUMMYFUNCTION("""COMPUTED_VALUE"""),"[202221585] BAHARUDDIN")</f>
        <v>[202221585] BAHARUDDIN</v>
      </c>
      <c r="K92" s="52"/>
      <c r="L92" s="52" t="str">
        <f t="shared" si="1"/>
        <v>#VALUE!</v>
      </c>
      <c r="M92" s="52"/>
      <c r="N92" s="52"/>
      <c r="O92" s="52"/>
      <c r="P92" s="52"/>
      <c r="Q92" s="52"/>
      <c r="R92" s="52"/>
      <c r="S92" s="52"/>
      <c r="T92" s="52"/>
      <c r="U92" s="52"/>
      <c r="V92" s="52"/>
      <c r="W92" s="52"/>
      <c r="X92" s="52"/>
      <c r="Y92" s="52"/>
      <c r="Z92" s="52"/>
    </row>
    <row r="93">
      <c r="A93" s="52">
        <f>IFERROR(__xludf.DUMMYFUNCTION("""COMPUTED_VALUE"""),1.04211366E8)</f>
        <v>104211366</v>
      </c>
      <c r="B93" s="52" t="str">
        <f>IFERROR(__xludf.DUMMYFUNCTION("""COMPUTED_VALUE"""),"BAHARUDIN")</f>
        <v>BAHARUDIN</v>
      </c>
      <c r="C93" s="52">
        <f>IFERROR(__xludf.DUMMYFUNCTION("""COMPUTED_VALUE"""),63.0)</f>
        <v>63</v>
      </c>
      <c r="D93" s="52" t="str">
        <f>IFERROR(__xludf.DUMMYFUNCTION("""COMPUTED_VALUE"""),"Islam")</f>
        <v>Islam</v>
      </c>
      <c r="E93" s="52" t="str">
        <f>IFERROR(__xludf.DUMMYFUNCTION("""COMPUTED_VALUE"""),"CV. SENTOSA ABADI")</f>
        <v>CV. SENTOSA ABADI</v>
      </c>
      <c r="F93" s="52" t="str">
        <f>IFERROR(__xludf.DUMMYFUNCTION("""COMPUTED_VALUE"""),"DRIVER DT")</f>
        <v>DRIVER DT</v>
      </c>
      <c r="G93" s="52" t="str">
        <f>IFERROR(__xludf.DUMMYFUNCTION("""COMPUTED_VALUE"""),"KENDARAAN &amp; UNIT SUPPORT")</f>
        <v>KENDARAAN &amp; UNIT SUPPORT</v>
      </c>
      <c r="H93" s="52" t="str">
        <f>IFERROR(__xludf.DUMMYFUNCTION("""COMPUTED_VALUE"""),"[0102150004] NAFTALI RARE'A, ST")</f>
        <v>[0102150004] NAFTALI RARE'A, ST</v>
      </c>
      <c r="I93" s="55">
        <f>IFERROR(__xludf.DUMMYFUNCTION("""COMPUTED_VALUE"""),26455.0)</f>
        <v>26455</v>
      </c>
      <c r="J93" s="53" t="str">
        <f>IFERROR(__xludf.DUMMYFUNCTION("""COMPUTED_VALUE"""),"[104211366] BAHARUDIN")</f>
        <v>[104211366] BAHARUDIN</v>
      </c>
      <c r="K93" s="52"/>
      <c r="L93" s="52" t="str">
        <f t="shared" si="1"/>
        <v>#VALUE!</v>
      </c>
      <c r="M93" s="52"/>
      <c r="N93" s="52"/>
      <c r="O93" s="52"/>
      <c r="P93" s="52"/>
      <c r="Q93" s="52"/>
      <c r="R93" s="52"/>
      <c r="S93" s="52"/>
      <c r="T93" s="52"/>
      <c r="U93" s="52"/>
      <c r="V93" s="52"/>
      <c r="W93" s="52"/>
      <c r="X93" s="52"/>
      <c r="Y93" s="52"/>
      <c r="Z93" s="52"/>
    </row>
    <row r="94">
      <c r="A94" s="52">
        <f>IFERROR(__xludf.DUMMYFUNCTION("""COMPUTED_VALUE"""),2.08231826E8)</f>
        <v>208231826</v>
      </c>
      <c r="B94" s="52" t="str">
        <f>IFERROR(__xludf.DUMMYFUNCTION("""COMPUTED_VALUE"""),"BAHRI")</f>
        <v>BAHRI</v>
      </c>
      <c r="C94" s="52">
        <f>IFERROR(__xludf.DUMMYFUNCTION("""COMPUTED_VALUE"""),31.0)</f>
        <v>31</v>
      </c>
      <c r="D94" s="52" t="str">
        <f>IFERROR(__xludf.DUMMYFUNCTION("""COMPUTED_VALUE"""),"Islam")</f>
        <v>Islam</v>
      </c>
      <c r="E94" s="52" t="str">
        <f>IFERROR(__xludf.DUMMYFUNCTION("""COMPUTED_VALUE"""),"CV. Adil Prima Perkasa")</f>
        <v>CV. Adil Prima Perkasa</v>
      </c>
      <c r="F94" s="52" t="str">
        <f>IFERROR(__xludf.DUMMYFUNCTION("""COMPUTED_VALUE"""),"DRIVER DT H500")</f>
        <v>DRIVER DT H500</v>
      </c>
      <c r="G94" s="52" t="str">
        <f>IFERROR(__xludf.DUMMYFUNCTION("""COMPUTED_VALUE"""),"KENDARAAN &amp; UNIT SUPPORT")</f>
        <v>KENDARAAN &amp; UNIT SUPPORT</v>
      </c>
      <c r="H94" s="52" t="str">
        <f>IFERROR(__xludf.DUMMYFUNCTION("""COMPUTED_VALUE"""),"[0102150004] NAFTALI RARE'A, ST")</f>
        <v>[0102150004] NAFTALI RARE'A, ST</v>
      </c>
      <c r="I94" s="55">
        <f>IFERROR(__xludf.DUMMYFUNCTION("""COMPUTED_VALUE"""),31361.0)</f>
        <v>31361</v>
      </c>
      <c r="J94" s="53" t="str">
        <f>IFERROR(__xludf.DUMMYFUNCTION("""COMPUTED_VALUE"""),"[208231826] BAHRI")</f>
        <v>[208231826] BAHRI</v>
      </c>
      <c r="K94" s="52"/>
      <c r="L94" s="52" t="str">
        <f t="shared" si="1"/>
        <v>#VALUE!</v>
      </c>
      <c r="M94" s="52"/>
      <c r="N94" s="52"/>
      <c r="O94" s="52"/>
      <c r="P94" s="52"/>
      <c r="Q94" s="52"/>
      <c r="R94" s="52"/>
      <c r="S94" s="52"/>
      <c r="T94" s="52"/>
      <c r="U94" s="52"/>
      <c r="V94" s="52"/>
      <c r="W94" s="52"/>
      <c r="X94" s="52"/>
      <c r="Y94" s="52"/>
      <c r="Z94" s="52"/>
    </row>
    <row r="95">
      <c r="A95" s="52">
        <f>IFERROR(__xludf.DUMMYFUNCTION("""COMPUTED_VALUE"""),2.03231734E8)</f>
        <v>203231734</v>
      </c>
      <c r="B95" s="52" t="str">
        <f>IFERROR(__xludf.DUMMYFUNCTION("""COMPUTED_VALUE"""),"BAKRI")</f>
        <v>BAKRI</v>
      </c>
      <c r="C95" s="52">
        <f>IFERROR(__xludf.DUMMYFUNCTION("""COMPUTED_VALUE"""),27.0)</f>
        <v>27</v>
      </c>
      <c r="D95" s="52" t="str">
        <f>IFERROR(__xludf.DUMMYFUNCTION("""COMPUTED_VALUE"""),"Islam")</f>
        <v>Islam</v>
      </c>
      <c r="E95" s="52" t="str">
        <f>IFERROR(__xludf.DUMMYFUNCTION("""COMPUTED_VALUE"""),"CV. Adil Prima Perkasa")</f>
        <v>CV. Adil Prima Perkasa</v>
      </c>
      <c r="F95" s="52" t="str">
        <f>IFERROR(__xludf.DUMMYFUNCTION("""COMPUTED_VALUE"""),"DRIVER DT H700ZS")</f>
        <v>DRIVER DT H700ZS</v>
      </c>
      <c r="G95" s="52" t="str">
        <f>IFERROR(__xludf.DUMMYFUNCTION("""COMPUTED_VALUE"""),"KENDARAAN &amp; UNIT SUPPORT")</f>
        <v>KENDARAAN &amp; UNIT SUPPORT</v>
      </c>
      <c r="H95" s="52" t="str">
        <f>IFERROR(__xludf.DUMMYFUNCTION("""COMPUTED_VALUE"""),"[0102150004] NAFTALI RARE'A, ST")</f>
        <v>[0102150004] NAFTALI RARE'A, ST</v>
      </c>
      <c r="I95" s="55">
        <f>IFERROR(__xludf.DUMMYFUNCTION("""COMPUTED_VALUE"""),35795.0)</f>
        <v>35795</v>
      </c>
      <c r="J95" s="53" t="str">
        <f>IFERROR(__xludf.DUMMYFUNCTION("""COMPUTED_VALUE"""),"[203231734] BAKRI")</f>
        <v>[203231734] BAKRI</v>
      </c>
      <c r="K95" s="52"/>
      <c r="L95" s="52" t="str">
        <f t="shared" si="1"/>
        <v>#VALUE!</v>
      </c>
      <c r="M95" s="52"/>
      <c r="N95" s="52"/>
      <c r="O95" s="52"/>
      <c r="P95" s="52"/>
      <c r="Q95" s="52"/>
      <c r="R95" s="52"/>
      <c r="S95" s="52"/>
      <c r="T95" s="52"/>
      <c r="U95" s="52"/>
      <c r="V95" s="52"/>
      <c r="W95" s="52"/>
      <c r="X95" s="52"/>
      <c r="Y95" s="52"/>
      <c r="Z95" s="52"/>
    </row>
    <row r="96">
      <c r="A96" s="52">
        <f>IFERROR(__xludf.DUMMYFUNCTION("""COMPUTED_VALUE"""),3.01210042E8)</f>
        <v>301210042</v>
      </c>
      <c r="B96" s="52" t="str">
        <f>IFERROR(__xludf.DUMMYFUNCTION("""COMPUTED_VALUE"""),"BAMBANG")</f>
        <v>BAMBANG</v>
      </c>
      <c r="C96" s="52">
        <f>IFERROR(__xludf.DUMMYFUNCTION("""COMPUTED_VALUE"""),45.0)</f>
        <v>45</v>
      </c>
      <c r="D96" s="52" t="str">
        <f>IFERROR(__xludf.DUMMYFUNCTION("""COMPUTED_VALUE"""),"Islam")</f>
        <v>Islam</v>
      </c>
      <c r="E96" s="52" t="str">
        <f>IFERROR(__xludf.DUMMYFUNCTION("""COMPUTED_VALUE"""),"CV. Monalisa")</f>
        <v>CV. Monalisa</v>
      </c>
      <c r="F96" s="52" t="str">
        <f>IFERROR(__xludf.DUMMYFUNCTION("""COMPUTED_VALUE"""),"OPERATOR EXCAVATOR")</f>
        <v>OPERATOR EXCAVATOR</v>
      </c>
      <c r="G96" s="52" t="str">
        <f>IFERROR(__xludf.DUMMYFUNCTION("""COMPUTED_VALUE"""),"PRODUKSI")</f>
        <v>PRODUKSI</v>
      </c>
      <c r="H96" s="52" t="str">
        <f>IFERROR(__xludf.DUMMYFUNCTION("""COMPUTED_VALUE"""),"[0102130003] PURNAWAN")</f>
        <v>[0102130003] PURNAWAN</v>
      </c>
      <c r="I96" s="55">
        <f>IFERROR(__xludf.DUMMYFUNCTION("""COMPUTED_VALUE"""),32486.0)</f>
        <v>32486</v>
      </c>
      <c r="J96" s="53" t="str">
        <f>IFERROR(__xludf.DUMMYFUNCTION("""COMPUTED_VALUE"""),"[301210042] BAMBANG")</f>
        <v>[301210042] BAMBANG</v>
      </c>
      <c r="K96" s="52"/>
      <c r="L96" s="52" t="str">
        <f t="shared" si="1"/>
        <v>#VALUE!</v>
      </c>
      <c r="M96" s="52"/>
      <c r="N96" s="52"/>
      <c r="O96" s="52"/>
      <c r="P96" s="52"/>
      <c r="Q96" s="52"/>
      <c r="R96" s="52"/>
      <c r="S96" s="52"/>
      <c r="T96" s="52"/>
      <c r="U96" s="52"/>
      <c r="V96" s="52"/>
      <c r="W96" s="52"/>
      <c r="X96" s="52"/>
      <c r="Y96" s="52"/>
      <c r="Z96" s="52"/>
    </row>
    <row r="97">
      <c r="A97" s="52">
        <f>IFERROR(__xludf.DUMMYFUNCTION("""COMPUTED_VALUE"""),2.11201297E8)</f>
        <v>211201297</v>
      </c>
      <c r="B97" s="52" t="str">
        <f>IFERROR(__xludf.DUMMYFUNCTION("""COMPUTED_VALUE"""),"BARTOLOMEUS")</f>
        <v>BARTOLOMEUS</v>
      </c>
      <c r="C97" s="52">
        <f>IFERROR(__xludf.DUMMYFUNCTION("""COMPUTED_VALUE"""),39.0)</f>
        <v>39</v>
      </c>
      <c r="D97" s="52" t="str">
        <f>IFERROR(__xludf.DUMMYFUNCTION("""COMPUTED_VALUE"""),"Kristen Khatolik")</f>
        <v>Kristen Khatolik</v>
      </c>
      <c r="E97" s="52" t="str">
        <f>IFERROR(__xludf.DUMMYFUNCTION("""COMPUTED_VALUE"""),"CV. Adil Prima Perkasa")</f>
        <v>CV. Adil Prima Perkasa</v>
      </c>
      <c r="F97" s="52" t="str">
        <f>IFERROR(__xludf.DUMMYFUNCTION("""COMPUTED_VALUE"""),"DRIVER DT H700ZY")</f>
        <v>DRIVER DT H700ZY</v>
      </c>
      <c r="G97" s="52" t="str">
        <f>IFERROR(__xludf.DUMMYFUNCTION("""COMPUTED_VALUE"""),"KENDARAAN &amp; UNIT SUPPORT")</f>
        <v>KENDARAAN &amp; UNIT SUPPORT</v>
      </c>
      <c r="H97" s="52" t="str">
        <f>IFERROR(__xludf.DUMMYFUNCTION("""COMPUTED_VALUE"""),"[0102150004] NAFTALI RARE'A, ST")</f>
        <v>[0102150004] NAFTALI RARE'A, ST</v>
      </c>
      <c r="I97" s="52"/>
      <c r="J97" s="53" t="str">
        <f>IFERROR(__xludf.DUMMYFUNCTION("""COMPUTED_VALUE"""),"[211201297] BARTOLOMEUS")</f>
        <v>[211201297] BARTOLOMEUS</v>
      </c>
      <c r="K97" s="52"/>
      <c r="L97" s="52" t="str">
        <f t="shared" si="1"/>
        <v>#VALUE!</v>
      </c>
      <c r="M97" s="52"/>
      <c r="N97" s="52"/>
      <c r="O97" s="52"/>
      <c r="P97" s="52"/>
      <c r="Q97" s="52"/>
      <c r="R97" s="52"/>
      <c r="S97" s="52"/>
      <c r="T97" s="52"/>
      <c r="U97" s="52"/>
      <c r="V97" s="52"/>
      <c r="W97" s="52"/>
      <c r="X97" s="52"/>
      <c r="Y97" s="52"/>
      <c r="Z97" s="52"/>
    </row>
    <row r="98">
      <c r="A98" s="52">
        <f>IFERROR(__xludf.DUMMYFUNCTION("""COMPUTED_VALUE"""),2.08231814E8)</f>
        <v>208231814</v>
      </c>
      <c r="B98" s="52" t="str">
        <f>IFERROR(__xludf.DUMMYFUNCTION("""COMPUTED_VALUE"""),"BENO SANDA TODING")</f>
        <v>BENO SANDA TODING</v>
      </c>
      <c r="C98" s="52">
        <f>IFERROR(__xludf.DUMMYFUNCTION("""COMPUTED_VALUE"""),32.0)</f>
        <v>32</v>
      </c>
      <c r="D98" s="52" t="str">
        <f>IFERROR(__xludf.DUMMYFUNCTION("""COMPUTED_VALUE"""),"Kristen Khatolik")</f>
        <v>Kristen Khatolik</v>
      </c>
      <c r="E98" s="52" t="str">
        <f>IFERROR(__xludf.DUMMYFUNCTION("""COMPUTED_VALUE"""),"CV. Adil Prima Perkasa")</f>
        <v>CV. Adil Prima Perkasa</v>
      </c>
      <c r="F98" s="52" t="str">
        <f>IFERROR(__xludf.DUMMYFUNCTION("""COMPUTED_VALUE"""),"OPERATOR EXCAVATOR")</f>
        <v>OPERATOR EXCAVATOR</v>
      </c>
      <c r="G98" s="52" t="str">
        <f>IFERROR(__xludf.DUMMYFUNCTION("""COMPUTED_VALUE"""),"PRODUKSI")</f>
        <v>PRODUKSI</v>
      </c>
      <c r="H98" s="52" t="str">
        <f>IFERROR(__xludf.DUMMYFUNCTION("""COMPUTED_VALUE"""),"[0102130003] PURNAWAN")</f>
        <v>[0102130003] PURNAWAN</v>
      </c>
      <c r="I98" s="52"/>
      <c r="J98" s="53" t="str">
        <f>IFERROR(__xludf.DUMMYFUNCTION("""COMPUTED_VALUE"""),"[208231814] BENO SANDA TODING")</f>
        <v>[208231814] BENO SANDA TODING</v>
      </c>
      <c r="K98" s="52"/>
      <c r="L98" s="52" t="str">
        <f t="shared" si="1"/>
        <v>#VALUE!</v>
      </c>
      <c r="M98" s="52"/>
      <c r="N98" s="52"/>
      <c r="O98" s="52"/>
      <c r="P98" s="52"/>
      <c r="Q98" s="52"/>
      <c r="R98" s="52"/>
      <c r="S98" s="52"/>
      <c r="T98" s="52"/>
      <c r="U98" s="52"/>
      <c r="V98" s="52"/>
      <c r="W98" s="52"/>
      <c r="X98" s="52"/>
      <c r="Y98" s="52"/>
      <c r="Z98" s="52"/>
    </row>
    <row r="99">
      <c r="A99" s="52">
        <f>IFERROR(__xludf.DUMMYFUNCTION("""COMPUTED_VALUE"""),2.03231739E8)</f>
        <v>203231739</v>
      </c>
      <c r="B99" s="52" t="str">
        <f>IFERROR(__xludf.DUMMYFUNCTION("""COMPUTED_VALUE"""),"BENYAMIN BUTTU")</f>
        <v>BENYAMIN BUTTU</v>
      </c>
      <c r="C99" s="52">
        <f>IFERROR(__xludf.DUMMYFUNCTION("""COMPUTED_VALUE"""),50.0)</f>
        <v>50</v>
      </c>
      <c r="D99" s="52" t="str">
        <f>IFERROR(__xludf.DUMMYFUNCTION("""COMPUTED_VALUE"""),"Kristen Protestan")</f>
        <v>Kristen Protestan</v>
      </c>
      <c r="E99" s="52" t="str">
        <f>IFERROR(__xludf.DUMMYFUNCTION("""COMPUTED_VALUE"""),"CV. Adil Prima Perkasa")</f>
        <v>CV. Adil Prima Perkasa</v>
      </c>
      <c r="F99" s="52" t="str">
        <f>IFERROR(__xludf.DUMMYFUNCTION("""COMPUTED_VALUE"""),"MEKANIK")</f>
        <v>MEKANIK</v>
      </c>
      <c r="G99" s="52" t="str">
        <f>IFERROR(__xludf.DUMMYFUNCTION("""COMPUTED_VALUE"""),"WORKSHOP")</f>
        <v>WORKSHOP</v>
      </c>
      <c r="H99" s="52" t="str">
        <f>IFERROR(__xludf.DUMMYFUNCTION("""COMPUTED_VALUE"""),"[0106190928] NATAN KONDO")</f>
        <v>[0106190928] NATAN KONDO</v>
      </c>
      <c r="I99" s="55">
        <f>IFERROR(__xludf.DUMMYFUNCTION("""COMPUTED_VALUE"""),28843.0)</f>
        <v>28843</v>
      </c>
      <c r="J99" s="53" t="str">
        <f>IFERROR(__xludf.DUMMYFUNCTION("""COMPUTED_VALUE"""),"[203231739] BENYAMIN BUTTU")</f>
        <v>[203231739] BENYAMIN BUTTU</v>
      </c>
      <c r="K99" s="52"/>
      <c r="L99" s="52" t="str">
        <f t="shared" si="1"/>
        <v>#VALUE!</v>
      </c>
      <c r="M99" s="52"/>
      <c r="N99" s="52"/>
      <c r="O99" s="52"/>
      <c r="P99" s="52"/>
      <c r="Q99" s="52"/>
      <c r="R99" s="52"/>
      <c r="S99" s="52"/>
      <c r="T99" s="52"/>
      <c r="U99" s="52"/>
      <c r="V99" s="52"/>
      <c r="W99" s="52"/>
      <c r="X99" s="52"/>
      <c r="Y99" s="52"/>
      <c r="Z99" s="52"/>
    </row>
    <row r="100">
      <c r="A100" s="52">
        <f>IFERROR(__xludf.DUMMYFUNCTION("""COMPUTED_VALUE"""),1.08211459E8)</f>
        <v>108211459</v>
      </c>
      <c r="B100" s="52" t="str">
        <f>IFERROR(__xludf.DUMMYFUNCTION("""COMPUTED_VALUE"""),"BOBBY TUMBOL")</f>
        <v>BOBBY TUMBOL</v>
      </c>
      <c r="C100" s="52">
        <f>IFERROR(__xludf.DUMMYFUNCTION("""COMPUTED_VALUE"""),53.0)</f>
        <v>53</v>
      </c>
      <c r="D100" s="52" t="str">
        <f>IFERROR(__xludf.DUMMYFUNCTION("""COMPUTED_VALUE"""),"Kristen Protestan")</f>
        <v>Kristen Protestan</v>
      </c>
      <c r="E100" s="52" t="str">
        <f>IFERROR(__xludf.DUMMYFUNCTION("""COMPUTED_VALUE"""),"CV. SENTOSA ABADI")</f>
        <v>CV. SENTOSA ABADI</v>
      </c>
      <c r="F100" s="52" t="str">
        <f>IFERROR(__xludf.DUMMYFUNCTION("""COMPUTED_VALUE"""),"DRIVER DT H700ZY")</f>
        <v>DRIVER DT H700ZY</v>
      </c>
      <c r="G100" s="52" t="str">
        <f>IFERROR(__xludf.DUMMYFUNCTION("""COMPUTED_VALUE"""),"KENDARAAN &amp; UNIT SUPPORT")</f>
        <v>KENDARAAN &amp; UNIT SUPPORT</v>
      </c>
      <c r="H100" s="52" t="str">
        <f>IFERROR(__xludf.DUMMYFUNCTION("""COMPUTED_VALUE"""),"[0102150004] NAFTALI RARE'A, ST")</f>
        <v>[0102150004] NAFTALI RARE'A, ST</v>
      </c>
      <c r="I100" s="55">
        <f>IFERROR(__xludf.DUMMYFUNCTION("""COMPUTED_VALUE"""),26435.0)</f>
        <v>26435</v>
      </c>
      <c r="J100" s="53" t="str">
        <f>IFERROR(__xludf.DUMMYFUNCTION("""COMPUTED_VALUE"""),"[108211459] BOBBY TUMBOL")</f>
        <v>[108211459] BOBBY TUMBOL</v>
      </c>
      <c r="K100" s="52"/>
      <c r="L100" s="52" t="str">
        <f t="shared" si="1"/>
        <v>#VALUE!</v>
      </c>
      <c r="M100" s="52"/>
      <c r="N100" s="52"/>
      <c r="O100" s="52"/>
      <c r="P100" s="52"/>
      <c r="Q100" s="52"/>
      <c r="R100" s="52"/>
      <c r="S100" s="52"/>
      <c r="T100" s="52"/>
      <c r="U100" s="52"/>
      <c r="V100" s="52"/>
      <c r="W100" s="52"/>
      <c r="X100" s="52"/>
      <c r="Y100" s="52"/>
      <c r="Z100" s="52"/>
    </row>
    <row r="101">
      <c r="A101" s="52">
        <f>IFERROR(__xludf.DUMMYFUNCTION("""COMPUTED_VALUE"""),1.05130051E8)</f>
        <v>105130051</v>
      </c>
      <c r="B101" s="52" t="str">
        <f>IFERROR(__xludf.DUMMYFUNCTION("""COMPUTED_VALUE"""),"BOBI YAENTU")</f>
        <v>BOBI YAENTU</v>
      </c>
      <c r="C101" s="52">
        <f>IFERROR(__xludf.DUMMYFUNCTION("""COMPUTED_VALUE"""),42.0)</f>
        <v>42</v>
      </c>
      <c r="D101" s="52" t="str">
        <f>IFERROR(__xludf.DUMMYFUNCTION("""COMPUTED_VALUE"""),"Kristen Protestan")</f>
        <v>Kristen Protestan</v>
      </c>
      <c r="E101" s="52" t="str">
        <f>IFERROR(__xludf.DUMMYFUNCTION("""COMPUTED_VALUE"""),"CV. SENTOSA ABADI")</f>
        <v>CV. SENTOSA ABADI</v>
      </c>
      <c r="F101" s="52" t="str">
        <f>IFERROR(__xludf.DUMMYFUNCTION("""COMPUTED_VALUE"""),"HEAD OF WELDER")</f>
        <v>HEAD OF WELDER</v>
      </c>
      <c r="G101" s="52" t="str">
        <f>IFERROR(__xludf.DUMMYFUNCTION("""COMPUTED_VALUE"""),"WORKSHOP")</f>
        <v>WORKSHOP</v>
      </c>
      <c r="H101" s="52" t="str">
        <f>IFERROR(__xludf.DUMMYFUNCTION("""COMPUTED_VALUE"""),"[0106190928] NATAN KONDO")</f>
        <v>[0106190928] NATAN KONDO</v>
      </c>
      <c r="I101" s="52"/>
      <c r="J101" s="53" t="str">
        <f>IFERROR(__xludf.DUMMYFUNCTION("""COMPUTED_VALUE"""),"[105130051] BOBI YAENTU")</f>
        <v>[105130051] BOBI YAENTU</v>
      </c>
      <c r="K101" s="52"/>
      <c r="L101" s="52" t="str">
        <f t="shared" si="1"/>
        <v>#VALUE!</v>
      </c>
      <c r="M101" s="52"/>
      <c r="N101" s="52"/>
      <c r="O101" s="52"/>
      <c r="P101" s="52"/>
      <c r="Q101" s="52"/>
      <c r="R101" s="52"/>
      <c r="S101" s="52"/>
      <c r="T101" s="52"/>
      <c r="U101" s="52"/>
      <c r="V101" s="52"/>
      <c r="W101" s="52"/>
      <c r="X101" s="52"/>
      <c r="Y101" s="52"/>
      <c r="Z101" s="52"/>
    </row>
    <row r="102">
      <c r="A102" s="52">
        <f>IFERROR(__xludf.DUMMYFUNCTION("""COMPUTED_VALUE"""),2.01221569E8)</f>
        <v>201221569</v>
      </c>
      <c r="B102" s="52" t="str">
        <f>IFERROR(__xludf.DUMMYFUNCTION("""COMPUTED_VALUE"""),"BUNASE")</f>
        <v>BUNASE</v>
      </c>
      <c r="C102" s="52">
        <f>IFERROR(__xludf.DUMMYFUNCTION("""COMPUTED_VALUE"""),45.0)</f>
        <v>45</v>
      </c>
      <c r="D102" s="52" t="str">
        <f>IFERROR(__xludf.DUMMYFUNCTION("""COMPUTED_VALUE"""),"Islam")</f>
        <v>Islam</v>
      </c>
      <c r="E102" s="52" t="str">
        <f>IFERROR(__xludf.DUMMYFUNCTION("""COMPUTED_VALUE"""),"CV. Adil Prima Perkasa")</f>
        <v>CV. Adil Prima Perkasa</v>
      </c>
      <c r="F102" s="52" t="str">
        <f>IFERROR(__xludf.DUMMYFUNCTION("""COMPUTED_VALUE"""),"DRIVER DT H700ZY")</f>
        <v>DRIVER DT H700ZY</v>
      </c>
      <c r="G102" s="52" t="str">
        <f>IFERROR(__xludf.DUMMYFUNCTION("""COMPUTED_VALUE"""),"KENDARAAN &amp; UNIT SUPPORT")</f>
        <v>KENDARAAN &amp; UNIT SUPPORT</v>
      </c>
      <c r="H102" s="52" t="str">
        <f>IFERROR(__xludf.DUMMYFUNCTION("""COMPUTED_VALUE"""),"[0102150004] NAFTALI RARE'A, ST")</f>
        <v>[0102150004] NAFTALI RARE'A, ST</v>
      </c>
      <c r="I102" s="55">
        <f>IFERROR(__xludf.DUMMYFUNCTION("""COMPUTED_VALUE"""),31763.0)</f>
        <v>31763</v>
      </c>
      <c r="J102" s="53" t="str">
        <f>IFERROR(__xludf.DUMMYFUNCTION("""COMPUTED_VALUE"""),"[201221569] BUNASE")</f>
        <v>[201221569] BUNASE</v>
      </c>
      <c r="K102" s="52"/>
      <c r="L102" s="52" t="str">
        <f t="shared" si="1"/>
        <v>#VALUE!</v>
      </c>
      <c r="M102" s="52"/>
      <c r="N102" s="52"/>
      <c r="O102" s="52"/>
      <c r="P102" s="52"/>
      <c r="Q102" s="52"/>
      <c r="R102" s="52"/>
      <c r="S102" s="52"/>
      <c r="T102" s="52"/>
      <c r="U102" s="52"/>
      <c r="V102" s="52"/>
      <c r="W102" s="52"/>
      <c r="X102" s="52"/>
      <c r="Y102" s="52"/>
      <c r="Z102" s="52"/>
    </row>
    <row r="103">
      <c r="A103" s="52">
        <f>IFERROR(__xludf.DUMMYFUNCTION("""COMPUTED_VALUE"""),1.12191115E8)</f>
        <v>112191115</v>
      </c>
      <c r="B103" s="52" t="str">
        <f>IFERROR(__xludf.DUMMYFUNCTION("""COMPUTED_VALUE"""),"BUSMAN")</f>
        <v>BUSMAN</v>
      </c>
      <c r="C103" s="52">
        <f>IFERROR(__xludf.DUMMYFUNCTION("""COMPUTED_VALUE"""),49.0)</f>
        <v>49</v>
      </c>
      <c r="D103" s="52" t="str">
        <f>IFERROR(__xludf.DUMMYFUNCTION("""COMPUTED_VALUE"""),"Islam")</f>
        <v>Islam</v>
      </c>
      <c r="E103" s="52" t="str">
        <f>IFERROR(__xludf.DUMMYFUNCTION("""COMPUTED_VALUE"""),"CV. SENTOSA ABADI")</f>
        <v>CV. SENTOSA ABADI</v>
      </c>
      <c r="F103" s="52" t="str">
        <f>IFERROR(__xludf.DUMMYFUNCTION("""COMPUTED_VALUE"""),"DRIVER DT H700ZY")</f>
        <v>DRIVER DT H700ZY</v>
      </c>
      <c r="G103" s="52" t="str">
        <f>IFERROR(__xludf.DUMMYFUNCTION("""COMPUTED_VALUE"""),"KENDARAAN &amp; UNIT SUPPORT")</f>
        <v>KENDARAAN &amp; UNIT SUPPORT</v>
      </c>
      <c r="H103" s="52" t="str">
        <f>IFERROR(__xludf.DUMMYFUNCTION("""COMPUTED_VALUE"""),"[0102150004] NAFTALI RARE'A, ST")</f>
        <v>[0102150004] NAFTALI RARE'A, ST</v>
      </c>
      <c r="I103" s="52"/>
      <c r="J103" s="53" t="str">
        <f>IFERROR(__xludf.DUMMYFUNCTION("""COMPUTED_VALUE"""),"[112191115] BUSMAN")</f>
        <v>[112191115] BUSMAN</v>
      </c>
      <c r="K103" s="52"/>
      <c r="L103" s="52" t="str">
        <f t="shared" si="1"/>
        <v>#VALUE!</v>
      </c>
      <c r="M103" s="52"/>
      <c r="N103" s="52"/>
      <c r="O103" s="52"/>
      <c r="P103" s="52"/>
      <c r="Q103" s="52"/>
      <c r="R103" s="52"/>
      <c r="S103" s="52"/>
      <c r="T103" s="52"/>
      <c r="U103" s="52"/>
      <c r="V103" s="52"/>
      <c r="W103" s="52"/>
      <c r="X103" s="52"/>
      <c r="Y103" s="52"/>
      <c r="Z103" s="52"/>
    </row>
    <row r="104">
      <c r="A104" s="52">
        <f>IFERROR(__xludf.DUMMYFUNCTION("""COMPUTED_VALUE"""),2.09150698E8)</f>
        <v>209150698</v>
      </c>
      <c r="B104" s="52" t="str">
        <f>IFERROR(__xludf.DUMMYFUNCTION("""COMPUTED_VALUE"""),"BUSTAN")</f>
        <v>BUSTAN</v>
      </c>
      <c r="C104" s="52">
        <f>IFERROR(__xludf.DUMMYFUNCTION("""COMPUTED_VALUE"""),46.0)</f>
        <v>46</v>
      </c>
      <c r="D104" s="52" t="str">
        <f>IFERROR(__xludf.DUMMYFUNCTION("""COMPUTED_VALUE"""),"Islam")</f>
        <v>Islam</v>
      </c>
      <c r="E104" s="52" t="str">
        <f>IFERROR(__xludf.DUMMYFUNCTION("""COMPUTED_VALUE"""),"CV. Adil Prima Perkasa")</f>
        <v>CV. Adil Prima Perkasa</v>
      </c>
      <c r="F104" s="52" t="str">
        <f>IFERROR(__xludf.DUMMYFUNCTION("""COMPUTED_VALUE"""),"DRIVER DT H700ZY")</f>
        <v>DRIVER DT H700ZY</v>
      </c>
      <c r="G104" s="52" t="str">
        <f>IFERROR(__xludf.DUMMYFUNCTION("""COMPUTED_VALUE"""),"KENDARAAN &amp; UNIT SUPPORT")</f>
        <v>KENDARAAN &amp; UNIT SUPPORT</v>
      </c>
      <c r="H104" s="52" t="str">
        <f>IFERROR(__xludf.DUMMYFUNCTION("""COMPUTED_VALUE"""),"[0102150004] NAFTALI RARE'A, ST")</f>
        <v>[0102150004] NAFTALI RARE'A, ST</v>
      </c>
      <c r="I104" s="55">
        <f>IFERROR(__xludf.DUMMYFUNCTION("""COMPUTED_VALUE"""),29512.0)</f>
        <v>29512</v>
      </c>
      <c r="J104" s="53" t="str">
        <f>IFERROR(__xludf.DUMMYFUNCTION("""COMPUTED_VALUE"""),"[209150698] BUSTAN")</f>
        <v>[209150698] BUSTAN</v>
      </c>
      <c r="K104" s="52"/>
      <c r="L104" s="52" t="str">
        <f t="shared" si="1"/>
        <v>#VALUE!</v>
      </c>
      <c r="M104" s="52"/>
      <c r="N104" s="52"/>
      <c r="O104" s="52"/>
      <c r="P104" s="52"/>
      <c r="Q104" s="52"/>
      <c r="R104" s="52"/>
      <c r="S104" s="52"/>
      <c r="T104" s="52"/>
      <c r="U104" s="52"/>
      <c r="V104" s="52"/>
      <c r="W104" s="52"/>
      <c r="X104" s="52"/>
      <c r="Y104" s="52"/>
      <c r="Z104" s="52"/>
    </row>
    <row r="105">
      <c r="A105" s="52">
        <f>IFERROR(__xludf.DUMMYFUNCTION("""COMPUTED_VALUE"""),2.07231812E8)</f>
        <v>207231812</v>
      </c>
      <c r="B105" s="52" t="str">
        <f>IFERROR(__xludf.DUMMYFUNCTION("""COMPUTED_VALUE"""),"CHANDRA KRISTOVEL LORE")</f>
        <v>CHANDRA KRISTOVEL LORE</v>
      </c>
      <c r="C105" s="52">
        <f>IFERROR(__xludf.DUMMYFUNCTION("""COMPUTED_VALUE"""),33.0)</f>
        <v>33</v>
      </c>
      <c r="D105" s="52" t="str">
        <f>IFERROR(__xludf.DUMMYFUNCTION("""COMPUTED_VALUE"""),"Kristen Protestan")</f>
        <v>Kristen Protestan</v>
      </c>
      <c r="E105" s="52" t="str">
        <f>IFERROR(__xludf.DUMMYFUNCTION("""COMPUTED_VALUE"""),"CV. Adil Prima Perkasa")</f>
        <v>CV. Adil Prima Perkasa</v>
      </c>
      <c r="F105" s="52" t="str">
        <f>IFERROR(__xludf.DUMMYFUNCTION("""COMPUTED_VALUE"""),"DRIVER LV")</f>
        <v>DRIVER LV</v>
      </c>
      <c r="G105" s="52" t="str">
        <f>IFERROR(__xludf.DUMMYFUNCTION("""COMPUTED_VALUE"""),"KENDARAAN &amp; UNIT SUPPORT")</f>
        <v>KENDARAAN &amp; UNIT SUPPORT</v>
      </c>
      <c r="H105" s="52" t="str">
        <f>IFERROR(__xludf.DUMMYFUNCTION("""COMPUTED_VALUE"""),"[0102150004] NAFTALI RARE'A, ST")</f>
        <v>[0102150004] NAFTALI RARE'A, ST</v>
      </c>
      <c r="I105" s="52"/>
      <c r="J105" s="53" t="str">
        <f>IFERROR(__xludf.DUMMYFUNCTION("""COMPUTED_VALUE"""),"[207231812] CHANDRA KRISTOVEL LORE")</f>
        <v>[207231812] CHANDRA KRISTOVEL LORE</v>
      </c>
      <c r="K105" s="52"/>
      <c r="L105" s="52" t="str">
        <f t="shared" si="1"/>
        <v>#VALUE!</v>
      </c>
      <c r="M105" s="52"/>
      <c r="N105" s="52"/>
      <c r="O105" s="52"/>
      <c r="P105" s="52"/>
      <c r="Q105" s="52"/>
      <c r="R105" s="52"/>
      <c r="S105" s="52"/>
      <c r="T105" s="52"/>
      <c r="U105" s="52"/>
      <c r="V105" s="52"/>
      <c r="W105" s="52"/>
      <c r="X105" s="52"/>
      <c r="Y105" s="52"/>
      <c r="Z105" s="52"/>
    </row>
    <row r="106">
      <c r="A106" s="52">
        <f>IFERROR(__xludf.DUMMYFUNCTION("""COMPUTED_VALUE"""),2.05241925E8)</f>
        <v>205241925</v>
      </c>
      <c r="B106" s="52" t="str">
        <f>IFERROR(__xludf.DUMMYFUNCTION("""COMPUTED_VALUE"""),"CORNELIUS RANNU RASYD")</f>
        <v>CORNELIUS RANNU RASYD</v>
      </c>
      <c r="C106" s="52">
        <f>IFERROR(__xludf.DUMMYFUNCTION("""COMPUTED_VALUE"""),37.0)</f>
        <v>37</v>
      </c>
      <c r="D106" s="52" t="str">
        <f>IFERROR(__xludf.DUMMYFUNCTION("""COMPUTED_VALUE"""),"Kristen Protestan")</f>
        <v>Kristen Protestan</v>
      </c>
      <c r="E106" s="52" t="str">
        <f>IFERROR(__xludf.DUMMYFUNCTION("""COMPUTED_VALUE"""),"CV. Adil Prima Perkasa")</f>
        <v>CV. Adil Prima Perkasa</v>
      </c>
      <c r="F106" s="52" t="str">
        <f>IFERROR(__xludf.DUMMYFUNCTION("""COMPUTED_VALUE"""),"DRIVER DT H500")</f>
        <v>DRIVER DT H500</v>
      </c>
      <c r="G106" s="52" t="str">
        <f>IFERROR(__xludf.DUMMYFUNCTION("""COMPUTED_VALUE"""),"KENDARAAN &amp; UNIT SUPPORT")</f>
        <v>KENDARAAN &amp; UNIT SUPPORT</v>
      </c>
      <c r="H106" s="52" t="str">
        <f>IFERROR(__xludf.DUMMYFUNCTION("""COMPUTED_VALUE"""),"[0102150004] NAFTALI RARE'A, ST")</f>
        <v>[0102150004] NAFTALI RARE'A, ST</v>
      </c>
      <c r="I106" s="52"/>
      <c r="J106" s="53" t="str">
        <f>IFERROR(__xludf.DUMMYFUNCTION("""COMPUTED_VALUE"""),"[205241925] CORNELIUS RANNU RASYD")</f>
        <v>[205241925] CORNELIUS RANNU RASYD</v>
      </c>
      <c r="K106" s="52"/>
      <c r="L106" s="52" t="str">
        <f t="shared" si="1"/>
        <v>#VALUE!</v>
      </c>
      <c r="M106" s="52"/>
      <c r="N106" s="52"/>
      <c r="O106" s="52"/>
      <c r="P106" s="52"/>
      <c r="Q106" s="52"/>
      <c r="R106" s="52"/>
      <c r="S106" s="52"/>
      <c r="T106" s="52"/>
      <c r="U106" s="52"/>
      <c r="V106" s="52"/>
      <c r="W106" s="52"/>
      <c r="X106" s="52"/>
      <c r="Y106" s="52"/>
      <c r="Z106" s="52"/>
    </row>
    <row r="107">
      <c r="A107" s="52">
        <f>IFERROR(__xludf.DUMMYFUNCTION("""COMPUTED_VALUE"""),2.07231802E8)</f>
        <v>207231802</v>
      </c>
      <c r="B107" s="52" t="str">
        <f>IFERROR(__xludf.DUMMYFUNCTION("""COMPUTED_VALUE"""),"CRISMAN PAMUSU")</f>
        <v>CRISMAN PAMUSU</v>
      </c>
      <c r="C107" s="52">
        <f>IFERROR(__xludf.DUMMYFUNCTION("""COMPUTED_VALUE"""),22.0)</f>
        <v>22</v>
      </c>
      <c r="D107" s="52" t="str">
        <f>IFERROR(__xludf.DUMMYFUNCTION("""COMPUTED_VALUE"""),"Kristen Protestan")</f>
        <v>Kristen Protestan</v>
      </c>
      <c r="E107" s="52" t="str">
        <f>IFERROR(__xludf.DUMMYFUNCTION("""COMPUTED_VALUE"""),"CV. Adil Prima Perkasa")</f>
        <v>CV. Adil Prima Perkasa</v>
      </c>
      <c r="F107" s="52" t="str">
        <f>IFERROR(__xludf.DUMMYFUNCTION("""COMPUTED_VALUE"""),"BAGIAN UMUM")</f>
        <v>BAGIAN UMUM</v>
      </c>
      <c r="G107" s="52" t="str">
        <f>IFERROR(__xludf.DUMMYFUNCTION("""COMPUTED_VALUE"""),"HRD &amp; GA")</f>
        <v>HRD &amp; GA</v>
      </c>
      <c r="H107" s="52" t="str">
        <f>IFERROR(__xludf.DUMMYFUNCTION("""COMPUTED_VALUE"""),"[0108191037] ERNIE FRISLIA")</f>
        <v>[0108191037] ERNIE FRISLIA</v>
      </c>
      <c r="I107" s="52"/>
      <c r="J107" s="53" t="str">
        <f>IFERROR(__xludf.DUMMYFUNCTION("""COMPUTED_VALUE"""),"[207231802] CRISMAN PAMUSU")</f>
        <v>[207231802] CRISMAN PAMUSU</v>
      </c>
      <c r="K107" s="52"/>
      <c r="L107" s="52" t="str">
        <f t="shared" si="1"/>
        <v>#VALUE!</v>
      </c>
      <c r="M107" s="52"/>
      <c r="N107" s="52"/>
      <c r="O107" s="52"/>
      <c r="P107" s="52"/>
      <c r="Q107" s="52"/>
      <c r="R107" s="52"/>
      <c r="S107" s="52"/>
      <c r="T107" s="52"/>
      <c r="U107" s="52"/>
      <c r="V107" s="52"/>
      <c r="W107" s="52"/>
      <c r="X107" s="52"/>
      <c r="Y107" s="52"/>
      <c r="Z107" s="52"/>
    </row>
    <row r="108">
      <c r="A108" s="52">
        <f>IFERROR(__xludf.DUMMYFUNCTION("""COMPUTED_VALUE"""),1.10211509E8)</f>
        <v>110211509</v>
      </c>
      <c r="B108" s="52" t="str">
        <f>IFERROR(__xludf.DUMMYFUNCTION("""COMPUTED_VALUE"""),"DAHLAN BIN RABBI")</f>
        <v>DAHLAN BIN RABBI</v>
      </c>
      <c r="C108" s="52">
        <f>IFERROR(__xludf.DUMMYFUNCTION("""COMPUTED_VALUE"""),46.0)</f>
        <v>46</v>
      </c>
      <c r="D108" s="52" t="str">
        <f>IFERROR(__xludf.DUMMYFUNCTION("""COMPUTED_VALUE"""),"Islam")</f>
        <v>Islam</v>
      </c>
      <c r="E108" s="52" t="str">
        <f>IFERROR(__xludf.DUMMYFUNCTION("""COMPUTED_VALUE"""),"CV. SENTOSA ABADI")</f>
        <v>CV. SENTOSA ABADI</v>
      </c>
      <c r="F108" s="52" t="str">
        <f>IFERROR(__xludf.DUMMYFUNCTION("""COMPUTED_VALUE"""),"DRIVER DT H700ZY")</f>
        <v>DRIVER DT H700ZY</v>
      </c>
      <c r="G108" s="52" t="str">
        <f>IFERROR(__xludf.DUMMYFUNCTION("""COMPUTED_VALUE"""),"KENDARAAN &amp; UNIT SUPPORT")</f>
        <v>KENDARAAN &amp; UNIT SUPPORT</v>
      </c>
      <c r="H108" s="52" t="str">
        <f>IFERROR(__xludf.DUMMYFUNCTION("""COMPUTED_VALUE"""),"[0102150004] NAFTALI RARE'A, ST")</f>
        <v>[0102150004] NAFTALI RARE'A, ST</v>
      </c>
      <c r="I108" s="55">
        <f>IFERROR(__xludf.DUMMYFUNCTION("""COMPUTED_VALUE"""),29428.0)</f>
        <v>29428</v>
      </c>
      <c r="J108" s="53" t="str">
        <f>IFERROR(__xludf.DUMMYFUNCTION("""COMPUTED_VALUE"""),"[110211509] DAHLAN BIN RABBI")</f>
        <v>[110211509] DAHLAN BIN RABBI</v>
      </c>
      <c r="K108" s="52"/>
      <c r="L108" s="52" t="str">
        <f t="shared" si="1"/>
        <v>#VALUE!</v>
      </c>
      <c r="M108" s="52"/>
      <c r="N108" s="52"/>
      <c r="O108" s="52"/>
      <c r="P108" s="52"/>
      <c r="Q108" s="52"/>
      <c r="R108" s="52"/>
      <c r="S108" s="52"/>
      <c r="T108" s="52"/>
      <c r="U108" s="52"/>
      <c r="V108" s="52"/>
      <c r="W108" s="52"/>
      <c r="X108" s="52"/>
      <c r="Y108" s="52"/>
      <c r="Z108" s="52"/>
    </row>
    <row r="109">
      <c r="A109" s="52">
        <f>IFERROR(__xludf.DUMMYFUNCTION("""COMPUTED_VALUE"""),2.08231816E8)</f>
        <v>208231816</v>
      </c>
      <c r="B109" s="52" t="str">
        <f>IFERROR(__xludf.DUMMYFUNCTION("""COMPUTED_VALUE"""),"DANDI SAPUTRA")</f>
        <v>DANDI SAPUTRA</v>
      </c>
      <c r="C109" s="52">
        <f>IFERROR(__xludf.DUMMYFUNCTION("""COMPUTED_VALUE"""),22.0)</f>
        <v>22</v>
      </c>
      <c r="D109" s="52" t="str">
        <f>IFERROR(__xludf.DUMMYFUNCTION("""COMPUTED_VALUE"""),"Islam")</f>
        <v>Islam</v>
      </c>
      <c r="E109" s="52" t="str">
        <f>IFERROR(__xludf.DUMMYFUNCTION("""COMPUTED_VALUE"""),"CV. Adil Prima Perkasa")</f>
        <v>CV. Adil Prima Perkasa</v>
      </c>
      <c r="F109" s="52" t="str">
        <f>IFERROR(__xludf.DUMMYFUNCTION("""COMPUTED_VALUE"""),"HELPER MAINTENANCE")</f>
        <v>HELPER MAINTENANCE</v>
      </c>
      <c r="G109" s="52" t="str">
        <f>IFERROR(__xludf.DUMMYFUNCTION("""COMPUTED_VALUE"""),"WORKSHOP")</f>
        <v>WORKSHOP</v>
      </c>
      <c r="H109" s="52" t="str">
        <f>IFERROR(__xludf.DUMMYFUNCTION("""COMPUTED_VALUE"""),"[0106190928] NATAN KONDO")</f>
        <v>[0106190928] NATAN KONDO</v>
      </c>
      <c r="I109" s="52"/>
      <c r="J109" s="53" t="str">
        <f>IFERROR(__xludf.DUMMYFUNCTION("""COMPUTED_VALUE"""),"[208231816] DANDI SAPUTRA")</f>
        <v>[208231816] DANDI SAPUTRA</v>
      </c>
      <c r="K109" s="52"/>
      <c r="L109" s="52" t="str">
        <f t="shared" si="1"/>
        <v>#VALUE!</v>
      </c>
      <c r="M109" s="52"/>
      <c r="N109" s="52"/>
      <c r="O109" s="52"/>
      <c r="P109" s="52"/>
      <c r="Q109" s="52"/>
      <c r="R109" s="52"/>
      <c r="S109" s="52"/>
      <c r="T109" s="52"/>
      <c r="U109" s="52"/>
      <c r="V109" s="52"/>
      <c r="W109" s="52"/>
      <c r="X109" s="52"/>
      <c r="Y109" s="52"/>
      <c r="Z109" s="52"/>
    </row>
    <row r="110">
      <c r="A110" s="52">
        <f>IFERROR(__xludf.DUMMYFUNCTION("""COMPUTED_VALUE"""),3.11200015E8)</f>
        <v>311200015</v>
      </c>
      <c r="B110" s="52" t="str">
        <f>IFERROR(__xludf.DUMMYFUNCTION("""COMPUTED_VALUE"""),"DANIEL BENY MANTOUW")</f>
        <v>DANIEL BENY MANTOUW</v>
      </c>
      <c r="C110" s="52">
        <f>IFERROR(__xludf.DUMMYFUNCTION("""COMPUTED_VALUE"""),51.0)</f>
        <v>51</v>
      </c>
      <c r="D110" s="52" t="str">
        <f>IFERROR(__xludf.DUMMYFUNCTION("""COMPUTED_VALUE"""),"Kristen Protestan")</f>
        <v>Kristen Protestan</v>
      </c>
      <c r="E110" s="52" t="str">
        <f>IFERROR(__xludf.DUMMYFUNCTION("""COMPUTED_VALUE"""),"CV. Monalisa")</f>
        <v>CV. Monalisa</v>
      </c>
      <c r="F110" s="52" t="str">
        <f>IFERROR(__xludf.DUMMYFUNCTION("""COMPUTED_VALUE"""),"DRIVER DT")</f>
        <v>DRIVER DT</v>
      </c>
      <c r="G110" s="52" t="str">
        <f>IFERROR(__xludf.DUMMYFUNCTION("""COMPUTED_VALUE"""),"KENDARAAN &amp; UNIT SUPPORT")</f>
        <v>KENDARAAN &amp; UNIT SUPPORT</v>
      </c>
      <c r="H110" s="52" t="str">
        <f>IFERROR(__xludf.DUMMYFUNCTION("""COMPUTED_VALUE"""),"[0102150004] NAFTALI RARE'A, ST")</f>
        <v>[0102150004] NAFTALI RARE'A, ST</v>
      </c>
      <c r="I110" s="52"/>
      <c r="J110" s="53" t="str">
        <f>IFERROR(__xludf.DUMMYFUNCTION("""COMPUTED_VALUE"""),"[311200015] DANIEL BENY MANTOUW")</f>
        <v>[311200015] DANIEL BENY MANTOUW</v>
      </c>
      <c r="K110" s="52"/>
      <c r="L110" s="52" t="str">
        <f t="shared" si="1"/>
        <v>#VALUE!</v>
      </c>
      <c r="M110" s="52"/>
      <c r="N110" s="52"/>
      <c r="O110" s="52"/>
      <c r="P110" s="52"/>
      <c r="Q110" s="52"/>
      <c r="R110" s="52"/>
      <c r="S110" s="52"/>
      <c r="T110" s="52"/>
      <c r="U110" s="52"/>
      <c r="V110" s="52"/>
      <c r="W110" s="52"/>
      <c r="X110" s="52"/>
      <c r="Y110" s="52"/>
      <c r="Z110" s="52"/>
    </row>
    <row r="111">
      <c r="A111" s="52">
        <f>IFERROR(__xludf.DUMMYFUNCTION("""COMPUTED_VALUE"""),3.01210044E8)</f>
        <v>301210044</v>
      </c>
      <c r="B111" s="52" t="str">
        <f>IFERROR(__xludf.DUMMYFUNCTION("""COMPUTED_VALUE"""),"DANIEL SAMPE TODING")</f>
        <v>DANIEL SAMPE TODING</v>
      </c>
      <c r="C111" s="52">
        <f>IFERROR(__xludf.DUMMYFUNCTION("""COMPUTED_VALUE"""),50.0)</f>
        <v>50</v>
      </c>
      <c r="D111" s="52" t="str">
        <f>IFERROR(__xludf.DUMMYFUNCTION("""COMPUTED_VALUE"""),"Kristen Protestan")</f>
        <v>Kristen Protestan</v>
      </c>
      <c r="E111" s="52" t="str">
        <f>IFERROR(__xludf.DUMMYFUNCTION("""COMPUTED_VALUE"""),"CV. Monalisa")</f>
        <v>CV. Monalisa</v>
      </c>
      <c r="F111" s="52" t="str">
        <f>IFERROR(__xludf.DUMMYFUNCTION("""COMPUTED_VALUE"""),"OPERATOR EXCAVATOR")</f>
        <v>OPERATOR EXCAVATOR</v>
      </c>
      <c r="G111" s="52" t="str">
        <f>IFERROR(__xludf.DUMMYFUNCTION("""COMPUTED_VALUE"""),"PRODUKSI")</f>
        <v>PRODUKSI</v>
      </c>
      <c r="H111" s="52" t="str">
        <f>IFERROR(__xludf.DUMMYFUNCTION("""COMPUTED_VALUE"""),"FALSE")</f>
        <v>FALSE</v>
      </c>
      <c r="I111" s="55">
        <f>IFERROR(__xludf.DUMMYFUNCTION("""COMPUTED_VALUE"""),30108.0)</f>
        <v>30108</v>
      </c>
      <c r="J111" s="53" t="str">
        <f>IFERROR(__xludf.DUMMYFUNCTION("""COMPUTED_VALUE"""),"[301210044] DANIEL SAMPE TODING")</f>
        <v>[301210044] DANIEL SAMPE TODING</v>
      </c>
      <c r="K111" s="52"/>
      <c r="L111" s="52" t="str">
        <f t="shared" si="1"/>
        <v>#VALUE!</v>
      </c>
      <c r="M111" s="52"/>
      <c r="N111" s="52"/>
      <c r="O111" s="52"/>
      <c r="P111" s="52"/>
      <c r="Q111" s="52"/>
      <c r="R111" s="52"/>
      <c r="S111" s="52"/>
      <c r="T111" s="52"/>
      <c r="U111" s="52"/>
      <c r="V111" s="52"/>
      <c r="W111" s="52"/>
      <c r="X111" s="52"/>
      <c r="Y111" s="52"/>
      <c r="Z111" s="52"/>
    </row>
    <row r="112">
      <c r="A112" s="52">
        <f>IFERROR(__xludf.DUMMYFUNCTION("""COMPUTED_VALUE"""),3.03210054E8)</f>
        <v>303210054</v>
      </c>
      <c r="B112" s="52" t="str">
        <f>IFERROR(__xludf.DUMMYFUNCTION("""COMPUTED_VALUE"""),"DANIEL TABANG")</f>
        <v>DANIEL TABANG</v>
      </c>
      <c r="C112" s="52">
        <f>IFERROR(__xludf.DUMMYFUNCTION("""COMPUTED_VALUE"""),34.0)</f>
        <v>34</v>
      </c>
      <c r="D112" s="52" t="str">
        <f>IFERROR(__xludf.DUMMYFUNCTION("""COMPUTED_VALUE"""),"Kristen Protestan")</f>
        <v>Kristen Protestan</v>
      </c>
      <c r="E112" s="52" t="str">
        <f>IFERROR(__xludf.DUMMYFUNCTION("""COMPUTED_VALUE"""),"CV. Monalisa")</f>
        <v>CV. Monalisa</v>
      </c>
      <c r="F112" s="52" t="str">
        <f>IFERROR(__xludf.DUMMYFUNCTION("""COMPUTED_VALUE"""),"DRIVER DT")</f>
        <v>DRIVER DT</v>
      </c>
      <c r="G112" s="52" t="str">
        <f>IFERROR(__xludf.DUMMYFUNCTION("""COMPUTED_VALUE"""),"KENDARAAN &amp; UNIT SUPPORT")</f>
        <v>KENDARAAN &amp; UNIT SUPPORT</v>
      </c>
      <c r="H112" s="52" t="str">
        <f>IFERROR(__xludf.DUMMYFUNCTION("""COMPUTED_VALUE"""),"[0102150004] NAFTALI RARE'A, ST")</f>
        <v>[0102150004] NAFTALI RARE'A, ST</v>
      </c>
      <c r="I112" s="52"/>
      <c r="J112" s="53" t="str">
        <f>IFERROR(__xludf.DUMMYFUNCTION("""COMPUTED_VALUE"""),"[303210054] DANIEL TABANG")</f>
        <v>[303210054] DANIEL TABANG</v>
      </c>
      <c r="K112" s="52"/>
      <c r="L112" s="52" t="str">
        <f t="shared" si="1"/>
        <v>#VALUE!</v>
      </c>
      <c r="M112" s="52"/>
      <c r="N112" s="52"/>
      <c r="O112" s="52"/>
      <c r="P112" s="52"/>
      <c r="Q112" s="52"/>
      <c r="R112" s="52"/>
      <c r="S112" s="52"/>
      <c r="T112" s="52"/>
      <c r="U112" s="52"/>
      <c r="V112" s="52"/>
      <c r="W112" s="52"/>
      <c r="X112" s="52"/>
      <c r="Y112" s="52"/>
      <c r="Z112" s="52"/>
    </row>
    <row r="113">
      <c r="A113" s="52">
        <f>IFERROR(__xludf.DUMMYFUNCTION("""COMPUTED_VALUE"""),2.03231733E8)</f>
        <v>203231733</v>
      </c>
      <c r="B113" s="52" t="str">
        <f>IFERROR(__xludf.DUMMYFUNCTION("""COMPUTED_VALUE"""),"DARMAN")</f>
        <v>DARMAN</v>
      </c>
      <c r="C113" s="52">
        <f>IFERROR(__xludf.DUMMYFUNCTION("""COMPUTED_VALUE"""),0.0)</f>
        <v>0</v>
      </c>
      <c r="D113" s="52"/>
      <c r="E113" s="52" t="str">
        <f>IFERROR(__xludf.DUMMYFUNCTION("""COMPUTED_VALUE"""),"CV. Adil Prima Perkasa")</f>
        <v>CV. Adil Prima Perkasa</v>
      </c>
      <c r="F113" s="52" t="str">
        <f>IFERROR(__xludf.DUMMYFUNCTION("""COMPUTED_VALUE"""),"DRIVER DT H700ZS")</f>
        <v>DRIVER DT H700ZS</v>
      </c>
      <c r="G113" s="52" t="str">
        <f>IFERROR(__xludf.DUMMYFUNCTION("""COMPUTED_VALUE"""),"KENDARAAN &amp; UNIT SUPPORT")</f>
        <v>KENDARAAN &amp; UNIT SUPPORT</v>
      </c>
      <c r="H113" s="52" t="str">
        <f>IFERROR(__xludf.DUMMYFUNCTION("""COMPUTED_VALUE"""),"[0102150004] NAFTALI RARE'A, ST")</f>
        <v>[0102150004] NAFTALI RARE'A, ST</v>
      </c>
      <c r="I113" s="52"/>
      <c r="J113" s="53" t="str">
        <f>IFERROR(__xludf.DUMMYFUNCTION("""COMPUTED_VALUE"""),"[203231733] DARMAN")</f>
        <v>[203231733] DARMAN</v>
      </c>
      <c r="K113" s="52"/>
      <c r="L113" s="52" t="str">
        <f t="shared" si="1"/>
        <v>#VALUE!</v>
      </c>
      <c r="M113" s="52"/>
      <c r="N113" s="52"/>
      <c r="O113" s="52"/>
      <c r="P113" s="52"/>
      <c r="Q113" s="52"/>
      <c r="R113" s="52"/>
      <c r="S113" s="52"/>
      <c r="T113" s="52"/>
      <c r="U113" s="52"/>
      <c r="V113" s="52"/>
      <c r="W113" s="52"/>
      <c r="X113" s="52"/>
      <c r="Y113" s="52"/>
      <c r="Z113" s="52"/>
    </row>
    <row r="114">
      <c r="A114" s="52">
        <f>IFERROR(__xludf.DUMMYFUNCTION("""COMPUTED_VALUE"""),2.08231829E8)</f>
        <v>208231829</v>
      </c>
      <c r="B114" s="52" t="str">
        <f>IFERROR(__xludf.DUMMYFUNCTION("""COMPUTED_VALUE"""),"DASNAL PUTRA LANGGARA")</f>
        <v>DASNAL PUTRA LANGGARA</v>
      </c>
      <c r="C114" s="52">
        <f>IFERROR(__xludf.DUMMYFUNCTION("""COMPUTED_VALUE"""),21.0)</f>
        <v>21</v>
      </c>
      <c r="D114" s="52" t="str">
        <f>IFERROR(__xludf.DUMMYFUNCTION("""COMPUTED_VALUE"""),"Kristen Protestan")</f>
        <v>Kristen Protestan</v>
      </c>
      <c r="E114" s="52" t="str">
        <f>IFERROR(__xludf.DUMMYFUNCTION("""COMPUTED_VALUE"""),"CV. Adil Prima Perkasa")</f>
        <v>CV. Adil Prima Perkasa</v>
      </c>
      <c r="F114" s="52" t="str">
        <f>IFERROR(__xludf.DUMMYFUNCTION("""COMPUTED_VALUE"""),"CHECKER PRODUKSI")</f>
        <v>CHECKER PRODUKSI</v>
      </c>
      <c r="G114" s="52" t="str">
        <f>IFERROR(__xludf.DUMMYFUNCTION("""COMPUTED_VALUE"""),"PRODUKSI")</f>
        <v>PRODUKSI</v>
      </c>
      <c r="H114" s="52" t="str">
        <f>IFERROR(__xludf.DUMMYFUNCTION("""COMPUTED_VALUE"""),"[0102130003] PURNAWAN")</f>
        <v>[0102130003] PURNAWAN</v>
      </c>
      <c r="I114" s="52"/>
      <c r="J114" s="53" t="str">
        <f>IFERROR(__xludf.DUMMYFUNCTION("""COMPUTED_VALUE"""),"[208231829] DASNAL PUTRA LANGGARA")</f>
        <v>[208231829] DASNAL PUTRA LANGGARA</v>
      </c>
      <c r="K114" s="52"/>
      <c r="L114" s="52" t="str">
        <f t="shared" si="1"/>
        <v>#VALUE!</v>
      </c>
      <c r="M114" s="52"/>
      <c r="N114" s="52"/>
      <c r="O114" s="52"/>
      <c r="P114" s="52"/>
      <c r="Q114" s="52"/>
      <c r="R114" s="52"/>
      <c r="S114" s="52"/>
      <c r="T114" s="52"/>
      <c r="U114" s="52"/>
      <c r="V114" s="52"/>
      <c r="W114" s="52"/>
      <c r="X114" s="52"/>
      <c r="Y114" s="52"/>
      <c r="Z114" s="52"/>
    </row>
    <row r="115">
      <c r="A115" s="52">
        <f>IFERROR(__xludf.DUMMYFUNCTION("""COMPUTED_VALUE"""),2.06231778E8)</f>
        <v>206231778</v>
      </c>
      <c r="B115" s="52" t="str">
        <f>IFERROR(__xludf.DUMMYFUNCTION("""COMPUTED_VALUE"""),"DAVID")</f>
        <v>DAVID</v>
      </c>
      <c r="C115" s="52">
        <f>IFERROR(__xludf.DUMMYFUNCTION("""COMPUTED_VALUE"""),23.0)</f>
        <v>23</v>
      </c>
      <c r="D115" s="52" t="str">
        <f>IFERROR(__xludf.DUMMYFUNCTION("""COMPUTED_VALUE"""),"Kristen Protestan")</f>
        <v>Kristen Protestan</v>
      </c>
      <c r="E115" s="52" t="str">
        <f>IFERROR(__xludf.DUMMYFUNCTION("""COMPUTED_VALUE"""),"CV. Adil Prima Perkasa")</f>
        <v>CV. Adil Prima Perkasa</v>
      </c>
      <c r="F115" s="52" t="str">
        <f>IFERROR(__xludf.DUMMYFUNCTION("""COMPUTED_VALUE"""),"HELPER MECHANIC DT OTR")</f>
        <v>HELPER MECHANIC DT OTR</v>
      </c>
      <c r="G115" s="52" t="str">
        <f>IFERROR(__xludf.DUMMYFUNCTION("""COMPUTED_VALUE"""),"WORKSHOP")</f>
        <v>WORKSHOP</v>
      </c>
      <c r="H115" s="52" t="str">
        <f>IFERROR(__xludf.DUMMYFUNCTION("""COMPUTED_VALUE"""),"[0106190928] NATAN KONDO")</f>
        <v>[0106190928] NATAN KONDO</v>
      </c>
      <c r="I115" s="52"/>
      <c r="J115" s="53" t="str">
        <f>IFERROR(__xludf.DUMMYFUNCTION("""COMPUTED_VALUE"""),"[206231778] DAVID")</f>
        <v>[206231778] DAVID</v>
      </c>
      <c r="K115" s="52"/>
      <c r="L115" s="52" t="str">
        <f t="shared" si="1"/>
        <v>#VALUE!</v>
      </c>
      <c r="M115" s="52"/>
      <c r="N115" s="52"/>
      <c r="O115" s="52"/>
      <c r="P115" s="52"/>
      <c r="Q115" s="52"/>
      <c r="R115" s="52"/>
      <c r="S115" s="52"/>
      <c r="T115" s="52"/>
      <c r="U115" s="52"/>
      <c r="V115" s="52"/>
      <c r="W115" s="52"/>
      <c r="X115" s="52"/>
      <c r="Y115" s="52"/>
      <c r="Z115" s="52"/>
    </row>
    <row r="116">
      <c r="A116" s="52">
        <f>IFERROR(__xludf.DUMMYFUNCTION("""COMPUTED_VALUE"""),1.09201221E8)</f>
        <v>109201221</v>
      </c>
      <c r="B116" s="52" t="str">
        <f>IFERROR(__xludf.DUMMYFUNCTION("""COMPUTED_VALUE"""),"DEDI YUDHA K. T")</f>
        <v>DEDI YUDHA K. T</v>
      </c>
      <c r="C116" s="52">
        <f>IFERROR(__xludf.DUMMYFUNCTION("""COMPUTED_VALUE"""),32.0)</f>
        <v>32</v>
      </c>
      <c r="D116" s="52" t="str">
        <f>IFERROR(__xludf.DUMMYFUNCTION("""COMPUTED_VALUE"""),"Kristen Protestan")</f>
        <v>Kristen Protestan</v>
      </c>
      <c r="E116" s="52" t="str">
        <f>IFERROR(__xludf.DUMMYFUNCTION("""COMPUTED_VALUE"""),"CV. SENTOSA ABADI")</f>
        <v>CV. SENTOSA ABADI</v>
      </c>
      <c r="F116" s="52" t="str">
        <f>IFERROR(__xludf.DUMMYFUNCTION("""COMPUTED_VALUE"""),"ADMIN WORKSHOP")</f>
        <v>ADMIN WORKSHOP</v>
      </c>
      <c r="G116" s="52" t="str">
        <f>IFERROR(__xludf.DUMMYFUNCTION("""COMPUTED_VALUE"""),"WORKSHOP")</f>
        <v>WORKSHOP</v>
      </c>
      <c r="H116" s="52" t="str">
        <f>IFERROR(__xludf.DUMMYFUNCTION("""COMPUTED_VALUE"""),"[0107150010] RINI PALINGGI,ST")</f>
        <v>[0107150010] RINI PALINGGI,ST</v>
      </c>
      <c r="I116" s="52"/>
      <c r="J116" s="53" t="str">
        <f>IFERROR(__xludf.DUMMYFUNCTION("""COMPUTED_VALUE"""),"[109201221] DEDI YUDHA K. T")</f>
        <v>[109201221] DEDI YUDHA K. T</v>
      </c>
      <c r="K116" s="52"/>
      <c r="L116" s="52" t="str">
        <f t="shared" si="1"/>
        <v>#VALUE!</v>
      </c>
      <c r="M116" s="52"/>
      <c r="N116" s="52"/>
      <c r="O116" s="52"/>
      <c r="P116" s="52"/>
      <c r="Q116" s="52"/>
      <c r="R116" s="52"/>
      <c r="S116" s="52"/>
      <c r="T116" s="52"/>
      <c r="U116" s="52"/>
      <c r="V116" s="52"/>
      <c r="W116" s="52"/>
      <c r="X116" s="52"/>
      <c r="Y116" s="52"/>
      <c r="Z116" s="52"/>
    </row>
    <row r="117">
      <c r="A117" s="52">
        <f>IFERROR(__xludf.DUMMYFUNCTION("""COMPUTED_VALUE"""),2.02241881E8)</f>
        <v>202241881</v>
      </c>
      <c r="B117" s="52" t="str">
        <f>IFERROR(__xludf.DUMMYFUNCTION("""COMPUTED_VALUE"""),"DEFRI AFRIANSA RETEA")</f>
        <v>DEFRI AFRIANSA RETEA</v>
      </c>
      <c r="C117" s="52">
        <f>IFERROR(__xludf.DUMMYFUNCTION("""COMPUTED_VALUE"""),0.0)</f>
        <v>0</v>
      </c>
      <c r="D117" s="52"/>
      <c r="E117" s="52" t="str">
        <f>IFERROR(__xludf.DUMMYFUNCTION("""COMPUTED_VALUE"""),"CV. Adil Prima Perkasa")</f>
        <v>CV. Adil Prima Perkasa</v>
      </c>
      <c r="F117" s="52" t="str">
        <f>IFERROR(__xludf.DUMMYFUNCTION("""COMPUTED_VALUE"""),"HELPER TYRE")</f>
        <v>HELPER TYRE</v>
      </c>
      <c r="G117" s="52" t="str">
        <f>IFERROR(__xludf.DUMMYFUNCTION("""COMPUTED_VALUE"""),"WORKSHOP")</f>
        <v>WORKSHOP</v>
      </c>
      <c r="H117" s="52" t="str">
        <f>IFERROR(__xludf.DUMMYFUNCTION("""COMPUTED_VALUE"""),"[0106190928] NATAN KONDO")</f>
        <v>[0106190928] NATAN KONDO</v>
      </c>
      <c r="I117" s="52"/>
      <c r="J117" s="53" t="str">
        <f>IFERROR(__xludf.DUMMYFUNCTION("""COMPUTED_VALUE"""),"[202241881] DEFRI AFRIANSA RETEA")</f>
        <v>[202241881] DEFRI AFRIANSA RETEA</v>
      </c>
      <c r="K117" s="52"/>
      <c r="L117" s="52" t="str">
        <f t="shared" si="1"/>
        <v>#VALUE!</v>
      </c>
      <c r="M117" s="52"/>
      <c r="N117" s="52"/>
      <c r="O117" s="52"/>
      <c r="P117" s="52"/>
      <c r="Q117" s="52"/>
      <c r="R117" s="52"/>
      <c r="S117" s="52"/>
      <c r="T117" s="52"/>
      <c r="U117" s="52"/>
      <c r="V117" s="52"/>
      <c r="W117" s="52"/>
      <c r="X117" s="52"/>
      <c r="Y117" s="52"/>
      <c r="Z117" s="52"/>
    </row>
    <row r="118">
      <c r="A118" s="52">
        <f>IFERROR(__xludf.DUMMYFUNCTION("""COMPUTED_VALUE"""),1.04211373E8)</f>
        <v>104211373</v>
      </c>
      <c r="B118" s="52" t="str">
        <f>IFERROR(__xludf.DUMMYFUNCTION("""COMPUTED_VALUE"""),"DELVIYANTO PERUPA")</f>
        <v>DELVIYANTO PERUPA</v>
      </c>
      <c r="C118" s="52">
        <f>IFERROR(__xludf.DUMMYFUNCTION("""COMPUTED_VALUE"""),44.0)</f>
        <v>44</v>
      </c>
      <c r="D118" s="52" t="str">
        <f>IFERROR(__xludf.DUMMYFUNCTION("""COMPUTED_VALUE"""),"Kristen Protestan")</f>
        <v>Kristen Protestan</v>
      </c>
      <c r="E118" s="52" t="str">
        <f>IFERROR(__xludf.DUMMYFUNCTION("""COMPUTED_VALUE"""),"CV. SENTOSA ABADI")</f>
        <v>CV. SENTOSA ABADI</v>
      </c>
      <c r="F118" s="52" t="str">
        <f>IFERROR(__xludf.DUMMYFUNCTION("""COMPUTED_VALUE"""),"OPERATOR ADT")</f>
        <v>OPERATOR ADT</v>
      </c>
      <c r="G118" s="52" t="str">
        <f>IFERROR(__xludf.DUMMYFUNCTION("""COMPUTED_VALUE"""),"PRODUKSI")</f>
        <v>PRODUKSI</v>
      </c>
      <c r="H118" s="52" t="str">
        <f>IFERROR(__xludf.DUMMYFUNCTION("""COMPUTED_VALUE"""),"FALSE")</f>
        <v>FALSE</v>
      </c>
      <c r="I118" s="55">
        <f>IFERROR(__xludf.DUMMYFUNCTION("""COMPUTED_VALUE"""),38528.0)</f>
        <v>38528</v>
      </c>
      <c r="J118" s="53" t="str">
        <f>IFERROR(__xludf.DUMMYFUNCTION("""COMPUTED_VALUE"""),"[104211373] DELVIYANTO PERUPA")</f>
        <v>[104211373] DELVIYANTO PERUPA</v>
      </c>
      <c r="K118" s="52"/>
      <c r="L118" s="52" t="str">
        <f t="shared" si="1"/>
        <v>#VALUE!</v>
      </c>
      <c r="M118" s="52"/>
      <c r="N118" s="52"/>
      <c r="O118" s="52"/>
      <c r="P118" s="52"/>
      <c r="Q118" s="52"/>
      <c r="R118" s="52"/>
      <c r="S118" s="52"/>
      <c r="T118" s="52"/>
      <c r="U118" s="52"/>
      <c r="V118" s="52"/>
      <c r="W118" s="52"/>
      <c r="X118" s="52"/>
      <c r="Y118" s="52"/>
      <c r="Z118" s="52"/>
    </row>
    <row r="119">
      <c r="A119" s="52">
        <f>IFERROR(__xludf.DUMMYFUNCTION("""COMPUTED_VALUE"""),2.07231801E8)</f>
        <v>207231801</v>
      </c>
      <c r="B119" s="52" t="str">
        <f>IFERROR(__xludf.DUMMYFUNCTION("""COMPUTED_VALUE"""),"DENI PENGKE")</f>
        <v>DENI PENGKE</v>
      </c>
      <c r="C119" s="52">
        <f>IFERROR(__xludf.DUMMYFUNCTION("""COMPUTED_VALUE"""),38.0)</f>
        <v>38</v>
      </c>
      <c r="D119" s="52" t="str">
        <f>IFERROR(__xludf.DUMMYFUNCTION("""COMPUTED_VALUE"""),"Kristen Protestan")</f>
        <v>Kristen Protestan</v>
      </c>
      <c r="E119" s="52" t="str">
        <f>IFERROR(__xludf.DUMMYFUNCTION("""COMPUTED_VALUE"""),"CV. Adil Prima Perkasa")</f>
        <v>CV. Adil Prima Perkasa</v>
      </c>
      <c r="F119" s="52" t="str">
        <f>IFERROR(__xludf.DUMMYFUNCTION("""COMPUTED_VALUE"""),"CHECKER KENDARAAN")</f>
        <v>CHECKER KENDARAAN</v>
      </c>
      <c r="G119" s="52" t="str">
        <f>IFERROR(__xludf.DUMMYFUNCTION("""COMPUTED_VALUE"""),"KENDARAAN &amp; UNIT SUPPORT")</f>
        <v>KENDARAAN &amp; UNIT SUPPORT</v>
      </c>
      <c r="H119" s="52" t="str">
        <f>IFERROR(__xludf.DUMMYFUNCTION("""COMPUTED_VALUE"""),"[0102150004] NAFTALI RARE'A, ST")</f>
        <v>[0102150004] NAFTALI RARE'A, ST</v>
      </c>
      <c r="I119" s="55">
        <f>IFERROR(__xludf.DUMMYFUNCTION("""COMPUTED_VALUE"""),29790.0)</f>
        <v>29790</v>
      </c>
      <c r="J119" s="53" t="str">
        <f>IFERROR(__xludf.DUMMYFUNCTION("""COMPUTED_VALUE"""),"[207231801] DENI PENGKE")</f>
        <v>[207231801] DENI PENGKE</v>
      </c>
      <c r="K119" s="52"/>
      <c r="L119" s="52" t="str">
        <f t="shared" si="1"/>
        <v>#VALUE!</v>
      </c>
      <c r="M119" s="52"/>
      <c r="N119" s="52"/>
      <c r="O119" s="52"/>
      <c r="P119" s="52"/>
      <c r="Q119" s="52"/>
      <c r="R119" s="52"/>
      <c r="S119" s="52"/>
      <c r="T119" s="52"/>
      <c r="U119" s="52"/>
      <c r="V119" s="52"/>
      <c r="W119" s="52"/>
      <c r="X119" s="52"/>
      <c r="Y119" s="52"/>
      <c r="Z119" s="52"/>
    </row>
    <row r="120">
      <c r="A120" s="52">
        <f>IFERROR(__xludf.DUMMYFUNCTION("""COMPUTED_VALUE"""),3.12200028E8)</f>
        <v>312200028</v>
      </c>
      <c r="B120" s="52" t="str">
        <f>IFERROR(__xludf.DUMMYFUNCTION("""COMPUTED_VALUE"""),"DENIEL MOSIPATE")</f>
        <v>DENIEL MOSIPATE</v>
      </c>
      <c r="C120" s="52">
        <f>IFERROR(__xludf.DUMMYFUNCTION("""COMPUTED_VALUE"""),50.0)</f>
        <v>50</v>
      </c>
      <c r="D120" s="52" t="str">
        <f>IFERROR(__xludf.DUMMYFUNCTION("""COMPUTED_VALUE"""),"Kristen Protestan")</f>
        <v>Kristen Protestan</v>
      </c>
      <c r="E120" s="52" t="str">
        <f>IFERROR(__xludf.DUMMYFUNCTION("""COMPUTED_VALUE"""),"CV. Monalisa")</f>
        <v>CV. Monalisa</v>
      </c>
      <c r="F120" s="52" t="str">
        <f>IFERROR(__xludf.DUMMYFUNCTION("""COMPUTED_VALUE"""),"DRIVER DT")</f>
        <v>DRIVER DT</v>
      </c>
      <c r="G120" s="52" t="str">
        <f>IFERROR(__xludf.DUMMYFUNCTION("""COMPUTED_VALUE"""),"KENDARAAN &amp; UNIT SUPPORT")</f>
        <v>KENDARAAN &amp; UNIT SUPPORT</v>
      </c>
      <c r="H120" s="52" t="str">
        <f>IFERROR(__xludf.DUMMYFUNCTION("""COMPUTED_VALUE"""),"[0102150004] NAFTALI RARE'A, ST")</f>
        <v>[0102150004] NAFTALI RARE'A, ST</v>
      </c>
      <c r="I120" s="55">
        <f>IFERROR(__xludf.DUMMYFUNCTION("""COMPUTED_VALUE"""),28393.0)</f>
        <v>28393</v>
      </c>
      <c r="J120" s="53" t="str">
        <f>IFERROR(__xludf.DUMMYFUNCTION("""COMPUTED_VALUE"""),"[312200028] DENIEL MOSIPATE")</f>
        <v>[312200028] DENIEL MOSIPATE</v>
      </c>
      <c r="K120" s="52"/>
      <c r="L120" s="52" t="str">
        <f t="shared" si="1"/>
        <v>#VALUE!</v>
      </c>
      <c r="M120" s="52"/>
      <c r="N120" s="52"/>
      <c r="O120" s="52"/>
      <c r="P120" s="52"/>
      <c r="Q120" s="52"/>
      <c r="R120" s="52"/>
      <c r="S120" s="52"/>
      <c r="T120" s="52"/>
      <c r="U120" s="52"/>
      <c r="V120" s="52"/>
      <c r="W120" s="52"/>
      <c r="X120" s="52"/>
      <c r="Y120" s="52"/>
      <c r="Z120" s="52"/>
    </row>
    <row r="121">
      <c r="A121" s="52">
        <f>IFERROR(__xludf.DUMMYFUNCTION("""COMPUTED_VALUE"""),1.03211354E8)</f>
        <v>103211354</v>
      </c>
      <c r="B121" s="52" t="str">
        <f>IFERROR(__xludf.DUMMYFUNCTION("""COMPUTED_VALUE"""),"DERIKSON LAUGI")</f>
        <v>DERIKSON LAUGI</v>
      </c>
      <c r="C121" s="52">
        <f>IFERROR(__xludf.DUMMYFUNCTION("""COMPUTED_VALUE"""),31.0)</f>
        <v>31</v>
      </c>
      <c r="D121" s="52" t="str">
        <f>IFERROR(__xludf.DUMMYFUNCTION("""COMPUTED_VALUE"""),"Kristen Protestan")</f>
        <v>Kristen Protestan</v>
      </c>
      <c r="E121" s="52" t="str">
        <f>IFERROR(__xludf.DUMMYFUNCTION("""COMPUTED_VALUE"""),"CV. SENTOSA ABADI")</f>
        <v>CV. SENTOSA ABADI</v>
      </c>
      <c r="F121" s="52" t="str">
        <f>IFERROR(__xludf.DUMMYFUNCTION("""COMPUTED_VALUE"""),"KOORDINATOR MAINTENANCE")</f>
        <v>KOORDINATOR MAINTENANCE</v>
      </c>
      <c r="G121" s="52" t="str">
        <f>IFERROR(__xludf.DUMMYFUNCTION("""COMPUTED_VALUE"""),"WORKSHOP")</f>
        <v>WORKSHOP</v>
      </c>
      <c r="H121" s="52" t="str">
        <f>IFERROR(__xludf.DUMMYFUNCTION("""COMPUTED_VALUE"""),"FALSE")</f>
        <v>FALSE</v>
      </c>
      <c r="I121" s="52"/>
      <c r="J121" s="53" t="str">
        <f>IFERROR(__xludf.DUMMYFUNCTION("""COMPUTED_VALUE"""),"[103211354] DERIKSON LAUGI")</f>
        <v>[103211354] DERIKSON LAUGI</v>
      </c>
      <c r="K121" s="52"/>
      <c r="L121" s="52" t="str">
        <f t="shared" si="1"/>
        <v>#VALUE!</v>
      </c>
      <c r="M121" s="52"/>
      <c r="N121" s="52"/>
      <c r="O121" s="52"/>
      <c r="P121" s="52"/>
      <c r="Q121" s="52"/>
      <c r="R121" s="52"/>
      <c r="S121" s="52"/>
      <c r="T121" s="52"/>
      <c r="U121" s="52"/>
      <c r="V121" s="52"/>
      <c r="W121" s="52"/>
      <c r="X121" s="52"/>
      <c r="Y121" s="52"/>
      <c r="Z121" s="52"/>
    </row>
    <row r="122">
      <c r="A122" s="52">
        <f>IFERROR(__xludf.DUMMYFUNCTION("""COMPUTED_VALUE"""),2.04241913E8)</f>
        <v>204241913</v>
      </c>
      <c r="B122" s="52" t="str">
        <f>IFERROR(__xludf.DUMMYFUNCTION("""COMPUTED_VALUE"""),"DEVERSON BUGI")</f>
        <v>DEVERSON BUGI</v>
      </c>
      <c r="C122" s="52">
        <f>IFERROR(__xludf.DUMMYFUNCTION("""COMPUTED_VALUE"""),0.0)</f>
        <v>0</v>
      </c>
      <c r="D122" s="52"/>
      <c r="E122" s="52" t="str">
        <f>IFERROR(__xludf.DUMMYFUNCTION("""COMPUTED_VALUE"""),"CV. Adil Prima Perkasa")</f>
        <v>CV. Adil Prima Perkasa</v>
      </c>
      <c r="F122" s="52" t="str">
        <f>IFERROR(__xludf.DUMMYFUNCTION("""COMPUTED_VALUE"""),"SECURITY")</f>
        <v>SECURITY</v>
      </c>
      <c r="G122" s="52" t="str">
        <f>IFERROR(__xludf.DUMMYFUNCTION("""COMPUTED_VALUE"""),"HRD &amp; GA")</f>
        <v>HRD &amp; GA</v>
      </c>
      <c r="H122" s="52" t="str">
        <f>IFERROR(__xludf.DUMMYFUNCTION("""COMPUTED_VALUE"""),"[0108191037] ERNIE FRISLIA")</f>
        <v>[0108191037] ERNIE FRISLIA</v>
      </c>
      <c r="I122" s="52"/>
      <c r="J122" s="53" t="str">
        <f>IFERROR(__xludf.DUMMYFUNCTION("""COMPUTED_VALUE"""),"[204241913] DEVERSON BUGI")</f>
        <v>[204241913] DEVERSON BUGI</v>
      </c>
      <c r="K122" s="52"/>
      <c r="L122" s="52" t="str">
        <f t="shared" si="1"/>
        <v>#VALUE!</v>
      </c>
      <c r="M122" s="52"/>
      <c r="N122" s="52"/>
      <c r="O122" s="52"/>
      <c r="P122" s="52"/>
      <c r="Q122" s="52"/>
      <c r="R122" s="52"/>
      <c r="S122" s="52"/>
      <c r="T122" s="52"/>
      <c r="U122" s="52"/>
      <c r="V122" s="52"/>
      <c r="W122" s="52"/>
      <c r="X122" s="52"/>
      <c r="Y122" s="52"/>
      <c r="Z122" s="52"/>
    </row>
    <row r="123">
      <c r="A123" s="52">
        <f>IFERROR(__xludf.DUMMYFUNCTION("""COMPUTED_VALUE"""),1.08221664E8)</f>
        <v>108221664</v>
      </c>
      <c r="B123" s="52" t="str">
        <f>IFERROR(__xludf.DUMMYFUNCTION("""COMPUTED_VALUE"""),"DEVI SIMAN")</f>
        <v>DEVI SIMAN</v>
      </c>
      <c r="C123" s="52">
        <f>IFERROR(__xludf.DUMMYFUNCTION("""COMPUTED_VALUE"""),45.0)</f>
        <v>45</v>
      </c>
      <c r="D123" s="52" t="str">
        <f>IFERROR(__xludf.DUMMYFUNCTION("""COMPUTED_VALUE"""),"Islam")</f>
        <v>Islam</v>
      </c>
      <c r="E123" s="52" t="str">
        <f>IFERROR(__xludf.DUMMYFUNCTION("""COMPUTED_VALUE"""),"CV. SENTOSA ABADI")</f>
        <v>CV. SENTOSA ABADI</v>
      </c>
      <c r="F123" s="52" t="str">
        <f>IFERROR(__xludf.DUMMYFUNCTION("""COMPUTED_VALUE"""),"HEAD OF SECURITY")</f>
        <v>HEAD OF SECURITY</v>
      </c>
      <c r="G123" s="52" t="str">
        <f>IFERROR(__xludf.DUMMYFUNCTION("""COMPUTED_VALUE"""),"HRD &amp; GA")</f>
        <v>HRD &amp; GA</v>
      </c>
      <c r="H123" s="52" t="str">
        <f>IFERROR(__xludf.DUMMYFUNCTION("""COMPUTED_VALUE"""),"[0108191037] ERNIE FRISLIA")</f>
        <v>[0108191037] ERNIE FRISLIA</v>
      </c>
      <c r="I123" s="55">
        <f>IFERROR(__xludf.DUMMYFUNCTION("""COMPUTED_VALUE"""),29549.0)</f>
        <v>29549</v>
      </c>
      <c r="J123" s="53" t="str">
        <f>IFERROR(__xludf.DUMMYFUNCTION("""COMPUTED_VALUE"""),"[108221664] DEVI SIMAN")</f>
        <v>[108221664] DEVI SIMAN</v>
      </c>
      <c r="K123" s="52"/>
      <c r="L123" s="52" t="str">
        <f t="shared" si="1"/>
        <v>#VALUE!</v>
      </c>
      <c r="M123" s="52"/>
      <c r="N123" s="52"/>
      <c r="O123" s="52"/>
      <c r="P123" s="52"/>
      <c r="Q123" s="52"/>
      <c r="R123" s="52"/>
      <c r="S123" s="52"/>
      <c r="T123" s="52"/>
      <c r="U123" s="52"/>
      <c r="V123" s="52"/>
      <c r="W123" s="52"/>
      <c r="X123" s="52"/>
      <c r="Y123" s="52"/>
      <c r="Z123" s="52"/>
    </row>
    <row r="124">
      <c r="A124" s="52">
        <f>IFERROR(__xludf.DUMMYFUNCTION("""COMPUTED_VALUE"""),2.06241945E8)</f>
        <v>206241945</v>
      </c>
      <c r="B124" s="52" t="str">
        <f>IFERROR(__xludf.DUMMYFUNCTION("""COMPUTED_VALUE"""),"DEWA NYOMAN ARIWINATA")</f>
        <v>DEWA NYOMAN ARIWINATA</v>
      </c>
      <c r="C124" s="52">
        <f>IFERROR(__xludf.DUMMYFUNCTION("""COMPUTED_VALUE"""),23.0)</f>
        <v>23</v>
      </c>
      <c r="D124" s="52" t="str">
        <f>IFERROR(__xludf.DUMMYFUNCTION("""COMPUTED_VALUE"""),"Hindu")</f>
        <v>Hindu</v>
      </c>
      <c r="E124" s="52" t="str">
        <f>IFERROR(__xludf.DUMMYFUNCTION("""COMPUTED_VALUE"""),"CV. Adil Prima Perkasa")</f>
        <v>CV. Adil Prima Perkasa</v>
      </c>
      <c r="F124" s="52" t="str">
        <f>IFERROR(__xludf.DUMMYFUNCTION("""COMPUTED_VALUE"""),"SECURITY")</f>
        <v>SECURITY</v>
      </c>
      <c r="G124" s="52" t="str">
        <f>IFERROR(__xludf.DUMMYFUNCTION("""COMPUTED_VALUE"""),"HRD &amp; GA")</f>
        <v>HRD &amp; GA</v>
      </c>
      <c r="H124" s="52" t="str">
        <f>IFERROR(__xludf.DUMMYFUNCTION("""COMPUTED_VALUE"""),"[0108191037] ERNIE FRISLIA")</f>
        <v>[0108191037] ERNIE FRISLIA</v>
      </c>
      <c r="I124" s="52"/>
      <c r="J124" s="53" t="str">
        <f>IFERROR(__xludf.DUMMYFUNCTION("""COMPUTED_VALUE"""),"[206241945] DEWA NYOMAN ARIWINATA")</f>
        <v>[206241945] DEWA NYOMAN ARIWINATA</v>
      </c>
      <c r="K124" s="52"/>
      <c r="L124" s="52" t="str">
        <f t="shared" si="1"/>
        <v>#VALUE!</v>
      </c>
      <c r="M124" s="52"/>
      <c r="N124" s="52"/>
      <c r="O124" s="52"/>
      <c r="P124" s="52"/>
      <c r="Q124" s="52"/>
      <c r="R124" s="52"/>
      <c r="S124" s="52"/>
      <c r="T124" s="52"/>
      <c r="U124" s="52"/>
      <c r="V124" s="52"/>
      <c r="W124" s="52"/>
      <c r="X124" s="52"/>
      <c r="Y124" s="52"/>
      <c r="Z124" s="52"/>
    </row>
    <row r="125">
      <c r="A125" s="52">
        <f>IFERROR(__xludf.DUMMYFUNCTION("""COMPUTED_VALUE"""),2.05231757E8)</f>
        <v>205231757</v>
      </c>
      <c r="B125" s="52" t="str">
        <f>IFERROR(__xludf.DUMMYFUNCTION("""COMPUTED_VALUE"""),"DIVATD AGRISTO POLOWIWI")</f>
        <v>DIVATD AGRISTO POLOWIWI</v>
      </c>
      <c r="C125" s="52">
        <f>IFERROR(__xludf.DUMMYFUNCTION("""COMPUTED_VALUE"""),20.0)</f>
        <v>20</v>
      </c>
      <c r="D125" s="52" t="str">
        <f>IFERROR(__xludf.DUMMYFUNCTION("""COMPUTED_VALUE"""),"Kristen Protestan")</f>
        <v>Kristen Protestan</v>
      </c>
      <c r="E125" s="52" t="str">
        <f>IFERROR(__xludf.DUMMYFUNCTION("""COMPUTED_VALUE"""),"CV. Adil Prima Perkasa")</f>
        <v>CV. Adil Prima Perkasa</v>
      </c>
      <c r="F125" s="52" t="str">
        <f>IFERROR(__xludf.DUMMYFUNCTION("""COMPUTED_VALUE"""),"CHECKER PRODUKSI")</f>
        <v>CHECKER PRODUKSI</v>
      </c>
      <c r="G125" s="52" t="str">
        <f>IFERROR(__xludf.DUMMYFUNCTION("""COMPUTED_VALUE"""),"PRODUKSI")</f>
        <v>PRODUKSI</v>
      </c>
      <c r="H125" s="52" t="str">
        <f>IFERROR(__xludf.DUMMYFUNCTION("""COMPUTED_VALUE"""),"[0102130003] PURNAWAN")</f>
        <v>[0102130003] PURNAWAN</v>
      </c>
      <c r="I125" s="52"/>
      <c r="J125" s="53" t="str">
        <f>IFERROR(__xludf.DUMMYFUNCTION("""COMPUTED_VALUE"""),"[205231757] DIVATD AGRISTO POLOWIWI")</f>
        <v>[205231757] DIVATD AGRISTO POLOWIWI</v>
      </c>
      <c r="K125" s="52"/>
      <c r="L125" s="52" t="str">
        <f t="shared" si="1"/>
        <v>#VALUE!</v>
      </c>
      <c r="M125" s="52"/>
      <c r="N125" s="52"/>
      <c r="O125" s="52"/>
      <c r="P125" s="52"/>
      <c r="Q125" s="52"/>
      <c r="R125" s="52"/>
      <c r="S125" s="52"/>
      <c r="T125" s="52"/>
      <c r="U125" s="52"/>
      <c r="V125" s="52"/>
      <c r="W125" s="52"/>
      <c r="X125" s="52"/>
      <c r="Y125" s="52"/>
      <c r="Z125" s="52"/>
    </row>
    <row r="126">
      <c r="A126" s="52">
        <f>IFERROR(__xludf.DUMMYFUNCTION("""COMPUTED_VALUE"""),2.08211463E8)</f>
        <v>208211463</v>
      </c>
      <c r="B126" s="52" t="str">
        <f>IFERROR(__xludf.DUMMYFUNCTION("""COMPUTED_VALUE"""),"DOMINGGUS")</f>
        <v>DOMINGGUS</v>
      </c>
      <c r="C126" s="52">
        <f>IFERROR(__xludf.DUMMYFUNCTION("""COMPUTED_VALUE"""),44.0)</f>
        <v>44</v>
      </c>
      <c r="D126" s="52" t="str">
        <f>IFERROR(__xludf.DUMMYFUNCTION("""COMPUTED_VALUE"""),"Kristen Protestan")</f>
        <v>Kristen Protestan</v>
      </c>
      <c r="E126" s="52" t="str">
        <f>IFERROR(__xludf.DUMMYFUNCTION("""COMPUTED_VALUE"""),"CV. Adil Prima Perkasa")</f>
        <v>CV. Adil Prima Perkasa</v>
      </c>
      <c r="F126" s="52" t="str">
        <f>IFERROR(__xludf.DUMMYFUNCTION("""COMPUTED_VALUE"""),"OPERATOR EXCAVATOR")</f>
        <v>OPERATOR EXCAVATOR</v>
      </c>
      <c r="G126" s="52" t="str">
        <f>IFERROR(__xludf.DUMMYFUNCTION("""COMPUTED_VALUE"""),"PRODUKSI")</f>
        <v>PRODUKSI</v>
      </c>
      <c r="H126" s="52" t="str">
        <f>IFERROR(__xludf.DUMMYFUNCTION("""COMPUTED_VALUE"""),"FALSE")</f>
        <v>FALSE</v>
      </c>
      <c r="I126" s="52"/>
      <c r="J126" s="53" t="str">
        <f>IFERROR(__xludf.DUMMYFUNCTION("""COMPUTED_VALUE"""),"[208211463] DOMINGGUS")</f>
        <v>[208211463] DOMINGGUS</v>
      </c>
      <c r="K126" s="52"/>
      <c r="L126" s="52" t="str">
        <f t="shared" si="1"/>
        <v>#VALUE!</v>
      </c>
      <c r="M126" s="52"/>
      <c r="N126" s="52"/>
      <c r="O126" s="52"/>
      <c r="P126" s="52"/>
      <c r="Q126" s="52"/>
      <c r="R126" s="52"/>
      <c r="S126" s="52"/>
      <c r="T126" s="52"/>
      <c r="U126" s="52"/>
      <c r="V126" s="52"/>
      <c r="W126" s="52"/>
      <c r="X126" s="52"/>
      <c r="Y126" s="52"/>
      <c r="Z126" s="52"/>
    </row>
    <row r="127">
      <c r="A127" s="52">
        <f>IFERROR(__xludf.DUMMYFUNCTION("""COMPUTED_VALUE"""),2.04211376E8)</f>
        <v>204211376</v>
      </c>
      <c r="B127" s="52" t="str">
        <f>IFERROR(__xludf.DUMMYFUNCTION("""COMPUTED_VALUE"""),"DOMINGGUS PATIUNG")</f>
        <v>DOMINGGUS PATIUNG</v>
      </c>
      <c r="C127" s="52">
        <f>IFERROR(__xludf.DUMMYFUNCTION("""COMPUTED_VALUE"""),56.0)</f>
        <v>56</v>
      </c>
      <c r="D127" s="52" t="str">
        <f>IFERROR(__xludf.DUMMYFUNCTION("""COMPUTED_VALUE"""),"Kristen Protestan")</f>
        <v>Kristen Protestan</v>
      </c>
      <c r="E127" s="52" t="str">
        <f>IFERROR(__xludf.DUMMYFUNCTION("""COMPUTED_VALUE"""),"CV. Adil Prima Perkasa")</f>
        <v>CV. Adil Prima Perkasa</v>
      </c>
      <c r="F127" s="52" t="str">
        <f>IFERROR(__xludf.DUMMYFUNCTION("""COMPUTED_VALUE"""),"OPERATOR EXCAVATOR")</f>
        <v>OPERATOR EXCAVATOR</v>
      </c>
      <c r="G127" s="52" t="str">
        <f>IFERROR(__xludf.DUMMYFUNCTION("""COMPUTED_VALUE"""),"PRODUKSI")</f>
        <v>PRODUKSI</v>
      </c>
      <c r="H127" s="52" t="str">
        <f>IFERROR(__xludf.DUMMYFUNCTION("""COMPUTED_VALUE"""),"FALSE")</f>
        <v>FALSE</v>
      </c>
      <c r="I127" s="52"/>
      <c r="J127" s="53" t="str">
        <f>IFERROR(__xludf.DUMMYFUNCTION("""COMPUTED_VALUE"""),"[204211376] DOMINGGUS PATIUNG")</f>
        <v>[204211376] DOMINGGUS PATIUNG</v>
      </c>
      <c r="K127" s="52"/>
      <c r="L127" s="52" t="str">
        <f t="shared" si="1"/>
        <v>#VALUE!</v>
      </c>
      <c r="M127" s="52"/>
      <c r="N127" s="52"/>
      <c r="O127" s="52"/>
      <c r="P127" s="52"/>
      <c r="Q127" s="52"/>
      <c r="R127" s="52"/>
      <c r="S127" s="52"/>
      <c r="T127" s="52"/>
      <c r="U127" s="52"/>
      <c r="V127" s="52"/>
      <c r="W127" s="52"/>
      <c r="X127" s="52"/>
      <c r="Y127" s="52"/>
      <c r="Z127" s="52"/>
    </row>
    <row r="128">
      <c r="A128" s="52">
        <f>IFERROR(__xludf.DUMMYFUNCTION("""COMPUTED_VALUE"""),1.03110065E8)</f>
        <v>103110065</v>
      </c>
      <c r="B128" s="52" t="str">
        <f>IFERROR(__xludf.DUMMYFUNCTION("""COMPUTED_VALUE"""),"DOMINIKUS MITEN LARANTUKAN")</f>
        <v>DOMINIKUS MITEN LARANTUKAN</v>
      </c>
      <c r="C128" s="52">
        <f>IFERROR(__xludf.DUMMYFUNCTION("""COMPUTED_VALUE"""),58.0)</f>
        <v>58</v>
      </c>
      <c r="D128" s="52" t="str">
        <f>IFERROR(__xludf.DUMMYFUNCTION("""COMPUTED_VALUE"""),"Kristen Protestan")</f>
        <v>Kristen Protestan</v>
      </c>
      <c r="E128" s="52" t="str">
        <f>IFERROR(__xludf.DUMMYFUNCTION("""COMPUTED_VALUE"""),"CV. SENTOSA ABADI")</f>
        <v>CV. SENTOSA ABADI</v>
      </c>
      <c r="F128" s="52" t="str">
        <f>IFERROR(__xludf.DUMMYFUNCTION("""COMPUTED_VALUE"""),"HEAD OF FUEL")</f>
        <v>HEAD OF FUEL</v>
      </c>
      <c r="G128" s="52" t="str">
        <f>IFERROR(__xludf.DUMMYFUNCTION("""COMPUTED_VALUE"""),"MPE")</f>
        <v>MPE</v>
      </c>
      <c r="H128" s="52" t="str">
        <f>IFERROR(__xludf.DUMMYFUNCTION("""COMPUTED_VALUE"""),"[0102150007] EKY SIDIK PRATAMA, ST")</f>
        <v>[0102150007] EKY SIDIK PRATAMA, ST</v>
      </c>
      <c r="I128" s="52"/>
      <c r="J128" s="53" t="str">
        <f>IFERROR(__xludf.DUMMYFUNCTION("""COMPUTED_VALUE"""),"[103110065] DOMINIKUS MITEN LARANTUKAN")</f>
        <v>[103110065] DOMINIKUS MITEN LARANTUKAN</v>
      </c>
      <c r="K128" s="52"/>
      <c r="L128" s="52" t="str">
        <f t="shared" si="1"/>
        <v>#VALUE!</v>
      </c>
      <c r="M128" s="52"/>
      <c r="N128" s="52"/>
      <c r="O128" s="52"/>
      <c r="P128" s="52"/>
      <c r="Q128" s="52"/>
      <c r="R128" s="52"/>
      <c r="S128" s="52"/>
      <c r="T128" s="52"/>
      <c r="U128" s="52"/>
      <c r="V128" s="52"/>
      <c r="W128" s="52"/>
      <c r="X128" s="52"/>
      <c r="Y128" s="52"/>
      <c r="Z128" s="52"/>
    </row>
    <row r="129">
      <c r="A129" s="52">
        <f>IFERROR(__xludf.DUMMYFUNCTION("""COMPUTED_VALUE"""),1.12120067E8)</f>
        <v>112120067</v>
      </c>
      <c r="B129" s="52" t="str">
        <f>IFERROR(__xludf.DUMMYFUNCTION("""COMPUTED_VALUE"""),"DONI ARDIYANSAH")</f>
        <v>DONI ARDIYANSAH</v>
      </c>
      <c r="C129" s="52">
        <f>IFERROR(__xludf.DUMMYFUNCTION("""COMPUTED_VALUE"""),44.0)</f>
        <v>44</v>
      </c>
      <c r="D129" s="52" t="str">
        <f>IFERROR(__xludf.DUMMYFUNCTION("""COMPUTED_VALUE"""),"Islam")</f>
        <v>Islam</v>
      </c>
      <c r="E129" s="52" t="str">
        <f>IFERROR(__xludf.DUMMYFUNCTION("""COMPUTED_VALUE"""),"CV. SENTOSA ABADI")</f>
        <v>CV. SENTOSA ABADI</v>
      </c>
      <c r="F129" s="52" t="str">
        <f>IFERROR(__xludf.DUMMYFUNCTION("""COMPUTED_VALUE"""),"DRIVER DT H700ZY")</f>
        <v>DRIVER DT H700ZY</v>
      </c>
      <c r="G129" s="52" t="str">
        <f>IFERROR(__xludf.DUMMYFUNCTION("""COMPUTED_VALUE"""),"KENDARAAN &amp; UNIT SUPPORT")</f>
        <v>KENDARAAN &amp; UNIT SUPPORT</v>
      </c>
      <c r="H129" s="52" t="str">
        <f>IFERROR(__xludf.DUMMYFUNCTION("""COMPUTED_VALUE"""),"[0102150004] NAFTALI RARE'A, ST")</f>
        <v>[0102150004] NAFTALI RARE'A, ST</v>
      </c>
      <c r="I129" s="55">
        <f>IFERROR(__xludf.DUMMYFUNCTION("""COMPUTED_VALUE"""),35297.0)</f>
        <v>35297</v>
      </c>
      <c r="J129" s="53" t="str">
        <f>IFERROR(__xludf.DUMMYFUNCTION("""COMPUTED_VALUE"""),"[112120067] DONI ARDIYANSAH")</f>
        <v>[112120067] DONI ARDIYANSAH</v>
      </c>
      <c r="K129" s="52"/>
      <c r="L129" s="52" t="str">
        <f t="shared" si="1"/>
        <v>#VALUE!</v>
      </c>
      <c r="M129" s="52"/>
      <c r="N129" s="52"/>
      <c r="O129" s="52"/>
      <c r="P129" s="52"/>
      <c r="Q129" s="52"/>
      <c r="R129" s="52"/>
      <c r="S129" s="52"/>
      <c r="T129" s="52"/>
      <c r="U129" s="52"/>
      <c r="V129" s="52"/>
      <c r="W129" s="52"/>
      <c r="X129" s="52"/>
      <c r="Y129" s="52"/>
      <c r="Z129" s="52"/>
    </row>
    <row r="130">
      <c r="A130" s="52">
        <f>IFERROR(__xludf.DUMMYFUNCTION("""COMPUTED_VALUE"""),2.03241899E8)</f>
        <v>203241899</v>
      </c>
      <c r="B130" s="52" t="str">
        <f>IFERROR(__xludf.DUMMYFUNCTION("""COMPUTED_VALUE"""),"DORIS TIKU PADANG")</f>
        <v>DORIS TIKU PADANG</v>
      </c>
      <c r="C130" s="52">
        <f>IFERROR(__xludf.DUMMYFUNCTION("""COMPUTED_VALUE"""),25.0)</f>
        <v>25</v>
      </c>
      <c r="D130" s="52" t="str">
        <f>IFERROR(__xludf.DUMMYFUNCTION("""COMPUTED_VALUE"""),"Kristen Protestan")</f>
        <v>Kristen Protestan</v>
      </c>
      <c r="E130" s="52" t="str">
        <f>IFERROR(__xludf.DUMMYFUNCTION("""COMPUTED_VALUE"""),"CV. Adil Prima Perkasa")</f>
        <v>CV. Adil Prima Perkasa</v>
      </c>
      <c r="F130" s="52" t="str">
        <f>IFERROR(__xludf.DUMMYFUNCTION("""COMPUTED_VALUE"""),"STAF HUBUNGAN INDUSTRIAL")</f>
        <v>STAF HUBUNGAN INDUSTRIAL</v>
      </c>
      <c r="G130" s="52" t="str">
        <f>IFERROR(__xludf.DUMMYFUNCTION("""COMPUTED_VALUE"""),"HRD &amp; GA")</f>
        <v>HRD &amp; GA</v>
      </c>
      <c r="H130" s="52" t="str">
        <f>IFERROR(__xludf.DUMMYFUNCTION("""COMPUTED_VALUE"""),"[0108191037] ERNIE FRISLIA")</f>
        <v>[0108191037] ERNIE FRISLIA</v>
      </c>
      <c r="I130" s="52"/>
      <c r="J130" s="53" t="str">
        <f>IFERROR(__xludf.DUMMYFUNCTION("""COMPUTED_VALUE"""),"[203241899] DORIS TIKU PADANG")</f>
        <v>[203241899] DORIS TIKU PADANG</v>
      </c>
      <c r="K130" s="52"/>
      <c r="L130" s="52" t="str">
        <f t="shared" si="1"/>
        <v>#VALUE!</v>
      </c>
      <c r="M130" s="52"/>
      <c r="N130" s="52"/>
      <c r="O130" s="52"/>
      <c r="P130" s="52"/>
      <c r="Q130" s="52"/>
      <c r="R130" s="52"/>
      <c r="S130" s="52"/>
      <c r="T130" s="52"/>
      <c r="U130" s="52"/>
      <c r="V130" s="52"/>
      <c r="W130" s="52"/>
      <c r="X130" s="52"/>
      <c r="Y130" s="52"/>
      <c r="Z130" s="52"/>
    </row>
    <row r="131">
      <c r="A131" s="52"/>
      <c r="B131" s="52" t="str">
        <f>IFERROR(__xludf.DUMMYFUNCTION("""COMPUTED_VALUE"""),"DORIS TIKU PADANG")</f>
        <v>DORIS TIKU PADANG</v>
      </c>
      <c r="C131" s="52">
        <f>IFERROR(__xludf.DUMMYFUNCTION("""COMPUTED_VALUE"""),25.0)</f>
        <v>25</v>
      </c>
      <c r="D131" s="52"/>
      <c r="E131" s="52" t="str">
        <f>IFERROR(__xludf.DUMMYFUNCTION("""COMPUTED_VALUE"""),"CV. Adil Prima Perkasa")</f>
        <v>CV. Adil Prima Perkasa</v>
      </c>
      <c r="F131" s="52" t="str">
        <f>IFERROR(__xludf.DUMMYFUNCTION("""COMPUTED_VALUE"""),"FALSE")</f>
        <v>FALSE</v>
      </c>
      <c r="G131" s="52" t="str">
        <f>IFERROR(__xludf.DUMMYFUNCTION("""COMPUTED_VALUE"""),"HRD &amp; GA")</f>
        <v>HRD &amp; GA</v>
      </c>
      <c r="H131" s="52" t="str">
        <f>IFERROR(__xludf.DUMMYFUNCTION("""COMPUTED_VALUE"""),"[0108191037] ERNIE FRISLIA")</f>
        <v>[0108191037] ERNIE FRISLIA</v>
      </c>
      <c r="I131" s="52"/>
      <c r="J131" s="53" t="str">
        <f>IFERROR(__xludf.DUMMYFUNCTION("""COMPUTED_VALUE"""),"[] DORIS TIKU PADANG")</f>
        <v>[] DORIS TIKU PADANG</v>
      </c>
      <c r="K131" s="52"/>
      <c r="L131" s="52" t="str">
        <f t="shared" si="1"/>
        <v>#VALUE!</v>
      </c>
      <c r="M131" s="52"/>
      <c r="N131" s="52"/>
      <c r="O131" s="52"/>
      <c r="P131" s="52"/>
      <c r="Q131" s="52"/>
      <c r="R131" s="52"/>
      <c r="S131" s="52"/>
      <c r="T131" s="52"/>
      <c r="U131" s="52"/>
      <c r="V131" s="52"/>
      <c r="W131" s="52"/>
      <c r="X131" s="52"/>
      <c r="Y131" s="52"/>
      <c r="Z131" s="52"/>
    </row>
    <row r="132">
      <c r="A132" s="52">
        <f>IFERROR(__xludf.DUMMYFUNCTION("""COMPUTED_VALUE"""),2.05190879E8)</f>
        <v>205190879</v>
      </c>
      <c r="B132" s="52" t="str">
        <f>IFERROR(__xludf.DUMMYFUNCTION("""COMPUTED_VALUE"""),"DUAR KASWANDAR")</f>
        <v>DUAR KASWANDAR</v>
      </c>
      <c r="C132" s="52">
        <f>IFERROR(__xludf.DUMMYFUNCTION("""COMPUTED_VALUE"""),32.0)</f>
        <v>32</v>
      </c>
      <c r="D132" s="52" t="str">
        <f>IFERROR(__xludf.DUMMYFUNCTION("""COMPUTED_VALUE"""),"Islam")</f>
        <v>Islam</v>
      </c>
      <c r="E132" s="52" t="str">
        <f>IFERROR(__xludf.DUMMYFUNCTION("""COMPUTED_VALUE"""),"CV. Adil Prima Perkasa")</f>
        <v>CV. Adil Prima Perkasa</v>
      </c>
      <c r="F132" s="52" t="str">
        <f>IFERROR(__xludf.DUMMYFUNCTION("""COMPUTED_VALUE"""),"CHECKER KENDARAAN")</f>
        <v>CHECKER KENDARAAN</v>
      </c>
      <c r="G132" s="52" t="str">
        <f>IFERROR(__xludf.DUMMYFUNCTION("""COMPUTED_VALUE"""),"KENDARAAN &amp; UNIT SUPPORT")</f>
        <v>KENDARAAN &amp; UNIT SUPPORT</v>
      </c>
      <c r="H132" s="52" t="str">
        <f>IFERROR(__xludf.DUMMYFUNCTION("""COMPUTED_VALUE"""),"[0102150004] NAFTALI RARE'A, ST")</f>
        <v>[0102150004] NAFTALI RARE'A, ST</v>
      </c>
      <c r="I132" s="52"/>
      <c r="J132" s="53" t="str">
        <f>IFERROR(__xludf.DUMMYFUNCTION("""COMPUTED_VALUE"""),"[205190879] DUAR KASWANDAR")</f>
        <v>[205190879] DUAR KASWANDAR</v>
      </c>
      <c r="K132" s="52"/>
      <c r="L132" s="52" t="str">
        <f t="shared" si="1"/>
        <v>#VALUE!</v>
      </c>
      <c r="M132" s="52"/>
      <c r="N132" s="52"/>
      <c r="O132" s="52"/>
      <c r="P132" s="52"/>
      <c r="Q132" s="52"/>
      <c r="R132" s="52"/>
      <c r="S132" s="52"/>
      <c r="T132" s="52"/>
      <c r="U132" s="52"/>
      <c r="V132" s="52"/>
      <c r="W132" s="52"/>
      <c r="X132" s="52"/>
      <c r="Y132" s="52"/>
      <c r="Z132" s="52"/>
    </row>
    <row r="133">
      <c r="A133" s="52">
        <f>IFERROR(__xludf.DUMMYFUNCTION("""COMPUTED_VALUE"""),2.05231768E8)</f>
        <v>205231768</v>
      </c>
      <c r="B133" s="52" t="str">
        <f>IFERROR(__xludf.DUMMYFUNCTION("""COMPUTED_VALUE"""),"DWI RIANTO PANIDI PUTRA")</f>
        <v>DWI RIANTO PANIDI PUTRA</v>
      </c>
      <c r="C133" s="52">
        <f>IFERROR(__xludf.DUMMYFUNCTION("""COMPUTED_VALUE"""),0.0)</f>
        <v>0</v>
      </c>
      <c r="D133" s="52"/>
      <c r="E133" s="52" t="str">
        <f>IFERROR(__xludf.DUMMYFUNCTION("""COMPUTED_VALUE"""),"CV. Adil Prima Perkasa")</f>
        <v>CV. Adil Prima Perkasa</v>
      </c>
      <c r="F133" s="52" t="str">
        <f>IFERROR(__xludf.DUMMYFUNCTION("""COMPUTED_VALUE"""),"HELPER TYRE")</f>
        <v>HELPER TYRE</v>
      </c>
      <c r="G133" s="52" t="str">
        <f>IFERROR(__xludf.DUMMYFUNCTION("""COMPUTED_VALUE"""),"WORKSHOP")</f>
        <v>WORKSHOP</v>
      </c>
      <c r="H133" s="52" t="str">
        <f>IFERROR(__xludf.DUMMYFUNCTION("""COMPUTED_VALUE"""),"[0106190928] NATAN KONDO")</f>
        <v>[0106190928] NATAN KONDO</v>
      </c>
      <c r="I133" s="52"/>
      <c r="J133" s="53" t="str">
        <f>IFERROR(__xludf.DUMMYFUNCTION("""COMPUTED_VALUE"""),"[205231768] DWI RIANTO PANIDI PUTRA")</f>
        <v>[205231768] DWI RIANTO PANIDI PUTRA</v>
      </c>
      <c r="K133" s="52"/>
      <c r="L133" s="52" t="str">
        <f t="shared" si="1"/>
        <v>#VALUE!</v>
      </c>
      <c r="M133" s="52"/>
      <c r="N133" s="52"/>
      <c r="O133" s="52"/>
      <c r="P133" s="52"/>
      <c r="Q133" s="52"/>
      <c r="R133" s="52"/>
      <c r="S133" s="52"/>
      <c r="T133" s="52"/>
      <c r="U133" s="52"/>
      <c r="V133" s="52"/>
      <c r="W133" s="52"/>
      <c r="X133" s="52"/>
      <c r="Y133" s="52"/>
      <c r="Z133" s="52"/>
    </row>
    <row r="134">
      <c r="A134" s="52">
        <f>IFERROR(__xludf.DUMMYFUNCTION("""COMPUTED_VALUE"""),1.12191117E8)</f>
        <v>112191117</v>
      </c>
      <c r="B134" s="52" t="str">
        <f>IFERROR(__xludf.DUMMYFUNCTION("""COMPUTED_VALUE"""),"EDUARDUS KUTENG")</f>
        <v>EDUARDUS KUTENG</v>
      </c>
      <c r="C134" s="52">
        <f>IFERROR(__xludf.DUMMYFUNCTION("""COMPUTED_VALUE"""),33.0)</f>
        <v>33</v>
      </c>
      <c r="D134" s="52" t="str">
        <f>IFERROR(__xludf.DUMMYFUNCTION("""COMPUTED_VALUE"""),"Kristen Khatolik")</f>
        <v>Kristen Khatolik</v>
      </c>
      <c r="E134" s="52" t="str">
        <f>IFERROR(__xludf.DUMMYFUNCTION("""COMPUTED_VALUE"""),"CV. SENTOSA ABADI")</f>
        <v>CV. SENTOSA ABADI</v>
      </c>
      <c r="F134" s="52" t="str">
        <f>IFERROR(__xludf.DUMMYFUNCTION("""COMPUTED_VALUE"""),"OPERATOR ADT")</f>
        <v>OPERATOR ADT</v>
      </c>
      <c r="G134" s="52" t="str">
        <f>IFERROR(__xludf.DUMMYFUNCTION("""COMPUTED_VALUE"""),"PRODUKSI")</f>
        <v>PRODUKSI</v>
      </c>
      <c r="H134" s="52" t="str">
        <f>IFERROR(__xludf.DUMMYFUNCTION("""COMPUTED_VALUE"""),"FALSE")</f>
        <v>FALSE</v>
      </c>
      <c r="I134" s="52"/>
      <c r="J134" s="53" t="str">
        <f>IFERROR(__xludf.DUMMYFUNCTION("""COMPUTED_VALUE"""),"[112191117] EDUARDUS KUTENG")</f>
        <v>[112191117] EDUARDUS KUTENG</v>
      </c>
      <c r="K134" s="52"/>
      <c r="L134" s="52" t="str">
        <f t="shared" si="1"/>
        <v>#VALUE!</v>
      </c>
      <c r="M134" s="52"/>
      <c r="N134" s="52"/>
      <c r="O134" s="52"/>
      <c r="P134" s="52"/>
      <c r="Q134" s="52"/>
      <c r="R134" s="52"/>
      <c r="S134" s="52"/>
      <c r="T134" s="52"/>
      <c r="U134" s="52"/>
      <c r="V134" s="52"/>
      <c r="W134" s="52"/>
      <c r="X134" s="52"/>
      <c r="Y134" s="52"/>
      <c r="Z134" s="52"/>
    </row>
    <row r="135">
      <c r="A135" s="52">
        <f>IFERROR(__xludf.DUMMYFUNCTION("""COMPUTED_VALUE"""),2.08160688E8)</f>
        <v>208160688</v>
      </c>
      <c r="B135" s="52" t="str">
        <f>IFERROR(__xludf.DUMMYFUNCTION("""COMPUTED_VALUE"""),"EDUARDUS NARANG")</f>
        <v>EDUARDUS NARANG</v>
      </c>
      <c r="C135" s="52">
        <f>IFERROR(__xludf.DUMMYFUNCTION("""COMPUTED_VALUE"""),29.0)</f>
        <v>29</v>
      </c>
      <c r="D135" s="52" t="str">
        <f>IFERROR(__xludf.DUMMYFUNCTION("""COMPUTED_VALUE"""),"Kristen Khatolik")</f>
        <v>Kristen Khatolik</v>
      </c>
      <c r="E135" s="52" t="str">
        <f>IFERROR(__xludf.DUMMYFUNCTION("""COMPUTED_VALUE"""),"CV. Adil Prima Perkasa")</f>
        <v>CV. Adil Prima Perkasa</v>
      </c>
      <c r="F135" s="52" t="str">
        <f>IFERROR(__xludf.DUMMYFUNCTION("""COMPUTED_VALUE"""),"OPERATOR COMPACTOR")</f>
        <v>OPERATOR COMPACTOR</v>
      </c>
      <c r="G135" s="52" t="str">
        <f>IFERROR(__xludf.DUMMYFUNCTION("""COMPUTED_VALUE"""),"PRODUKSI")</f>
        <v>PRODUKSI</v>
      </c>
      <c r="H135" s="52" t="str">
        <f>IFERROR(__xludf.DUMMYFUNCTION("""COMPUTED_VALUE"""),"[0102130003] PURNAWAN")</f>
        <v>[0102130003] PURNAWAN</v>
      </c>
      <c r="I135" s="55">
        <f>IFERROR(__xludf.DUMMYFUNCTION("""COMPUTED_VALUE"""),36137.0)</f>
        <v>36137</v>
      </c>
      <c r="J135" s="53" t="str">
        <f>IFERROR(__xludf.DUMMYFUNCTION("""COMPUTED_VALUE"""),"[208160688] EDUARDUS NARANG")</f>
        <v>[208160688] EDUARDUS NARANG</v>
      </c>
      <c r="K135" s="52"/>
      <c r="L135" s="52" t="str">
        <f t="shared" si="1"/>
        <v>#VALUE!</v>
      </c>
      <c r="M135" s="52"/>
      <c r="N135" s="52"/>
      <c r="O135" s="52"/>
      <c r="P135" s="52"/>
      <c r="Q135" s="52"/>
      <c r="R135" s="52"/>
      <c r="S135" s="52"/>
      <c r="T135" s="52"/>
      <c r="U135" s="52"/>
      <c r="V135" s="52"/>
      <c r="W135" s="52"/>
      <c r="X135" s="52"/>
      <c r="Y135" s="52"/>
      <c r="Z135" s="52"/>
    </row>
    <row r="136">
      <c r="A136" s="52">
        <f>IFERROR(__xludf.DUMMYFUNCTION("""COMPUTED_VALUE"""),2.07231805E8)</f>
        <v>207231805</v>
      </c>
      <c r="B136" s="52" t="str">
        <f>IFERROR(__xludf.DUMMYFUNCTION("""COMPUTED_VALUE"""),"EFENDY")</f>
        <v>EFENDY</v>
      </c>
      <c r="C136" s="52">
        <f>IFERROR(__xludf.DUMMYFUNCTION("""COMPUTED_VALUE"""),31.0)</f>
        <v>31</v>
      </c>
      <c r="D136" s="52" t="str">
        <f>IFERROR(__xludf.DUMMYFUNCTION("""COMPUTED_VALUE"""),"Kristen Protestan")</f>
        <v>Kristen Protestan</v>
      </c>
      <c r="E136" s="52" t="str">
        <f>IFERROR(__xludf.DUMMYFUNCTION("""COMPUTED_VALUE"""),"CV. Adil Prima Perkasa")</f>
        <v>CV. Adil Prima Perkasa</v>
      </c>
      <c r="F136" s="52" t="str">
        <f>IFERROR(__xludf.DUMMYFUNCTION("""COMPUTED_VALUE"""),"DRIVER LV")</f>
        <v>DRIVER LV</v>
      </c>
      <c r="G136" s="52" t="str">
        <f>IFERROR(__xludf.DUMMYFUNCTION("""COMPUTED_VALUE"""),"KENDARAAN &amp; UNIT SUPPORT")</f>
        <v>KENDARAAN &amp; UNIT SUPPORT</v>
      </c>
      <c r="H136" s="52" t="str">
        <f>IFERROR(__xludf.DUMMYFUNCTION("""COMPUTED_VALUE"""),"[0102150004] NAFTALI RARE'A, ST")</f>
        <v>[0102150004] NAFTALI RARE'A, ST</v>
      </c>
      <c r="I136" s="52"/>
      <c r="J136" s="53" t="str">
        <f>IFERROR(__xludf.DUMMYFUNCTION("""COMPUTED_VALUE"""),"[207231805] EFENDY")</f>
        <v>[207231805] EFENDY</v>
      </c>
      <c r="K136" s="52"/>
      <c r="L136" s="52" t="str">
        <f t="shared" si="1"/>
        <v>#VALUE!</v>
      </c>
      <c r="M136" s="52"/>
      <c r="N136" s="52"/>
      <c r="O136" s="52"/>
      <c r="P136" s="52"/>
      <c r="Q136" s="52"/>
      <c r="R136" s="52"/>
      <c r="S136" s="52"/>
      <c r="T136" s="52"/>
      <c r="U136" s="52"/>
      <c r="V136" s="52"/>
      <c r="W136" s="52"/>
      <c r="X136" s="52"/>
      <c r="Y136" s="52"/>
      <c r="Z136" s="52"/>
    </row>
    <row r="137">
      <c r="A137" s="52">
        <f>IFERROR(__xludf.DUMMYFUNCTION("""COMPUTED_VALUE"""),1.05211401E8)</f>
        <v>105211401</v>
      </c>
      <c r="B137" s="52" t="str">
        <f>IFERROR(__xludf.DUMMYFUNCTION("""COMPUTED_VALUE"""),"EFRAN RARE'A")</f>
        <v>EFRAN RARE'A</v>
      </c>
      <c r="C137" s="52">
        <f>IFERROR(__xludf.DUMMYFUNCTION("""COMPUTED_VALUE"""),40.0)</f>
        <v>40</v>
      </c>
      <c r="D137" s="52" t="str">
        <f>IFERROR(__xludf.DUMMYFUNCTION("""COMPUTED_VALUE"""),"Kristen Protestan")</f>
        <v>Kristen Protestan</v>
      </c>
      <c r="E137" s="52" t="str">
        <f>IFERROR(__xludf.DUMMYFUNCTION("""COMPUTED_VALUE"""),"CV. SENTOSA ABADI")</f>
        <v>CV. SENTOSA ABADI</v>
      </c>
      <c r="F137" s="52" t="str">
        <f>IFERROR(__xludf.DUMMYFUNCTION("""COMPUTED_VALUE"""),"DRIVER DT H500")</f>
        <v>DRIVER DT H500</v>
      </c>
      <c r="G137" s="52" t="str">
        <f>IFERROR(__xludf.DUMMYFUNCTION("""COMPUTED_VALUE"""),"KENDARAAN &amp; UNIT SUPPORT")</f>
        <v>KENDARAAN &amp; UNIT SUPPORT</v>
      </c>
      <c r="H137" s="52" t="str">
        <f>IFERROR(__xludf.DUMMYFUNCTION("""COMPUTED_VALUE"""),"[0102150004] NAFTALI RARE'A, ST")</f>
        <v>[0102150004] NAFTALI RARE'A, ST</v>
      </c>
      <c r="I137" s="55">
        <f>IFERROR(__xludf.DUMMYFUNCTION("""COMPUTED_VALUE"""),28755.0)</f>
        <v>28755</v>
      </c>
      <c r="J137" s="53" t="str">
        <f>IFERROR(__xludf.DUMMYFUNCTION("""COMPUTED_VALUE"""),"[105211401] EFRAN RARE'A")</f>
        <v>[105211401] EFRAN RARE'A</v>
      </c>
      <c r="K137" s="52"/>
      <c r="L137" s="52" t="str">
        <f t="shared" si="1"/>
        <v>#VALUE!</v>
      </c>
      <c r="M137" s="52"/>
      <c r="N137" s="52"/>
      <c r="O137" s="52"/>
      <c r="P137" s="52"/>
      <c r="Q137" s="52"/>
      <c r="R137" s="52"/>
      <c r="S137" s="52"/>
      <c r="T137" s="52"/>
      <c r="U137" s="52"/>
      <c r="V137" s="52"/>
      <c r="W137" s="52"/>
      <c r="X137" s="52"/>
      <c r="Y137" s="52"/>
      <c r="Z137" s="52"/>
    </row>
    <row r="138">
      <c r="A138" s="52">
        <f>IFERROR(__xludf.DUMMYFUNCTION("""COMPUTED_VALUE"""),1.01190626E8)</f>
        <v>101190626</v>
      </c>
      <c r="B138" s="52" t="str">
        <f>IFERROR(__xludf.DUMMYFUNCTION("""COMPUTED_VALUE"""),"EFRONIUS TEOK")</f>
        <v>EFRONIUS TEOK</v>
      </c>
      <c r="C138" s="52">
        <f>IFERROR(__xludf.DUMMYFUNCTION("""COMPUTED_VALUE"""),26.0)</f>
        <v>26</v>
      </c>
      <c r="D138" s="52" t="str">
        <f>IFERROR(__xludf.DUMMYFUNCTION("""COMPUTED_VALUE"""),"Kristen Khatolik")</f>
        <v>Kristen Khatolik</v>
      </c>
      <c r="E138" s="52" t="str">
        <f>IFERROR(__xludf.DUMMYFUNCTION("""COMPUTED_VALUE"""),"CV. SENTOSA ABADI")</f>
        <v>CV. SENTOSA ABADI</v>
      </c>
      <c r="F138" s="52" t="str">
        <f>IFERROR(__xludf.DUMMYFUNCTION("""COMPUTED_VALUE"""),"OPERATOR EXCAVATOR")</f>
        <v>OPERATOR EXCAVATOR</v>
      </c>
      <c r="G138" s="52" t="str">
        <f>IFERROR(__xludf.DUMMYFUNCTION("""COMPUTED_VALUE"""),"PRODUKSI")</f>
        <v>PRODUKSI</v>
      </c>
      <c r="H138" s="52" t="str">
        <f>IFERROR(__xludf.DUMMYFUNCTION("""COMPUTED_VALUE"""),"FALSE")</f>
        <v>FALSE</v>
      </c>
      <c r="I138" s="52"/>
      <c r="J138" s="53" t="str">
        <f>IFERROR(__xludf.DUMMYFUNCTION("""COMPUTED_VALUE"""),"[101190626] EFRONIUS TEOK")</f>
        <v>[101190626] EFRONIUS TEOK</v>
      </c>
      <c r="K138" s="52"/>
      <c r="L138" s="52" t="str">
        <f t="shared" si="1"/>
        <v>#VALUE!</v>
      </c>
      <c r="M138" s="52"/>
      <c r="N138" s="52"/>
      <c r="O138" s="52"/>
      <c r="P138" s="52"/>
      <c r="Q138" s="52"/>
      <c r="R138" s="52"/>
      <c r="S138" s="52"/>
      <c r="T138" s="52"/>
      <c r="U138" s="52"/>
      <c r="V138" s="52"/>
      <c r="W138" s="52"/>
      <c r="X138" s="52"/>
      <c r="Y138" s="52"/>
      <c r="Z138" s="52"/>
    </row>
    <row r="139">
      <c r="A139" s="52">
        <f>IFERROR(__xludf.DUMMYFUNCTION("""COMPUTED_VALUE"""),1.05190864E8)</f>
        <v>105190864</v>
      </c>
      <c r="B139" s="52" t="str">
        <f>IFERROR(__xludf.DUMMYFUNCTION("""COMPUTED_VALUE"""),"EKELESIA BALIGOMBO")</f>
        <v>EKELESIA BALIGOMBO</v>
      </c>
      <c r="C139" s="52">
        <f>IFERROR(__xludf.DUMMYFUNCTION("""COMPUTED_VALUE"""),57.0)</f>
        <v>57</v>
      </c>
      <c r="D139" s="52" t="str">
        <f>IFERROR(__xludf.DUMMYFUNCTION("""COMPUTED_VALUE"""),"Kristen Protestan")</f>
        <v>Kristen Protestan</v>
      </c>
      <c r="E139" s="52" t="str">
        <f>IFERROR(__xludf.DUMMYFUNCTION("""COMPUTED_VALUE"""),"CV. SENTOSA ABADI")</f>
        <v>CV. SENTOSA ABADI</v>
      </c>
      <c r="F139" s="52" t="str">
        <f>IFERROR(__xludf.DUMMYFUNCTION("""COMPUTED_VALUE"""),"DRIVER DT H700ZY")</f>
        <v>DRIVER DT H700ZY</v>
      </c>
      <c r="G139" s="52" t="str">
        <f>IFERROR(__xludf.DUMMYFUNCTION("""COMPUTED_VALUE"""),"KENDARAAN &amp; UNIT SUPPORT")</f>
        <v>KENDARAAN &amp; UNIT SUPPORT</v>
      </c>
      <c r="H139" s="52" t="str">
        <f>IFERROR(__xludf.DUMMYFUNCTION("""COMPUTED_VALUE"""),"[0102150004] NAFTALI RARE'A, ST")</f>
        <v>[0102150004] NAFTALI RARE'A, ST</v>
      </c>
      <c r="I139" s="55">
        <f>IFERROR(__xludf.DUMMYFUNCTION("""COMPUTED_VALUE"""),25969.0)</f>
        <v>25969</v>
      </c>
      <c r="J139" s="53" t="str">
        <f>IFERROR(__xludf.DUMMYFUNCTION("""COMPUTED_VALUE"""),"[105190864] EKELESIA BALIGOMBO")</f>
        <v>[105190864] EKELESIA BALIGOMBO</v>
      </c>
      <c r="K139" s="52"/>
      <c r="L139" s="52" t="str">
        <f t="shared" si="1"/>
        <v>#VALUE!</v>
      </c>
      <c r="M139" s="52"/>
      <c r="N139" s="52"/>
      <c r="O139" s="52"/>
      <c r="P139" s="52"/>
      <c r="Q139" s="52"/>
      <c r="R139" s="52"/>
      <c r="S139" s="52"/>
      <c r="T139" s="52"/>
      <c r="U139" s="52"/>
      <c r="V139" s="52"/>
      <c r="W139" s="52"/>
      <c r="X139" s="52"/>
      <c r="Y139" s="52"/>
      <c r="Z139" s="52"/>
    </row>
    <row r="140">
      <c r="A140" s="52">
        <f>IFERROR(__xludf.DUMMYFUNCTION("""COMPUTED_VALUE"""),1.12211555E8)</f>
        <v>112211555</v>
      </c>
      <c r="B140" s="52" t="str">
        <f>IFERROR(__xludf.DUMMYFUNCTION("""COMPUTED_VALUE"""),"EKI SURAHMAN")</f>
        <v>EKI SURAHMAN</v>
      </c>
      <c r="C140" s="52">
        <f>IFERROR(__xludf.DUMMYFUNCTION("""COMPUTED_VALUE"""),27.0)</f>
        <v>27</v>
      </c>
      <c r="D140" s="52" t="str">
        <f>IFERROR(__xludf.DUMMYFUNCTION("""COMPUTED_VALUE"""),"Islam")</f>
        <v>Islam</v>
      </c>
      <c r="E140" s="52" t="str">
        <f>IFERROR(__xludf.DUMMYFUNCTION("""COMPUTED_VALUE"""),"CV. SENTOSA ABADI")</f>
        <v>CV. SENTOSA ABADI</v>
      </c>
      <c r="F140" s="52" t="str">
        <f>IFERROR(__xludf.DUMMYFUNCTION("""COMPUTED_VALUE"""),"HELPER TYRE")</f>
        <v>HELPER TYRE</v>
      </c>
      <c r="G140" s="52" t="str">
        <f>IFERROR(__xludf.DUMMYFUNCTION("""COMPUTED_VALUE"""),"WORKSHOP")</f>
        <v>WORKSHOP</v>
      </c>
      <c r="H140" s="52" t="str">
        <f>IFERROR(__xludf.DUMMYFUNCTION("""COMPUTED_VALUE"""),"[0102120144] JUFRY KOMALING")</f>
        <v>[0102120144] JUFRY KOMALING</v>
      </c>
      <c r="I140" s="52"/>
      <c r="J140" s="53" t="str">
        <f>IFERROR(__xludf.DUMMYFUNCTION("""COMPUTED_VALUE"""),"[112211555] EKI SURAHMAN")</f>
        <v>[112211555] EKI SURAHMAN</v>
      </c>
      <c r="K140" s="52"/>
      <c r="L140" s="52" t="str">
        <f t="shared" si="1"/>
        <v>#VALUE!</v>
      </c>
      <c r="M140" s="52"/>
      <c r="N140" s="52"/>
      <c r="O140" s="52"/>
      <c r="P140" s="52"/>
      <c r="Q140" s="52"/>
      <c r="R140" s="52"/>
      <c r="S140" s="52"/>
      <c r="T140" s="52"/>
      <c r="U140" s="52"/>
      <c r="V140" s="52"/>
      <c r="W140" s="52"/>
      <c r="X140" s="52"/>
      <c r="Y140" s="52"/>
      <c r="Z140" s="52"/>
    </row>
    <row r="141">
      <c r="A141" s="52">
        <f>IFERROR(__xludf.DUMMYFUNCTION("""COMPUTED_VALUE"""),2.10180647E8)</f>
        <v>210180647</v>
      </c>
      <c r="B141" s="52" t="str">
        <f>IFERROR(__xludf.DUMMYFUNCTION("""COMPUTED_VALUE"""),"EKKI HIDIN")</f>
        <v>EKKI HIDIN</v>
      </c>
      <c r="C141" s="52">
        <f>IFERROR(__xludf.DUMMYFUNCTION("""COMPUTED_VALUE"""),26.0)</f>
        <v>26</v>
      </c>
      <c r="D141" s="52" t="str">
        <f>IFERROR(__xludf.DUMMYFUNCTION("""COMPUTED_VALUE"""),"Islam")</f>
        <v>Islam</v>
      </c>
      <c r="E141" s="52" t="str">
        <f>IFERROR(__xludf.DUMMYFUNCTION("""COMPUTED_VALUE"""),"CV. Adil Prima Perkasa")</f>
        <v>CV. Adil Prima Perkasa</v>
      </c>
      <c r="F141" s="52" t="str">
        <f>IFERROR(__xludf.DUMMYFUNCTION("""COMPUTED_VALUE"""),"OPERATOR EXCAVATOR")</f>
        <v>OPERATOR EXCAVATOR</v>
      </c>
      <c r="G141" s="52" t="str">
        <f>IFERROR(__xludf.DUMMYFUNCTION("""COMPUTED_VALUE"""),"PRODUKSI")</f>
        <v>PRODUKSI</v>
      </c>
      <c r="H141" s="52" t="str">
        <f>IFERROR(__xludf.DUMMYFUNCTION("""COMPUTED_VALUE"""),"FALSE")</f>
        <v>FALSE</v>
      </c>
      <c r="I141" s="52"/>
      <c r="J141" s="53" t="str">
        <f>IFERROR(__xludf.DUMMYFUNCTION("""COMPUTED_VALUE"""),"[210180647] EKKI HIDIN")</f>
        <v>[210180647] EKKI HIDIN</v>
      </c>
      <c r="K141" s="52"/>
      <c r="L141" s="52" t="str">
        <f t="shared" si="1"/>
        <v>#VALUE!</v>
      </c>
      <c r="M141" s="52"/>
      <c r="N141" s="52"/>
      <c r="O141" s="52"/>
      <c r="P141" s="52"/>
      <c r="Q141" s="52"/>
      <c r="R141" s="52"/>
      <c r="S141" s="52"/>
      <c r="T141" s="52"/>
      <c r="U141" s="52"/>
      <c r="V141" s="52"/>
      <c r="W141" s="52"/>
      <c r="X141" s="52"/>
      <c r="Y141" s="52"/>
      <c r="Z141" s="52"/>
    </row>
    <row r="142">
      <c r="A142" s="52">
        <f>IFERROR(__xludf.DUMMYFUNCTION("""COMPUTED_VALUE"""),1.02150007E8)</f>
        <v>102150007</v>
      </c>
      <c r="B142" s="52" t="str">
        <f>IFERROR(__xludf.DUMMYFUNCTION("""COMPUTED_VALUE"""),"EKY SIDIK PRATAMA, ST")</f>
        <v>EKY SIDIK PRATAMA, ST</v>
      </c>
      <c r="C142" s="52">
        <f>IFERROR(__xludf.DUMMYFUNCTION("""COMPUTED_VALUE"""),35.0)</f>
        <v>35</v>
      </c>
      <c r="D142" s="52" t="str">
        <f>IFERROR(__xludf.DUMMYFUNCTION("""COMPUTED_VALUE"""),"Islam")</f>
        <v>Islam</v>
      </c>
      <c r="E142" s="52" t="str">
        <f>IFERROR(__xludf.DUMMYFUNCTION("""COMPUTED_VALUE"""),"CV. SENTOSA ABADI")</f>
        <v>CV. SENTOSA ABADI</v>
      </c>
      <c r="F142" s="52" t="str">
        <f>IFERROR(__xludf.DUMMYFUNCTION("""COMPUTED_VALUE"""),"HEAD OF PPC")</f>
        <v>HEAD OF PPC</v>
      </c>
      <c r="G142" s="52" t="str">
        <f>IFERROR(__xludf.DUMMYFUNCTION("""COMPUTED_VALUE"""),"MPE")</f>
        <v>MPE</v>
      </c>
      <c r="H142" s="52" t="str">
        <f>IFERROR(__xludf.DUMMYFUNCTION("""COMPUTED_VALUE"""),"FALSE")</f>
        <v>FALSE</v>
      </c>
      <c r="I142" s="55">
        <f>IFERROR(__xludf.DUMMYFUNCTION("""COMPUTED_VALUE"""),34346.0)</f>
        <v>34346</v>
      </c>
      <c r="J142" s="53" t="str">
        <f>IFERROR(__xludf.DUMMYFUNCTION("""COMPUTED_VALUE"""),"[102150007] EKY SIDIK PRATAMA, ST")</f>
        <v>[102150007] EKY SIDIK PRATAMA, ST</v>
      </c>
      <c r="K142" s="52"/>
      <c r="L142" s="52" t="str">
        <f t="shared" si="1"/>
        <v>#VALUE!</v>
      </c>
      <c r="M142" s="52"/>
      <c r="N142" s="52"/>
      <c r="O142" s="52"/>
      <c r="P142" s="52"/>
      <c r="Q142" s="52"/>
      <c r="R142" s="52"/>
      <c r="S142" s="52"/>
      <c r="T142" s="52"/>
      <c r="U142" s="52"/>
      <c r="V142" s="52"/>
      <c r="W142" s="52"/>
      <c r="X142" s="52"/>
      <c r="Y142" s="52"/>
      <c r="Z142" s="52"/>
    </row>
    <row r="143">
      <c r="A143" s="52"/>
      <c r="B143" s="52" t="str">
        <f>IFERROR(__xludf.DUMMYFUNCTION("""COMPUTED_VALUE"""),"EL YASIB SAMAILI")</f>
        <v>EL YASIB SAMAILI</v>
      </c>
      <c r="C143" s="52">
        <f>IFERROR(__xludf.DUMMYFUNCTION("""COMPUTED_VALUE"""),0.0)</f>
        <v>0</v>
      </c>
      <c r="D143" s="52"/>
      <c r="E143" s="52" t="str">
        <f>IFERROR(__xludf.DUMMYFUNCTION("""COMPUTED_VALUE"""),"CV. Monalisa")</f>
        <v>CV. Monalisa</v>
      </c>
      <c r="F143" s="52" t="str">
        <f>IFERROR(__xludf.DUMMYFUNCTION("""COMPUTED_VALUE"""),"FALSE")</f>
        <v>FALSE</v>
      </c>
      <c r="G143" s="52" t="str">
        <f>IFERROR(__xludf.DUMMYFUNCTION("""COMPUTED_VALUE"""),"FINANCE")</f>
        <v>FINANCE</v>
      </c>
      <c r="H143" s="52" t="str">
        <f>IFERROR(__xludf.DUMMYFUNCTION("""COMPUTED_VALUE"""),"[0206189004] ALFRETH ALVIAN TIAKI")</f>
        <v>[0206189004] ALFRETH ALVIAN TIAKI</v>
      </c>
      <c r="I143" s="52"/>
      <c r="J143" s="53" t="str">
        <f>IFERROR(__xludf.DUMMYFUNCTION("""COMPUTED_VALUE"""),"[] EL YASIB SAMAILI")</f>
        <v>[] EL YASIB SAMAILI</v>
      </c>
      <c r="K143" s="52"/>
      <c r="L143" s="52" t="str">
        <f t="shared" si="1"/>
        <v>#VALUE!</v>
      </c>
      <c r="M143" s="52"/>
      <c r="N143" s="52"/>
      <c r="O143" s="52"/>
      <c r="P143" s="52"/>
      <c r="Q143" s="52"/>
      <c r="R143" s="52"/>
      <c r="S143" s="52"/>
      <c r="T143" s="52"/>
      <c r="U143" s="52"/>
      <c r="V143" s="52"/>
      <c r="W143" s="52"/>
      <c r="X143" s="52"/>
      <c r="Y143" s="52"/>
      <c r="Z143" s="52"/>
    </row>
    <row r="144">
      <c r="A144" s="52">
        <f>IFERROR(__xludf.DUMMYFUNCTION("""COMPUTED_VALUE"""),1.11231853E8)</f>
        <v>111231853</v>
      </c>
      <c r="B144" s="52" t="str">
        <f>IFERROR(__xludf.DUMMYFUNCTION("""COMPUTED_VALUE"""),"ELIM SIMON BIU")</f>
        <v>ELIM SIMON BIU</v>
      </c>
      <c r="C144" s="52">
        <f>IFERROR(__xludf.DUMMYFUNCTION("""COMPUTED_VALUE"""),42.0)</f>
        <v>42</v>
      </c>
      <c r="D144" s="52" t="str">
        <f>IFERROR(__xludf.DUMMYFUNCTION("""COMPUTED_VALUE"""),"Kristen Protestan")</f>
        <v>Kristen Protestan</v>
      </c>
      <c r="E144" s="52" t="str">
        <f>IFERROR(__xludf.DUMMYFUNCTION("""COMPUTED_VALUE"""),"CV. SENTOSA ABADI")</f>
        <v>CV. SENTOSA ABADI</v>
      </c>
      <c r="F144" s="52" t="str">
        <f>IFERROR(__xludf.DUMMYFUNCTION("""COMPUTED_VALUE"""),"DRIVER DT H500")</f>
        <v>DRIVER DT H500</v>
      </c>
      <c r="G144" s="52" t="str">
        <f>IFERROR(__xludf.DUMMYFUNCTION("""COMPUTED_VALUE"""),"KENDARAAN &amp; UNIT SUPPORT")</f>
        <v>KENDARAAN &amp; UNIT SUPPORT</v>
      </c>
      <c r="H144" s="52" t="str">
        <f>IFERROR(__xludf.DUMMYFUNCTION("""COMPUTED_VALUE"""),"[0102150004] NAFTALI RARE'A, ST")</f>
        <v>[0102150004] NAFTALI RARE'A, ST</v>
      </c>
      <c r="I144" s="52"/>
      <c r="J144" s="53" t="str">
        <f>IFERROR(__xludf.DUMMYFUNCTION("""COMPUTED_VALUE"""),"[111231853] ELIM SIMON BIU")</f>
        <v>[111231853] ELIM SIMON BIU</v>
      </c>
      <c r="K144" s="52"/>
      <c r="L144" s="52" t="str">
        <f t="shared" si="1"/>
        <v>#VALUE!</v>
      </c>
      <c r="M144" s="52"/>
      <c r="N144" s="52"/>
      <c r="O144" s="52"/>
      <c r="P144" s="52"/>
      <c r="Q144" s="52"/>
      <c r="R144" s="52"/>
      <c r="S144" s="52"/>
      <c r="T144" s="52"/>
      <c r="U144" s="52"/>
      <c r="V144" s="52"/>
      <c r="W144" s="52"/>
      <c r="X144" s="52"/>
      <c r="Y144" s="52"/>
      <c r="Z144" s="52"/>
    </row>
    <row r="145">
      <c r="A145" s="52">
        <f>IFERROR(__xludf.DUMMYFUNCTION("""COMPUTED_VALUE"""),2.07201163E8)</f>
        <v>207201163</v>
      </c>
      <c r="B145" s="52" t="str">
        <f>IFERROR(__xludf.DUMMYFUNCTION("""COMPUTED_VALUE"""),"ELSA SABE")</f>
        <v>ELSA SABE</v>
      </c>
      <c r="C145" s="52">
        <f>IFERROR(__xludf.DUMMYFUNCTION("""COMPUTED_VALUE"""),32.0)</f>
        <v>32</v>
      </c>
      <c r="D145" s="52" t="str">
        <f>IFERROR(__xludf.DUMMYFUNCTION("""COMPUTED_VALUE"""),"Kristen Protestan")</f>
        <v>Kristen Protestan</v>
      </c>
      <c r="E145" s="52" t="str">
        <f>IFERROR(__xludf.DUMMYFUNCTION("""COMPUTED_VALUE"""),"CV. Adil Prima Perkasa")</f>
        <v>CV. Adil Prima Perkasa</v>
      </c>
      <c r="F145" s="52" t="str">
        <f>IFERROR(__xludf.DUMMYFUNCTION("""COMPUTED_VALUE"""),"OPERATOR EXCAVATOR")</f>
        <v>OPERATOR EXCAVATOR</v>
      </c>
      <c r="G145" s="52" t="str">
        <f>IFERROR(__xludf.DUMMYFUNCTION("""COMPUTED_VALUE"""),"PRODUKSI")</f>
        <v>PRODUKSI</v>
      </c>
      <c r="H145" s="52" t="str">
        <f>IFERROR(__xludf.DUMMYFUNCTION("""COMPUTED_VALUE"""),"FALSE")</f>
        <v>FALSE</v>
      </c>
      <c r="I145" s="55">
        <f>IFERROR(__xludf.DUMMYFUNCTION("""COMPUTED_VALUE"""),44663.0)</f>
        <v>44663</v>
      </c>
      <c r="J145" s="53" t="str">
        <f>IFERROR(__xludf.DUMMYFUNCTION("""COMPUTED_VALUE"""),"[207201163] ELSA SABE")</f>
        <v>[207201163] ELSA SABE</v>
      </c>
      <c r="K145" s="52"/>
      <c r="L145" s="52" t="str">
        <f t="shared" si="1"/>
        <v>#VALUE!</v>
      </c>
      <c r="M145" s="52"/>
      <c r="N145" s="52"/>
      <c r="O145" s="52"/>
      <c r="P145" s="52"/>
      <c r="Q145" s="52"/>
      <c r="R145" s="52"/>
      <c r="S145" s="52"/>
      <c r="T145" s="52"/>
      <c r="U145" s="52"/>
      <c r="V145" s="52"/>
      <c r="W145" s="52"/>
      <c r="X145" s="52"/>
      <c r="Y145" s="52"/>
      <c r="Z145" s="52"/>
    </row>
    <row r="146">
      <c r="A146" s="52">
        <f>IFERROR(__xludf.DUMMYFUNCTION("""COMPUTED_VALUE"""),1.02201134E8)</f>
        <v>102201134</v>
      </c>
      <c r="B146" s="52" t="str">
        <f>IFERROR(__xludf.DUMMYFUNCTION("""COMPUTED_VALUE"""),"EMMA FEBRIANTI SINU")</f>
        <v>EMMA FEBRIANTI SINU</v>
      </c>
      <c r="C146" s="52">
        <f>IFERROR(__xludf.DUMMYFUNCTION("""COMPUTED_VALUE"""),37.0)</f>
        <v>37</v>
      </c>
      <c r="D146" s="52" t="str">
        <f>IFERROR(__xludf.DUMMYFUNCTION("""COMPUTED_VALUE"""),"Kristen Protestan")</f>
        <v>Kristen Protestan</v>
      </c>
      <c r="E146" s="52" t="str">
        <f>IFERROR(__xludf.DUMMYFUNCTION("""COMPUTED_VALUE"""),"CV. SENTOSA ABADI")</f>
        <v>CV. SENTOSA ABADI</v>
      </c>
      <c r="F146" s="52" t="str">
        <f>IFERROR(__xludf.DUMMYFUNCTION("""COMPUTED_VALUE"""),"STOCKER")</f>
        <v>STOCKER</v>
      </c>
      <c r="G146" s="52" t="str">
        <f>IFERROR(__xludf.DUMMYFUNCTION("""COMPUTED_VALUE"""),"HRD &amp; GA")</f>
        <v>HRD &amp; GA</v>
      </c>
      <c r="H146" s="52" t="str">
        <f>IFERROR(__xludf.DUMMYFUNCTION("""COMPUTED_VALUE"""),"[0103231738] MARYA SUSAN SIMBANGU")</f>
        <v>[0103231738] MARYA SUSAN SIMBANGU</v>
      </c>
      <c r="I146" s="52"/>
      <c r="J146" s="53" t="str">
        <f>IFERROR(__xludf.DUMMYFUNCTION("""COMPUTED_VALUE"""),"[102201134] EMMA FEBRIANTI SINU")</f>
        <v>[102201134] EMMA FEBRIANTI SINU</v>
      </c>
      <c r="K146" s="52"/>
      <c r="L146" s="52" t="str">
        <f t="shared" si="1"/>
        <v>#VALUE!</v>
      </c>
      <c r="M146" s="52"/>
      <c r="N146" s="52"/>
      <c r="O146" s="52"/>
      <c r="P146" s="52"/>
      <c r="Q146" s="52"/>
      <c r="R146" s="52"/>
      <c r="S146" s="52"/>
      <c r="T146" s="52"/>
      <c r="U146" s="52"/>
      <c r="V146" s="52"/>
      <c r="W146" s="52"/>
      <c r="X146" s="52"/>
      <c r="Y146" s="52"/>
      <c r="Z146" s="52"/>
    </row>
    <row r="147">
      <c r="A147" s="52">
        <f>IFERROR(__xludf.DUMMYFUNCTION("""COMPUTED_VALUE"""),1.11160071E8)</f>
        <v>111160071</v>
      </c>
      <c r="B147" s="52" t="str">
        <f>IFERROR(__xludf.DUMMYFUNCTION("""COMPUTED_VALUE"""),"EMMY")</f>
        <v>EMMY</v>
      </c>
      <c r="C147" s="52">
        <f>IFERROR(__xludf.DUMMYFUNCTION("""COMPUTED_VALUE"""),58.0)</f>
        <v>58</v>
      </c>
      <c r="D147" s="52" t="str">
        <f>IFERROR(__xludf.DUMMYFUNCTION("""COMPUTED_VALUE"""),"Kristen Protestan")</f>
        <v>Kristen Protestan</v>
      </c>
      <c r="E147" s="52" t="str">
        <f>IFERROR(__xludf.DUMMYFUNCTION("""COMPUTED_VALUE"""),"CV. SENTOSA ABADI")</f>
        <v>CV. SENTOSA ABADI</v>
      </c>
      <c r="F147" s="52" t="str">
        <f>IFERROR(__xludf.DUMMYFUNCTION("""COMPUTED_VALUE"""),"OPERATOR COMPACTOR")</f>
        <v>OPERATOR COMPACTOR</v>
      </c>
      <c r="G147" s="52" t="str">
        <f>IFERROR(__xludf.DUMMYFUNCTION("""COMPUTED_VALUE"""),"PRODUKSI")</f>
        <v>PRODUKSI</v>
      </c>
      <c r="H147" s="52" t="str">
        <f>IFERROR(__xludf.DUMMYFUNCTION("""COMPUTED_VALUE"""),"FALSE")</f>
        <v>FALSE</v>
      </c>
      <c r="I147" s="55">
        <f>IFERROR(__xludf.DUMMYFUNCTION("""COMPUTED_VALUE"""),25070.0)</f>
        <v>25070</v>
      </c>
      <c r="J147" s="53" t="str">
        <f>IFERROR(__xludf.DUMMYFUNCTION("""COMPUTED_VALUE"""),"[111160071] EMMY")</f>
        <v>[111160071] EMMY</v>
      </c>
      <c r="K147" s="52"/>
      <c r="L147" s="52" t="str">
        <f t="shared" si="1"/>
        <v>#VALUE!</v>
      </c>
      <c r="M147" s="52"/>
      <c r="N147" s="52"/>
      <c r="O147" s="52"/>
      <c r="P147" s="52"/>
      <c r="Q147" s="52"/>
      <c r="R147" s="52"/>
      <c r="S147" s="52"/>
      <c r="T147" s="52"/>
      <c r="U147" s="52"/>
      <c r="V147" s="52"/>
      <c r="W147" s="52"/>
      <c r="X147" s="52"/>
      <c r="Y147" s="52"/>
      <c r="Z147" s="52"/>
    </row>
    <row r="148">
      <c r="A148" s="52">
        <f>IFERROR(__xludf.DUMMYFUNCTION("""COMPUTED_VALUE"""),1.08191037E8)</f>
        <v>108191037</v>
      </c>
      <c r="B148" s="52" t="str">
        <f>IFERROR(__xludf.DUMMYFUNCTION("""COMPUTED_VALUE"""),"ERNIE FRISLIA")</f>
        <v>ERNIE FRISLIA</v>
      </c>
      <c r="C148" s="52">
        <f>IFERROR(__xludf.DUMMYFUNCTION("""COMPUTED_VALUE"""),43.0)</f>
        <v>43</v>
      </c>
      <c r="D148" s="52" t="str">
        <f>IFERROR(__xludf.DUMMYFUNCTION("""COMPUTED_VALUE"""),"Kristen Protestan")</f>
        <v>Kristen Protestan</v>
      </c>
      <c r="E148" s="52" t="str">
        <f>IFERROR(__xludf.DUMMYFUNCTION("""COMPUTED_VALUE"""),"CV. SENTOSA ABADI")</f>
        <v>CV. SENTOSA ABADI</v>
      </c>
      <c r="F148" s="52" t="str">
        <f>IFERROR(__xludf.DUMMYFUNCTION("""COMPUTED_VALUE"""),"HEAD OF HRGA")</f>
        <v>HEAD OF HRGA</v>
      </c>
      <c r="G148" s="52" t="str">
        <f>IFERROR(__xludf.DUMMYFUNCTION("""COMPUTED_VALUE"""),"HRD &amp; GA")</f>
        <v>HRD &amp; GA</v>
      </c>
      <c r="H148" s="52" t="str">
        <f>IFERROR(__xludf.DUMMYFUNCTION("""COMPUTED_VALUE"""),"[101190758] ERWIN PASALI")</f>
        <v>[101190758] ERWIN PASALI</v>
      </c>
      <c r="I148" s="52"/>
      <c r="J148" s="53" t="str">
        <f>IFERROR(__xludf.DUMMYFUNCTION("""COMPUTED_VALUE"""),"[108191037] ERNIE FRISLIA")</f>
        <v>[108191037] ERNIE FRISLIA</v>
      </c>
      <c r="K148" s="52"/>
      <c r="L148" s="52" t="str">
        <f t="shared" si="1"/>
        <v>#VALUE!</v>
      </c>
      <c r="M148" s="52"/>
      <c r="N148" s="52"/>
      <c r="O148" s="52"/>
      <c r="P148" s="52"/>
      <c r="Q148" s="52"/>
      <c r="R148" s="52"/>
      <c r="S148" s="52"/>
      <c r="T148" s="52"/>
      <c r="U148" s="52"/>
      <c r="V148" s="52"/>
      <c r="W148" s="52"/>
      <c r="X148" s="52"/>
      <c r="Y148" s="52"/>
      <c r="Z148" s="52"/>
    </row>
    <row r="149">
      <c r="A149" s="52">
        <f>IFERROR(__xludf.DUMMYFUNCTION("""COMPUTED_VALUE"""),1.03201137E8)</f>
        <v>103201137</v>
      </c>
      <c r="B149" s="52" t="str">
        <f>IFERROR(__xludf.DUMMYFUNCTION("""COMPUTED_VALUE"""),"ERNUS ESAN")</f>
        <v>ERNUS ESAN</v>
      </c>
      <c r="C149" s="52">
        <f>IFERROR(__xludf.DUMMYFUNCTION("""COMPUTED_VALUE"""),32.0)</f>
        <v>32</v>
      </c>
      <c r="D149" s="52" t="str">
        <f>IFERROR(__xludf.DUMMYFUNCTION("""COMPUTED_VALUE"""),"Kristen Khatolik")</f>
        <v>Kristen Khatolik</v>
      </c>
      <c r="E149" s="52" t="str">
        <f>IFERROR(__xludf.DUMMYFUNCTION("""COMPUTED_VALUE"""),"CV. SENTOSA ABADI")</f>
        <v>CV. SENTOSA ABADI</v>
      </c>
      <c r="F149" s="52" t="str">
        <f>IFERROR(__xludf.DUMMYFUNCTION("""COMPUTED_VALUE"""),"OPERATOR BULLDOZER")</f>
        <v>OPERATOR BULLDOZER</v>
      </c>
      <c r="G149" s="52" t="str">
        <f>IFERROR(__xludf.DUMMYFUNCTION("""COMPUTED_VALUE"""),"PRODUKSI")</f>
        <v>PRODUKSI</v>
      </c>
      <c r="H149" s="52" t="str">
        <f>IFERROR(__xludf.DUMMYFUNCTION("""COMPUTED_VALUE"""),"FALSE")</f>
        <v>FALSE</v>
      </c>
      <c r="I149" s="55">
        <f>IFERROR(__xludf.DUMMYFUNCTION("""COMPUTED_VALUE"""),34459.0)</f>
        <v>34459</v>
      </c>
      <c r="J149" s="53" t="str">
        <f>IFERROR(__xludf.DUMMYFUNCTION("""COMPUTED_VALUE"""),"[103201137] ERNUS ESAN")</f>
        <v>[103201137] ERNUS ESAN</v>
      </c>
      <c r="K149" s="52"/>
      <c r="L149" s="52" t="str">
        <f t="shared" si="1"/>
        <v>#VALUE!</v>
      </c>
      <c r="M149" s="52"/>
      <c r="N149" s="52"/>
      <c r="O149" s="52"/>
      <c r="P149" s="52"/>
      <c r="Q149" s="52"/>
      <c r="R149" s="52"/>
      <c r="S149" s="52"/>
      <c r="T149" s="52"/>
      <c r="U149" s="52"/>
      <c r="V149" s="52"/>
      <c r="W149" s="52"/>
      <c r="X149" s="52"/>
      <c r="Y149" s="52"/>
      <c r="Z149" s="52"/>
    </row>
    <row r="150">
      <c r="A150" s="52">
        <f>IFERROR(__xludf.DUMMYFUNCTION("""COMPUTED_VALUE"""),4.03240009E8)</f>
        <v>403240009</v>
      </c>
      <c r="B150" s="52" t="str">
        <f>IFERROR(__xludf.DUMMYFUNCTION("""COMPUTED_VALUE"""),"ERWIN")</f>
        <v>ERWIN</v>
      </c>
      <c r="C150" s="52">
        <f>IFERROR(__xludf.DUMMYFUNCTION("""COMPUTED_VALUE"""),0.0)</f>
        <v>0</v>
      </c>
      <c r="D150" s="52"/>
      <c r="E150" s="52" t="str">
        <f>IFERROR(__xludf.DUMMYFUNCTION("""COMPUTED_VALUE"""),"CV. SENTOSA ABADI")</f>
        <v>CV. SENTOSA ABADI</v>
      </c>
      <c r="F150" s="52" t="str">
        <f>IFERROR(__xludf.DUMMYFUNCTION("""COMPUTED_VALUE"""),"FOREMAN KENDARAAN")</f>
        <v>FOREMAN KENDARAAN</v>
      </c>
      <c r="G150" s="52" t="str">
        <f>IFERROR(__xludf.DUMMYFUNCTION("""COMPUTED_VALUE"""),"KENDARAAN &amp; UNIT SUPPORT")</f>
        <v>KENDARAAN &amp; UNIT SUPPORT</v>
      </c>
      <c r="H150" s="52" t="str">
        <f>IFERROR(__xludf.DUMMYFUNCTION("""COMPUTED_VALUE"""),"[0102150004] NAFTALI RARE'A, ST")</f>
        <v>[0102150004] NAFTALI RARE'A, ST</v>
      </c>
      <c r="I150" s="52"/>
      <c r="J150" s="53" t="str">
        <f>IFERROR(__xludf.DUMMYFUNCTION("""COMPUTED_VALUE"""),"[403240009] ERWIN")</f>
        <v>[403240009] ERWIN</v>
      </c>
      <c r="K150" s="52"/>
      <c r="L150" s="52" t="str">
        <f t="shared" si="1"/>
        <v>#VALUE!</v>
      </c>
      <c r="M150" s="52"/>
      <c r="N150" s="52"/>
      <c r="O150" s="52"/>
      <c r="P150" s="52"/>
      <c r="Q150" s="52"/>
      <c r="R150" s="52"/>
      <c r="S150" s="52"/>
      <c r="T150" s="52"/>
      <c r="U150" s="52"/>
      <c r="V150" s="52"/>
      <c r="W150" s="52"/>
      <c r="X150" s="52"/>
      <c r="Y150" s="52"/>
      <c r="Z150" s="52"/>
    </row>
    <row r="151">
      <c r="A151" s="52">
        <f>IFERROR(__xludf.DUMMYFUNCTION("""COMPUTED_VALUE"""),1.01190758E8)</f>
        <v>101190758</v>
      </c>
      <c r="B151" s="52" t="str">
        <f>IFERROR(__xludf.DUMMYFUNCTION("""COMPUTED_VALUE"""),"ERWIN PASALI")</f>
        <v>ERWIN PASALI</v>
      </c>
      <c r="C151" s="52">
        <f>IFERROR(__xludf.DUMMYFUNCTION("""COMPUTED_VALUE"""),0.0)</f>
        <v>0</v>
      </c>
      <c r="D151" s="52"/>
      <c r="E151" s="52" t="str">
        <f>IFERROR(__xludf.DUMMYFUNCTION("""COMPUTED_VALUE"""),"CV. SENTOSA ABADI")</f>
        <v>CV. SENTOSA ABADI</v>
      </c>
      <c r="F151" s="52" t="str">
        <f>IFERROR(__xludf.DUMMYFUNCTION("""COMPUTED_VALUE"""),"HEAD OF HRGA")</f>
        <v>HEAD OF HRGA</v>
      </c>
      <c r="G151" s="52" t="str">
        <f>IFERROR(__xludf.DUMMYFUNCTION("""COMPUTED_VALUE"""),"HRD &amp; GA")</f>
        <v>HRD &amp; GA</v>
      </c>
      <c r="H151" s="52" t="str">
        <f>IFERROR(__xludf.DUMMYFUNCTION("""COMPUTED_VALUE"""),"[0101199001] Monita Febyanti")</f>
        <v>[0101199001] Monita Febyanti</v>
      </c>
      <c r="I151" s="52"/>
      <c r="J151" s="53" t="str">
        <f>IFERROR(__xludf.DUMMYFUNCTION("""COMPUTED_VALUE"""),"[101190758] ERWIN PASALI")</f>
        <v>[101190758] ERWIN PASALI</v>
      </c>
      <c r="K151" s="52"/>
      <c r="L151" s="52" t="str">
        <f t="shared" si="1"/>
        <v>#VALUE!</v>
      </c>
      <c r="M151" s="52"/>
      <c r="N151" s="52"/>
      <c r="O151" s="52"/>
      <c r="P151" s="52"/>
      <c r="Q151" s="52"/>
      <c r="R151" s="52"/>
      <c r="S151" s="52"/>
      <c r="T151" s="52"/>
      <c r="U151" s="52"/>
      <c r="V151" s="52"/>
      <c r="W151" s="52"/>
      <c r="X151" s="52"/>
      <c r="Y151" s="52"/>
      <c r="Z151" s="52"/>
    </row>
    <row r="152">
      <c r="A152" s="52">
        <f>IFERROR(__xludf.DUMMYFUNCTION("""COMPUTED_VALUE"""),1.02150008E8)</f>
        <v>102150008</v>
      </c>
      <c r="B152" s="52" t="str">
        <f>IFERROR(__xludf.DUMMYFUNCTION("""COMPUTED_VALUE"""),"ERWIN SAPA")</f>
        <v>ERWIN SAPA</v>
      </c>
      <c r="C152" s="52">
        <f>IFERROR(__xludf.DUMMYFUNCTION("""COMPUTED_VALUE"""),38.0)</f>
        <v>38</v>
      </c>
      <c r="D152" s="52" t="str">
        <f>IFERROR(__xludf.DUMMYFUNCTION("""COMPUTED_VALUE"""),"Islam")</f>
        <v>Islam</v>
      </c>
      <c r="E152" s="52" t="str">
        <f>IFERROR(__xludf.DUMMYFUNCTION("""COMPUTED_VALUE"""),"CV. SENTOSA ABADI")</f>
        <v>CV. SENTOSA ABADI</v>
      </c>
      <c r="F152" s="52" t="str">
        <f>IFERROR(__xludf.DUMMYFUNCTION("""COMPUTED_VALUE"""),"FIELD ENGINEERING")</f>
        <v>FIELD ENGINEERING</v>
      </c>
      <c r="G152" s="52" t="str">
        <f>IFERROR(__xludf.DUMMYFUNCTION("""COMPUTED_VALUE"""),"MPE")</f>
        <v>MPE</v>
      </c>
      <c r="H152" s="52" t="str">
        <f>IFERROR(__xludf.DUMMYFUNCTION("""COMPUTED_VALUE"""),"[0102150007] EKY SIDIK PRATAMA, ST")</f>
        <v>[0102150007] EKY SIDIK PRATAMA, ST</v>
      </c>
      <c r="I152" s="55">
        <f>IFERROR(__xludf.DUMMYFUNCTION("""COMPUTED_VALUE"""),33832.0)</f>
        <v>33832</v>
      </c>
      <c r="J152" s="53" t="str">
        <f>IFERROR(__xludf.DUMMYFUNCTION("""COMPUTED_VALUE"""),"[102150008] ERWIN SAPA")</f>
        <v>[102150008] ERWIN SAPA</v>
      </c>
      <c r="K152" s="52"/>
      <c r="L152" s="52" t="str">
        <f t="shared" si="1"/>
        <v>#VALUE!</v>
      </c>
      <c r="M152" s="52"/>
      <c r="N152" s="52"/>
      <c r="O152" s="52"/>
      <c r="P152" s="52"/>
      <c r="Q152" s="52"/>
      <c r="R152" s="52"/>
      <c r="S152" s="52"/>
      <c r="T152" s="52"/>
      <c r="U152" s="52"/>
      <c r="V152" s="52"/>
      <c r="W152" s="52"/>
      <c r="X152" s="52"/>
      <c r="Y152" s="52"/>
      <c r="Z152" s="52"/>
    </row>
    <row r="153">
      <c r="A153" s="52">
        <f>IFERROR(__xludf.DUMMYFUNCTION("""COMPUTED_VALUE"""),2.11201294E8)</f>
        <v>211201294</v>
      </c>
      <c r="B153" s="52" t="str">
        <f>IFERROR(__xludf.DUMMYFUNCTION("""COMPUTED_VALUE"""),"ERWINSYAH LAMBEJA")</f>
        <v>ERWINSYAH LAMBEJA</v>
      </c>
      <c r="C153" s="52">
        <f>IFERROR(__xludf.DUMMYFUNCTION("""COMPUTED_VALUE"""),28.0)</f>
        <v>28</v>
      </c>
      <c r="D153" s="52" t="str">
        <f>IFERROR(__xludf.DUMMYFUNCTION("""COMPUTED_VALUE"""),"Islam")</f>
        <v>Islam</v>
      </c>
      <c r="E153" s="52" t="str">
        <f>IFERROR(__xludf.DUMMYFUNCTION("""COMPUTED_VALUE"""),"CV. Adil Prima Perkasa")</f>
        <v>CV. Adil Prima Perkasa</v>
      </c>
      <c r="F153" s="52" t="str">
        <f>IFERROR(__xludf.DUMMYFUNCTION("""COMPUTED_VALUE"""),"FOREMAN GRADE CONTROL")</f>
        <v>FOREMAN GRADE CONTROL</v>
      </c>
      <c r="G153" s="52" t="str">
        <f>IFERROR(__xludf.DUMMYFUNCTION("""COMPUTED_VALUE"""),"GRADE CONTROL")</f>
        <v>GRADE CONTROL</v>
      </c>
      <c r="H153" s="52" t="str">
        <f>IFERROR(__xludf.DUMMYFUNCTION("""COMPUTED_VALUE"""),"[0107201164] A.CHRISTI ARI WIBOWO")</f>
        <v>[0107201164] A.CHRISTI ARI WIBOWO</v>
      </c>
      <c r="I153" s="52"/>
      <c r="J153" s="53" t="str">
        <f>IFERROR(__xludf.DUMMYFUNCTION("""COMPUTED_VALUE"""),"[211201294] ERWINSYAH LAMBEJA")</f>
        <v>[211201294] ERWINSYAH LAMBEJA</v>
      </c>
      <c r="K153" s="52"/>
      <c r="L153" s="52" t="str">
        <f t="shared" si="1"/>
        <v>#VALUE!</v>
      </c>
      <c r="M153" s="52"/>
      <c r="N153" s="52"/>
      <c r="O153" s="52"/>
      <c r="P153" s="52"/>
      <c r="Q153" s="52"/>
      <c r="R153" s="52"/>
      <c r="S153" s="52"/>
      <c r="T153" s="52"/>
      <c r="U153" s="52"/>
      <c r="V153" s="52"/>
      <c r="W153" s="52"/>
      <c r="X153" s="52"/>
      <c r="Y153" s="52"/>
      <c r="Z153" s="52"/>
    </row>
    <row r="154">
      <c r="A154" s="52">
        <f>IFERROR(__xludf.DUMMYFUNCTION("""COMPUTED_VALUE"""),2.08191034E8)</f>
        <v>208191034</v>
      </c>
      <c r="B154" s="52" t="str">
        <f>IFERROR(__xludf.DUMMYFUNCTION("""COMPUTED_VALUE"""),"EVANTINUS IRWANDI MAHAL")</f>
        <v>EVANTINUS IRWANDI MAHAL</v>
      </c>
      <c r="C154" s="52">
        <f>IFERROR(__xludf.DUMMYFUNCTION("""COMPUTED_VALUE"""),25.0)</f>
        <v>25</v>
      </c>
      <c r="D154" s="52" t="str">
        <f>IFERROR(__xludf.DUMMYFUNCTION("""COMPUTED_VALUE"""),"Kristen Khatolik")</f>
        <v>Kristen Khatolik</v>
      </c>
      <c r="E154" s="52" t="str">
        <f>IFERROR(__xludf.DUMMYFUNCTION("""COMPUTED_VALUE"""),"CV. Adil Prima Perkasa")</f>
        <v>CV. Adil Prima Perkasa</v>
      </c>
      <c r="F154" s="52" t="str">
        <f>IFERROR(__xludf.DUMMYFUNCTION("""COMPUTED_VALUE"""),"OPERATOR EXCAVATOR")</f>
        <v>OPERATOR EXCAVATOR</v>
      </c>
      <c r="G154" s="52" t="str">
        <f>IFERROR(__xludf.DUMMYFUNCTION("""COMPUTED_VALUE"""),"PRODUKSI")</f>
        <v>PRODUKSI</v>
      </c>
      <c r="H154" s="52" t="str">
        <f>IFERROR(__xludf.DUMMYFUNCTION("""COMPUTED_VALUE"""),"FALSE")</f>
        <v>FALSE</v>
      </c>
      <c r="I154" s="52"/>
      <c r="J154" s="53" t="str">
        <f>IFERROR(__xludf.DUMMYFUNCTION("""COMPUTED_VALUE"""),"[208191034] EVANTINUS IRWANDI MAHAL")</f>
        <v>[208191034] EVANTINUS IRWANDI MAHAL</v>
      </c>
      <c r="K154" s="52"/>
      <c r="L154" s="52" t="str">
        <f t="shared" si="1"/>
        <v>#VALUE!</v>
      </c>
      <c r="M154" s="52"/>
      <c r="N154" s="52"/>
      <c r="O154" s="52"/>
      <c r="P154" s="52"/>
      <c r="Q154" s="52"/>
      <c r="R154" s="52"/>
      <c r="S154" s="52"/>
      <c r="T154" s="52"/>
      <c r="U154" s="52"/>
      <c r="V154" s="52"/>
      <c r="W154" s="52"/>
      <c r="X154" s="52"/>
      <c r="Y154" s="52"/>
      <c r="Z154" s="52"/>
    </row>
    <row r="155">
      <c r="A155" s="52">
        <f>IFERROR(__xludf.DUMMYFUNCTION("""COMPUTED_VALUE"""),1.09160076E8)</f>
        <v>109160076</v>
      </c>
      <c r="B155" s="52" t="str">
        <f>IFERROR(__xludf.DUMMYFUNCTION("""COMPUTED_VALUE"""),"EVERSON LONTOE")</f>
        <v>EVERSON LONTOE</v>
      </c>
      <c r="C155" s="52">
        <f>IFERROR(__xludf.DUMMYFUNCTION("""COMPUTED_VALUE"""),52.0)</f>
        <v>52</v>
      </c>
      <c r="D155" s="52" t="str">
        <f>IFERROR(__xludf.DUMMYFUNCTION("""COMPUTED_VALUE"""),"Kristen Protestan")</f>
        <v>Kristen Protestan</v>
      </c>
      <c r="E155" s="52" t="str">
        <f>IFERROR(__xludf.DUMMYFUNCTION("""COMPUTED_VALUE"""),"CV. SENTOSA ABADI")</f>
        <v>CV. SENTOSA ABADI</v>
      </c>
      <c r="F155" s="52" t="str">
        <f>IFERROR(__xludf.DUMMYFUNCTION("""COMPUTED_VALUE"""),"DRIVER DT H700ZY")</f>
        <v>DRIVER DT H700ZY</v>
      </c>
      <c r="G155" s="52" t="str">
        <f>IFERROR(__xludf.DUMMYFUNCTION("""COMPUTED_VALUE"""),"KENDARAAN &amp; UNIT SUPPORT")</f>
        <v>KENDARAAN &amp; UNIT SUPPORT</v>
      </c>
      <c r="H155" s="52" t="str">
        <f>IFERROR(__xludf.DUMMYFUNCTION("""COMPUTED_VALUE"""),"[0102150004] NAFTALI RARE'A, ST")</f>
        <v>[0102150004] NAFTALI RARE'A, ST</v>
      </c>
      <c r="I155" s="52"/>
      <c r="J155" s="53" t="str">
        <f>IFERROR(__xludf.DUMMYFUNCTION("""COMPUTED_VALUE"""),"[109160076] EVERSON LONTOE")</f>
        <v>[109160076] EVERSON LONTOE</v>
      </c>
      <c r="K155" s="52"/>
      <c r="L155" s="52" t="str">
        <f t="shared" si="1"/>
        <v>#VALUE!</v>
      </c>
      <c r="M155" s="52"/>
      <c r="N155" s="52"/>
      <c r="O155" s="52"/>
      <c r="P155" s="52"/>
      <c r="Q155" s="52"/>
      <c r="R155" s="52"/>
      <c r="S155" s="52"/>
      <c r="T155" s="52"/>
      <c r="U155" s="52"/>
      <c r="V155" s="52"/>
      <c r="W155" s="52"/>
      <c r="X155" s="52"/>
      <c r="Y155" s="52"/>
      <c r="Z155" s="52"/>
    </row>
    <row r="156">
      <c r="A156" s="52">
        <f>IFERROR(__xludf.DUMMYFUNCTION("""COMPUTED_VALUE"""),1.12180617E8)</f>
        <v>112180617</v>
      </c>
      <c r="B156" s="52" t="str">
        <f>IFERROR(__xludf.DUMMYFUNCTION("""COMPUTED_VALUE"""),"EVIL HARIANTO")</f>
        <v>EVIL HARIANTO</v>
      </c>
      <c r="C156" s="52">
        <f>IFERROR(__xludf.DUMMYFUNCTION("""COMPUTED_VALUE"""),39.0)</f>
        <v>39</v>
      </c>
      <c r="D156" s="52" t="str">
        <f>IFERROR(__xludf.DUMMYFUNCTION("""COMPUTED_VALUE"""),"Islam")</f>
        <v>Islam</v>
      </c>
      <c r="E156" s="52" t="str">
        <f>IFERROR(__xludf.DUMMYFUNCTION("""COMPUTED_VALUE"""),"CV. SENTOSA ABADI")</f>
        <v>CV. SENTOSA ABADI</v>
      </c>
      <c r="F156" s="52" t="str">
        <f>IFERROR(__xludf.DUMMYFUNCTION("""COMPUTED_VALUE"""),"HELPER MEKANIK ALAT BERAT")</f>
        <v>HELPER MEKANIK ALAT BERAT</v>
      </c>
      <c r="G156" s="52" t="str">
        <f>IFERROR(__xludf.DUMMYFUNCTION("""COMPUTED_VALUE"""),"WORKSHOP")</f>
        <v>WORKSHOP</v>
      </c>
      <c r="H156" s="52" t="str">
        <f>IFERROR(__xludf.DUMMYFUNCTION("""COMPUTED_VALUE"""),"[0106190928] NATAN KONDO")</f>
        <v>[0106190928] NATAN KONDO</v>
      </c>
      <c r="I156" s="55">
        <f>IFERROR(__xludf.DUMMYFUNCTION("""COMPUTED_VALUE"""),33608.0)</f>
        <v>33608</v>
      </c>
      <c r="J156" s="53" t="str">
        <f>IFERROR(__xludf.DUMMYFUNCTION("""COMPUTED_VALUE"""),"[112180617] EVIL HARIANTO")</f>
        <v>[112180617] EVIL HARIANTO</v>
      </c>
      <c r="K156" s="52"/>
      <c r="L156" s="52" t="str">
        <f t="shared" si="1"/>
        <v>#VALUE!</v>
      </c>
      <c r="M156" s="52"/>
      <c r="N156" s="52"/>
      <c r="O156" s="52"/>
      <c r="P156" s="52"/>
      <c r="Q156" s="52"/>
      <c r="R156" s="52"/>
      <c r="S156" s="52"/>
      <c r="T156" s="52"/>
      <c r="U156" s="52"/>
      <c r="V156" s="52"/>
      <c r="W156" s="52"/>
      <c r="X156" s="52"/>
      <c r="Y156" s="52"/>
      <c r="Z156" s="52"/>
    </row>
    <row r="157">
      <c r="A157" s="52">
        <f>IFERROR(__xludf.DUMMYFUNCTION("""COMPUTED_VALUE"""),1.10201256E8)</f>
        <v>110201256</v>
      </c>
      <c r="B157" s="52" t="str">
        <f>IFERROR(__xludf.DUMMYFUNCTION("""COMPUTED_VALUE"""),"FADLI KUSDIATNO SIMBANGU")</f>
        <v>FADLI KUSDIATNO SIMBANGU</v>
      </c>
      <c r="C157" s="52">
        <f>IFERROR(__xludf.DUMMYFUNCTION("""COMPUTED_VALUE"""),41.0)</f>
        <v>41</v>
      </c>
      <c r="D157" s="52" t="str">
        <f>IFERROR(__xludf.DUMMYFUNCTION("""COMPUTED_VALUE"""),"Kristen Protestan")</f>
        <v>Kristen Protestan</v>
      </c>
      <c r="E157" s="52" t="str">
        <f>IFERROR(__xludf.DUMMYFUNCTION("""COMPUTED_VALUE"""),"CV. SENTOSA ABADI")</f>
        <v>CV. SENTOSA ABADI</v>
      </c>
      <c r="F157" s="52" t="str">
        <f>IFERROR(__xludf.DUMMYFUNCTION("""COMPUTED_VALUE"""),"HELPER BODY REPAIR")</f>
        <v>HELPER BODY REPAIR</v>
      </c>
      <c r="G157" s="52" t="str">
        <f>IFERROR(__xludf.DUMMYFUNCTION("""COMPUTED_VALUE"""),"WORKSHOP")</f>
        <v>WORKSHOP</v>
      </c>
      <c r="H157" s="52" t="str">
        <f>IFERROR(__xludf.DUMMYFUNCTION("""COMPUTED_VALUE"""),"FALSE")</f>
        <v>FALSE</v>
      </c>
      <c r="I157" s="52"/>
      <c r="J157" s="53" t="str">
        <f>IFERROR(__xludf.DUMMYFUNCTION("""COMPUTED_VALUE"""),"[110201256] FADLI KUSDIATNO SIMBANGU")</f>
        <v>[110201256] FADLI KUSDIATNO SIMBANGU</v>
      </c>
      <c r="K157" s="52"/>
      <c r="L157" s="52" t="str">
        <f t="shared" si="1"/>
        <v>#VALUE!</v>
      </c>
      <c r="M157" s="52"/>
      <c r="N157" s="52"/>
      <c r="O157" s="52"/>
      <c r="P157" s="52"/>
      <c r="Q157" s="52"/>
      <c r="R157" s="52"/>
      <c r="S157" s="52"/>
      <c r="T157" s="52"/>
      <c r="U157" s="52"/>
      <c r="V157" s="52"/>
      <c r="W157" s="52"/>
      <c r="X157" s="52"/>
      <c r="Y157" s="52"/>
      <c r="Z157" s="52"/>
    </row>
    <row r="158">
      <c r="A158" s="52">
        <f>IFERROR(__xludf.DUMMYFUNCTION("""COMPUTED_VALUE"""),2.01241877E8)</f>
        <v>201241877</v>
      </c>
      <c r="B158" s="52" t="str">
        <f>IFERROR(__xludf.DUMMYFUNCTION("""COMPUTED_VALUE"""),"FAIZAL RAMADHAN BAKRI")</f>
        <v>FAIZAL RAMADHAN BAKRI</v>
      </c>
      <c r="C158" s="52">
        <f>IFERROR(__xludf.DUMMYFUNCTION("""COMPUTED_VALUE"""),0.0)</f>
        <v>0</v>
      </c>
      <c r="D158" s="52"/>
      <c r="E158" s="52" t="str">
        <f>IFERROR(__xludf.DUMMYFUNCTION("""COMPUTED_VALUE"""),"CV. Adil Prima Perkasa")</f>
        <v>CV. Adil Prima Perkasa</v>
      </c>
      <c r="F158" s="52" t="str">
        <f>IFERROR(__xludf.DUMMYFUNCTION("""COMPUTED_VALUE"""),"ELECTRICIAN")</f>
        <v>ELECTRICIAN</v>
      </c>
      <c r="G158" s="52" t="str">
        <f>IFERROR(__xludf.DUMMYFUNCTION("""COMPUTED_VALUE"""),"WORKSHOP")</f>
        <v>WORKSHOP</v>
      </c>
      <c r="H158" s="52" t="str">
        <f>IFERROR(__xludf.DUMMYFUNCTION("""COMPUTED_VALUE"""),"[0106190928] NATAN KONDO")</f>
        <v>[0106190928] NATAN KONDO</v>
      </c>
      <c r="I158" s="52"/>
      <c r="J158" s="53" t="str">
        <f>IFERROR(__xludf.DUMMYFUNCTION("""COMPUTED_VALUE"""),"[201241877] FAIZAL RAMADHAN BAKRI")</f>
        <v>[201241877] FAIZAL RAMADHAN BAKRI</v>
      </c>
      <c r="K158" s="52"/>
      <c r="L158" s="52" t="str">
        <f t="shared" si="1"/>
        <v>#VALUE!</v>
      </c>
      <c r="M158" s="52"/>
      <c r="N158" s="52"/>
      <c r="O158" s="52"/>
      <c r="P158" s="52"/>
      <c r="Q158" s="52"/>
      <c r="R158" s="52"/>
      <c r="S158" s="52"/>
      <c r="T158" s="52"/>
      <c r="U158" s="52"/>
      <c r="V158" s="52"/>
      <c r="W158" s="52"/>
      <c r="X158" s="52"/>
      <c r="Y158" s="52"/>
      <c r="Z158" s="52"/>
    </row>
    <row r="159">
      <c r="A159" s="52"/>
      <c r="B159" s="52" t="str">
        <f>IFERROR(__xludf.DUMMYFUNCTION("""COMPUTED_VALUE"""),"FAJA")</f>
        <v>FAJA</v>
      </c>
      <c r="C159" s="52">
        <f>IFERROR(__xludf.DUMMYFUNCTION("""COMPUTED_VALUE"""),0.0)</f>
        <v>0</v>
      </c>
      <c r="D159" s="52"/>
      <c r="E159" s="52" t="str">
        <f>IFERROR(__xludf.DUMMYFUNCTION("""COMPUTED_VALUE"""),"CV. Adil Prima Perkasa")</f>
        <v>CV. Adil Prima Perkasa</v>
      </c>
      <c r="F159" s="52" t="str">
        <f>IFERROR(__xludf.DUMMYFUNCTION("""COMPUTED_VALUE"""),"FALSE")</f>
        <v>FALSE</v>
      </c>
      <c r="G159" s="52" t="str">
        <f>IFERROR(__xludf.DUMMYFUNCTION("""COMPUTED_VALUE"""),"FALSE")</f>
        <v>FALSE</v>
      </c>
      <c r="H159" s="52" t="str">
        <f>IFERROR(__xludf.DUMMYFUNCTION("""COMPUTED_VALUE"""),"FALSE")</f>
        <v>FALSE</v>
      </c>
      <c r="I159" s="52"/>
      <c r="J159" s="53" t="str">
        <f>IFERROR(__xludf.DUMMYFUNCTION("""COMPUTED_VALUE"""),"[] FAJA")</f>
        <v>[] FAJA</v>
      </c>
      <c r="K159" s="52"/>
      <c r="L159" s="52" t="str">
        <f t="shared" si="1"/>
        <v>#VALUE!</v>
      </c>
      <c r="M159" s="52"/>
      <c r="N159" s="52"/>
      <c r="O159" s="52"/>
      <c r="P159" s="52"/>
      <c r="Q159" s="52"/>
      <c r="R159" s="52"/>
      <c r="S159" s="52"/>
      <c r="T159" s="52"/>
      <c r="U159" s="52"/>
      <c r="V159" s="52"/>
      <c r="W159" s="52"/>
      <c r="X159" s="52"/>
      <c r="Y159" s="52"/>
      <c r="Z159" s="52"/>
    </row>
    <row r="160">
      <c r="A160" s="52">
        <f>IFERROR(__xludf.DUMMYFUNCTION("""COMPUTED_VALUE"""),2.05241932E8)</f>
        <v>205241932</v>
      </c>
      <c r="B160" s="52" t="str">
        <f>IFERROR(__xludf.DUMMYFUNCTION("""COMPUTED_VALUE"""),"FAJAR BASRI")</f>
        <v>FAJAR BASRI</v>
      </c>
      <c r="C160" s="52">
        <f>IFERROR(__xludf.DUMMYFUNCTION("""COMPUTED_VALUE"""),0.0)</f>
        <v>0</v>
      </c>
      <c r="D160" s="52"/>
      <c r="E160" s="52" t="str">
        <f>IFERROR(__xludf.DUMMYFUNCTION("""COMPUTED_VALUE"""),"CV. Adil Prima Perkasa")</f>
        <v>CV. Adil Prima Perkasa</v>
      </c>
      <c r="F160" s="52" t="str">
        <f>IFERROR(__xludf.DUMMYFUNCTION("""COMPUTED_VALUE"""),"STAFF GA")</f>
        <v>STAFF GA</v>
      </c>
      <c r="G160" s="52" t="str">
        <f>IFERROR(__xludf.DUMMYFUNCTION("""COMPUTED_VALUE"""),"HRD &amp; GA")</f>
        <v>HRD &amp; GA</v>
      </c>
      <c r="H160" s="52" t="str">
        <f>IFERROR(__xludf.DUMMYFUNCTION("""COMPUTED_VALUE"""),"[0108191037] ERNIE FRISLIA")</f>
        <v>[0108191037] ERNIE FRISLIA</v>
      </c>
      <c r="I160" s="52"/>
      <c r="J160" s="53" t="str">
        <f>IFERROR(__xludf.DUMMYFUNCTION("""COMPUTED_VALUE"""),"[205241932] FAJAR BASRI")</f>
        <v>[205241932] FAJAR BASRI</v>
      </c>
      <c r="K160" s="52"/>
      <c r="L160" s="52" t="str">
        <f t="shared" si="1"/>
        <v>#VALUE!</v>
      </c>
      <c r="M160" s="52"/>
      <c r="N160" s="52"/>
      <c r="O160" s="52"/>
      <c r="P160" s="52"/>
      <c r="Q160" s="52"/>
      <c r="R160" s="52"/>
      <c r="S160" s="52"/>
      <c r="T160" s="52"/>
      <c r="U160" s="52"/>
      <c r="V160" s="52"/>
      <c r="W160" s="52"/>
      <c r="X160" s="52"/>
      <c r="Y160" s="52"/>
      <c r="Z160" s="52"/>
    </row>
    <row r="161">
      <c r="A161" s="52">
        <f>IFERROR(__xludf.DUMMYFUNCTION("""COMPUTED_VALUE"""),1.06190914E8)</f>
        <v>106190914</v>
      </c>
      <c r="B161" s="52" t="str">
        <f>IFERROR(__xludf.DUMMYFUNCTION("""COMPUTED_VALUE"""),"FALDI HULOPI")</f>
        <v>FALDI HULOPI</v>
      </c>
      <c r="C161" s="52">
        <f>IFERROR(__xludf.DUMMYFUNCTION("""COMPUTED_VALUE"""),33.0)</f>
        <v>33</v>
      </c>
      <c r="D161" s="52" t="str">
        <f>IFERROR(__xludf.DUMMYFUNCTION("""COMPUTED_VALUE"""),"Islam")</f>
        <v>Islam</v>
      </c>
      <c r="E161" s="52" t="str">
        <f>IFERROR(__xludf.DUMMYFUNCTION("""COMPUTED_VALUE"""),"CV. SENTOSA ABADI")</f>
        <v>CV. SENTOSA ABADI</v>
      </c>
      <c r="F161" s="52" t="str">
        <f>IFERROR(__xludf.DUMMYFUNCTION("""COMPUTED_VALUE"""),"DRIVER DT H700ZY")</f>
        <v>DRIVER DT H700ZY</v>
      </c>
      <c r="G161" s="52" t="str">
        <f>IFERROR(__xludf.DUMMYFUNCTION("""COMPUTED_VALUE"""),"KENDARAAN &amp; UNIT SUPPORT")</f>
        <v>KENDARAAN &amp; UNIT SUPPORT</v>
      </c>
      <c r="H161" s="52" t="str">
        <f>IFERROR(__xludf.DUMMYFUNCTION("""COMPUTED_VALUE"""),"[0102150004] NAFTALI RARE'A, ST")</f>
        <v>[0102150004] NAFTALI RARE'A, ST</v>
      </c>
      <c r="I161" s="55">
        <f>IFERROR(__xludf.DUMMYFUNCTION("""COMPUTED_VALUE"""),35396.0)</f>
        <v>35396</v>
      </c>
      <c r="J161" s="53" t="str">
        <f>IFERROR(__xludf.DUMMYFUNCTION("""COMPUTED_VALUE"""),"[106190914] FALDI HULOPI")</f>
        <v>[106190914] FALDI HULOPI</v>
      </c>
      <c r="K161" s="52"/>
      <c r="L161" s="52" t="str">
        <f t="shared" si="1"/>
        <v>#VALUE!</v>
      </c>
      <c r="M161" s="52"/>
      <c r="N161" s="52"/>
      <c r="O161" s="52"/>
      <c r="P161" s="52"/>
      <c r="Q161" s="52"/>
      <c r="R161" s="52"/>
      <c r="S161" s="52"/>
      <c r="T161" s="52"/>
      <c r="U161" s="52"/>
      <c r="V161" s="52"/>
      <c r="W161" s="52"/>
      <c r="X161" s="52"/>
      <c r="Y161" s="52"/>
      <c r="Z161" s="52"/>
    </row>
    <row r="162">
      <c r="A162" s="52">
        <f>IFERROR(__xludf.DUMMYFUNCTION("""COMPUTED_VALUE"""),1.09191106E8)</f>
        <v>109191106</v>
      </c>
      <c r="B162" s="52" t="str">
        <f>IFERROR(__xludf.DUMMYFUNCTION("""COMPUTED_VALUE"""),"FARID S. NENTO")</f>
        <v>FARID S. NENTO</v>
      </c>
      <c r="C162" s="52">
        <f>IFERROR(__xludf.DUMMYFUNCTION("""COMPUTED_VALUE"""),26.0)</f>
        <v>26</v>
      </c>
      <c r="D162" s="52" t="str">
        <f>IFERROR(__xludf.DUMMYFUNCTION("""COMPUTED_VALUE"""),"Islam")</f>
        <v>Islam</v>
      </c>
      <c r="E162" s="52" t="str">
        <f>IFERROR(__xludf.DUMMYFUNCTION("""COMPUTED_VALUE"""),"CV. SENTOSA ABADI")</f>
        <v>CV. SENTOSA ABADI</v>
      </c>
      <c r="F162" s="52" t="str">
        <f>IFERROR(__xludf.DUMMYFUNCTION("""COMPUTED_VALUE"""),"DRIVER DT H500")</f>
        <v>DRIVER DT H500</v>
      </c>
      <c r="G162" s="52" t="str">
        <f>IFERROR(__xludf.DUMMYFUNCTION("""COMPUTED_VALUE"""),"KENDARAAN &amp; UNIT SUPPORT")</f>
        <v>KENDARAAN &amp; UNIT SUPPORT</v>
      </c>
      <c r="H162" s="52" t="str">
        <f>IFERROR(__xludf.DUMMYFUNCTION("""COMPUTED_VALUE"""),"[0102150004] NAFTALI RARE'A, ST")</f>
        <v>[0102150004] NAFTALI RARE'A, ST</v>
      </c>
      <c r="I162" s="55">
        <f>IFERROR(__xludf.DUMMYFUNCTION("""COMPUTED_VALUE"""),36886.0)</f>
        <v>36886</v>
      </c>
      <c r="J162" s="53" t="str">
        <f>IFERROR(__xludf.DUMMYFUNCTION("""COMPUTED_VALUE"""),"[109191106] FARID S. NENTO")</f>
        <v>[109191106] FARID S. NENTO</v>
      </c>
      <c r="K162" s="52"/>
      <c r="L162" s="52" t="str">
        <f t="shared" si="1"/>
        <v>#VALUE!</v>
      </c>
      <c r="M162" s="52"/>
      <c r="N162" s="52"/>
      <c r="O162" s="52"/>
      <c r="P162" s="52"/>
      <c r="Q162" s="52"/>
      <c r="R162" s="52"/>
      <c r="S162" s="52"/>
      <c r="T162" s="52"/>
      <c r="U162" s="52"/>
      <c r="V162" s="52"/>
      <c r="W162" s="52"/>
      <c r="X162" s="52"/>
      <c r="Y162" s="52"/>
      <c r="Z162" s="52"/>
    </row>
    <row r="163">
      <c r="A163" s="52">
        <f>IFERROR(__xludf.DUMMYFUNCTION("""COMPUTED_VALUE"""),3.11200021E8)</f>
        <v>311200021</v>
      </c>
      <c r="B163" s="52" t="str">
        <f>IFERROR(__xludf.DUMMYFUNCTION("""COMPUTED_VALUE"""),"FELISINO VINCENSIUS NAHAK")</f>
        <v>FELISINO VINCENSIUS NAHAK</v>
      </c>
      <c r="C163" s="52">
        <f>IFERROR(__xludf.DUMMYFUNCTION("""COMPUTED_VALUE"""),45.0)</f>
        <v>45</v>
      </c>
      <c r="D163" s="52" t="str">
        <f>IFERROR(__xludf.DUMMYFUNCTION("""COMPUTED_VALUE"""),"Kristen Khatolik")</f>
        <v>Kristen Khatolik</v>
      </c>
      <c r="E163" s="52" t="str">
        <f>IFERROR(__xludf.DUMMYFUNCTION("""COMPUTED_VALUE"""),"CV. Monalisa")</f>
        <v>CV. Monalisa</v>
      </c>
      <c r="F163" s="52" t="str">
        <f>IFERROR(__xludf.DUMMYFUNCTION("""COMPUTED_VALUE"""),"ENGINEERING")</f>
        <v>ENGINEERING</v>
      </c>
      <c r="G163" s="52" t="str">
        <f>IFERROR(__xludf.DUMMYFUNCTION("""COMPUTED_VALUE"""),"INFRASTRUKTUR")</f>
        <v>INFRASTRUKTUR</v>
      </c>
      <c r="H163" s="52" t="str">
        <f>IFERROR(__xludf.DUMMYFUNCTION("""COMPUTED_VALUE"""),"[0102150007] EKY SIDIK PRATAMA, ST")</f>
        <v>[0102150007] EKY SIDIK PRATAMA, ST</v>
      </c>
      <c r="I163" s="55">
        <f>IFERROR(__xludf.DUMMYFUNCTION("""COMPUTED_VALUE"""),31198.0)</f>
        <v>31198</v>
      </c>
      <c r="J163" s="53" t="str">
        <f>IFERROR(__xludf.DUMMYFUNCTION("""COMPUTED_VALUE"""),"[311200021] FELISINO VINCENSIUS NAHAK")</f>
        <v>[311200021] FELISINO VINCENSIUS NAHAK</v>
      </c>
      <c r="K163" s="52"/>
      <c r="L163" s="52" t="str">
        <f t="shared" si="1"/>
        <v>#VALUE!</v>
      </c>
      <c r="M163" s="52"/>
      <c r="N163" s="52"/>
      <c r="O163" s="52"/>
      <c r="P163" s="52"/>
      <c r="Q163" s="52"/>
      <c r="R163" s="52"/>
      <c r="S163" s="52"/>
      <c r="T163" s="52"/>
      <c r="U163" s="52"/>
      <c r="V163" s="52"/>
      <c r="W163" s="52"/>
      <c r="X163" s="52"/>
      <c r="Y163" s="52"/>
      <c r="Z163" s="52"/>
    </row>
    <row r="164">
      <c r="A164" s="52">
        <f>IFERROR(__xludf.DUMMYFUNCTION("""COMPUTED_VALUE"""),1.08201179E8)</f>
        <v>108201179</v>
      </c>
      <c r="B164" s="52" t="str">
        <f>IFERROR(__xludf.DUMMYFUNCTION("""COMPUTED_VALUE"""),"FERDIANSYAH")</f>
        <v>FERDIANSYAH</v>
      </c>
      <c r="C164" s="52">
        <f>IFERROR(__xludf.DUMMYFUNCTION("""COMPUTED_VALUE"""),27.0)</f>
        <v>27</v>
      </c>
      <c r="D164" s="52" t="str">
        <f>IFERROR(__xludf.DUMMYFUNCTION("""COMPUTED_VALUE"""),"Islam")</f>
        <v>Islam</v>
      </c>
      <c r="E164" s="52" t="str">
        <f>IFERROR(__xludf.DUMMYFUNCTION("""COMPUTED_VALUE"""),"CV. SENTOSA ABADI")</f>
        <v>CV. SENTOSA ABADI</v>
      </c>
      <c r="F164" s="52" t="str">
        <f>IFERROR(__xludf.DUMMYFUNCTION("""COMPUTED_VALUE"""),"OPERATOR EXCAVATOR")</f>
        <v>OPERATOR EXCAVATOR</v>
      </c>
      <c r="G164" s="52" t="str">
        <f>IFERROR(__xludf.DUMMYFUNCTION("""COMPUTED_VALUE"""),"PRODUKSI")</f>
        <v>PRODUKSI</v>
      </c>
      <c r="H164" s="52" t="str">
        <f>IFERROR(__xludf.DUMMYFUNCTION("""COMPUTED_VALUE"""),"[0102130003] PURNAWAN")</f>
        <v>[0102130003] PURNAWAN</v>
      </c>
      <c r="I164" s="55">
        <f>IFERROR(__xludf.DUMMYFUNCTION("""COMPUTED_VALUE"""),35280.0)</f>
        <v>35280</v>
      </c>
      <c r="J164" s="53" t="str">
        <f>IFERROR(__xludf.DUMMYFUNCTION("""COMPUTED_VALUE"""),"[108201179] FERDIANSYAH")</f>
        <v>[108201179] FERDIANSYAH</v>
      </c>
      <c r="K164" s="52"/>
      <c r="L164" s="52" t="str">
        <f t="shared" si="1"/>
        <v>#VALUE!</v>
      </c>
      <c r="M164" s="52"/>
      <c r="N164" s="52"/>
      <c r="O164" s="52"/>
      <c r="P164" s="52"/>
      <c r="Q164" s="52"/>
      <c r="R164" s="52"/>
      <c r="S164" s="52"/>
      <c r="T164" s="52"/>
      <c r="U164" s="52"/>
      <c r="V164" s="52"/>
      <c r="W164" s="52"/>
      <c r="X164" s="52"/>
      <c r="Y164" s="52"/>
      <c r="Z164" s="52"/>
    </row>
    <row r="165">
      <c r="A165" s="52">
        <f>IFERROR(__xludf.DUMMYFUNCTION("""COMPUTED_VALUE"""),2.02231724E8)</f>
        <v>202231724</v>
      </c>
      <c r="B165" s="52" t="str">
        <f>IFERROR(__xludf.DUMMYFUNCTION("""COMPUTED_VALUE"""),"FERDINANDUS EGU")</f>
        <v>FERDINANDUS EGU</v>
      </c>
      <c r="C165" s="52">
        <f>IFERROR(__xludf.DUMMYFUNCTION("""COMPUTED_VALUE"""),30.0)</f>
        <v>30</v>
      </c>
      <c r="D165" s="52" t="str">
        <f>IFERROR(__xludf.DUMMYFUNCTION("""COMPUTED_VALUE"""),"Kristen Khatolik")</f>
        <v>Kristen Khatolik</v>
      </c>
      <c r="E165" s="52" t="str">
        <f>IFERROR(__xludf.DUMMYFUNCTION("""COMPUTED_VALUE"""),"CV. Adil Prima Perkasa")</f>
        <v>CV. Adil Prima Perkasa</v>
      </c>
      <c r="F165" s="52" t="str">
        <f>IFERROR(__xludf.DUMMYFUNCTION("""COMPUTED_VALUE"""),"CHECKER PRODUKSI")</f>
        <v>CHECKER PRODUKSI</v>
      </c>
      <c r="G165" s="52" t="str">
        <f>IFERROR(__xludf.DUMMYFUNCTION("""COMPUTED_VALUE"""),"PRODUKSI")</f>
        <v>PRODUKSI</v>
      </c>
      <c r="H165" s="52" t="str">
        <f>IFERROR(__xludf.DUMMYFUNCTION("""COMPUTED_VALUE"""),"FALSE")</f>
        <v>FALSE</v>
      </c>
      <c r="I165" s="52"/>
      <c r="J165" s="53" t="str">
        <f>IFERROR(__xludf.DUMMYFUNCTION("""COMPUTED_VALUE"""),"[202231724] FERDINANDUS EGU")</f>
        <v>[202231724] FERDINANDUS EGU</v>
      </c>
      <c r="K165" s="52"/>
      <c r="L165" s="52" t="str">
        <f t="shared" si="1"/>
        <v>#VALUE!</v>
      </c>
      <c r="M165" s="52"/>
      <c r="N165" s="52"/>
      <c r="O165" s="52"/>
      <c r="P165" s="52"/>
      <c r="Q165" s="52"/>
      <c r="R165" s="52"/>
      <c r="S165" s="52"/>
      <c r="T165" s="52"/>
      <c r="U165" s="52"/>
      <c r="V165" s="52"/>
      <c r="W165" s="52"/>
      <c r="X165" s="52"/>
      <c r="Y165" s="52"/>
      <c r="Z165" s="52"/>
    </row>
    <row r="166">
      <c r="A166" s="52">
        <f>IFERROR(__xludf.DUMMYFUNCTION("""COMPUTED_VALUE"""),1.06221652E8)</f>
        <v>106221652</v>
      </c>
      <c r="B166" s="52" t="str">
        <f>IFERROR(__xludf.DUMMYFUNCTION("""COMPUTED_VALUE"""),"FERIYANTO")</f>
        <v>FERIYANTO</v>
      </c>
      <c r="C166" s="52">
        <f>IFERROR(__xludf.DUMMYFUNCTION("""COMPUTED_VALUE"""),43.0)</f>
        <v>43</v>
      </c>
      <c r="D166" s="52" t="str">
        <f>IFERROR(__xludf.DUMMYFUNCTION("""COMPUTED_VALUE"""),"Islam")</f>
        <v>Islam</v>
      </c>
      <c r="E166" s="52" t="str">
        <f>IFERROR(__xludf.DUMMYFUNCTION("""COMPUTED_VALUE"""),"CV. SENTOSA ABADI")</f>
        <v>CV. SENTOSA ABADI</v>
      </c>
      <c r="F166" s="52" t="str">
        <f>IFERROR(__xludf.DUMMYFUNCTION("""COMPUTED_VALUE"""),"DRIVER DT H700ZY")</f>
        <v>DRIVER DT H700ZY</v>
      </c>
      <c r="G166" s="52" t="str">
        <f>IFERROR(__xludf.DUMMYFUNCTION("""COMPUTED_VALUE"""),"KENDARAAN &amp; UNIT SUPPORT")</f>
        <v>KENDARAAN &amp; UNIT SUPPORT</v>
      </c>
      <c r="H166" s="52" t="str">
        <f>IFERROR(__xludf.DUMMYFUNCTION("""COMPUTED_VALUE"""),"[0102150004] NAFTALI RARE'A, ST")</f>
        <v>[0102150004] NAFTALI RARE'A, ST</v>
      </c>
      <c r="I166" s="55">
        <f>IFERROR(__xludf.DUMMYFUNCTION("""COMPUTED_VALUE"""),34030.0)</f>
        <v>34030</v>
      </c>
      <c r="J166" s="53" t="str">
        <f>IFERROR(__xludf.DUMMYFUNCTION("""COMPUTED_VALUE"""),"[106221652] FERIYANTO")</f>
        <v>[106221652] FERIYANTO</v>
      </c>
      <c r="K166" s="52"/>
      <c r="L166" s="52" t="str">
        <f t="shared" si="1"/>
        <v>#VALUE!</v>
      </c>
      <c r="M166" s="52"/>
      <c r="N166" s="52"/>
      <c r="O166" s="52"/>
      <c r="P166" s="52"/>
      <c r="Q166" s="52"/>
      <c r="R166" s="52"/>
      <c r="S166" s="52"/>
      <c r="T166" s="52"/>
      <c r="U166" s="52"/>
      <c r="V166" s="52"/>
      <c r="W166" s="52"/>
      <c r="X166" s="52"/>
      <c r="Y166" s="52"/>
      <c r="Z166" s="52"/>
    </row>
    <row r="167">
      <c r="A167" s="52">
        <f>IFERROR(__xludf.DUMMYFUNCTION("""COMPUTED_VALUE"""),2.05241935E8)</f>
        <v>205241935</v>
      </c>
      <c r="B167" s="52" t="str">
        <f>IFERROR(__xludf.DUMMYFUNCTION("""COMPUTED_VALUE"""),"FERNANDA ALI CAKRAWANGSA")</f>
        <v>FERNANDA ALI CAKRAWANGSA</v>
      </c>
      <c r="C167" s="52">
        <f>IFERROR(__xludf.DUMMYFUNCTION("""COMPUTED_VALUE"""),0.0)</f>
        <v>0</v>
      </c>
      <c r="D167" s="52"/>
      <c r="E167" s="52" t="str">
        <f>IFERROR(__xludf.DUMMYFUNCTION("""COMPUTED_VALUE"""),"CV. Adil Prima Perkasa")</f>
        <v>CV. Adil Prima Perkasa</v>
      </c>
      <c r="F167" s="52" t="str">
        <f>IFERROR(__xludf.DUMMYFUNCTION("""COMPUTED_VALUE"""),"CREW LOGISTIK")</f>
        <v>CREW LOGISTIK</v>
      </c>
      <c r="G167" s="52" t="str">
        <f>IFERROR(__xludf.DUMMYFUNCTION("""COMPUTED_VALUE"""),"LOGISTIC")</f>
        <v>LOGISTIC</v>
      </c>
      <c r="H167" s="52" t="str">
        <f>IFERROR(__xludf.DUMMYFUNCTION("""COMPUTED_VALUE"""),"[0109170014] JENES R. MANOPPO")</f>
        <v>[0109170014] JENES R. MANOPPO</v>
      </c>
      <c r="I167" s="52"/>
      <c r="J167" s="53" t="str">
        <f>IFERROR(__xludf.DUMMYFUNCTION("""COMPUTED_VALUE"""),"[205241935] FERNANDA ALI CAKRAWANGSA")</f>
        <v>[205241935] FERNANDA ALI CAKRAWANGSA</v>
      </c>
      <c r="K167" s="52"/>
      <c r="L167" s="52" t="str">
        <f t="shared" si="1"/>
        <v>#VALUE!</v>
      </c>
      <c r="M167" s="52"/>
      <c r="N167" s="52"/>
      <c r="O167" s="52"/>
      <c r="P167" s="52"/>
      <c r="Q167" s="52"/>
      <c r="R167" s="52"/>
      <c r="S167" s="52"/>
      <c r="T167" s="52"/>
      <c r="U167" s="52"/>
      <c r="V167" s="52"/>
      <c r="W167" s="52"/>
      <c r="X167" s="52"/>
      <c r="Y167" s="52"/>
      <c r="Z167" s="52"/>
    </row>
    <row r="168">
      <c r="A168" s="52">
        <f>IFERROR(__xludf.DUMMYFUNCTION("""COMPUTED_VALUE"""),2.0424191E8)</f>
        <v>204241910</v>
      </c>
      <c r="B168" s="52" t="str">
        <f>IFERROR(__xludf.DUMMYFUNCTION("""COMPUTED_VALUE"""),"FERRY FERNANDO NABABAN")</f>
        <v>FERRY FERNANDO NABABAN</v>
      </c>
      <c r="C168" s="52">
        <f>IFERROR(__xludf.DUMMYFUNCTION("""COMPUTED_VALUE"""),0.0)</f>
        <v>0</v>
      </c>
      <c r="D168" s="52"/>
      <c r="E168" s="52" t="str">
        <f>IFERROR(__xludf.DUMMYFUNCTION("""COMPUTED_VALUE"""),"CV. Adil Prima Perkasa")</f>
        <v>CV. Adil Prima Perkasa</v>
      </c>
      <c r="F168" s="52" t="str">
        <f>IFERROR(__xludf.DUMMYFUNCTION("""COMPUTED_VALUE"""),"HELPER MEKANIK")</f>
        <v>HELPER MEKANIK</v>
      </c>
      <c r="G168" s="52" t="str">
        <f>IFERROR(__xludf.DUMMYFUNCTION("""COMPUTED_VALUE"""),"WORKSHOP")</f>
        <v>WORKSHOP</v>
      </c>
      <c r="H168" s="52" t="str">
        <f>IFERROR(__xludf.DUMMYFUNCTION("""COMPUTED_VALUE"""),"[0106190928] NATAN KONDO")</f>
        <v>[0106190928] NATAN KONDO</v>
      </c>
      <c r="I168" s="52"/>
      <c r="J168" s="53" t="str">
        <f>IFERROR(__xludf.DUMMYFUNCTION("""COMPUTED_VALUE"""),"[204241910] FERRY FERNANDO NABABAN")</f>
        <v>[204241910] FERRY FERNANDO NABABAN</v>
      </c>
      <c r="K168" s="52"/>
      <c r="L168" s="52" t="str">
        <f t="shared" si="1"/>
        <v>#VALUE!</v>
      </c>
      <c r="M168" s="52"/>
      <c r="N168" s="52"/>
      <c r="O168" s="52"/>
      <c r="P168" s="52"/>
      <c r="Q168" s="52"/>
      <c r="R168" s="52"/>
      <c r="S168" s="52"/>
      <c r="T168" s="52"/>
      <c r="U168" s="52"/>
      <c r="V168" s="52"/>
      <c r="W168" s="52"/>
      <c r="X168" s="52"/>
      <c r="Y168" s="52"/>
      <c r="Z168" s="52"/>
    </row>
    <row r="169">
      <c r="A169" s="52">
        <f>IFERROR(__xludf.DUMMYFUNCTION("""COMPUTED_VALUE"""),2.07231796E8)</f>
        <v>207231796</v>
      </c>
      <c r="B169" s="52" t="str">
        <f>IFERROR(__xludf.DUMMYFUNCTION("""COMPUTED_VALUE"""),"FIRMANSYAH")</f>
        <v>FIRMANSYAH</v>
      </c>
      <c r="C169" s="52">
        <f>IFERROR(__xludf.DUMMYFUNCTION("""COMPUTED_VALUE"""),26.0)</f>
        <v>26</v>
      </c>
      <c r="D169" s="52" t="str">
        <f>IFERROR(__xludf.DUMMYFUNCTION("""COMPUTED_VALUE"""),"Islam")</f>
        <v>Islam</v>
      </c>
      <c r="E169" s="52" t="str">
        <f>IFERROR(__xludf.DUMMYFUNCTION("""COMPUTED_VALUE"""),"CV. Adil Prima Perkasa")</f>
        <v>CV. Adil Prima Perkasa</v>
      </c>
      <c r="F169" s="52" t="str">
        <f>IFERROR(__xludf.DUMMYFUNCTION("""COMPUTED_VALUE"""),"ADMIN PRODUKSI")</f>
        <v>ADMIN PRODUKSI</v>
      </c>
      <c r="G169" s="52" t="str">
        <f>IFERROR(__xludf.DUMMYFUNCTION("""COMPUTED_VALUE"""),"PRODUKSI")</f>
        <v>PRODUKSI</v>
      </c>
      <c r="H169" s="52" t="str">
        <f>IFERROR(__xludf.DUMMYFUNCTION("""COMPUTED_VALUE"""),"[0102130003] PURNAWAN")</f>
        <v>[0102130003] PURNAWAN</v>
      </c>
      <c r="I169" s="52"/>
      <c r="J169" s="53" t="str">
        <f>IFERROR(__xludf.DUMMYFUNCTION("""COMPUTED_VALUE"""),"[207231796] FIRMANSYAH")</f>
        <v>[207231796] FIRMANSYAH</v>
      </c>
      <c r="K169" s="52"/>
      <c r="L169" s="52" t="str">
        <f t="shared" si="1"/>
        <v>#VALUE!</v>
      </c>
      <c r="M169" s="52"/>
      <c r="N169" s="52"/>
      <c r="O169" s="52"/>
      <c r="P169" s="52"/>
      <c r="Q169" s="52"/>
      <c r="R169" s="52"/>
      <c r="S169" s="52"/>
      <c r="T169" s="52"/>
      <c r="U169" s="52"/>
      <c r="V169" s="52"/>
      <c r="W169" s="52"/>
      <c r="X169" s="52"/>
      <c r="Y169" s="52"/>
      <c r="Z169" s="52"/>
    </row>
    <row r="170">
      <c r="A170" s="52">
        <f>IFERROR(__xludf.DUMMYFUNCTION("""COMPUTED_VALUE"""),2.11221705E8)</f>
        <v>211221705</v>
      </c>
      <c r="B170" s="52" t="str">
        <f>IFERROR(__xludf.DUMMYFUNCTION("""COMPUTED_VALUE"""),"FIRMANSYAH AJINU")</f>
        <v>FIRMANSYAH AJINU</v>
      </c>
      <c r="C170" s="52">
        <f>IFERROR(__xludf.DUMMYFUNCTION("""COMPUTED_VALUE"""),22.0)</f>
        <v>22</v>
      </c>
      <c r="D170" s="52" t="str">
        <f>IFERROR(__xludf.DUMMYFUNCTION("""COMPUTED_VALUE"""),"Islam")</f>
        <v>Islam</v>
      </c>
      <c r="E170" s="52" t="str">
        <f>IFERROR(__xludf.DUMMYFUNCTION("""COMPUTED_VALUE"""),"CV. Adil Prima Perkasa")</f>
        <v>CV. Adil Prima Perkasa</v>
      </c>
      <c r="F170" s="52" t="str">
        <f>IFERROR(__xludf.DUMMYFUNCTION("""COMPUTED_VALUE"""),"HELPER TYRE")</f>
        <v>HELPER TYRE</v>
      </c>
      <c r="G170" s="52" t="str">
        <f>IFERROR(__xludf.DUMMYFUNCTION("""COMPUTED_VALUE"""),"WORKSHOP")</f>
        <v>WORKSHOP</v>
      </c>
      <c r="H170" s="52" t="str">
        <f>IFERROR(__xludf.DUMMYFUNCTION("""COMPUTED_VALUE"""),"[0106190928] NATAN KONDO")</f>
        <v>[0106190928] NATAN KONDO</v>
      </c>
      <c r="I170" s="52"/>
      <c r="J170" s="53" t="str">
        <f>IFERROR(__xludf.DUMMYFUNCTION("""COMPUTED_VALUE"""),"[211221705] FIRMANSYAH AJINU")</f>
        <v>[211221705] FIRMANSYAH AJINU</v>
      </c>
      <c r="K170" s="52"/>
      <c r="L170" s="52" t="str">
        <f t="shared" si="1"/>
        <v>#VALUE!</v>
      </c>
      <c r="M170" s="52"/>
      <c r="N170" s="52"/>
      <c r="O170" s="52"/>
      <c r="P170" s="52"/>
      <c r="Q170" s="52"/>
      <c r="R170" s="52"/>
      <c r="S170" s="52"/>
      <c r="T170" s="52"/>
      <c r="U170" s="52"/>
      <c r="V170" s="52"/>
      <c r="W170" s="52"/>
      <c r="X170" s="52"/>
      <c r="Y170" s="52"/>
      <c r="Z170" s="52"/>
    </row>
    <row r="171">
      <c r="A171" s="52">
        <f>IFERROR(__xludf.DUMMYFUNCTION("""COMPUTED_VALUE"""),2.05231762E8)</f>
        <v>205231762</v>
      </c>
      <c r="B171" s="52" t="str">
        <f>IFERROR(__xludf.DUMMYFUNCTION("""COMPUTED_VALUE"""),"FOLCERIYANTO MUSA")</f>
        <v>FOLCERIYANTO MUSA</v>
      </c>
      <c r="C171" s="52">
        <f>IFERROR(__xludf.DUMMYFUNCTION("""COMPUTED_VALUE"""),23.0)</f>
        <v>23</v>
      </c>
      <c r="D171" s="52" t="str">
        <f>IFERROR(__xludf.DUMMYFUNCTION("""COMPUTED_VALUE"""),"Kristen Protestan")</f>
        <v>Kristen Protestan</v>
      </c>
      <c r="E171" s="52" t="str">
        <f>IFERROR(__xludf.DUMMYFUNCTION("""COMPUTED_VALUE"""),"CV. Adil Prima Perkasa")</f>
        <v>CV. Adil Prima Perkasa</v>
      </c>
      <c r="F171" s="52" t="str">
        <f>IFERROR(__xludf.DUMMYFUNCTION("""COMPUTED_VALUE"""),"HELPER TYRE")</f>
        <v>HELPER TYRE</v>
      </c>
      <c r="G171" s="52" t="str">
        <f>IFERROR(__xludf.DUMMYFUNCTION("""COMPUTED_VALUE"""),"WORKSHOP")</f>
        <v>WORKSHOP</v>
      </c>
      <c r="H171" s="52" t="str">
        <f>IFERROR(__xludf.DUMMYFUNCTION("""COMPUTED_VALUE"""),"FALSE")</f>
        <v>FALSE</v>
      </c>
      <c r="I171" s="52"/>
      <c r="J171" s="53" t="str">
        <f>IFERROR(__xludf.DUMMYFUNCTION("""COMPUTED_VALUE"""),"[205231762] FOLCERIYANTO MUSA")</f>
        <v>[205231762] FOLCERIYANTO MUSA</v>
      </c>
      <c r="K171" s="52"/>
      <c r="L171" s="52" t="str">
        <f t="shared" si="1"/>
        <v>#VALUE!</v>
      </c>
      <c r="M171" s="52"/>
      <c r="N171" s="52"/>
      <c r="O171" s="52"/>
      <c r="P171" s="52"/>
      <c r="Q171" s="52"/>
      <c r="R171" s="52"/>
      <c r="S171" s="52"/>
      <c r="T171" s="52"/>
      <c r="U171" s="52"/>
      <c r="V171" s="52"/>
      <c r="W171" s="52"/>
      <c r="X171" s="52"/>
      <c r="Y171" s="52"/>
      <c r="Z171" s="52"/>
    </row>
    <row r="172">
      <c r="A172" s="52">
        <f>IFERROR(__xludf.DUMMYFUNCTION("""COMPUTED_VALUE"""),1.04211372E8)</f>
        <v>104211372</v>
      </c>
      <c r="B172" s="52" t="str">
        <f>IFERROR(__xludf.DUMMYFUNCTION("""COMPUTED_VALUE"""),"FORAL Z MAMARASI")</f>
        <v>FORAL Z MAMARASI</v>
      </c>
      <c r="C172" s="52">
        <f>IFERROR(__xludf.DUMMYFUNCTION("""COMPUTED_VALUE"""),50.0)</f>
        <v>50</v>
      </c>
      <c r="D172" s="52" t="str">
        <f>IFERROR(__xludf.DUMMYFUNCTION("""COMPUTED_VALUE"""),"Kristen Protestan")</f>
        <v>Kristen Protestan</v>
      </c>
      <c r="E172" s="52" t="str">
        <f>IFERROR(__xludf.DUMMYFUNCTION("""COMPUTED_VALUE"""),"CV. SENTOSA ABADI")</f>
        <v>CV. SENTOSA ABADI</v>
      </c>
      <c r="F172" s="52" t="str">
        <f>IFERROR(__xludf.DUMMYFUNCTION("""COMPUTED_VALUE"""),"DRIVER DT H700ZY")</f>
        <v>DRIVER DT H700ZY</v>
      </c>
      <c r="G172" s="52" t="str">
        <f>IFERROR(__xludf.DUMMYFUNCTION("""COMPUTED_VALUE"""),"KENDARAAN &amp; UNIT SUPPORT")</f>
        <v>KENDARAAN &amp; UNIT SUPPORT</v>
      </c>
      <c r="H172" s="52" t="str">
        <f>IFERROR(__xludf.DUMMYFUNCTION("""COMPUTED_VALUE"""),"[0102150004] NAFTALI RARE'A, ST")</f>
        <v>[0102150004] NAFTALI RARE'A, ST</v>
      </c>
      <c r="I172" s="55">
        <f>IFERROR(__xludf.DUMMYFUNCTION("""COMPUTED_VALUE"""),26989.0)</f>
        <v>26989</v>
      </c>
      <c r="J172" s="53" t="str">
        <f>IFERROR(__xludf.DUMMYFUNCTION("""COMPUTED_VALUE"""),"[104211372] FORAL Z MAMARASI")</f>
        <v>[104211372] FORAL Z MAMARASI</v>
      </c>
      <c r="K172" s="52"/>
      <c r="L172" s="52" t="str">
        <f t="shared" si="1"/>
        <v>#VALUE!</v>
      </c>
      <c r="M172" s="52"/>
      <c r="N172" s="52"/>
      <c r="O172" s="52"/>
      <c r="P172" s="52"/>
      <c r="Q172" s="52"/>
      <c r="R172" s="52"/>
      <c r="S172" s="52"/>
      <c r="T172" s="52"/>
      <c r="U172" s="52"/>
      <c r="V172" s="52"/>
      <c r="W172" s="52"/>
      <c r="X172" s="52"/>
      <c r="Y172" s="52"/>
      <c r="Z172" s="52"/>
    </row>
    <row r="173">
      <c r="A173" s="52"/>
      <c r="B173" s="52" t="str">
        <f>IFERROR(__xludf.DUMMYFUNCTION("""COMPUTED_VALUE"""),"FRA.")</f>
        <v>FRA.</v>
      </c>
      <c r="C173" s="52">
        <f>IFERROR(__xludf.DUMMYFUNCTION("""COMPUTED_VALUE"""),0.0)</f>
        <v>0</v>
      </c>
      <c r="D173" s="52"/>
      <c r="E173" s="52" t="str">
        <f>IFERROR(__xludf.DUMMYFUNCTION("""COMPUTED_VALUE"""),"CV. Adil Prima Perkasa")</f>
        <v>CV. Adil Prima Perkasa</v>
      </c>
      <c r="F173" s="52" t="str">
        <f>IFERROR(__xludf.DUMMYFUNCTION("""COMPUTED_VALUE"""),"FALSE")</f>
        <v>FALSE</v>
      </c>
      <c r="G173" s="52" t="str">
        <f>IFERROR(__xludf.DUMMYFUNCTION("""COMPUTED_VALUE"""),"FALSE")</f>
        <v>FALSE</v>
      </c>
      <c r="H173" s="52" t="str">
        <f>IFERROR(__xludf.DUMMYFUNCTION("""COMPUTED_VALUE"""),"FALSE")</f>
        <v>FALSE</v>
      </c>
      <c r="I173" s="52"/>
      <c r="J173" s="53" t="str">
        <f>IFERROR(__xludf.DUMMYFUNCTION("""COMPUTED_VALUE"""),"[] FRA.")</f>
        <v>[] FRA.</v>
      </c>
      <c r="K173" s="52"/>
      <c r="L173" s="52" t="str">
        <f t="shared" si="1"/>
        <v>#VALUE!</v>
      </c>
      <c r="M173" s="52"/>
      <c r="N173" s="52"/>
      <c r="O173" s="52"/>
      <c r="P173" s="52"/>
      <c r="Q173" s="52"/>
      <c r="R173" s="52"/>
      <c r="S173" s="52"/>
      <c r="T173" s="52"/>
      <c r="U173" s="52"/>
      <c r="V173" s="52"/>
      <c r="W173" s="52"/>
      <c r="X173" s="52"/>
      <c r="Y173" s="52"/>
      <c r="Z173" s="52"/>
    </row>
    <row r="174">
      <c r="A174" s="52">
        <f>IFERROR(__xludf.DUMMYFUNCTION("""COMPUTED_VALUE"""),1.08211472E8)</f>
        <v>108211472</v>
      </c>
      <c r="B174" s="52" t="str">
        <f>IFERROR(__xludf.DUMMYFUNCTION("""COMPUTED_VALUE"""),"FRAIM VEKY MANITU")</f>
        <v>FRAIM VEKY MANITU</v>
      </c>
      <c r="C174" s="52">
        <f>IFERROR(__xludf.DUMMYFUNCTION("""COMPUTED_VALUE"""),21.0)</f>
        <v>21</v>
      </c>
      <c r="D174" s="52" t="str">
        <f>IFERROR(__xludf.DUMMYFUNCTION("""COMPUTED_VALUE"""),"Kristen Protestan")</f>
        <v>Kristen Protestan</v>
      </c>
      <c r="E174" s="52" t="str">
        <f>IFERROR(__xludf.DUMMYFUNCTION("""COMPUTED_VALUE"""),"CV. SENTOSA ABADI")</f>
        <v>CV. SENTOSA ABADI</v>
      </c>
      <c r="F174" s="52" t="str">
        <f>IFERROR(__xludf.DUMMYFUNCTION("""COMPUTED_VALUE"""),"HELPER TYRE")</f>
        <v>HELPER TYRE</v>
      </c>
      <c r="G174" s="52" t="str">
        <f>IFERROR(__xludf.DUMMYFUNCTION("""COMPUTED_VALUE"""),"WORKSHOP")</f>
        <v>WORKSHOP</v>
      </c>
      <c r="H174" s="52" t="str">
        <f>IFERROR(__xludf.DUMMYFUNCTION("""COMPUTED_VALUE"""),"[0106190928] NATAN KONDO")</f>
        <v>[0106190928] NATAN KONDO</v>
      </c>
      <c r="I174" s="52"/>
      <c r="J174" s="53" t="str">
        <f>IFERROR(__xludf.DUMMYFUNCTION("""COMPUTED_VALUE"""),"[108211472] FRAIM VEKY MANITU")</f>
        <v>[108211472] FRAIM VEKY MANITU</v>
      </c>
      <c r="K174" s="52"/>
      <c r="L174" s="52" t="str">
        <f t="shared" si="1"/>
        <v>#VALUE!</v>
      </c>
      <c r="M174" s="52"/>
      <c r="N174" s="52"/>
      <c r="O174" s="52"/>
      <c r="P174" s="52"/>
      <c r="Q174" s="52"/>
      <c r="R174" s="52"/>
      <c r="S174" s="52"/>
      <c r="T174" s="52"/>
      <c r="U174" s="52"/>
      <c r="V174" s="52"/>
      <c r="W174" s="52"/>
      <c r="X174" s="52"/>
      <c r="Y174" s="52"/>
      <c r="Z174" s="52"/>
    </row>
    <row r="175">
      <c r="A175" s="52">
        <f>IFERROR(__xludf.DUMMYFUNCTION("""COMPUTED_VALUE"""),2.07231804E8)</f>
        <v>207231804</v>
      </c>
      <c r="B175" s="52" t="str">
        <f>IFERROR(__xludf.DUMMYFUNCTION("""COMPUTED_VALUE"""),"FRAJA DANDURU")</f>
        <v>FRAJA DANDURU</v>
      </c>
      <c r="C175" s="52">
        <f>IFERROR(__xludf.DUMMYFUNCTION("""COMPUTED_VALUE"""),19.0)</f>
        <v>19</v>
      </c>
      <c r="D175" s="52" t="str">
        <f>IFERROR(__xludf.DUMMYFUNCTION("""COMPUTED_VALUE"""),"Kristen Protestan")</f>
        <v>Kristen Protestan</v>
      </c>
      <c r="E175" s="52" t="str">
        <f>IFERROR(__xludf.DUMMYFUNCTION("""COMPUTED_VALUE"""),"CV. Adil Prima Perkasa")</f>
        <v>CV. Adil Prima Perkasa</v>
      </c>
      <c r="F175" s="52" t="str">
        <f>IFERROR(__xludf.DUMMYFUNCTION("""COMPUTED_VALUE"""),"CHECKER PRODUKSI")</f>
        <v>CHECKER PRODUKSI</v>
      </c>
      <c r="G175" s="52" t="str">
        <f>IFERROR(__xludf.DUMMYFUNCTION("""COMPUTED_VALUE"""),"PRODUKSI")</f>
        <v>PRODUKSI</v>
      </c>
      <c r="H175" s="52" t="str">
        <f>IFERROR(__xludf.DUMMYFUNCTION("""COMPUTED_VALUE"""),"[0102130003] PURNAWAN")</f>
        <v>[0102130003] PURNAWAN</v>
      </c>
      <c r="I175" s="52"/>
      <c r="J175" s="53" t="str">
        <f>IFERROR(__xludf.DUMMYFUNCTION("""COMPUTED_VALUE"""),"[207231804] FRAJA DANDURU")</f>
        <v>[207231804] FRAJA DANDURU</v>
      </c>
      <c r="K175" s="52"/>
      <c r="L175" s="52" t="str">
        <f t="shared" si="1"/>
        <v>#VALUE!</v>
      </c>
      <c r="M175" s="52"/>
      <c r="N175" s="52"/>
      <c r="O175" s="52"/>
      <c r="P175" s="52"/>
      <c r="Q175" s="52"/>
      <c r="R175" s="52"/>
      <c r="S175" s="52"/>
      <c r="T175" s="52"/>
      <c r="U175" s="52"/>
      <c r="V175" s="52"/>
      <c r="W175" s="52"/>
      <c r="X175" s="52"/>
      <c r="Y175" s="52"/>
      <c r="Z175" s="52"/>
    </row>
    <row r="176">
      <c r="A176" s="52">
        <f>IFERROR(__xludf.DUMMYFUNCTION("""COMPUTED_VALUE"""),2.0722166E8)</f>
        <v>207221660</v>
      </c>
      <c r="B176" s="52" t="str">
        <f>IFERROR(__xludf.DUMMYFUNCTION("""COMPUTED_VALUE"""),"FRANGKI STENLY LADAEE")</f>
        <v>FRANGKI STENLY LADAEE</v>
      </c>
      <c r="C176" s="52">
        <f>IFERROR(__xludf.DUMMYFUNCTION("""COMPUTED_VALUE"""),47.0)</f>
        <v>47</v>
      </c>
      <c r="D176" s="52" t="str">
        <f>IFERROR(__xludf.DUMMYFUNCTION("""COMPUTED_VALUE"""),"Kristen Protestan")</f>
        <v>Kristen Protestan</v>
      </c>
      <c r="E176" s="52" t="str">
        <f>IFERROR(__xludf.DUMMYFUNCTION("""COMPUTED_VALUE"""),"CV. Adil Prima Perkasa")</f>
        <v>CV. Adil Prima Perkasa</v>
      </c>
      <c r="F176" s="52" t="str">
        <f>IFERROR(__xludf.DUMMYFUNCTION("""COMPUTED_VALUE"""),"DRIVER DT H700ZY")</f>
        <v>DRIVER DT H700ZY</v>
      </c>
      <c r="G176" s="52" t="str">
        <f>IFERROR(__xludf.DUMMYFUNCTION("""COMPUTED_VALUE"""),"KENDARAAN &amp; UNIT SUPPORT")</f>
        <v>KENDARAAN &amp; UNIT SUPPORT</v>
      </c>
      <c r="H176" s="52" t="str">
        <f>IFERROR(__xludf.DUMMYFUNCTION("""COMPUTED_VALUE"""),"[0102150004] NAFTALI RARE'A, ST")</f>
        <v>[0102150004] NAFTALI RARE'A, ST</v>
      </c>
      <c r="I176" s="52"/>
      <c r="J176" s="53" t="str">
        <f>IFERROR(__xludf.DUMMYFUNCTION("""COMPUTED_VALUE"""),"[207221660] FRANGKI STENLY LADAEE")</f>
        <v>[207221660] FRANGKI STENLY LADAEE</v>
      </c>
      <c r="K176" s="52"/>
      <c r="L176" s="52" t="str">
        <f t="shared" si="1"/>
        <v>#VALUE!</v>
      </c>
      <c r="M176" s="52"/>
      <c r="N176" s="52"/>
      <c r="O176" s="52"/>
      <c r="P176" s="52"/>
      <c r="Q176" s="52"/>
      <c r="R176" s="52"/>
      <c r="S176" s="52"/>
      <c r="T176" s="52"/>
      <c r="U176" s="52"/>
      <c r="V176" s="52"/>
      <c r="W176" s="52"/>
      <c r="X176" s="52"/>
      <c r="Y176" s="52"/>
      <c r="Z176" s="52"/>
    </row>
    <row r="177">
      <c r="A177" s="52">
        <f>IFERROR(__xludf.DUMMYFUNCTION("""COMPUTED_VALUE"""),2.05241934E8)</f>
        <v>205241934</v>
      </c>
      <c r="B177" s="52" t="str">
        <f>IFERROR(__xludf.DUMMYFUNCTION("""COMPUTED_VALUE"""),"FRANKY TENGKENDE")</f>
        <v>FRANKY TENGKENDE</v>
      </c>
      <c r="C177" s="52">
        <f>IFERROR(__xludf.DUMMYFUNCTION("""COMPUTED_VALUE"""),0.0)</f>
        <v>0</v>
      </c>
      <c r="D177" s="52"/>
      <c r="E177" s="52" t="str">
        <f>IFERROR(__xludf.DUMMYFUNCTION("""COMPUTED_VALUE"""),"CV. Adil Prima Perkasa")</f>
        <v>CV. Adil Prima Perkasa</v>
      </c>
      <c r="F177" s="52" t="str">
        <f>IFERROR(__xludf.DUMMYFUNCTION("""COMPUTED_VALUE"""),"DRIVER LV")</f>
        <v>DRIVER LV</v>
      </c>
      <c r="G177" s="52" t="str">
        <f>IFERROR(__xludf.DUMMYFUNCTION("""COMPUTED_VALUE"""),"KENDARAAN &amp; UNIT SUPPORT")</f>
        <v>KENDARAAN &amp; UNIT SUPPORT</v>
      </c>
      <c r="H177" s="52" t="str">
        <f>IFERROR(__xludf.DUMMYFUNCTION("""COMPUTED_VALUE"""),"[0102150004] NAFTALI RARE'A, ST")</f>
        <v>[0102150004] NAFTALI RARE'A, ST</v>
      </c>
      <c r="I177" s="55">
        <f>IFERROR(__xludf.DUMMYFUNCTION("""COMPUTED_VALUE"""),32107.0)</f>
        <v>32107</v>
      </c>
      <c r="J177" s="53" t="str">
        <f>IFERROR(__xludf.DUMMYFUNCTION("""COMPUTED_VALUE"""),"[205241934] FRANKY TENGKENDE")</f>
        <v>[205241934] FRANKY TENGKENDE</v>
      </c>
      <c r="K177" s="52"/>
      <c r="L177" s="52" t="str">
        <f t="shared" si="1"/>
        <v>#VALUE!</v>
      </c>
      <c r="M177" s="52"/>
      <c r="N177" s="52"/>
      <c r="O177" s="52"/>
      <c r="P177" s="52"/>
      <c r="Q177" s="52"/>
      <c r="R177" s="52"/>
      <c r="S177" s="52"/>
      <c r="T177" s="52"/>
      <c r="U177" s="52"/>
      <c r="V177" s="52"/>
      <c r="W177" s="52"/>
      <c r="X177" s="52"/>
      <c r="Y177" s="52"/>
      <c r="Z177" s="52"/>
    </row>
    <row r="178">
      <c r="A178" s="52">
        <f>IFERROR(__xludf.DUMMYFUNCTION("""COMPUTED_VALUE"""),2.0719096E8)</f>
        <v>207190960</v>
      </c>
      <c r="B178" s="52" t="str">
        <f>IFERROR(__xludf.DUMMYFUNCTION("""COMPUTED_VALUE"""),"FRANSISKUS AHMAD")</f>
        <v>FRANSISKUS AHMAD</v>
      </c>
      <c r="C178" s="52">
        <f>IFERROR(__xludf.DUMMYFUNCTION("""COMPUTED_VALUE"""),57.0)</f>
        <v>57</v>
      </c>
      <c r="D178" s="52" t="str">
        <f>IFERROR(__xludf.DUMMYFUNCTION("""COMPUTED_VALUE"""),"Islam")</f>
        <v>Islam</v>
      </c>
      <c r="E178" s="52" t="str">
        <f>IFERROR(__xludf.DUMMYFUNCTION("""COMPUTED_VALUE"""),"CV. Adil Prima Perkasa")</f>
        <v>CV. Adil Prima Perkasa</v>
      </c>
      <c r="F178" s="52" t="str">
        <f>IFERROR(__xludf.DUMMYFUNCTION("""COMPUTED_VALUE"""),"FOREMAN PRODUKSI")</f>
        <v>FOREMAN PRODUKSI</v>
      </c>
      <c r="G178" s="52" t="str">
        <f>IFERROR(__xludf.DUMMYFUNCTION("""COMPUTED_VALUE"""),"PRODUKSI")</f>
        <v>PRODUKSI</v>
      </c>
      <c r="H178" s="52" t="str">
        <f>IFERROR(__xludf.DUMMYFUNCTION("""COMPUTED_VALUE"""),"[0102130003] PURNAWAN")</f>
        <v>[0102130003] PURNAWAN</v>
      </c>
      <c r="I178" s="55">
        <f>IFERROR(__xludf.DUMMYFUNCTION("""COMPUTED_VALUE"""),27141.0)</f>
        <v>27141</v>
      </c>
      <c r="J178" s="53" t="str">
        <f>IFERROR(__xludf.DUMMYFUNCTION("""COMPUTED_VALUE"""),"[207190960] FRANSISKUS AHMAD")</f>
        <v>[207190960] FRANSISKUS AHMAD</v>
      </c>
      <c r="K178" s="52"/>
      <c r="L178" s="52" t="str">
        <f t="shared" si="1"/>
        <v>#VALUE!</v>
      </c>
      <c r="M178" s="52"/>
      <c r="N178" s="52"/>
      <c r="O178" s="52"/>
      <c r="P178" s="52"/>
      <c r="Q178" s="52"/>
      <c r="R178" s="52"/>
      <c r="S178" s="52"/>
      <c r="T178" s="52"/>
      <c r="U178" s="52"/>
      <c r="V178" s="52"/>
      <c r="W178" s="52"/>
      <c r="X178" s="52"/>
      <c r="Y178" s="52"/>
      <c r="Z178" s="52"/>
    </row>
    <row r="179">
      <c r="A179" s="52">
        <f>IFERROR(__xludf.DUMMYFUNCTION("""COMPUTED_VALUE"""),2.05241919E8)</f>
        <v>205241919</v>
      </c>
      <c r="B179" s="52" t="str">
        <f>IFERROR(__xludf.DUMMYFUNCTION("""COMPUTED_VALUE"""),"FREGI YUNILSON LAGANI")</f>
        <v>FREGI YUNILSON LAGANI</v>
      </c>
      <c r="C179" s="52">
        <f>IFERROR(__xludf.DUMMYFUNCTION("""COMPUTED_VALUE"""),0.0)</f>
        <v>0</v>
      </c>
      <c r="D179" s="52"/>
      <c r="E179" s="52" t="str">
        <f>IFERROR(__xludf.DUMMYFUNCTION("""COMPUTED_VALUE"""),"CV. Adil Prima Perkasa")</f>
        <v>CV. Adil Prima Perkasa</v>
      </c>
      <c r="F179" s="52" t="str">
        <f>IFERROR(__xludf.DUMMYFUNCTION("""COMPUTED_VALUE"""),"HELPER BODY REPAIR")</f>
        <v>HELPER BODY REPAIR</v>
      </c>
      <c r="G179" s="52" t="str">
        <f>IFERROR(__xludf.DUMMYFUNCTION("""COMPUTED_VALUE"""),"WORKSHOP")</f>
        <v>WORKSHOP</v>
      </c>
      <c r="H179" s="52" t="str">
        <f>IFERROR(__xludf.DUMMYFUNCTION("""COMPUTED_VALUE"""),"[0106190928] NATAN KONDO")</f>
        <v>[0106190928] NATAN KONDO</v>
      </c>
      <c r="I179" s="52"/>
      <c r="J179" s="53" t="str">
        <f>IFERROR(__xludf.DUMMYFUNCTION("""COMPUTED_VALUE"""),"[205241919] FREGI YUNILSON LAGANI")</f>
        <v>[205241919] FREGI YUNILSON LAGANI</v>
      </c>
      <c r="K179" s="52"/>
      <c r="L179" s="52" t="str">
        <f t="shared" si="1"/>
        <v>#VALUE!</v>
      </c>
      <c r="M179" s="52"/>
      <c r="N179" s="52"/>
      <c r="O179" s="52"/>
      <c r="P179" s="52"/>
      <c r="Q179" s="52"/>
      <c r="R179" s="52"/>
      <c r="S179" s="52"/>
      <c r="T179" s="52"/>
      <c r="U179" s="52"/>
      <c r="V179" s="52"/>
      <c r="W179" s="52"/>
      <c r="X179" s="52"/>
      <c r="Y179" s="52"/>
      <c r="Z179" s="52"/>
    </row>
    <row r="180">
      <c r="A180" s="52">
        <f>IFERROR(__xludf.DUMMYFUNCTION("""COMPUTED_VALUE"""),1.07180487E8)</f>
        <v>107180487</v>
      </c>
      <c r="B180" s="52" t="str">
        <f>IFERROR(__xludf.DUMMYFUNCTION("""COMPUTED_VALUE"""),"FRETS BADU")</f>
        <v>FRETS BADU</v>
      </c>
      <c r="C180" s="52">
        <f>IFERROR(__xludf.DUMMYFUNCTION("""COMPUTED_VALUE"""),40.0)</f>
        <v>40</v>
      </c>
      <c r="D180" s="52" t="str">
        <f>IFERROR(__xludf.DUMMYFUNCTION("""COMPUTED_VALUE"""),"Kristen Protestan")</f>
        <v>Kristen Protestan</v>
      </c>
      <c r="E180" s="52" t="str">
        <f>IFERROR(__xludf.DUMMYFUNCTION("""COMPUTED_VALUE"""),"CV. SENTOSA ABADI")</f>
        <v>CV. SENTOSA ABADI</v>
      </c>
      <c r="F180" s="52" t="str">
        <f>IFERROR(__xludf.DUMMYFUNCTION("""COMPUTED_VALUE"""),"DRIVER DT H700ZY")</f>
        <v>DRIVER DT H700ZY</v>
      </c>
      <c r="G180" s="52" t="str">
        <f>IFERROR(__xludf.DUMMYFUNCTION("""COMPUTED_VALUE"""),"KENDARAAN &amp; UNIT SUPPORT")</f>
        <v>KENDARAAN &amp; UNIT SUPPORT</v>
      </c>
      <c r="H180" s="52" t="str">
        <f>IFERROR(__xludf.DUMMYFUNCTION("""COMPUTED_VALUE"""),"[0102150004] NAFTALI RARE'A, ST")</f>
        <v>[0102150004] NAFTALI RARE'A, ST</v>
      </c>
      <c r="I180" s="52"/>
      <c r="J180" s="53" t="str">
        <f>IFERROR(__xludf.DUMMYFUNCTION("""COMPUTED_VALUE"""),"[107180487] FRETS BADU")</f>
        <v>[107180487] FRETS BADU</v>
      </c>
      <c r="K180" s="52"/>
      <c r="L180" s="52" t="str">
        <f t="shared" si="1"/>
        <v>#VALUE!</v>
      </c>
      <c r="M180" s="52"/>
      <c r="N180" s="52"/>
      <c r="O180" s="52"/>
      <c r="P180" s="52"/>
      <c r="Q180" s="52"/>
      <c r="R180" s="52"/>
      <c r="S180" s="52"/>
      <c r="T180" s="52"/>
      <c r="U180" s="52"/>
      <c r="V180" s="52"/>
      <c r="W180" s="52"/>
      <c r="X180" s="52"/>
      <c r="Y180" s="52"/>
      <c r="Z180" s="52"/>
    </row>
    <row r="181">
      <c r="A181" s="52">
        <f>IFERROR(__xludf.DUMMYFUNCTION("""COMPUTED_VALUE"""),2.01221572E8)</f>
        <v>201221572</v>
      </c>
      <c r="B181" s="52" t="str">
        <f>IFERROR(__xludf.DUMMYFUNCTION("""COMPUTED_VALUE"""),"GANDENSIUS RAMAN")</f>
        <v>GANDENSIUS RAMAN</v>
      </c>
      <c r="C181" s="52">
        <f>IFERROR(__xludf.DUMMYFUNCTION("""COMPUTED_VALUE"""),45.0)</f>
        <v>45</v>
      </c>
      <c r="D181" s="52" t="str">
        <f>IFERROR(__xludf.DUMMYFUNCTION("""COMPUTED_VALUE"""),"Kristen Khatolik")</f>
        <v>Kristen Khatolik</v>
      </c>
      <c r="E181" s="52" t="str">
        <f>IFERROR(__xludf.DUMMYFUNCTION("""COMPUTED_VALUE"""),"CV. Adil Prima Perkasa")</f>
        <v>CV. Adil Prima Perkasa</v>
      </c>
      <c r="F181" s="52" t="str">
        <f>IFERROR(__xludf.DUMMYFUNCTION("""COMPUTED_VALUE"""),"OPERATOR EXCAVATOR")</f>
        <v>OPERATOR EXCAVATOR</v>
      </c>
      <c r="G181" s="52" t="str">
        <f>IFERROR(__xludf.DUMMYFUNCTION("""COMPUTED_VALUE"""),"PRODUKSI")</f>
        <v>PRODUKSI</v>
      </c>
      <c r="H181" s="52" t="str">
        <f>IFERROR(__xludf.DUMMYFUNCTION("""COMPUTED_VALUE"""),"[0102130003] PURNAWAN")</f>
        <v>[0102130003] PURNAWAN</v>
      </c>
      <c r="I181" s="55">
        <f>IFERROR(__xludf.DUMMYFUNCTION("""COMPUTED_VALUE"""),32359.0)</f>
        <v>32359</v>
      </c>
      <c r="J181" s="53" t="str">
        <f>IFERROR(__xludf.DUMMYFUNCTION("""COMPUTED_VALUE"""),"[201221572] GANDENSIUS RAMAN")</f>
        <v>[201221572] GANDENSIUS RAMAN</v>
      </c>
      <c r="K181" s="52"/>
      <c r="L181" s="52" t="str">
        <f t="shared" si="1"/>
        <v>#VALUE!</v>
      </c>
      <c r="M181" s="52"/>
      <c r="N181" s="52"/>
      <c r="O181" s="52"/>
      <c r="P181" s="52"/>
      <c r="Q181" s="52"/>
      <c r="R181" s="52"/>
      <c r="S181" s="52"/>
      <c r="T181" s="52"/>
      <c r="U181" s="52"/>
      <c r="V181" s="52"/>
      <c r="W181" s="52"/>
      <c r="X181" s="52"/>
      <c r="Y181" s="52"/>
      <c r="Z181" s="52"/>
    </row>
    <row r="182">
      <c r="A182" s="52">
        <f>IFERROR(__xludf.DUMMYFUNCTION("""COMPUTED_VALUE"""),3.06210077E8)</f>
        <v>306210077</v>
      </c>
      <c r="B182" s="52" t="str">
        <f>IFERROR(__xludf.DUMMYFUNCTION("""COMPUTED_VALUE"""),"GEDE HERY JULIANTARA")</f>
        <v>GEDE HERY JULIANTARA</v>
      </c>
      <c r="C182" s="52">
        <f>IFERROR(__xludf.DUMMYFUNCTION("""COMPUTED_VALUE"""),22.0)</f>
        <v>22</v>
      </c>
      <c r="D182" s="52" t="str">
        <f>IFERROR(__xludf.DUMMYFUNCTION("""COMPUTED_VALUE"""),"Kristen Protestan")</f>
        <v>Kristen Protestan</v>
      </c>
      <c r="E182" s="52" t="str">
        <f>IFERROR(__xludf.DUMMYFUNCTION("""COMPUTED_VALUE"""),"CV. Monalisa")</f>
        <v>CV. Monalisa</v>
      </c>
      <c r="F182" s="52" t="str">
        <f>IFERROR(__xludf.DUMMYFUNCTION("""COMPUTED_VALUE"""),"CREW SURVEY")</f>
        <v>CREW SURVEY</v>
      </c>
      <c r="G182" s="52" t="str">
        <f>IFERROR(__xludf.DUMMYFUNCTION("""COMPUTED_VALUE"""),"MPE")</f>
        <v>MPE</v>
      </c>
      <c r="H182" s="52" t="str">
        <f>IFERROR(__xludf.DUMMYFUNCTION("""COMPUTED_VALUE"""),"[0102150008] ERWIN SAPA")</f>
        <v>[0102150008] ERWIN SAPA</v>
      </c>
      <c r="I182" s="55">
        <f>IFERROR(__xludf.DUMMYFUNCTION("""COMPUTED_VALUE"""),37593.0)</f>
        <v>37593</v>
      </c>
      <c r="J182" s="53" t="str">
        <f>IFERROR(__xludf.DUMMYFUNCTION("""COMPUTED_VALUE"""),"[306210077] GEDE HERY JULIANTARA")</f>
        <v>[306210077] GEDE HERY JULIANTARA</v>
      </c>
      <c r="K182" s="52"/>
      <c r="L182" s="52" t="str">
        <f t="shared" si="1"/>
        <v>#VALUE!</v>
      </c>
      <c r="M182" s="52"/>
      <c r="N182" s="52"/>
      <c r="O182" s="52"/>
      <c r="P182" s="52"/>
      <c r="Q182" s="52"/>
      <c r="R182" s="52"/>
      <c r="S182" s="52"/>
      <c r="T182" s="52"/>
      <c r="U182" s="52"/>
      <c r="V182" s="52"/>
      <c r="W182" s="52"/>
      <c r="X182" s="52"/>
      <c r="Y182" s="52"/>
      <c r="Z182" s="52"/>
    </row>
    <row r="183">
      <c r="A183" s="52">
        <f>IFERROR(__xludf.DUMMYFUNCTION("""COMPUTED_VALUE"""),3.03230112E8)</f>
        <v>303230112</v>
      </c>
      <c r="B183" s="52" t="str">
        <f>IFERROR(__xludf.DUMMYFUNCTION("""COMPUTED_VALUE"""),"GERALDY EICMAN LAKIU")</f>
        <v>GERALDY EICMAN LAKIU</v>
      </c>
      <c r="C183" s="52">
        <f>IFERROR(__xludf.DUMMYFUNCTION("""COMPUTED_VALUE"""),24.0)</f>
        <v>24</v>
      </c>
      <c r="D183" s="52" t="str">
        <f>IFERROR(__xludf.DUMMYFUNCTION("""COMPUTED_VALUE"""),"Kristen Protestan")</f>
        <v>Kristen Protestan</v>
      </c>
      <c r="E183" s="52" t="str">
        <f>IFERROR(__xludf.DUMMYFUNCTION("""COMPUTED_VALUE"""),"CV. Monalisa")</f>
        <v>CV. Monalisa</v>
      </c>
      <c r="F183" s="52" t="str">
        <f>IFERROR(__xludf.DUMMYFUNCTION("""COMPUTED_VALUE"""),"SECURITY")</f>
        <v>SECURITY</v>
      </c>
      <c r="G183" s="52" t="str">
        <f>IFERROR(__xludf.DUMMYFUNCTION("""COMPUTED_VALUE"""),"HRD &amp; GA")</f>
        <v>HRD &amp; GA</v>
      </c>
      <c r="H183" s="52" t="str">
        <f>IFERROR(__xludf.DUMMYFUNCTION("""COMPUTED_VALUE"""),"[0108191037] ERNIE FRISLIA")</f>
        <v>[0108191037] ERNIE FRISLIA</v>
      </c>
      <c r="I183" s="52"/>
      <c r="J183" s="53" t="str">
        <f>IFERROR(__xludf.DUMMYFUNCTION("""COMPUTED_VALUE"""),"[303230112] GERALDY EICMAN LAKIU")</f>
        <v>[303230112] GERALDY EICMAN LAKIU</v>
      </c>
      <c r="K183" s="52"/>
      <c r="L183" s="52" t="str">
        <f t="shared" si="1"/>
        <v>#VALUE!</v>
      </c>
      <c r="M183" s="52"/>
      <c r="N183" s="52"/>
      <c r="O183" s="52"/>
      <c r="P183" s="52"/>
      <c r="Q183" s="52"/>
      <c r="R183" s="52"/>
      <c r="S183" s="52"/>
      <c r="T183" s="52"/>
      <c r="U183" s="52"/>
      <c r="V183" s="52"/>
      <c r="W183" s="52"/>
      <c r="X183" s="52"/>
      <c r="Y183" s="52"/>
      <c r="Z183" s="52"/>
    </row>
    <row r="184">
      <c r="A184" s="52">
        <f>IFERROR(__xludf.DUMMYFUNCTION("""COMPUTED_VALUE"""),2.05241914E8)</f>
        <v>205241914</v>
      </c>
      <c r="B184" s="52" t="str">
        <f>IFERROR(__xludf.DUMMYFUNCTION("""COMPUTED_VALUE"""),"GERALDY HISKIA OROH")</f>
        <v>GERALDY HISKIA OROH</v>
      </c>
      <c r="C184" s="52">
        <f>IFERROR(__xludf.DUMMYFUNCTION("""COMPUTED_VALUE"""),0.0)</f>
        <v>0</v>
      </c>
      <c r="D184" s="52"/>
      <c r="E184" s="52" t="str">
        <f>IFERROR(__xludf.DUMMYFUNCTION("""COMPUTED_VALUE"""),"CV. Adil Prima Perkasa")</f>
        <v>CV. Adil Prima Perkasa</v>
      </c>
      <c r="F184" s="52" t="str">
        <f>IFERROR(__xludf.DUMMYFUNCTION("""COMPUTED_VALUE"""),"DRIVER DT H500")</f>
        <v>DRIVER DT H500</v>
      </c>
      <c r="G184" s="52" t="str">
        <f>IFERROR(__xludf.DUMMYFUNCTION("""COMPUTED_VALUE"""),"KENDARAAN &amp; UNIT SUPPORT")</f>
        <v>KENDARAAN &amp; UNIT SUPPORT</v>
      </c>
      <c r="H184" s="52" t="str">
        <f>IFERROR(__xludf.DUMMYFUNCTION("""COMPUTED_VALUE"""),"[0102150004] NAFTALI RARE'A, ST")</f>
        <v>[0102150004] NAFTALI RARE'A, ST</v>
      </c>
      <c r="I184" s="52"/>
      <c r="J184" s="53" t="str">
        <f>IFERROR(__xludf.DUMMYFUNCTION("""COMPUTED_VALUE"""),"[205241914] GERALDY HISKIA OROH")</f>
        <v>[205241914] GERALDY HISKIA OROH</v>
      </c>
      <c r="K184" s="52"/>
      <c r="L184" s="52" t="str">
        <f t="shared" si="1"/>
        <v>#VALUE!</v>
      </c>
      <c r="M184" s="52"/>
      <c r="N184" s="52"/>
      <c r="O184" s="52"/>
      <c r="P184" s="52"/>
      <c r="Q184" s="52"/>
      <c r="R184" s="52"/>
      <c r="S184" s="52"/>
      <c r="T184" s="52"/>
      <c r="U184" s="52"/>
      <c r="V184" s="52"/>
      <c r="W184" s="52"/>
      <c r="X184" s="52"/>
      <c r="Y184" s="52"/>
      <c r="Z184" s="52"/>
    </row>
    <row r="185">
      <c r="A185" s="52">
        <f>IFERROR(__xludf.DUMMYFUNCTION("""COMPUTED_VALUE"""),2.08231817E8)</f>
        <v>208231817</v>
      </c>
      <c r="B185" s="52" t="str">
        <f>IFERROR(__xludf.DUMMYFUNCTION("""COMPUTED_VALUE"""),"GERSON MAABUAT")</f>
        <v>GERSON MAABUAT</v>
      </c>
      <c r="C185" s="52">
        <f>IFERROR(__xludf.DUMMYFUNCTION("""COMPUTED_VALUE"""),29.0)</f>
        <v>29</v>
      </c>
      <c r="D185" s="52" t="str">
        <f>IFERROR(__xludf.DUMMYFUNCTION("""COMPUTED_VALUE"""),"Kristen Protestan")</f>
        <v>Kristen Protestan</v>
      </c>
      <c r="E185" s="52" t="str">
        <f>IFERROR(__xludf.DUMMYFUNCTION("""COMPUTED_VALUE"""),"CV. Adil Prima Perkasa")</f>
        <v>CV. Adil Prima Perkasa</v>
      </c>
      <c r="F185" s="52" t="str">
        <f>IFERROR(__xludf.DUMMYFUNCTION("""COMPUTED_VALUE"""),"HELPER WELDER")</f>
        <v>HELPER WELDER</v>
      </c>
      <c r="G185" s="52" t="str">
        <f>IFERROR(__xludf.DUMMYFUNCTION("""COMPUTED_VALUE"""),"WORKSHOP")</f>
        <v>WORKSHOP</v>
      </c>
      <c r="H185" s="52" t="str">
        <f>IFERROR(__xludf.DUMMYFUNCTION("""COMPUTED_VALUE"""),"[0106190928] NATAN KONDO")</f>
        <v>[0106190928] NATAN KONDO</v>
      </c>
      <c r="I185" s="52"/>
      <c r="J185" s="53" t="str">
        <f>IFERROR(__xludf.DUMMYFUNCTION("""COMPUTED_VALUE"""),"[208231817] GERSON MAABUAT")</f>
        <v>[208231817] GERSON MAABUAT</v>
      </c>
      <c r="K185" s="52"/>
      <c r="L185" s="52" t="str">
        <f t="shared" si="1"/>
        <v>#VALUE!</v>
      </c>
      <c r="M185" s="52"/>
      <c r="N185" s="52"/>
      <c r="O185" s="52"/>
      <c r="P185" s="52"/>
      <c r="Q185" s="52"/>
      <c r="R185" s="52"/>
      <c r="S185" s="52"/>
      <c r="T185" s="52"/>
      <c r="U185" s="52"/>
      <c r="V185" s="52"/>
      <c r="W185" s="52"/>
      <c r="X185" s="52"/>
      <c r="Y185" s="52"/>
      <c r="Z185" s="52"/>
    </row>
    <row r="186">
      <c r="A186" s="52">
        <f>IFERROR(__xludf.DUMMYFUNCTION("""COMPUTED_VALUE"""),2.02241888E8)</f>
        <v>202241888</v>
      </c>
      <c r="B186" s="52" t="str">
        <f>IFERROR(__xludf.DUMMYFUNCTION("""COMPUTED_VALUE"""),"GILBERT ANTHONIO PANGAI")</f>
        <v>GILBERT ANTHONIO PANGAI</v>
      </c>
      <c r="C186" s="52">
        <f>IFERROR(__xludf.DUMMYFUNCTION("""COMPUTED_VALUE"""),0.0)</f>
        <v>0</v>
      </c>
      <c r="D186" s="52"/>
      <c r="E186" s="52" t="str">
        <f>IFERROR(__xludf.DUMMYFUNCTION("""COMPUTED_VALUE"""),"CV. Adil Prima Perkasa")</f>
        <v>CV. Adil Prima Perkasa</v>
      </c>
      <c r="F186" s="52" t="str">
        <f>IFERROR(__xludf.DUMMYFUNCTION("""COMPUTED_VALUE"""),"STAFF HRD")</f>
        <v>STAFF HRD</v>
      </c>
      <c r="G186" s="52" t="str">
        <f>IFERROR(__xludf.DUMMYFUNCTION("""COMPUTED_VALUE"""),"HRD &amp; GA")</f>
        <v>HRD &amp; GA</v>
      </c>
      <c r="H186" s="52" t="str">
        <f>IFERROR(__xludf.DUMMYFUNCTION("""COMPUTED_VALUE"""),"[0108191037] ERNIE FRISLIA")</f>
        <v>[0108191037] ERNIE FRISLIA</v>
      </c>
      <c r="I186" s="52"/>
      <c r="J186" s="53" t="str">
        <f>IFERROR(__xludf.DUMMYFUNCTION("""COMPUTED_VALUE"""),"[202241888] GILBERT ANTHONIO PANGAI")</f>
        <v>[202241888] GILBERT ANTHONIO PANGAI</v>
      </c>
      <c r="K186" s="52"/>
      <c r="L186" s="52" t="str">
        <f t="shared" si="1"/>
        <v>#VALUE!</v>
      </c>
      <c r="M186" s="52"/>
      <c r="N186" s="52"/>
      <c r="O186" s="52"/>
      <c r="P186" s="52"/>
      <c r="Q186" s="52"/>
      <c r="R186" s="52"/>
      <c r="S186" s="52"/>
      <c r="T186" s="52"/>
      <c r="U186" s="52"/>
      <c r="V186" s="52"/>
      <c r="W186" s="52"/>
      <c r="X186" s="52"/>
      <c r="Y186" s="52"/>
      <c r="Z186" s="52"/>
    </row>
    <row r="187">
      <c r="A187" s="52">
        <f>IFERROR(__xludf.DUMMYFUNCTION("""COMPUTED_VALUE"""),1.07190992E8)</f>
        <v>107190992</v>
      </c>
      <c r="B187" s="52" t="str">
        <f>IFERROR(__xludf.DUMMYFUNCTION("""COMPUTED_VALUE"""),"GUNANTO")</f>
        <v>GUNANTO</v>
      </c>
      <c r="C187" s="52">
        <f>IFERROR(__xludf.DUMMYFUNCTION("""COMPUTED_VALUE"""),57.0)</f>
        <v>57</v>
      </c>
      <c r="D187" s="52" t="str">
        <f>IFERROR(__xludf.DUMMYFUNCTION("""COMPUTED_VALUE"""),"Islam")</f>
        <v>Islam</v>
      </c>
      <c r="E187" s="52" t="str">
        <f>IFERROR(__xludf.DUMMYFUNCTION("""COMPUTED_VALUE"""),"CV. SENTOSA ABADI")</f>
        <v>CV. SENTOSA ABADI</v>
      </c>
      <c r="F187" s="52" t="str">
        <f>IFERROR(__xludf.DUMMYFUNCTION("""COMPUTED_VALUE"""),"DRIVER LV")</f>
        <v>DRIVER LV</v>
      </c>
      <c r="G187" s="52" t="str">
        <f>IFERROR(__xludf.DUMMYFUNCTION("""COMPUTED_VALUE"""),"KENDARAAN &amp; UNIT SUPPORT")</f>
        <v>KENDARAAN &amp; UNIT SUPPORT</v>
      </c>
      <c r="H187" s="52" t="str">
        <f>IFERROR(__xludf.DUMMYFUNCTION("""COMPUTED_VALUE"""),"[0102150004] NAFTALI RARE'A, ST")</f>
        <v>[0102150004] NAFTALI RARE'A, ST</v>
      </c>
      <c r="I187" s="55">
        <f>IFERROR(__xludf.DUMMYFUNCTION("""COMPUTED_VALUE"""),30271.0)</f>
        <v>30271</v>
      </c>
      <c r="J187" s="53" t="str">
        <f>IFERROR(__xludf.DUMMYFUNCTION("""COMPUTED_VALUE"""),"[107190992] GUNANTO")</f>
        <v>[107190992] GUNANTO</v>
      </c>
      <c r="K187" s="52"/>
      <c r="L187" s="52" t="str">
        <f t="shared" si="1"/>
        <v>#VALUE!</v>
      </c>
      <c r="M187" s="52"/>
      <c r="N187" s="52"/>
      <c r="O187" s="52"/>
      <c r="P187" s="52"/>
      <c r="Q187" s="52"/>
      <c r="R187" s="52"/>
      <c r="S187" s="52"/>
      <c r="T187" s="52"/>
      <c r="U187" s="52"/>
      <c r="V187" s="52"/>
      <c r="W187" s="52"/>
      <c r="X187" s="52"/>
      <c r="Y187" s="52"/>
      <c r="Z187" s="52"/>
    </row>
    <row r="188">
      <c r="A188" s="52">
        <f>IFERROR(__xludf.DUMMYFUNCTION("""COMPUTED_VALUE"""),2.02221588E8)</f>
        <v>202221588</v>
      </c>
      <c r="B188" s="52" t="str">
        <f>IFERROR(__xludf.DUMMYFUNCTION("""COMPUTED_VALUE"""),"GUNAWAN")</f>
        <v>GUNAWAN</v>
      </c>
      <c r="C188" s="52">
        <f>IFERROR(__xludf.DUMMYFUNCTION("""COMPUTED_VALUE"""),30.0)</f>
        <v>30</v>
      </c>
      <c r="D188" s="52" t="str">
        <f>IFERROR(__xludf.DUMMYFUNCTION("""COMPUTED_VALUE"""),"Islam")</f>
        <v>Islam</v>
      </c>
      <c r="E188" s="52" t="str">
        <f>IFERROR(__xludf.DUMMYFUNCTION("""COMPUTED_VALUE"""),"CV. Adil Prima Perkasa")</f>
        <v>CV. Adil Prima Perkasa</v>
      </c>
      <c r="F188" s="52" t="str">
        <f>IFERROR(__xludf.DUMMYFUNCTION("""COMPUTED_VALUE"""),"CREW EXPLORASI")</f>
        <v>CREW EXPLORASI</v>
      </c>
      <c r="G188" s="52" t="str">
        <f>IFERROR(__xludf.DUMMYFUNCTION("""COMPUTED_VALUE"""),"GRADE CONTROL")</f>
        <v>GRADE CONTROL</v>
      </c>
      <c r="H188" s="52" t="str">
        <f>IFERROR(__xludf.DUMMYFUNCTION("""COMPUTED_VALUE"""),"[0107201164] A.CHRISTI ARI WIBOWO")</f>
        <v>[0107201164] A.CHRISTI ARI WIBOWO</v>
      </c>
      <c r="I188" s="52"/>
      <c r="J188" s="53" t="str">
        <f>IFERROR(__xludf.DUMMYFUNCTION("""COMPUTED_VALUE"""),"[202221588] GUNAWAN")</f>
        <v>[202221588] GUNAWAN</v>
      </c>
      <c r="K188" s="52"/>
      <c r="L188" s="52" t="str">
        <f t="shared" si="1"/>
        <v>#VALUE!</v>
      </c>
      <c r="M188" s="52"/>
      <c r="N188" s="52"/>
      <c r="O188" s="52"/>
      <c r="P188" s="52"/>
      <c r="Q188" s="52"/>
      <c r="R188" s="52"/>
      <c r="S188" s="52"/>
      <c r="T188" s="52"/>
      <c r="U188" s="52"/>
      <c r="V188" s="52"/>
      <c r="W188" s="52"/>
      <c r="X188" s="52"/>
      <c r="Y188" s="52"/>
      <c r="Z188" s="52"/>
    </row>
    <row r="189">
      <c r="A189" s="52">
        <f>IFERROR(__xludf.DUMMYFUNCTION("""COMPUTED_VALUE"""),2.08231824E8)</f>
        <v>208231824</v>
      </c>
      <c r="B189" s="52" t="str">
        <f>IFERROR(__xludf.DUMMYFUNCTION("""COMPUTED_VALUE"""),"GUSTAF BILHAM MOPASU")</f>
        <v>GUSTAF BILHAM MOPASU</v>
      </c>
      <c r="C189" s="52">
        <f>IFERROR(__xludf.DUMMYFUNCTION("""COMPUTED_VALUE"""),27.0)</f>
        <v>27</v>
      </c>
      <c r="D189" s="52" t="str">
        <f>IFERROR(__xludf.DUMMYFUNCTION("""COMPUTED_VALUE"""),"Kristen Protestan")</f>
        <v>Kristen Protestan</v>
      </c>
      <c r="E189" s="52" t="str">
        <f>IFERROR(__xludf.DUMMYFUNCTION("""COMPUTED_VALUE"""),"CV. Adil Prima Perkasa")</f>
        <v>CV. Adil Prima Perkasa</v>
      </c>
      <c r="F189" s="52" t="str">
        <f>IFERROR(__xludf.DUMMYFUNCTION("""COMPUTED_VALUE"""),"DRIVER LV")</f>
        <v>DRIVER LV</v>
      </c>
      <c r="G189" s="52" t="str">
        <f>IFERROR(__xludf.DUMMYFUNCTION("""COMPUTED_VALUE"""),"KENDARAAN &amp; UNIT SUPPORT")</f>
        <v>KENDARAAN &amp; UNIT SUPPORT</v>
      </c>
      <c r="H189" s="52" t="str">
        <f>IFERROR(__xludf.DUMMYFUNCTION("""COMPUTED_VALUE"""),"[0102150004] NAFTALI RARE'A, ST")</f>
        <v>[0102150004] NAFTALI RARE'A, ST</v>
      </c>
      <c r="I189" s="52"/>
      <c r="J189" s="53" t="str">
        <f>IFERROR(__xludf.DUMMYFUNCTION("""COMPUTED_VALUE"""),"[208231824] GUSTAF BILHAM MOPASU")</f>
        <v>[208231824] GUSTAF BILHAM MOPASU</v>
      </c>
      <c r="K189" s="52"/>
      <c r="L189" s="52" t="str">
        <f t="shared" si="1"/>
        <v>#VALUE!</v>
      </c>
      <c r="M189" s="52"/>
      <c r="N189" s="52"/>
      <c r="O189" s="52"/>
      <c r="P189" s="52"/>
      <c r="Q189" s="52"/>
      <c r="R189" s="52"/>
      <c r="S189" s="52"/>
      <c r="T189" s="52"/>
      <c r="U189" s="52"/>
      <c r="V189" s="52"/>
      <c r="W189" s="52"/>
      <c r="X189" s="52"/>
      <c r="Y189" s="52"/>
      <c r="Z189" s="52"/>
    </row>
    <row r="190">
      <c r="A190" s="52">
        <f>IFERROR(__xludf.DUMMYFUNCTION("""COMPUTED_VALUE"""),2.09221676E8)</f>
        <v>209221676</v>
      </c>
      <c r="B190" s="52" t="str">
        <f>IFERROR(__xludf.DUMMYFUNCTION("""COMPUTED_VALUE"""),"GUSTI RANDA HUSAIN")</f>
        <v>GUSTI RANDA HUSAIN</v>
      </c>
      <c r="C190" s="52">
        <f>IFERROR(__xludf.DUMMYFUNCTION("""COMPUTED_VALUE"""),37.0)</f>
        <v>37</v>
      </c>
      <c r="D190" s="52" t="str">
        <f>IFERROR(__xludf.DUMMYFUNCTION("""COMPUTED_VALUE"""),"Islam")</f>
        <v>Islam</v>
      </c>
      <c r="E190" s="52" t="str">
        <f>IFERROR(__xludf.DUMMYFUNCTION("""COMPUTED_VALUE"""),"CV. Adil Prima Perkasa")</f>
        <v>CV. Adil Prima Perkasa</v>
      </c>
      <c r="F190" s="52" t="str">
        <f>IFERROR(__xludf.DUMMYFUNCTION("""COMPUTED_VALUE"""),"DRIVER DT H500")</f>
        <v>DRIVER DT H500</v>
      </c>
      <c r="G190" s="52" t="str">
        <f>IFERROR(__xludf.DUMMYFUNCTION("""COMPUTED_VALUE"""),"KENDARAAN &amp; UNIT SUPPORT")</f>
        <v>KENDARAAN &amp; UNIT SUPPORT</v>
      </c>
      <c r="H190" s="52" t="str">
        <f>IFERROR(__xludf.DUMMYFUNCTION("""COMPUTED_VALUE"""),"[0102150004] NAFTALI RARE'A, ST")</f>
        <v>[0102150004] NAFTALI RARE'A, ST</v>
      </c>
      <c r="I190" s="55">
        <f>IFERROR(__xludf.DUMMYFUNCTION("""COMPUTED_VALUE"""),33426.0)</f>
        <v>33426</v>
      </c>
      <c r="J190" s="53" t="str">
        <f>IFERROR(__xludf.DUMMYFUNCTION("""COMPUTED_VALUE"""),"[209221676] GUSTI RANDA HUSAIN")</f>
        <v>[209221676] GUSTI RANDA HUSAIN</v>
      </c>
      <c r="K190" s="52"/>
      <c r="L190" s="52" t="str">
        <f t="shared" si="1"/>
        <v>#VALUE!</v>
      </c>
      <c r="M190" s="52"/>
      <c r="N190" s="52"/>
      <c r="O190" s="52"/>
      <c r="P190" s="52"/>
      <c r="Q190" s="52"/>
      <c r="R190" s="52"/>
      <c r="S190" s="52"/>
      <c r="T190" s="52"/>
      <c r="U190" s="52"/>
      <c r="V190" s="52"/>
      <c r="W190" s="52"/>
      <c r="X190" s="52"/>
      <c r="Y190" s="52"/>
      <c r="Z190" s="52"/>
    </row>
    <row r="191">
      <c r="A191" s="52">
        <f>IFERROR(__xludf.DUMMYFUNCTION("""COMPUTED_VALUE"""),3.11200019E8)</f>
        <v>311200019</v>
      </c>
      <c r="B191" s="52" t="str">
        <f>IFERROR(__xludf.DUMMYFUNCTION("""COMPUTED_VALUE"""),"HAIRIL")</f>
        <v>HAIRIL</v>
      </c>
      <c r="C191" s="52">
        <f>IFERROR(__xludf.DUMMYFUNCTION("""COMPUTED_VALUE"""),33.0)</f>
        <v>33</v>
      </c>
      <c r="D191" s="52" t="str">
        <f>IFERROR(__xludf.DUMMYFUNCTION("""COMPUTED_VALUE"""),"Islam")</f>
        <v>Islam</v>
      </c>
      <c r="E191" s="52" t="str">
        <f>IFERROR(__xludf.DUMMYFUNCTION("""COMPUTED_VALUE"""),"CV. Monalisa")</f>
        <v>CV. Monalisa</v>
      </c>
      <c r="F191" s="52" t="str">
        <f>IFERROR(__xludf.DUMMYFUNCTION("""COMPUTED_VALUE"""),"OPERATOR EXCAVATOR")</f>
        <v>OPERATOR EXCAVATOR</v>
      </c>
      <c r="G191" s="52" t="str">
        <f>IFERROR(__xludf.DUMMYFUNCTION("""COMPUTED_VALUE"""),"PRODUKSI")</f>
        <v>PRODUKSI</v>
      </c>
      <c r="H191" s="52" t="str">
        <f>IFERROR(__xludf.DUMMYFUNCTION("""COMPUTED_VALUE"""),"FALSE")</f>
        <v>FALSE</v>
      </c>
      <c r="I191" s="52"/>
      <c r="J191" s="53" t="str">
        <f>IFERROR(__xludf.DUMMYFUNCTION("""COMPUTED_VALUE"""),"[311200019] HAIRIL")</f>
        <v>[311200019] HAIRIL</v>
      </c>
      <c r="K191" s="52"/>
      <c r="L191" s="52" t="str">
        <f t="shared" si="1"/>
        <v>#VALUE!</v>
      </c>
      <c r="M191" s="52"/>
      <c r="N191" s="52"/>
      <c r="O191" s="52"/>
      <c r="P191" s="52"/>
      <c r="Q191" s="52"/>
      <c r="R191" s="52"/>
      <c r="S191" s="52"/>
      <c r="T191" s="52"/>
      <c r="U191" s="52"/>
      <c r="V191" s="52"/>
      <c r="W191" s="52"/>
      <c r="X191" s="52"/>
      <c r="Y191" s="52"/>
      <c r="Z191" s="52"/>
    </row>
    <row r="192">
      <c r="A192" s="52">
        <f>IFERROR(__xludf.DUMMYFUNCTION("""COMPUTED_VALUE"""),2.0921148E8)</f>
        <v>209211480</v>
      </c>
      <c r="B192" s="52" t="str">
        <f>IFERROR(__xludf.DUMMYFUNCTION("""COMPUTED_VALUE"""),"HAMDAN ALI")</f>
        <v>HAMDAN ALI</v>
      </c>
      <c r="C192" s="52">
        <f>IFERROR(__xludf.DUMMYFUNCTION("""COMPUTED_VALUE"""),47.0)</f>
        <v>47</v>
      </c>
      <c r="D192" s="52" t="str">
        <f>IFERROR(__xludf.DUMMYFUNCTION("""COMPUTED_VALUE"""),"Islam")</f>
        <v>Islam</v>
      </c>
      <c r="E192" s="52" t="str">
        <f>IFERROR(__xludf.DUMMYFUNCTION("""COMPUTED_VALUE"""),"CV. Adil Prima Perkasa")</f>
        <v>CV. Adil Prima Perkasa</v>
      </c>
      <c r="F192" s="52" t="str">
        <f>IFERROR(__xludf.DUMMYFUNCTION("""COMPUTED_VALUE"""),"DRIVER DT H700ZY")</f>
        <v>DRIVER DT H700ZY</v>
      </c>
      <c r="G192" s="52" t="str">
        <f>IFERROR(__xludf.DUMMYFUNCTION("""COMPUTED_VALUE"""),"KENDARAAN &amp; UNIT SUPPORT")</f>
        <v>KENDARAAN &amp; UNIT SUPPORT</v>
      </c>
      <c r="H192" s="52" t="str">
        <f>IFERROR(__xludf.DUMMYFUNCTION("""COMPUTED_VALUE"""),"[0102150004] NAFTALI RARE'A, ST")</f>
        <v>[0102150004] NAFTALI RARE'A, ST</v>
      </c>
      <c r="I192" s="55">
        <f>IFERROR(__xludf.DUMMYFUNCTION("""COMPUTED_VALUE"""),30017.0)</f>
        <v>30017</v>
      </c>
      <c r="J192" s="53" t="str">
        <f>IFERROR(__xludf.DUMMYFUNCTION("""COMPUTED_VALUE"""),"[209211480] HAMDAN ALI")</f>
        <v>[209211480] HAMDAN ALI</v>
      </c>
      <c r="K192" s="52"/>
      <c r="L192" s="52" t="str">
        <f t="shared" si="1"/>
        <v>#VALUE!</v>
      </c>
      <c r="M192" s="52"/>
      <c r="N192" s="52"/>
      <c r="O192" s="52"/>
      <c r="P192" s="52"/>
      <c r="Q192" s="52"/>
      <c r="R192" s="52"/>
      <c r="S192" s="52"/>
      <c r="T192" s="52"/>
      <c r="U192" s="52"/>
      <c r="V192" s="52"/>
      <c r="W192" s="52"/>
      <c r="X192" s="52"/>
      <c r="Y192" s="52"/>
      <c r="Z192" s="52"/>
    </row>
    <row r="193">
      <c r="A193" s="52">
        <f>IFERROR(__xludf.DUMMYFUNCTION("""COMPUTED_VALUE"""),1.04211374E8)</f>
        <v>104211374</v>
      </c>
      <c r="B193" s="52" t="str">
        <f>IFERROR(__xludf.DUMMYFUNCTION("""COMPUTED_VALUE"""),"HAMDI, A. Md")</f>
        <v>HAMDI, A. Md</v>
      </c>
      <c r="C193" s="52">
        <f>IFERROR(__xludf.DUMMYFUNCTION("""COMPUTED_VALUE"""),44.0)</f>
        <v>44</v>
      </c>
      <c r="D193" s="52" t="str">
        <f>IFERROR(__xludf.DUMMYFUNCTION("""COMPUTED_VALUE"""),"Islam")</f>
        <v>Islam</v>
      </c>
      <c r="E193" s="52" t="str">
        <f>IFERROR(__xludf.DUMMYFUNCTION("""COMPUTED_VALUE"""),"CV. SENTOSA ABADI")</f>
        <v>CV. SENTOSA ABADI</v>
      </c>
      <c r="F193" s="52" t="str">
        <f>IFERROR(__xludf.DUMMYFUNCTION("""COMPUTED_VALUE"""),"OPERATOR ADT")</f>
        <v>OPERATOR ADT</v>
      </c>
      <c r="G193" s="52" t="str">
        <f>IFERROR(__xludf.DUMMYFUNCTION("""COMPUTED_VALUE"""),"PRODUKSI")</f>
        <v>PRODUKSI</v>
      </c>
      <c r="H193" s="52" t="str">
        <f>IFERROR(__xludf.DUMMYFUNCTION("""COMPUTED_VALUE"""),"[0102130003] PURNAWAN")</f>
        <v>[0102130003] PURNAWAN</v>
      </c>
      <c r="I193" s="55">
        <f>IFERROR(__xludf.DUMMYFUNCTION("""COMPUTED_VALUE"""),32007.0)</f>
        <v>32007</v>
      </c>
      <c r="J193" s="53" t="str">
        <f>IFERROR(__xludf.DUMMYFUNCTION("""COMPUTED_VALUE"""),"[104211374] HAMDI, A. Md")</f>
        <v>[104211374] HAMDI, A. Md</v>
      </c>
      <c r="K193" s="52"/>
      <c r="L193" s="52" t="str">
        <f t="shared" si="1"/>
        <v>#VALUE!</v>
      </c>
      <c r="M193" s="52"/>
      <c r="N193" s="52"/>
      <c r="O193" s="52"/>
      <c r="P193" s="52"/>
      <c r="Q193" s="52"/>
      <c r="R193" s="52"/>
      <c r="S193" s="52"/>
      <c r="T193" s="52"/>
      <c r="U193" s="52"/>
      <c r="V193" s="52"/>
      <c r="W193" s="52"/>
      <c r="X193" s="52"/>
      <c r="Y193" s="52"/>
      <c r="Z193" s="52"/>
    </row>
    <row r="194">
      <c r="A194" s="52">
        <f>IFERROR(__xludf.DUMMYFUNCTION("""COMPUTED_VALUE"""),1.0820119E8)</f>
        <v>108201190</v>
      </c>
      <c r="B194" s="52" t="str">
        <f>IFERROR(__xludf.DUMMYFUNCTION("""COMPUTED_VALUE"""),"HANI LARASATI")</f>
        <v>HANI LARASATI</v>
      </c>
      <c r="C194" s="52">
        <f>IFERROR(__xludf.DUMMYFUNCTION("""COMPUTED_VALUE"""),28.0)</f>
        <v>28</v>
      </c>
      <c r="D194" s="52" t="str">
        <f>IFERROR(__xludf.DUMMYFUNCTION("""COMPUTED_VALUE"""),"Islam")</f>
        <v>Islam</v>
      </c>
      <c r="E194" s="52" t="str">
        <f>IFERROR(__xludf.DUMMYFUNCTION("""COMPUTED_VALUE"""),"CV. SENTOSA ABADI")</f>
        <v>CV. SENTOSA ABADI</v>
      </c>
      <c r="F194" s="52" t="str">
        <f>IFERROR(__xludf.DUMMYFUNCTION("""COMPUTED_VALUE"""),"ADMIN LOGISTIC")</f>
        <v>ADMIN LOGISTIC</v>
      </c>
      <c r="G194" s="52" t="str">
        <f>IFERROR(__xludf.DUMMYFUNCTION("""COMPUTED_VALUE"""),"LOGISTIC")</f>
        <v>LOGISTIC</v>
      </c>
      <c r="H194" s="52" t="str">
        <f>IFERROR(__xludf.DUMMYFUNCTION("""COMPUTED_VALUE"""),"[0109170014] JENES R. MANOPPO")</f>
        <v>[0109170014] JENES R. MANOPPO</v>
      </c>
      <c r="I194" s="52"/>
      <c r="J194" s="53" t="str">
        <f>IFERROR(__xludf.DUMMYFUNCTION("""COMPUTED_VALUE"""),"[108201190] HANI LARASATI")</f>
        <v>[108201190] HANI LARASATI</v>
      </c>
      <c r="K194" s="52"/>
      <c r="L194" s="52" t="str">
        <f t="shared" si="1"/>
        <v>#VALUE!</v>
      </c>
      <c r="M194" s="52"/>
      <c r="N194" s="52"/>
      <c r="O194" s="52"/>
      <c r="P194" s="52"/>
      <c r="Q194" s="52"/>
      <c r="R194" s="52"/>
      <c r="S194" s="52"/>
      <c r="T194" s="52"/>
      <c r="U194" s="52"/>
      <c r="V194" s="52"/>
      <c r="W194" s="52"/>
      <c r="X194" s="52"/>
      <c r="Y194" s="52"/>
      <c r="Z194" s="52"/>
    </row>
    <row r="195">
      <c r="A195" s="52">
        <f>IFERROR(__xludf.DUMMYFUNCTION("""COMPUTED_VALUE"""),2.09231838E8)</f>
        <v>209231838</v>
      </c>
      <c r="B195" s="52" t="str">
        <f>IFERROR(__xludf.DUMMYFUNCTION("""COMPUTED_VALUE"""),"HARDIAN AKANGKUNG")</f>
        <v>HARDIAN AKANGKUNG</v>
      </c>
      <c r="C195" s="52">
        <f>IFERROR(__xludf.DUMMYFUNCTION("""COMPUTED_VALUE"""),0.0)</f>
        <v>0</v>
      </c>
      <c r="D195" s="52"/>
      <c r="E195" s="52" t="str">
        <f>IFERROR(__xludf.DUMMYFUNCTION("""COMPUTED_VALUE"""),"CV. Adil Prima Perkasa")</f>
        <v>CV. Adil Prima Perkasa</v>
      </c>
      <c r="F195" s="52" t="str">
        <f>IFERROR(__xludf.DUMMYFUNCTION("""COMPUTED_VALUE"""),"DRIVER DT H500")</f>
        <v>DRIVER DT H500</v>
      </c>
      <c r="G195" s="52" t="str">
        <f>IFERROR(__xludf.DUMMYFUNCTION("""COMPUTED_VALUE"""),"KENDARAAN &amp; UNIT SUPPORT")</f>
        <v>KENDARAAN &amp; UNIT SUPPORT</v>
      </c>
      <c r="H195" s="52" t="str">
        <f>IFERROR(__xludf.DUMMYFUNCTION("""COMPUTED_VALUE"""),"[0102150004] NAFTALI RARE'A, ST")</f>
        <v>[0102150004] NAFTALI RARE'A, ST</v>
      </c>
      <c r="I195" s="52"/>
      <c r="J195" s="53" t="str">
        <f>IFERROR(__xludf.DUMMYFUNCTION("""COMPUTED_VALUE"""),"[209231838] HARDIAN AKANGKUNG")</f>
        <v>[209231838] HARDIAN AKANGKUNG</v>
      </c>
      <c r="K195" s="52"/>
      <c r="L195" s="52" t="str">
        <f t="shared" si="1"/>
        <v>#VALUE!</v>
      </c>
      <c r="M195" s="52"/>
      <c r="N195" s="52"/>
      <c r="O195" s="52"/>
      <c r="P195" s="52"/>
      <c r="Q195" s="52"/>
      <c r="R195" s="52"/>
      <c r="S195" s="52"/>
      <c r="T195" s="52"/>
      <c r="U195" s="52"/>
      <c r="V195" s="52"/>
      <c r="W195" s="52"/>
      <c r="X195" s="52"/>
      <c r="Y195" s="52"/>
      <c r="Z195" s="52"/>
    </row>
    <row r="196">
      <c r="A196" s="52">
        <f>IFERROR(__xludf.DUMMYFUNCTION("""COMPUTED_VALUE"""),2.03231742E8)</f>
        <v>203231742</v>
      </c>
      <c r="B196" s="52" t="str">
        <f>IFERROR(__xludf.DUMMYFUNCTION("""COMPUTED_VALUE"""),"HARIYANTO")</f>
        <v>HARIYANTO</v>
      </c>
      <c r="C196" s="52">
        <f>IFERROR(__xludf.DUMMYFUNCTION("""COMPUTED_VALUE"""),44.0)</f>
        <v>44</v>
      </c>
      <c r="D196" s="52" t="str">
        <f>IFERROR(__xludf.DUMMYFUNCTION("""COMPUTED_VALUE"""),"Islam")</f>
        <v>Islam</v>
      </c>
      <c r="E196" s="52" t="str">
        <f>IFERROR(__xludf.DUMMYFUNCTION("""COMPUTED_VALUE"""),"CV. Adil Prima Perkasa")</f>
        <v>CV. Adil Prima Perkasa</v>
      </c>
      <c r="F196" s="52" t="str">
        <f>IFERROR(__xludf.DUMMYFUNCTION("""COMPUTED_VALUE"""),"DRIVER DT H700ZS")</f>
        <v>DRIVER DT H700ZS</v>
      </c>
      <c r="G196" s="52" t="str">
        <f>IFERROR(__xludf.DUMMYFUNCTION("""COMPUTED_VALUE"""),"KENDARAAN &amp; UNIT SUPPORT")</f>
        <v>KENDARAAN &amp; UNIT SUPPORT</v>
      </c>
      <c r="H196" s="52" t="str">
        <f>IFERROR(__xludf.DUMMYFUNCTION("""COMPUTED_VALUE"""),"[0102150004] NAFTALI RARE'A, ST")</f>
        <v>[0102150004] NAFTALI RARE'A, ST</v>
      </c>
      <c r="I196" s="52"/>
      <c r="J196" s="53" t="str">
        <f>IFERROR(__xludf.DUMMYFUNCTION("""COMPUTED_VALUE"""),"[203231742] HARIYANTO")</f>
        <v>[203231742] HARIYANTO</v>
      </c>
      <c r="K196" s="52"/>
      <c r="L196" s="52" t="str">
        <f t="shared" si="1"/>
        <v>#VALUE!</v>
      </c>
      <c r="M196" s="52"/>
      <c r="N196" s="52"/>
      <c r="O196" s="52"/>
      <c r="P196" s="52"/>
      <c r="Q196" s="52"/>
      <c r="R196" s="52"/>
      <c r="S196" s="52"/>
      <c r="T196" s="52"/>
      <c r="U196" s="52"/>
      <c r="V196" s="52"/>
      <c r="W196" s="52"/>
      <c r="X196" s="52"/>
      <c r="Y196" s="52"/>
      <c r="Z196" s="52"/>
    </row>
    <row r="197">
      <c r="A197" s="52">
        <f>IFERROR(__xludf.DUMMYFUNCTION("""COMPUTED_VALUE"""),3.10200012E8)</f>
        <v>310200012</v>
      </c>
      <c r="B197" s="52" t="str">
        <f>IFERROR(__xludf.DUMMYFUNCTION("""COMPUTED_VALUE"""),"HARTONI LAPIAN")</f>
        <v>HARTONI LAPIAN</v>
      </c>
      <c r="C197" s="52">
        <f>IFERROR(__xludf.DUMMYFUNCTION("""COMPUTED_VALUE"""),64.0)</f>
        <v>64</v>
      </c>
      <c r="D197" s="52" t="str">
        <f>IFERROR(__xludf.DUMMYFUNCTION("""COMPUTED_VALUE"""),"Kristen Protestan")</f>
        <v>Kristen Protestan</v>
      </c>
      <c r="E197" s="52" t="str">
        <f>IFERROR(__xludf.DUMMYFUNCTION("""COMPUTED_VALUE"""),"CV. Monalisa")</f>
        <v>CV. Monalisa</v>
      </c>
      <c r="F197" s="52" t="str">
        <f>IFERROR(__xludf.DUMMYFUNCTION("""COMPUTED_VALUE"""),"SUPERVISI")</f>
        <v>SUPERVISI</v>
      </c>
      <c r="G197" s="52" t="str">
        <f>IFERROR(__xludf.DUMMYFUNCTION("""COMPUTED_VALUE"""),"INFRASTRUKTUR")</f>
        <v>INFRASTRUKTUR</v>
      </c>
      <c r="H197" s="52" t="str">
        <f>IFERROR(__xludf.DUMMYFUNCTION("""COMPUTED_VALUE"""),"FALSE")</f>
        <v>FALSE</v>
      </c>
      <c r="I197" s="52"/>
      <c r="J197" s="53" t="str">
        <f>IFERROR(__xludf.DUMMYFUNCTION("""COMPUTED_VALUE"""),"[310200012] HARTONI LAPIAN")</f>
        <v>[310200012] HARTONI LAPIAN</v>
      </c>
      <c r="K197" s="52"/>
      <c r="L197" s="52" t="str">
        <f t="shared" si="1"/>
        <v>#VALUE!</v>
      </c>
      <c r="M197" s="52"/>
      <c r="N197" s="52"/>
      <c r="O197" s="52"/>
      <c r="P197" s="52"/>
      <c r="Q197" s="52"/>
      <c r="R197" s="52"/>
      <c r="S197" s="52"/>
      <c r="T197" s="52"/>
      <c r="U197" s="52"/>
      <c r="V197" s="52"/>
      <c r="W197" s="52"/>
      <c r="X197" s="52"/>
      <c r="Y197" s="52"/>
      <c r="Z197" s="52"/>
    </row>
    <row r="198">
      <c r="A198" s="52">
        <f>IFERROR(__xludf.DUMMYFUNCTION("""COMPUTED_VALUE"""),1.09221698E8)</f>
        <v>109221698</v>
      </c>
      <c r="B198" s="52" t="str">
        <f>IFERROR(__xludf.DUMMYFUNCTION("""COMPUTED_VALUE"""),"HARYADI ABDUL RAHIM")</f>
        <v>HARYADI ABDUL RAHIM</v>
      </c>
      <c r="C198" s="52">
        <f>IFERROR(__xludf.DUMMYFUNCTION("""COMPUTED_VALUE"""),0.0)</f>
        <v>0</v>
      </c>
      <c r="D198" s="52"/>
      <c r="E198" s="52" t="str">
        <f>IFERROR(__xludf.DUMMYFUNCTION("""COMPUTED_VALUE"""),"CV. SENTOSA ABADI")</f>
        <v>CV. SENTOSA ABADI</v>
      </c>
      <c r="F198" s="52" t="str">
        <f>IFERROR(__xludf.DUMMYFUNCTION("""COMPUTED_VALUE"""),"FALSE")</f>
        <v>FALSE</v>
      </c>
      <c r="G198" s="52" t="str">
        <f>IFERROR(__xludf.DUMMYFUNCTION("""COMPUTED_VALUE"""),"HRD &amp; GA")</f>
        <v>HRD &amp; GA</v>
      </c>
      <c r="H198" s="52" t="str">
        <f>IFERROR(__xludf.DUMMYFUNCTION("""COMPUTED_VALUE"""),"[101190758] ERWIN PASALI")</f>
        <v>[101190758] ERWIN PASALI</v>
      </c>
      <c r="I198" s="52"/>
      <c r="J198" s="53" t="str">
        <f>IFERROR(__xludf.DUMMYFUNCTION("""COMPUTED_VALUE"""),"[109221698] HARYADI ABDUL RAHIM")</f>
        <v>[109221698] HARYADI ABDUL RAHIM</v>
      </c>
      <c r="K198" s="52"/>
      <c r="L198" s="52" t="str">
        <f t="shared" si="1"/>
        <v>#VALUE!</v>
      </c>
      <c r="M198" s="52"/>
      <c r="N198" s="52"/>
      <c r="O198" s="52"/>
      <c r="P198" s="52"/>
      <c r="Q198" s="52"/>
      <c r="R198" s="52"/>
      <c r="S198" s="52"/>
      <c r="T198" s="52"/>
      <c r="U198" s="52"/>
      <c r="V198" s="52"/>
      <c r="W198" s="52"/>
      <c r="X198" s="52"/>
      <c r="Y198" s="52"/>
      <c r="Z198" s="52"/>
    </row>
    <row r="199">
      <c r="A199" s="52">
        <f>IFERROR(__xludf.DUMMYFUNCTION("""COMPUTED_VALUE"""),1.06180899E8)</f>
        <v>106180899</v>
      </c>
      <c r="B199" s="52" t="str">
        <f>IFERROR(__xludf.DUMMYFUNCTION("""COMPUTED_VALUE"""),"HASAN LAATA")</f>
        <v>HASAN LAATA</v>
      </c>
      <c r="C199" s="52">
        <f>IFERROR(__xludf.DUMMYFUNCTION("""COMPUTED_VALUE"""),63.0)</f>
        <v>63</v>
      </c>
      <c r="D199" s="52" t="str">
        <f>IFERROR(__xludf.DUMMYFUNCTION("""COMPUTED_VALUE"""),"Islam")</f>
        <v>Islam</v>
      </c>
      <c r="E199" s="52" t="str">
        <f>IFERROR(__xludf.DUMMYFUNCTION("""COMPUTED_VALUE"""),"CV. SENTOSA ABADI")</f>
        <v>CV. SENTOSA ABADI</v>
      </c>
      <c r="F199" s="52" t="str">
        <f>IFERROR(__xludf.DUMMYFUNCTION("""COMPUTED_VALUE"""),"OPERATOR ADT")</f>
        <v>OPERATOR ADT</v>
      </c>
      <c r="G199" s="52" t="str">
        <f>IFERROR(__xludf.DUMMYFUNCTION("""COMPUTED_VALUE"""),"PRODUKSI")</f>
        <v>PRODUKSI</v>
      </c>
      <c r="H199" s="52" t="str">
        <f>IFERROR(__xludf.DUMMYFUNCTION("""COMPUTED_VALUE"""),"[0102130003] PURNAWAN")</f>
        <v>[0102130003] PURNAWAN</v>
      </c>
      <c r="I199" s="55">
        <f>IFERROR(__xludf.DUMMYFUNCTION("""COMPUTED_VALUE"""),26881.0)</f>
        <v>26881</v>
      </c>
      <c r="J199" s="53" t="str">
        <f>IFERROR(__xludf.DUMMYFUNCTION("""COMPUTED_VALUE"""),"[106180899] HASAN LAATA")</f>
        <v>[106180899] HASAN LAATA</v>
      </c>
      <c r="K199" s="52"/>
      <c r="L199" s="52" t="str">
        <f t="shared" si="1"/>
        <v>#VALUE!</v>
      </c>
      <c r="M199" s="52"/>
      <c r="N199" s="52"/>
      <c r="O199" s="52"/>
      <c r="P199" s="52"/>
      <c r="Q199" s="52"/>
      <c r="R199" s="52"/>
      <c r="S199" s="52"/>
      <c r="T199" s="52"/>
      <c r="U199" s="52"/>
      <c r="V199" s="52"/>
      <c r="W199" s="52"/>
      <c r="X199" s="52"/>
      <c r="Y199" s="52"/>
      <c r="Z199" s="52"/>
    </row>
    <row r="200">
      <c r="A200" s="52">
        <f>IFERROR(__xludf.DUMMYFUNCTION("""COMPUTED_VALUE"""),2.01190739E8)</f>
        <v>201190739</v>
      </c>
      <c r="B200" s="52" t="str">
        <f>IFERROR(__xludf.DUMMYFUNCTION("""COMPUTED_VALUE"""),"HASAN SYAMSUDIN")</f>
        <v>HASAN SYAMSUDIN</v>
      </c>
      <c r="C200" s="52">
        <f>IFERROR(__xludf.DUMMYFUNCTION("""COMPUTED_VALUE"""),39.0)</f>
        <v>39</v>
      </c>
      <c r="D200" s="52" t="str">
        <f>IFERROR(__xludf.DUMMYFUNCTION("""COMPUTED_VALUE"""),"Islam")</f>
        <v>Islam</v>
      </c>
      <c r="E200" s="52" t="str">
        <f>IFERROR(__xludf.DUMMYFUNCTION("""COMPUTED_VALUE"""),"CV. Adil Prima Perkasa")</f>
        <v>CV. Adil Prima Perkasa</v>
      </c>
      <c r="F200" s="52" t="str">
        <f>IFERROR(__xludf.DUMMYFUNCTION("""COMPUTED_VALUE"""),"HELPER FUEL")</f>
        <v>HELPER FUEL</v>
      </c>
      <c r="G200" s="52" t="str">
        <f>IFERROR(__xludf.DUMMYFUNCTION("""COMPUTED_VALUE"""),"MPE")</f>
        <v>MPE</v>
      </c>
      <c r="H200" s="52" t="str">
        <f>IFERROR(__xludf.DUMMYFUNCTION("""COMPUTED_VALUE"""),"[0103110065] DOMINIKUS MITEN LARANTUKAN")</f>
        <v>[0103110065] DOMINIKUS MITEN LARANTUKAN</v>
      </c>
      <c r="I200" s="55">
        <f>IFERROR(__xludf.DUMMYFUNCTION("""COMPUTED_VALUE"""),31778.0)</f>
        <v>31778</v>
      </c>
      <c r="J200" s="53" t="str">
        <f>IFERROR(__xludf.DUMMYFUNCTION("""COMPUTED_VALUE"""),"[201190739] HASAN SYAMSUDIN")</f>
        <v>[201190739] HASAN SYAMSUDIN</v>
      </c>
      <c r="K200" s="52"/>
      <c r="L200" s="52" t="str">
        <f t="shared" si="1"/>
        <v>#VALUE!</v>
      </c>
      <c r="M200" s="52"/>
      <c r="N200" s="52"/>
      <c r="O200" s="52"/>
      <c r="P200" s="52"/>
      <c r="Q200" s="52"/>
      <c r="R200" s="52"/>
      <c r="S200" s="52"/>
      <c r="T200" s="52"/>
      <c r="U200" s="52"/>
      <c r="V200" s="52"/>
      <c r="W200" s="52"/>
      <c r="X200" s="52"/>
      <c r="Y200" s="52"/>
      <c r="Z200" s="52"/>
    </row>
    <row r="201">
      <c r="A201" s="52">
        <f>IFERROR(__xludf.DUMMYFUNCTION("""COMPUTED_VALUE"""),2.12221711E8)</f>
        <v>212221711</v>
      </c>
      <c r="B201" s="52" t="str">
        <f>IFERROR(__xludf.DUMMYFUNCTION("""COMPUTED_VALUE"""),"HASRUL")</f>
        <v>HASRUL</v>
      </c>
      <c r="C201" s="52">
        <f>IFERROR(__xludf.DUMMYFUNCTION("""COMPUTED_VALUE"""),33.0)</f>
        <v>33</v>
      </c>
      <c r="D201" s="52" t="str">
        <f>IFERROR(__xludf.DUMMYFUNCTION("""COMPUTED_VALUE"""),"Islam")</f>
        <v>Islam</v>
      </c>
      <c r="E201" s="52" t="str">
        <f>IFERROR(__xludf.DUMMYFUNCTION("""COMPUTED_VALUE"""),"CV. Adil Prima Perkasa")</f>
        <v>CV. Adil Prima Perkasa</v>
      </c>
      <c r="F201" s="52" t="str">
        <f>IFERROR(__xludf.DUMMYFUNCTION("""COMPUTED_VALUE"""),"DRIVER DT H700ZS")</f>
        <v>DRIVER DT H700ZS</v>
      </c>
      <c r="G201" s="52" t="str">
        <f>IFERROR(__xludf.DUMMYFUNCTION("""COMPUTED_VALUE"""),"KENDARAAN &amp; UNIT SUPPORT")</f>
        <v>KENDARAAN &amp; UNIT SUPPORT</v>
      </c>
      <c r="H201" s="52" t="str">
        <f>IFERROR(__xludf.DUMMYFUNCTION("""COMPUTED_VALUE"""),"[0102150004] NAFTALI RARE'A, ST")</f>
        <v>[0102150004] NAFTALI RARE'A, ST</v>
      </c>
      <c r="I201" s="55">
        <f>IFERROR(__xludf.DUMMYFUNCTION("""COMPUTED_VALUE"""),34031.0)</f>
        <v>34031</v>
      </c>
      <c r="J201" s="53" t="str">
        <f>IFERROR(__xludf.DUMMYFUNCTION("""COMPUTED_VALUE"""),"[212221711] HASRUL")</f>
        <v>[212221711] HASRUL</v>
      </c>
      <c r="K201" s="52"/>
      <c r="L201" s="52" t="str">
        <f t="shared" si="1"/>
        <v>#VALUE!</v>
      </c>
      <c r="M201" s="52"/>
      <c r="N201" s="52"/>
      <c r="O201" s="52"/>
      <c r="P201" s="52"/>
      <c r="Q201" s="52"/>
      <c r="R201" s="52"/>
      <c r="S201" s="52"/>
      <c r="T201" s="52"/>
      <c r="U201" s="52"/>
      <c r="V201" s="52"/>
      <c r="W201" s="52"/>
      <c r="X201" s="52"/>
      <c r="Y201" s="52"/>
      <c r="Z201" s="52"/>
    </row>
    <row r="202">
      <c r="A202" s="52">
        <f>IFERROR(__xludf.DUMMYFUNCTION("""COMPUTED_VALUE"""),2.02241889E8)</f>
        <v>202241889</v>
      </c>
      <c r="B202" s="52" t="str">
        <f>IFERROR(__xludf.DUMMYFUNCTION("""COMPUTED_VALUE"""),"HASRUL")</f>
        <v>HASRUL</v>
      </c>
      <c r="C202" s="52">
        <f>IFERROR(__xludf.DUMMYFUNCTION("""COMPUTED_VALUE"""),30.0)</f>
        <v>30</v>
      </c>
      <c r="D202" s="52" t="str">
        <f>IFERROR(__xludf.DUMMYFUNCTION("""COMPUTED_VALUE"""),"Islam")</f>
        <v>Islam</v>
      </c>
      <c r="E202" s="52" t="str">
        <f>IFERROR(__xludf.DUMMYFUNCTION("""COMPUTED_VALUE"""),"CV. Adil Prima Perkasa")</f>
        <v>CV. Adil Prima Perkasa</v>
      </c>
      <c r="F202" s="52" t="str">
        <f>IFERROR(__xludf.DUMMYFUNCTION("""COMPUTED_VALUE"""),"HELPER TYRE")</f>
        <v>HELPER TYRE</v>
      </c>
      <c r="G202" s="52" t="str">
        <f>IFERROR(__xludf.DUMMYFUNCTION("""COMPUTED_VALUE"""),"WORKSHOP")</f>
        <v>WORKSHOP</v>
      </c>
      <c r="H202" s="52" t="str">
        <f>IFERROR(__xludf.DUMMYFUNCTION("""COMPUTED_VALUE"""),"[0106190928] NATAN KONDO")</f>
        <v>[0106190928] NATAN KONDO</v>
      </c>
      <c r="I202" s="52"/>
      <c r="J202" s="53" t="str">
        <f>IFERROR(__xludf.DUMMYFUNCTION("""COMPUTED_VALUE"""),"[202241889] HASRUL")</f>
        <v>[202241889] HASRUL</v>
      </c>
      <c r="K202" s="52"/>
      <c r="L202" s="52" t="str">
        <f t="shared" si="1"/>
        <v>#VALUE!</v>
      </c>
      <c r="M202" s="52"/>
      <c r="N202" s="52"/>
      <c r="O202" s="52"/>
      <c r="P202" s="52"/>
      <c r="Q202" s="52"/>
      <c r="R202" s="52"/>
      <c r="S202" s="52"/>
      <c r="T202" s="52"/>
      <c r="U202" s="52"/>
      <c r="V202" s="52"/>
      <c r="W202" s="52"/>
      <c r="X202" s="52"/>
      <c r="Y202" s="52"/>
      <c r="Z202" s="52"/>
    </row>
    <row r="203">
      <c r="A203" s="52">
        <f>IFERROR(__xludf.DUMMYFUNCTION("""COMPUTED_VALUE"""),2.08201174E8)</f>
        <v>208201174</v>
      </c>
      <c r="B203" s="52" t="str">
        <f>IFERROR(__xludf.DUMMYFUNCTION("""COMPUTED_VALUE"""),"HEIRUDDIN CHAIRIL")</f>
        <v>HEIRUDDIN CHAIRIL</v>
      </c>
      <c r="C203" s="52">
        <f>IFERROR(__xludf.DUMMYFUNCTION("""COMPUTED_VALUE"""),36.0)</f>
        <v>36</v>
      </c>
      <c r="D203" s="52" t="str">
        <f>IFERROR(__xludf.DUMMYFUNCTION("""COMPUTED_VALUE"""),"Islam")</f>
        <v>Islam</v>
      </c>
      <c r="E203" s="52" t="str">
        <f>IFERROR(__xludf.DUMMYFUNCTION("""COMPUTED_VALUE"""),"CV. Adil Prima Perkasa")</f>
        <v>CV. Adil Prima Perkasa</v>
      </c>
      <c r="F203" s="52" t="str">
        <f>IFERROR(__xludf.DUMMYFUNCTION("""COMPUTED_VALUE"""),"DRIVER DT H700ZY")</f>
        <v>DRIVER DT H700ZY</v>
      </c>
      <c r="G203" s="52" t="str">
        <f>IFERROR(__xludf.DUMMYFUNCTION("""COMPUTED_VALUE"""),"KENDARAAN &amp; UNIT SUPPORT")</f>
        <v>KENDARAAN &amp; UNIT SUPPORT</v>
      </c>
      <c r="H203" s="52" t="str">
        <f>IFERROR(__xludf.DUMMYFUNCTION("""COMPUTED_VALUE"""),"[0102150004] NAFTALI RARE'A, ST")</f>
        <v>[0102150004] NAFTALI RARE'A, ST</v>
      </c>
      <c r="I203" s="55">
        <f>IFERROR(__xludf.DUMMYFUNCTION("""COMPUTED_VALUE"""),34856.0)</f>
        <v>34856</v>
      </c>
      <c r="J203" s="53" t="str">
        <f>IFERROR(__xludf.DUMMYFUNCTION("""COMPUTED_VALUE"""),"[208201174] HEIRUDDIN CHAIRIL")</f>
        <v>[208201174] HEIRUDDIN CHAIRIL</v>
      </c>
      <c r="K203" s="52"/>
      <c r="L203" s="52" t="str">
        <f t="shared" si="1"/>
        <v>#VALUE!</v>
      </c>
      <c r="M203" s="52"/>
      <c r="N203" s="52"/>
      <c r="O203" s="52"/>
      <c r="P203" s="52"/>
      <c r="Q203" s="52"/>
      <c r="R203" s="52"/>
      <c r="S203" s="52"/>
      <c r="T203" s="52"/>
      <c r="U203" s="52"/>
      <c r="V203" s="52"/>
      <c r="W203" s="52"/>
      <c r="X203" s="52"/>
      <c r="Y203" s="52"/>
      <c r="Z203" s="52"/>
    </row>
    <row r="204">
      <c r="A204" s="52">
        <f>IFERROR(__xludf.DUMMYFUNCTION("""COMPUTED_VALUE"""),2.10211514E8)</f>
        <v>210211514</v>
      </c>
      <c r="B204" s="52" t="str">
        <f>IFERROR(__xludf.DUMMYFUNCTION("""COMPUTED_VALUE"""),"HELIUS SALDINUS SERVIN NDAHU")</f>
        <v>HELIUS SALDINUS SERVIN NDAHU</v>
      </c>
      <c r="C204" s="52">
        <f>IFERROR(__xludf.DUMMYFUNCTION("""COMPUTED_VALUE"""),22.0)</f>
        <v>22</v>
      </c>
      <c r="D204" s="52" t="str">
        <f>IFERROR(__xludf.DUMMYFUNCTION("""COMPUTED_VALUE"""),"Kristen Khatolik")</f>
        <v>Kristen Khatolik</v>
      </c>
      <c r="E204" s="52" t="str">
        <f>IFERROR(__xludf.DUMMYFUNCTION("""COMPUTED_VALUE"""),"CV. Adil Prima Perkasa")</f>
        <v>CV. Adil Prima Perkasa</v>
      </c>
      <c r="F204" s="52" t="str">
        <f>IFERROR(__xludf.DUMMYFUNCTION("""COMPUTED_VALUE"""),"CHECKER PRODUKSI")</f>
        <v>CHECKER PRODUKSI</v>
      </c>
      <c r="G204" s="52" t="str">
        <f>IFERROR(__xludf.DUMMYFUNCTION("""COMPUTED_VALUE"""),"PRODUKSI")</f>
        <v>PRODUKSI</v>
      </c>
      <c r="H204" s="52" t="str">
        <f>IFERROR(__xludf.DUMMYFUNCTION("""COMPUTED_VALUE"""),"[0102130003] PURNAWAN")</f>
        <v>[0102130003] PURNAWAN</v>
      </c>
      <c r="I204" s="52"/>
      <c r="J204" s="53" t="str">
        <f>IFERROR(__xludf.DUMMYFUNCTION("""COMPUTED_VALUE"""),"[210211514] HELIUS SALDINUS SERVIN NDAHU")</f>
        <v>[210211514] HELIUS SALDINUS SERVIN NDAHU</v>
      </c>
      <c r="K204" s="52"/>
      <c r="L204" s="52" t="str">
        <f t="shared" si="1"/>
        <v>#VALUE!</v>
      </c>
      <c r="M204" s="52"/>
      <c r="N204" s="52"/>
      <c r="O204" s="52"/>
      <c r="P204" s="52"/>
      <c r="Q204" s="52"/>
      <c r="R204" s="52"/>
      <c r="S204" s="52"/>
      <c r="T204" s="52"/>
      <c r="U204" s="52"/>
      <c r="V204" s="52"/>
      <c r="W204" s="52"/>
      <c r="X204" s="52"/>
      <c r="Y204" s="52"/>
      <c r="Z204" s="52"/>
    </row>
    <row r="205">
      <c r="A205" s="52">
        <f>IFERROR(__xludf.DUMMYFUNCTION("""COMPUTED_VALUE"""),2.12231859E8)</f>
        <v>212231859</v>
      </c>
      <c r="B205" s="52" t="str">
        <f>IFERROR(__xludf.DUMMYFUNCTION("""COMPUTED_VALUE"""),"HENDRA")</f>
        <v>HENDRA</v>
      </c>
      <c r="C205" s="52">
        <f>IFERROR(__xludf.DUMMYFUNCTION("""COMPUTED_VALUE"""),0.0)</f>
        <v>0</v>
      </c>
      <c r="D205" s="52"/>
      <c r="E205" s="52" t="str">
        <f>IFERROR(__xludf.DUMMYFUNCTION("""COMPUTED_VALUE"""),"CV. Adil Prima Perkasa")</f>
        <v>CV. Adil Prima Perkasa</v>
      </c>
      <c r="F205" s="52" t="str">
        <f>IFERROR(__xludf.DUMMYFUNCTION("""COMPUTED_VALUE"""),"DRIVER BUS")</f>
        <v>DRIVER BUS</v>
      </c>
      <c r="G205" s="52" t="str">
        <f>IFERROR(__xludf.DUMMYFUNCTION("""COMPUTED_VALUE"""),"FALSE")</f>
        <v>FALSE</v>
      </c>
      <c r="H205" s="52" t="str">
        <f>IFERROR(__xludf.DUMMYFUNCTION("""COMPUTED_VALUE"""),"FALSE")</f>
        <v>FALSE</v>
      </c>
      <c r="I205" s="55">
        <f>IFERROR(__xludf.DUMMYFUNCTION("""COMPUTED_VALUE"""),35614.0)</f>
        <v>35614</v>
      </c>
      <c r="J205" s="53" t="str">
        <f>IFERROR(__xludf.DUMMYFUNCTION("""COMPUTED_VALUE"""),"[212231859] HENDRA")</f>
        <v>[212231859] HENDRA</v>
      </c>
      <c r="K205" s="52"/>
      <c r="L205" s="52" t="str">
        <f t="shared" si="1"/>
        <v>#VALUE!</v>
      </c>
      <c r="M205" s="52"/>
      <c r="N205" s="52"/>
      <c r="O205" s="52"/>
      <c r="P205" s="52"/>
      <c r="Q205" s="52"/>
      <c r="R205" s="52"/>
      <c r="S205" s="52"/>
      <c r="T205" s="52"/>
      <c r="U205" s="52"/>
      <c r="V205" s="52"/>
      <c r="W205" s="52"/>
      <c r="X205" s="52"/>
      <c r="Y205" s="52"/>
      <c r="Z205" s="52"/>
    </row>
    <row r="206">
      <c r="A206" s="52">
        <f>IFERROR(__xludf.DUMMYFUNCTION("""COMPUTED_VALUE"""),2.08201202E8)</f>
        <v>208201202</v>
      </c>
      <c r="B206" s="52" t="str">
        <f>IFERROR(__xludf.DUMMYFUNCTION("""COMPUTED_VALUE"""),"HENDRA GUNAWAN DEWANTO")</f>
        <v>HENDRA GUNAWAN DEWANTO</v>
      </c>
      <c r="C206" s="52">
        <f>IFERROR(__xludf.DUMMYFUNCTION("""COMPUTED_VALUE"""),40.0)</f>
        <v>40</v>
      </c>
      <c r="D206" s="52" t="str">
        <f>IFERROR(__xludf.DUMMYFUNCTION("""COMPUTED_VALUE"""),"Islam")</f>
        <v>Islam</v>
      </c>
      <c r="E206" s="52" t="str">
        <f>IFERROR(__xludf.DUMMYFUNCTION("""COMPUTED_VALUE"""),"CV. Adil Prima Perkasa")</f>
        <v>CV. Adil Prima Perkasa</v>
      </c>
      <c r="F206" s="52" t="str">
        <f>IFERROR(__xludf.DUMMYFUNCTION("""COMPUTED_VALUE"""),"DRIVER DT H700ZY")</f>
        <v>DRIVER DT H700ZY</v>
      </c>
      <c r="G206" s="52" t="str">
        <f>IFERROR(__xludf.DUMMYFUNCTION("""COMPUTED_VALUE"""),"KENDARAAN &amp; UNIT SUPPORT")</f>
        <v>KENDARAAN &amp; UNIT SUPPORT</v>
      </c>
      <c r="H206" s="52" t="str">
        <f>IFERROR(__xludf.DUMMYFUNCTION("""COMPUTED_VALUE"""),"[0102150004] NAFTALI RARE'A, ST")</f>
        <v>[0102150004] NAFTALI RARE'A, ST</v>
      </c>
      <c r="I206" s="55">
        <f>IFERROR(__xludf.DUMMYFUNCTION("""COMPUTED_VALUE"""),32372.0)</f>
        <v>32372</v>
      </c>
      <c r="J206" s="53" t="str">
        <f>IFERROR(__xludf.DUMMYFUNCTION("""COMPUTED_VALUE"""),"[208201202] HENDRA GUNAWAN DEWANTO")</f>
        <v>[208201202] HENDRA GUNAWAN DEWANTO</v>
      </c>
      <c r="K206" s="52"/>
      <c r="L206" s="52" t="str">
        <f t="shared" si="1"/>
        <v>#VALUE!</v>
      </c>
      <c r="M206" s="52"/>
      <c r="N206" s="52"/>
      <c r="O206" s="52"/>
      <c r="P206" s="52"/>
      <c r="Q206" s="52"/>
      <c r="R206" s="52"/>
      <c r="S206" s="52"/>
      <c r="T206" s="52"/>
      <c r="U206" s="52"/>
      <c r="V206" s="52"/>
      <c r="W206" s="52"/>
      <c r="X206" s="52"/>
      <c r="Y206" s="52"/>
      <c r="Z206" s="52"/>
    </row>
    <row r="207">
      <c r="A207" s="52">
        <f>IFERROR(__xludf.DUMMYFUNCTION("""COMPUTED_VALUE"""),1.07211446E8)</f>
        <v>107211446</v>
      </c>
      <c r="B207" s="52" t="str">
        <f>IFERROR(__xludf.DUMMYFUNCTION("""COMPUTED_VALUE"""),"HENDRAWAN")</f>
        <v>HENDRAWAN</v>
      </c>
      <c r="C207" s="52">
        <f>IFERROR(__xludf.DUMMYFUNCTION("""COMPUTED_VALUE"""),23.0)</f>
        <v>23</v>
      </c>
      <c r="D207" s="52" t="str">
        <f>IFERROR(__xludf.DUMMYFUNCTION("""COMPUTED_VALUE"""),"Islam")</f>
        <v>Islam</v>
      </c>
      <c r="E207" s="52" t="str">
        <f>IFERROR(__xludf.DUMMYFUNCTION("""COMPUTED_VALUE"""),"CV. SENTOSA ABADI")</f>
        <v>CV. SENTOSA ABADI</v>
      </c>
      <c r="F207" s="52" t="str">
        <f>IFERROR(__xludf.DUMMYFUNCTION("""COMPUTED_VALUE"""),"HELPER TYRE")</f>
        <v>HELPER TYRE</v>
      </c>
      <c r="G207" s="52" t="str">
        <f>IFERROR(__xludf.DUMMYFUNCTION("""COMPUTED_VALUE"""),"WORKSHOP")</f>
        <v>WORKSHOP</v>
      </c>
      <c r="H207" s="52" t="str">
        <f>IFERROR(__xludf.DUMMYFUNCTION("""COMPUTED_VALUE"""),"[0102120144] JUFRY KOMALING")</f>
        <v>[0102120144] JUFRY KOMALING</v>
      </c>
      <c r="I207" s="52"/>
      <c r="J207" s="53" t="str">
        <f>IFERROR(__xludf.DUMMYFUNCTION("""COMPUTED_VALUE"""),"[107211446] HENDRAWAN")</f>
        <v>[107211446] HENDRAWAN</v>
      </c>
      <c r="K207" s="52"/>
      <c r="L207" s="52" t="str">
        <f t="shared" si="1"/>
        <v>#VALUE!</v>
      </c>
      <c r="M207" s="52"/>
      <c r="N207" s="52"/>
      <c r="O207" s="52"/>
      <c r="P207" s="52"/>
      <c r="Q207" s="52"/>
      <c r="R207" s="52"/>
      <c r="S207" s="52"/>
      <c r="T207" s="52"/>
      <c r="U207" s="52"/>
      <c r="V207" s="52"/>
      <c r="W207" s="52"/>
      <c r="X207" s="52"/>
      <c r="Y207" s="52"/>
      <c r="Z207" s="52"/>
    </row>
    <row r="208">
      <c r="A208" s="52">
        <f>IFERROR(__xludf.DUMMYFUNCTION("""COMPUTED_VALUE"""),1.01211324E8)</f>
        <v>101211324</v>
      </c>
      <c r="B208" s="52" t="str">
        <f>IFERROR(__xludf.DUMMYFUNCTION("""COMPUTED_VALUE"""),"HENDRIK")</f>
        <v>HENDRIK</v>
      </c>
      <c r="C208" s="52">
        <f>IFERROR(__xludf.DUMMYFUNCTION("""COMPUTED_VALUE"""),44.0)</f>
        <v>44</v>
      </c>
      <c r="D208" s="52" t="str">
        <f>IFERROR(__xludf.DUMMYFUNCTION("""COMPUTED_VALUE"""),"Kristen Protestan")</f>
        <v>Kristen Protestan</v>
      </c>
      <c r="E208" s="52" t="str">
        <f>IFERROR(__xludf.DUMMYFUNCTION("""COMPUTED_VALUE"""),"CV. SENTOSA ABADI")</f>
        <v>CV. SENTOSA ABADI</v>
      </c>
      <c r="F208" s="52" t="str">
        <f>IFERROR(__xludf.DUMMYFUNCTION("""COMPUTED_VALUE"""),"CREW EXPLORASI")</f>
        <v>CREW EXPLORASI</v>
      </c>
      <c r="G208" s="52" t="str">
        <f>IFERROR(__xludf.DUMMYFUNCTION("""COMPUTED_VALUE"""),"GRADE CONTROL")</f>
        <v>GRADE CONTROL</v>
      </c>
      <c r="H208" s="52" t="str">
        <f>IFERROR(__xludf.DUMMYFUNCTION("""COMPUTED_VALUE"""),"[0107201164] A.CHRISTI ARI WIBOWO")</f>
        <v>[0107201164] A.CHRISTI ARI WIBOWO</v>
      </c>
      <c r="I208" s="55">
        <f>IFERROR(__xludf.DUMMYFUNCTION("""COMPUTED_VALUE"""),24946.0)</f>
        <v>24946</v>
      </c>
      <c r="J208" s="53" t="str">
        <f>IFERROR(__xludf.DUMMYFUNCTION("""COMPUTED_VALUE"""),"[101211324] HENDRIK")</f>
        <v>[101211324] HENDRIK</v>
      </c>
      <c r="K208" s="52"/>
      <c r="L208" s="52" t="str">
        <f t="shared" si="1"/>
        <v>#VALUE!</v>
      </c>
      <c r="M208" s="52"/>
      <c r="N208" s="52"/>
      <c r="O208" s="52"/>
      <c r="P208" s="52"/>
      <c r="Q208" s="52"/>
      <c r="R208" s="52"/>
      <c r="S208" s="52"/>
      <c r="T208" s="52"/>
      <c r="U208" s="52"/>
      <c r="V208" s="52"/>
      <c r="W208" s="52"/>
      <c r="X208" s="52"/>
      <c r="Y208" s="52"/>
      <c r="Z208" s="52"/>
    </row>
    <row r="209">
      <c r="A209" s="52">
        <f>IFERROR(__xludf.DUMMYFUNCTION("""COMPUTED_VALUE"""),2.09231832E8)</f>
        <v>209231832</v>
      </c>
      <c r="B209" s="52" t="str">
        <f>IFERROR(__xludf.DUMMYFUNCTION("""COMPUTED_VALUE"""),"HENDRIK")</f>
        <v>HENDRIK</v>
      </c>
      <c r="C209" s="52">
        <f>IFERROR(__xludf.DUMMYFUNCTION("""COMPUTED_VALUE"""),0.0)</f>
        <v>0</v>
      </c>
      <c r="D209" s="52" t="str">
        <f>IFERROR(__xludf.DUMMYFUNCTION("""COMPUTED_VALUE"""),"Islam")</f>
        <v>Islam</v>
      </c>
      <c r="E209" s="52" t="str">
        <f>IFERROR(__xludf.DUMMYFUNCTION("""COMPUTED_VALUE"""),"CV. Adil Prima Perkasa")</f>
        <v>CV. Adil Prima Perkasa</v>
      </c>
      <c r="F209" s="52" t="str">
        <f>IFERROR(__xludf.DUMMYFUNCTION("""COMPUTED_VALUE"""),"DRIVER DT H500")</f>
        <v>DRIVER DT H500</v>
      </c>
      <c r="G209" s="52" t="str">
        <f>IFERROR(__xludf.DUMMYFUNCTION("""COMPUTED_VALUE"""),"KENDARAAN &amp; UNIT SUPPORT")</f>
        <v>KENDARAAN &amp; UNIT SUPPORT</v>
      </c>
      <c r="H209" s="52" t="str">
        <f>IFERROR(__xludf.DUMMYFUNCTION("""COMPUTED_VALUE"""),"[0102150004] NAFTALI RARE'A, ST")</f>
        <v>[0102150004] NAFTALI RARE'A, ST</v>
      </c>
      <c r="I209" s="52"/>
      <c r="J209" s="53" t="str">
        <f>IFERROR(__xludf.DUMMYFUNCTION("""COMPUTED_VALUE"""),"[209231832] HENDRIK")</f>
        <v>[209231832] HENDRIK</v>
      </c>
      <c r="K209" s="52"/>
      <c r="L209" s="52" t="str">
        <f t="shared" si="1"/>
        <v>#VALUE!</v>
      </c>
      <c r="M209" s="52"/>
      <c r="N209" s="52"/>
      <c r="O209" s="52"/>
      <c r="P209" s="52"/>
      <c r="Q209" s="52"/>
      <c r="R209" s="52"/>
      <c r="S209" s="52"/>
      <c r="T209" s="52"/>
      <c r="U209" s="52"/>
      <c r="V209" s="52"/>
      <c r="W209" s="52"/>
      <c r="X209" s="52"/>
      <c r="Y209" s="52"/>
      <c r="Z209" s="52"/>
    </row>
    <row r="210">
      <c r="A210" s="52">
        <f>IFERROR(__xludf.DUMMYFUNCTION("""COMPUTED_VALUE"""),2.09201233E8)</f>
        <v>209201233</v>
      </c>
      <c r="B210" s="52" t="str">
        <f>IFERROR(__xludf.DUMMYFUNCTION("""COMPUTED_VALUE"""),"HENDRIK SUBIA")</f>
        <v>HENDRIK SUBIA</v>
      </c>
      <c r="C210" s="52">
        <f>IFERROR(__xludf.DUMMYFUNCTION("""COMPUTED_VALUE"""),35.0)</f>
        <v>35</v>
      </c>
      <c r="D210" s="52" t="str">
        <f>IFERROR(__xludf.DUMMYFUNCTION("""COMPUTED_VALUE"""),"Kristen Protestan")</f>
        <v>Kristen Protestan</v>
      </c>
      <c r="E210" s="52" t="str">
        <f>IFERROR(__xludf.DUMMYFUNCTION("""COMPUTED_VALUE"""),"CV. Adil Prima Perkasa")</f>
        <v>CV. Adil Prima Perkasa</v>
      </c>
      <c r="F210" s="52" t="str">
        <f>IFERROR(__xludf.DUMMYFUNCTION("""COMPUTED_VALUE"""),"DRIVER DT H700ZY")</f>
        <v>DRIVER DT H700ZY</v>
      </c>
      <c r="G210" s="52" t="str">
        <f>IFERROR(__xludf.DUMMYFUNCTION("""COMPUTED_VALUE"""),"KENDARAAN &amp; UNIT SUPPORT")</f>
        <v>KENDARAAN &amp; UNIT SUPPORT</v>
      </c>
      <c r="H210" s="52" t="str">
        <f>IFERROR(__xludf.DUMMYFUNCTION("""COMPUTED_VALUE"""),"[0102150004] NAFTALI RARE'A, ST")</f>
        <v>[0102150004] NAFTALI RARE'A, ST</v>
      </c>
      <c r="I210" s="55">
        <f>IFERROR(__xludf.DUMMYFUNCTION("""COMPUTED_VALUE"""),33380.0)</f>
        <v>33380</v>
      </c>
      <c r="J210" s="53" t="str">
        <f>IFERROR(__xludf.DUMMYFUNCTION("""COMPUTED_VALUE"""),"[209201233] HENDRIK SUBIA")</f>
        <v>[209201233] HENDRIK SUBIA</v>
      </c>
      <c r="K210" s="52"/>
      <c r="L210" s="52" t="str">
        <f t="shared" si="1"/>
        <v>#VALUE!</v>
      </c>
      <c r="M210" s="52"/>
      <c r="N210" s="52"/>
      <c r="O210" s="52"/>
      <c r="P210" s="52"/>
      <c r="Q210" s="52"/>
      <c r="R210" s="52"/>
      <c r="S210" s="52"/>
      <c r="T210" s="52"/>
      <c r="U210" s="52"/>
      <c r="V210" s="52"/>
      <c r="W210" s="52"/>
      <c r="X210" s="52"/>
      <c r="Y210" s="52"/>
      <c r="Z210" s="52"/>
    </row>
    <row r="211">
      <c r="A211" s="52">
        <f>IFERROR(__xludf.DUMMYFUNCTION("""COMPUTED_VALUE"""),1.02199007E8)</f>
        <v>102199007</v>
      </c>
      <c r="B211" s="52" t="str">
        <f>IFERROR(__xludf.DUMMYFUNCTION("""COMPUTED_VALUE"""),"HENDRO")</f>
        <v>HENDRO</v>
      </c>
      <c r="C211" s="52">
        <f>IFERROR(__xludf.DUMMYFUNCTION("""COMPUTED_VALUE"""),0.0)</f>
        <v>0</v>
      </c>
      <c r="D211" s="52"/>
      <c r="E211" s="52" t="str">
        <f>IFERROR(__xludf.DUMMYFUNCTION("""COMPUTED_VALUE"""),"CV. SENTOSA ABADI")</f>
        <v>CV. SENTOSA ABADI</v>
      </c>
      <c r="F211" s="52" t="str">
        <f>IFERROR(__xludf.DUMMYFUNCTION("""COMPUTED_VALUE"""),"FALSE")</f>
        <v>FALSE</v>
      </c>
      <c r="G211" s="52" t="str">
        <f>IFERROR(__xludf.DUMMYFUNCTION("""COMPUTED_VALUE"""),"FINANCE")</f>
        <v>FINANCE</v>
      </c>
      <c r="H211" s="52" t="str">
        <f>IFERROR(__xludf.DUMMYFUNCTION("""COMPUTED_VALUE"""),"FALSE")</f>
        <v>FALSE</v>
      </c>
      <c r="I211" s="52"/>
      <c r="J211" s="53" t="str">
        <f>IFERROR(__xludf.DUMMYFUNCTION("""COMPUTED_VALUE"""),"[102199007] HENDRO")</f>
        <v>[102199007] HENDRO</v>
      </c>
      <c r="K211" s="52"/>
      <c r="L211" s="52" t="str">
        <f t="shared" si="1"/>
        <v>#VALUE!</v>
      </c>
      <c r="M211" s="52"/>
      <c r="N211" s="52"/>
      <c r="O211" s="52"/>
      <c r="P211" s="52"/>
      <c r="Q211" s="52"/>
      <c r="R211" s="52"/>
      <c r="S211" s="52"/>
      <c r="T211" s="52"/>
      <c r="U211" s="52"/>
      <c r="V211" s="52"/>
      <c r="W211" s="52"/>
      <c r="X211" s="52"/>
      <c r="Y211" s="52"/>
      <c r="Z211" s="52"/>
    </row>
    <row r="212">
      <c r="A212" s="52">
        <f>IFERROR(__xludf.DUMMYFUNCTION("""COMPUTED_VALUE"""),2.11221704E8)</f>
        <v>211221704</v>
      </c>
      <c r="B212" s="52" t="str">
        <f>IFERROR(__xludf.DUMMYFUNCTION("""COMPUTED_VALUE"""),"HENIMUS YONSI")</f>
        <v>HENIMUS YONSI</v>
      </c>
      <c r="C212" s="52">
        <f>IFERROR(__xludf.DUMMYFUNCTION("""COMPUTED_VALUE"""),30.0)</f>
        <v>30</v>
      </c>
      <c r="D212" s="52" t="str">
        <f>IFERROR(__xludf.DUMMYFUNCTION("""COMPUTED_VALUE"""),"Kristen Khatolik")</f>
        <v>Kristen Khatolik</v>
      </c>
      <c r="E212" s="52" t="str">
        <f>IFERROR(__xludf.DUMMYFUNCTION("""COMPUTED_VALUE"""),"CV. Adil Prima Perkasa")</f>
        <v>CV. Adil Prima Perkasa</v>
      </c>
      <c r="F212" s="52" t="str">
        <f>IFERROR(__xludf.DUMMYFUNCTION("""COMPUTED_VALUE"""),"HELPER MEKANIK LV")</f>
        <v>HELPER MEKANIK LV</v>
      </c>
      <c r="G212" s="52" t="str">
        <f>IFERROR(__xludf.DUMMYFUNCTION("""COMPUTED_VALUE"""),"WORKSHOP")</f>
        <v>WORKSHOP</v>
      </c>
      <c r="H212" s="52" t="str">
        <f>IFERROR(__xludf.DUMMYFUNCTION("""COMPUTED_VALUE"""),"[0106190928] NATAN KONDO")</f>
        <v>[0106190928] NATAN KONDO</v>
      </c>
      <c r="I212" s="55">
        <f>IFERROR(__xludf.DUMMYFUNCTION("""COMPUTED_VALUE"""),34852.0)</f>
        <v>34852</v>
      </c>
      <c r="J212" s="53" t="str">
        <f>IFERROR(__xludf.DUMMYFUNCTION("""COMPUTED_VALUE"""),"[211221704] HENIMUS YONSI")</f>
        <v>[211221704] HENIMUS YONSI</v>
      </c>
      <c r="K212" s="52"/>
      <c r="L212" s="52" t="str">
        <f t="shared" si="1"/>
        <v>#VALUE!</v>
      </c>
      <c r="M212" s="52"/>
      <c r="N212" s="52"/>
      <c r="O212" s="52"/>
      <c r="P212" s="52"/>
      <c r="Q212" s="52"/>
      <c r="R212" s="52"/>
      <c r="S212" s="52"/>
      <c r="T212" s="52"/>
      <c r="U212" s="52"/>
      <c r="V212" s="52"/>
      <c r="W212" s="52"/>
      <c r="X212" s="52"/>
      <c r="Y212" s="52"/>
      <c r="Z212" s="52"/>
    </row>
    <row r="213">
      <c r="A213" s="52">
        <f>IFERROR(__xludf.DUMMYFUNCTION("""COMPUTED_VALUE"""),2.10201255E8)</f>
        <v>210201255</v>
      </c>
      <c r="B213" s="52" t="str">
        <f>IFERROR(__xludf.DUMMYFUNCTION("""COMPUTED_VALUE"""),"HENITARDUS JURIMAN")</f>
        <v>HENITARDUS JURIMAN</v>
      </c>
      <c r="C213" s="52">
        <f>IFERROR(__xludf.DUMMYFUNCTION("""COMPUTED_VALUE"""),36.0)</f>
        <v>36</v>
      </c>
      <c r="D213" s="52" t="str">
        <f>IFERROR(__xludf.DUMMYFUNCTION("""COMPUTED_VALUE"""),"Kristen Khatolik")</f>
        <v>Kristen Khatolik</v>
      </c>
      <c r="E213" s="52" t="str">
        <f>IFERROR(__xludf.DUMMYFUNCTION("""COMPUTED_VALUE"""),"CV. Adil Prima Perkasa")</f>
        <v>CV. Adil Prima Perkasa</v>
      </c>
      <c r="F213" s="52" t="str">
        <f>IFERROR(__xludf.DUMMYFUNCTION("""COMPUTED_VALUE"""),"OPERATOR EXCAVATOR")</f>
        <v>OPERATOR EXCAVATOR</v>
      </c>
      <c r="G213" s="52" t="str">
        <f>IFERROR(__xludf.DUMMYFUNCTION("""COMPUTED_VALUE"""),"PRODUKSI")</f>
        <v>PRODUKSI</v>
      </c>
      <c r="H213" s="52" t="str">
        <f>IFERROR(__xludf.DUMMYFUNCTION("""COMPUTED_VALUE"""),"[0102130003] PURNAWAN")</f>
        <v>[0102130003] PURNAWAN</v>
      </c>
      <c r="I213" s="55">
        <f>IFERROR(__xludf.DUMMYFUNCTION("""COMPUTED_VALUE"""),32607.0)</f>
        <v>32607</v>
      </c>
      <c r="J213" s="53" t="str">
        <f>IFERROR(__xludf.DUMMYFUNCTION("""COMPUTED_VALUE"""),"[210201255] HENITARDUS JURIMAN")</f>
        <v>[210201255] HENITARDUS JURIMAN</v>
      </c>
      <c r="K213" s="52"/>
      <c r="L213" s="52" t="str">
        <f t="shared" si="1"/>
        <v>#VALUE!</v>
      </c>
      <c r="M213" s="52"/>
      <c r="N213" s="52"/>
      <c r="O213" s="52"/>
      <c r="P213" s="52"/>
      <c r="Q213" s="52"/>
      <c r="R213" s="52"/>
      <c r="S213" s="52"/>
      <c r="T213" s="52"/>
      <c r="U213" s="52"/>
      <c r="V213" s="52"/>
      <c r="W213" s="52"/>
      <c r="X213" s="52"/>
      <c r="Y213" s="52"/>
      <c r="Z213" s="52"/>
    </row>
    <row r="214">
      <c r="A214" s="52">
        <f>IFERROR(__xludf.DUMMYFUNCTION("""COMPUTED_VALUE"""),2.03231741E8)</f>
        <v>203231741</v>
      </c>
      <c r="B214" s="52" t="str">
        <f>IFERROR(__xludf.DUMMYFUNCTION("""COMPUTED_VALUE"""),"HERI ISWANTO")</f>
        <v>HERI ISWANTO</v>
      </c>
      <c r="C214" s="52">
        <f>IFERROR(__xludf.DUMMYFUNCTION("""COMPUTED_VALUE"""),25.0)</f>
        <v>25</v>
      </c>
      <c r="D214" s="52" t="str">
        <f>IFERROR(__xludf.DUMMYFUNCTION("""COMPUTED_VALUE"""),"Islam")</f>
        <v>Islam</v>
      </c>
      <c r="E214" s="52" t="str">
        <f>IFERROR(__xludf.DUMMYFUNCTION("""COMPUTED_VALUE"""),"CV. Adil Prima Perkasa")</f>
        <v>CV. Adil Prima Perkasa</v>
      </c>
      <c r="F214" s="52" t="str">
        <f>IFERROR(__xludf.DUMMYFUNCTION("""COMPUTED_VALUE"""),"DRIVER DT H700ZS")</f>
        <v>DRIVER DT H700ZS</v>
      </c>
      <c r="G214" s="52" t="str">
        <f>IFERROR(__xludf.DUMMYFUNCTION("""COMPUTED_VALUE"""),"KENDARAAN &amp; UNIT SUPPORT")</f>
        <v>KENDARAAN &amp; UNIT SUPPORT</v>
      </c>
      <c r="H214" s="52" t="str">
        <f>IFERROR(__xludf.DUMMYFUNCTION("""COMPUTED_VALUE"""),"[0102150004] NAFTALI RARE'A, ST")</f>
        <v>[0102150004] NAFTALI RARE'A, ST</v>
      </c>
      <c r="I214" s="55">
        <f>IFERROR(__xludf.DUMMYFUNCTION("""COMPUTED_VALUE"""),36393.0)</f>
        <v>36393</v>
      </c>
      <c r="J214" s="53" t="str">
        <f>IFERROR(__xludf.DUMMYFUNCTION("""COMPUTED_VALUE"""),"[203231741] HERI ISWANTO")</f>
        <v>[203231741] HERI ISWANTO</v>
      </c>
      <c r="K214" s="52"/>
      <c r="L214" s="52" t="str">
        <f t="shared" si="1"/>
        <v>#VALUE!</v>
      </c>
      <c r="M214" s="52"/>
      <c r="N214" s="52"/>
      <c r="O214" s="52"/>
      <c r="P214" s="52"/>
      <c r="Q214" s="52"/>
      <c r="R214" s="52"/>
      <c r="S214" s="52"/>
      <c r="T214" s="52"/>
      <c r="U214" s="52"/>
      <c r="V214" s="52"/>
      <c r="W214" s="52"/>
      <c r="X214" s="52"/>
      <c r="Y214" s="52"/>
      <c r="Z214" s="52"/>
    </row>
    <row r="215">
      <c r="A215" s="52">
        <f>IFERROR(__xludf.DUMMYFUNCTION("""COMPUTED_VALUE"""),1.03190794E8)</f>
        <v>103190794</v>
      </c>
      <c r="B215" s="52" t="str">
        <f>IFERROR(__xludf.DUMMYFUNCTION("""COMPUTED_VALUE"""),"HERLAN ABRIANTO SADAGO")</f>
        <v>HERLAN ABRIANTO SADAGO</v>
      </c>
      <c r="C215" s="52">
        <f>IFERROR(__xludf.DUMMYFUNCTION("""COMPUTED_VALUE"""),27.0)</f>
        <v>27</v>
      </c>
      <c r="D215" s="52" t="str">
        <f>IFERROR(__xludf.DUMMYFUNCTION("""COMPUTED_VALUE"""),"Kristen Protestan")</f>
        <v>Kristen Protestan</v>
      </c>
      <c r="E215" s="52" t="str">
        <f>IFERROR(__xludf.DUMMYFUNCTION("""COMPUTED_VALUE"""),"CV. SENTOSA ABADI")</f>
        <v>CV. SENTOSA ABADI</v>
      </c>
      <c r="F215" s="52" t="str">
        <f>IFERROR(__xludf.DUMMYFUNCTION("""COMPUTED_VALUE"""),"DRIVER DT H500")</f>
        <v>DRIVER DT H500</v>
      </c>
      <c r="G215" s="52" t="str">
        <f>IFERROR(__xludf.DUMMYFUNCTION("""COMPUTED_VALUE"""),"KENDARAAN &amp; UNIT SUPPORT")</f>
        <v>KENDARAAN &amp; UNIT SUPPORT</v>
      </c>
      <c r="H215" s="52" t="str">
        <f>IFERROR(__xludf.DUMMYFUNCTION("""COMPUTED_VALUE"""),"[0102150004] NAFTALI RARE'A, ST")</f>
        <v>[0102150004] NAFTALI RARE'A, ST</v>
      </c>
      <c r="I215" s="52"/>
      <c r="J215" s="53" t="str">
        <f>IFERROR(__xludf.DUMMYFUNCTION("""COMPUTED_VALUE"""),"[103190794] HERLAN ABRIANTO SADAGO")</f>
        <v>[103190794] HERLAN ABRIANTO SADAGO</v>
      </c>
      <c r="K215" s="52"/>
      <c r="L215" s="52" t="str">
        <f t="shared" si="1"/>
        <v>#VALUE!</v>
      </c>
      <c r="M215" s="52"/>
      <c r="N215" s="52"/>
      <c r="O215" s="52"/>
      <c r="P215" s="52"/>
      <c r="Q215" s="52"/>
      <c r="R215" s="52"/>
      <c r="S215" s="52"/>
      <c r="T215" s="52"/>
      <c r="U215" s="52"/>
      <c r="V215" s="52"/>
      <c r="W215" s="52"/>
      <c r="X215" s="52"/>
      <c r="Y215" s="52"/>
      <c r="Z215" s="52"/>
    </row>
    <row r="216">
      <c r="A216" s="52">
        <f>IFERROR(__xludf.DUMMYFUNCTION("""COMPUTED_VALUE"""),1.0317011E8)</f>
        <v>103170110</v>
      </c>
      <c r="B216" s="52" t="str">
        <f>IFERROR(__xludf.DUMMYFUNCTION("""COMPUTED_VALUE"""),"HERMIN LIA POLEALLO")</f>
        <v>HERMIN LIA POLEALLO</v>
      </c>
      <c r="C216" s="52">
        <f>IFERROR(__xludf.DUMMYFUNCTION("""COMPUTED_VALUE"""),27.0)</f>
        <v>27</v>
      </c>
      <c r="D216" s="52" t="str">
        <f>IFERROR(__xludf.DUMMYFUNCTION("""COMPUTED_VALUE"""),"Kristen Protestan")</f>
        <v>Kristen Protestan</v>
      </c>
      <c r="E216" s="52" t="str">
        <f>IFERROR(__xludf.DUMMYFUNCTION("""COMPUTED_VALUE"""),"CV. SENTOSA ABADI")</f>
        <v>CV. SENTOSA ABADI</v>
      </c>
      <c r="F216" s="52" t="str">
        <f>IFERROR(__xludf.DUMMYFUNCTION("""COMPUTED_VALUE"""),"STOCKER")</f>
        <v>STOCKER</v>
      </c>
      <c r="G216" s="52" t="str">
        <f>IFERROR(__xludf.DUMMYFUNCTION("""COMPUTED_VALUE"""),"HRD &amp; GA")</f>
        <v>HRD &amp; GA</v>
      </c>
      <c r="H216" s="52" t="str">
        <f>IFERROR(__xludf.DUMMYFUNCTION("""COMPUTED_VALUE"""),"[0103231738] MARYA SUSAN SIMBANGU")</f>
        <v>[0103231738] MARYA SUSAN SIMBANGU</v>
      </c>
      <c r="I216" s="52"/>
      <c r="J216" s="53" t="str">
        <f>IFERROR(__xludf.DUMMYFUNCTION("""COMPUTED_VALUE"""),"[103170110] HERMIN LIA POLEALLO")</f>
        <v>[103170110] HERMIN LIA POLEALLO</v>
      </c>
      <c r="K216" s="52"/>
      <c r="L216" s="52" t="str">
        <f t="shared" si="1"/>
        <v>#VALUE!</v>
      </c>
      <c r="M216" s="52"/>
      <c r="N216" s="52"/>
      <c r="O216" s="52"/>
      <c r="P216" s="52"/>
      <c r="Q216" s="52"/>
      <c r="R216" s="52"/>
      <c r="S216" s="52"/>
      <c r="T216" s="52"/>
      <c r="U216" s="52"/>
      <c r="V216" s="52"/>
      <c r="W216" s="52"/>
      <c r="X216" s="52"/>
      <c r="Y216" s="52"/>
      <c r="Z216" s="52"/>
    </row>
    <row r="217">
      <c r="A217" s="52">
        <f>IFERROR(__xludf.DUMMYFUNCTION("""COMPUTED_VALUE"""),1.08180517E8)</f>
        <v>108180517</v>
      </c>
      <c r="B217" s="52" t="str">
        <f>IFERROR(__xludf.DUMMYFUNCTION("""COMPUTED_VALUE"""),"HERRY SUTRISNO")</f>
        <v>HERRY SUTRISNO</v>
      </c>
      <c r="C217" s="52">
        <f>IFERROR(__xludf.DUMMYFUNCTION("""COMPUTED_VALUE"""),56.0)</f>
        <v>56</v>
      </c>
      <c r="D217" s="52" t="str">
        <f>IFERROR(__xludf.DUMMYFUNCTION("""COMPUTED_VALUE"""),"Kristen Protestan")</f>
        <v>Kristen Protestan</v>
      </c>
      <c r="E217" s="52" t="str">
        <f>IFERROR(__xludf.DUMMYFUNCTION("""COMPUTED_VALUE"""),"CV. SENTOSA ABADI")</f>
        <v>CV. SENTOSA ABADI</v>
      </c>
      <c r="F217" s="52" t="str">
        <f>IFERROR(__xludf.DUMMYFUNCTION("""COMPUTED_VALUE"""),"MEKANIK LV")</f>
        <v>MEKANIK LV</v>
      </c>
      <c r="G217" s="52" t="str">
        <f>IFERROR(__xludf.DUMMYFUNCTION("""COMPUTED_VALUE"""),"WORKSHOP")</f>
        <v>WORKSHOP</v>
      </c>
      <c r="H217" s="52" t="str">
        <f>IFERROR(__xludf.DUMMYFUNCTION("""COMPUTED_VALUE"""),"[0106190928] NATAN KONDO")</f>
        <v>[0106190928] NATAN KONDO</v>
      </c>
      <c r="I217" s="52"/>
      <c r="J217" s="53" t="str">
        <f>IFERROR(__xludf.DUMMYFUNCTION("""COMPUTED_VALUE"""),"[108180517] HERRY SUTRISNO")</f>
        <v>[108180517] HERRY SUTRISNO</v>
      </c>
      <c r="K217" s="52"/>
      <c r="L217" s="52" t="str">
        <f t="shared" si="1"/>
        <v>#VALUE!</v>
      </c>
      <c r="M217" s="52"/>
      <c r="N217" s="52"/>
      <c r="O217" s="52"/>
      <c r="P217" s="52"/>
      <c r="Q217" s="52"/>
      <c r="R217" s="52"/>
      <c r="S217" s="52"/>
      <c r="T217" s="52"/>
      <c r="U217" s="52"/>
      <c r="V217" s="52"/>
      <c r="W217" s="52"/>
      <c r="X217" s="52"/>
      <c r="Y217" s="52"/>
      <c r="Z217" s="52"/>
    </row>
    <row r="218">
      <c r="A218" s="52">
        <f>IFERROR(__xludf.DUMMYFUNCTION("""COMPUTED_VALUE"""),3.06200002E8)</f>
        <v>306200002</v>
      </c>
      <c r="B218" s="52" t="str">
        <f>IFERROR(__xludf.DUMMYFUNCTION("""COMPUTED_VALUE"""),"HOTLAN FIRMANSIA TUKKA")</f>
        <v>HOTLAN FIRMANSIA TUKKA</v>
      </c>
      <c r="C218" s="52">
        <f>IFERROR(__xludf.DUMMYFUNCTION("""COMPUTED_VALUE"""),45.0)</f>
        <v>45</v>
      </c>
      <c r="D218" s="52" t="str">
        <f>IFERROR(__xludf.DUMMYFUNCTION("""COMPUTED_VALUE"""),"Kristen Protestan")</f>
        <v>Kristen Protestan</v>
      </c>
      <c r="E218" s="52" t="str">
        <f>IFERROR(__xludf.DUMMYFUNCTION("""COMPUTED_VALUE"""),"CV. Monalisa")</f>
        <v>CV. Monalisa</v>
      </c>
      <c r="F218" s="52" t="str">
        <f>IFERROR(__xludf.DUMMYFUNCTION("""COMPUTED_VALUE"""),"DRIVER DT")</f>
        <v>DRIVER DT</v>
      </c>
      <c r="G218" s="52" t="str">
        <f>IFERROR(__xludf.DUMMYFUNCTION("""COMPUTED_VALUE"""),"KENDARAAN &amp; UNIT SUPPORT")</f>
        <v>KENDARAAN &amp; UNIT SUPPORT</v>
      </c>
      <c r="H218" s="52" t="str">
        <f>IFERROR(__xludf.DUMMYFUNCTION("""COMPUTED_VALUE"""),"[0102150004] NAFTALI RARE'A, ST")</f>
        <v>[0102150004] NAFTALI RARE'A, ST</v>
      </c>
      <c r="I218" s="52"/>
      <c r="J218" s="53" t="str">
        <f>IFERROR(__xludf.DUMMYFUNCTION("""COMPUTED_VALUE"""),"[306200002] HOTLAN FIRMANSIA TUKKA")</f>
        <v>[306200002] HOTLAN FIRMANSIA TUKKA</v>
      </c>
      <c r="K218" s="52"/>
      <c r="L218" s="52" t="str">
        <f t="shared" si="1"/>
        <v>#VALUE!</v>
      </c>
      <c r="M218" s="52"/>
      <c r="N218" s="52"/>
      <c r="O218" s="52"/>
      <c r="P218" s="52"/>
      <c r="Q218" s="52"/>
      <c r="R218" s="52"/>
      <c r="S218" s="52"/>
      <c r="T218" s="52"/>
      <c r="U218" s="52"/>
      <c r="V218" s="52"/>
      <c r="W218" s="52"/>
      <c r="X218" s="52"/>
      <c r="Y218" s="52"/>
      <c r="Z218" s="52"/>
    </row>
    <row r="219">
      <c r="A219" s="52">
        <f>IFERROR(__xludf.DUMMYFUNCTION("""COMPUTED_VALUE"""),2.09211491E8)</f>
        <v>209211491</v>
      </c>
      <c r="B219" s="52" t="str">
        <f>IFERROR(__xludf.DUMMYFUNCTION("""COMPUTED_VALUE"""),"I NYOMAN RAI ANGGARA PUTRA")</f>
        <v>I NYOMAN RAI ANGGARA PUTRA</v>
      </c>
      <c r="C219" s="52">
        <f>IFERROR(__xludf.DUMMYFUNCTION("""COMPUTED_VALUE"""),24.0)</f>
        <v>24</v>
      </c>
      <c r="D219" s="52" t="str">
        <f>IFERROR(__xludf.DUMMYFUNCTION("""COMPUTED_VALUE"""),"Hindu")</f>
        <v>Hindu</v>
      </c>
      <c r="E219" s="52" t="str">
        <f>IFERROR(__xludf.DUMMYFUNCTION("""COMPUTED_VALUE"""),"CV. Adil Prima Perkasa")</f>
        <v>CV. Adil Prima Perkasa</v>
      </c>
      <c r="F219" s="52" t="str">
        <f>IFERROR(__xludf.DUMMYFUNCTION("""COMPUTED_VALUE"""),"OPERATOR ADT")</f>
        <v>OPERATOR ADT</v>
      </c>
      <c r="G219" s="52" t="str">
        <f>IFERROR(__xludf.DUMMYFUNCTION("""COMPUTED_VALUE"""),"PRODUKSI")</f>
        <v>PRODUKSI</v>
      </c>
      <c r="H219" s="52" t="str">
        <f>IFERROR(__xludf.DUMMYFUNCTION("""COMPUTED_VALUE"""),"[0102130003] PURNAWAN")</f>
        <v>[0102130003] PURNAWAN</v>
      </c>
      <c r="I219" s="52"/>
      <c r="J219" s="53" t="str">
        <f>IFERROR(__xludf.DUMMYFUNCTION("""COMPUTED_VALUE"""),"[209211491] I NYOMAN RAI ANGGARA PUTRA")</f>
        <v>[209211491] I NYOMAN RAI ANGGARA PUTRA</v>
      </c>
      <c r="K219" s="52"/>
      <c r="L219" s="52" t="str">
        <f t="shared" si="1"/>
        <v>#VALUE!</v>
      </c>
      <c r="M219" s="52"/>
      <c r="N219" s="52"/>
      <c r="O219" s="52"/>
      <c r="P219" s="52"/>
      <c r="Q219" s="52"/>
      <c r="R219" s="52"/>
      <c r="S219" s="52"/>
      <c r="T219" s="52"/>
      <c r="U219" s="52"/>
      <c r="V219" s="52"/>
      <c r="W219" s="52"/>
      <c r="X219" s="52"/>
      <c r="Y219" s="52"/>
      <c r="Z219" s="52"/>
    </row>
    <row r="220">
      <c r="A220" s="52"/>
      <c r="B220" s="52" t="str">
        <f>IFERROR(__xludf.DUMMYFUNCTION("""COMPUTED_VALUE"""),"I PUTU PARI SUTRISNA")</f>
        <v>I PUTU PARI SUTRISNA</v>
      </c>
      <c r="C220" s="52">
        <f>IFERROR(__xludf.DUMMYFUNCTION("""COMPUTED_VALUE"""),0.0)</f>
        <v>0</v>
      </c>
      <c r="D220" s="52"/>
      <c r="E220" s="52" t="str">
        <f>IFERROR(__xludf.DUMMYFUNCTION("""COMPUTED_VALUE"""),"CV. SENTOSA ABADI")</f>
        <v>CV. SENTOSA ABADI</v>
      </c>
      <c r="F220" s="52" t="str">
        <f>IFERROR(__xludf.DUMMYFUNCTION("""COMPUTED_VALUE"""),"ACCOUNTING")</f>
        <v>ACCOUNTING</v>
      </c>
      <c r="G220" s="52" t="str">
        <f>IFERROR(__xludf.DUMMYFUNCTION("""COMPUTED_VALUE"""),"FINANCE")</f>
        <v>FINANCE</v>
      </c>
      <c r="H220" s="52" t="str">
        <f>IFERROR(__xludf.DUMMYFUNCTION("""COMPUTED_VALUE"""),"[0206189004] ALFRETH ALVIAN TIAKI")</f>
        <v>[0206189004] ALFRETH ALVIAN TIAKI</v>
      </c>
      <c r="I220" s="52"/>
      <c r="J220" s="53" t="str">
        <f>IFERROR(__xludf.DUMMYFUNCTION("""COMPUTED_VALUE"""),"[] I PUTU PARI SUTRISNA")</f>
        <v>[] I PUTU PARI SUTRISNA</v>
      </c>
      <c r="K220" s="52"/>
      <c r="L220" s="52" t="str">
        <f t="shared" si="1"/>
        <v>#VALUE!</v>
      </c>
      <c r="M220" s="52"/>
      <c r="N220" s="52"/>
      <c r="O220" s="52"/>
      <c r="P220" s="52"/>
      <c r="Q220" s="52"/>
      <c r="R220" s="52"/>
      <c r="S220" s="52"/>
      <c r="T220" s="52"/>
      <c r="U220" s="52"/>
      <c r="V220" s="52"/>
      <c r="W220" s="52"/>
      <c r="X220" s="52"/>
      <c r="Y220" s="52"/>
      <c r="Z220" s="52"/>
    </row>
    <row r="221">
      <c r="A221" s="52">
        <f>IFERROR(__xludf.DUMMYFUNCTION("""COMPUTED_VALUE"""),2.12201312E8)</f>
        <v>212201312</v>
      </c>
      <c r="B221" s="52" t="str">
        <f>IFERROR(__xludf.DUMMYFUNCTION("""COMPUTED_VALUE"""),"I WAYAN RUDI YASTAWA")</f>
        <v>I WAYAN RUDI YASTAWA</v>
      </c>
      <c r="C221" s="52">
        <f>IFERROR(__xludf.DUMMYFUNCTION("""COMPUTED_VALUE"""),47.0)</f>
        <v>47</v>
      </c>
      <c r="D221" s="52" t="str">
        <f>IFERROR(__xludf.DUMMYFUNCTION("""COMPUTED_VALUE"""),"Hindu")</f>
        <v>Hindu</v>
      </c>
      <c r="E221" s="52" t="str">
        <f>IFERROR(__xludf.DUMMYFUNCTION("""COMPUTED_VALUE"""),"CV. Adil Prima Perkasa")</f>
        <v>CV. Adil Prima Perkasa</v>
      </c>
      <c r="F221" s="52" t="str">
        <f>IFERROR(__xludf.DUMMYFUNCTION("""COMPUTED_VALUE"""),"DRIVER DT H700ZY")</f>
        <v>DRIVER DT H700ZY</v>
      </c>
      <c r="G221" s="52" t="str">
        <f>IFERROR(__xludf.DUMMYFUNCTION("""COMPUTED_VALUE"""),"KENDARAAN &amp; UNIT SUPPORT")</f>
        <v>KENDARAAN &amp; UNIT SUPPORT</v>
      </c>
      <c r="H221" s="52" t="str">
        <f>IFERROR(__xludf.DUMMYFUNCTION("""COMPUTED_VALUE"""),"[0102150004] NAFTALI RARE'A, ST")</f>
        <v>[0102150004] NAFTALI RARE'A, ST</v>
      </c>
      <c r="I221" s="55">
        <f>IFERROR(__xludf.DUMMYFUNCTION("""COMPUTED_VALUE"""),29053.0)</f>
        <v>29053</v>
      </c>
      <c r="J221" s="53" t="str">
        <f>IFERROR(__xludf.DUMMYFUNCTION("""COMPUTED_VALUE"""),"[212201312] I WAYAN RUDI YASTAWA")</f>
        <v>[212201312] I WAYAN RUDI YASTAWA</v>
      </c>
      <c r="K221" s="52"/>
      <c r="L221" s="52" t="str">
        <f t="shared" si="1"/>
        <v>#VALUE!</v>
      </c>
      <c r="M221" s="52"/>
      <c r="N221" s="52"/>
      <c r="O221" s="52"/>
      <c r="P221" s="52"/>
      <c r="Q221" s="52"/>
      <c r="R221" s="52"/>
      <c r="S221" s="52"/>
      <c r="T221" s="52"/>
      <c r="U221" s="52"/>
      <c r="V221" s="52"/>
      <c r="W221" s="52"/>
      <c r="X221" s="52"/>
      <c r="Y221" s="52"/>
      <c r="Z221" s="52"/>
    </row>
    <row r="222">
      <c r="A222" s="52">
        <f>IFERROR(__xludf.DUMMYFUNCTION("""COMPUTED_VALUE"""),1.07180499E8)</f>
        <v>107180499</v>
      </c>
      <c r="B222" s="52" t="str">
        <f>IFERROR(__xludf.DUMMYFUNCTION("""COMPUTED_VALUE"""),"IBRAHIM")</f>
        <v>IBRAHIM</v>
      </c>
      <c r="C222" s="52">
        <f>IFERROR(__xludf.DUMMYFUNCTION("""COMPUTED_VALUE"""),46.0)</f>
        <v>46</v>
      </c>
      <c r="D222" s="52" t="str">
        <f>IFERROR(__xludf.DUMMYFUNCTION("""COMPUTED_VALUE"""),"Islam")</f>
        <v>Islam</v>
      </c>
      <c r="E222" s="52" t="str">
        <f>IFERROR(__xludf.DUMMYFUNCTION("""COMPUTED_VALUE"""),"CV. SENTOSA ABADI")</f>
        <v>CV. SENTOSA ABADI</v>
      </c>
      <c r="F222" s="52" t="str">
        <f>IFERROR(__xludf.DUMMYFUNCTION("""COMPUTED_VALUE"""),"DRIVER DT H700ZY")</f>
        <v>DRIVER DT H700ZY</v>
      </c>
      <c r="G222" s="52" t="str">
        <f>IFERROR(__xludf.DUMMYFUNCTION("""COMPUTED_VALUE"""),"KENDARAAN &amp; UNIT SUPPORT")</f>
        <v>KENDARAAN &amp; UNIT SUPPORT</v>
      </c>
      <c r="H222" s="52" t="str">
        <f>IFERROR(__xludf.DUMMYFUNCTION("""COMPUTED_VALUE"""),"[0102150004] NAFTALI RARE'A, ST")</f>
        <v>[0102150004] NAFTALI RARE'A, ST</v>
      </c>
      <c r="I222" s="55">
        <f>IFERROR(__xludf.DUMMYFUNCTION("""COMPUTED_VALUE"""),29007.0)</f>
        <v>29007</v>
      </c>
      <c r="J222" s="53" t="str">
        <f>IFERROR(__xludf.DUMMYFUNCTION("""COMPUTED_VALUE"""),"[107180499] IBRAHIM")</f>
        <v>[107180499] IBRAHIM</v>
      </c>
      <c r="K222" s="52"/>
      <c r="L222" s="52" t="str">
        <f t="shared" si="1"/>
        <v>#VALUE!</v>
      </c>
      <c r="M222" s="52"/>
      <c r="N222" s="52"/>
      <c r="O222" s="52"/>
      <c r="P222" s="52"/>
      <c r="Q222" s="52"/>
      <c r="R222" s="52"/>
      <c r="S222" s="52"/>
      <c r="T222" s="52"/>
      <c r="U222" s="52"/>
      <c r="V222" s="52"/>
      <c r="W222" s="52"/>
      <c r="X222" s="52"/>
      <c r="Y222" s="52"/>
      <c r="Z222" s="52"/>
    </row>
    <row r="223">
      <c r="A223" s="52">
        <f>IFERROR(__xludf.DUMMYFUNCTION("""COMPUTED_VALUE"""),1.05190112E8)</f>
        <v>105190112</v>
      </c>
      <c r="B223" s="52" t="str">
        <f>IFERROR(__xludf.DUMMYFUNCTION("""COMPUTED_VALUE"""),"ICCANG")</f>
        <v>ICCANG</v>
      </c>
      <c r="C223" s="52">
        <f>IFERROR(__xludf.DUMMYFUNCTION("""COMPUTED_VALUE"""),31.0)</f>
        <v>31</v>
      </c>
      <c r="D223" s="52" t="str">
        <f>IFERROR(__xludf.DUMMYFUNCTION("""COMPUTED_VALUE"""),"Islam")</f>
        <v>Islam</v>
      </c>
      <c r="E223" s="52" t="str">
        <f>IFERROR(__xludf.DUMMYFUNCTION("""COMPUTED_VALUE"""),"CV. SENTOSA ABADI")</f>
        <v>CV. SENTOSA ABADI</v>
      </c>
      <c r="F223" s="52" t="str">
        <f>IFERROR(__xludf.DUMMYFUNCTION("""COMPUTED_VALUE"""),"DRIVER DT H700ZY")</f>
        <v>DRIVER DT H700ZY</v>
      </c>
      <c r="G223" s="52" t="str">
        <f>IFERROR(__xludf.DUMMYFUNCTION("""COMPUTED_VALUE"""),"KENDARAAN &amp; UNIT SUPPORT")</f>
        <v>KENDARAAN &amp; UNIT SUPPORT</v>
      </c>
      <c r="H223" s="52" t="str">
        <f>IFERROR(__xludf.DUMMYFUNCTION("""COMPUTED_VALUE"""),"[0102150004] NAFTALI RARE'A, ST")</f>
        <v>[0102150004] NAFTALI RARE'A, ST</v>
      </c>
      <c r="I223" s="55">
        <f>IFERROR(__xludf.DUMMYFUNCTION("""COMPUTED_VALUE"""),34010.0)</f>
        <v>34010</v>
      </c>
      <c r="J223" s="53" t="str">
        <f>IFERROR(__xludf.DUMMYFUNCTION("""COMPUTED_VALUE"""),"[105190112] ICCANG")</f>
        <v>[105190112] ICCANG</v>
      </c>
      <c r="K223" s="52"/>
      <c r="L223" s="52" t="str">
        <f t="shared" si="1"/>
        <v>#VALUE!</v>
      </c>
      <c r="M223" s="52"/>
      <c r="N223" s="52"/>
      <c r="O223" s="52"/>
      <c r="P223" s="52"/>
      <c r="Q223" s="52"/>
      <c r="R223" s="52"/>
      <c r="S223" s="52"/>
      <c r="T223" s="52"/>
      <c r="U223" s="52"/>
      <c r="V223" s="52"/>
      <c r="W223" s="52"/>
      <c r="X223" s="52"/>
      <c r="Y223" s="52"/>
      <c r="Z223" s="52"/>
    </row>
    <row r="224">
      <c r="A224" s="52">
        <f>IFERROR(__xludf.DUMMYFUNCTION("""COMPUTED_VALUE"""),2.06221649E8)</f>
        <v>206221649</v>
      </c>
      <c r="B224" s="52" t="str">
        <f>IFERROR(__xludf.DUMMYFUNCTION("""COMPUTED_VALUE"""),"IDRUS")</f>
        <v>IDRUS</v>
      </c>
      <c r="C224" s="52">
        <f>IFERROR(__xludf.DUMMYFUNCTION("""COMPUTED_VALUE"""),37.0)</f>
        <v>37</v>
      </c>
      <c r="D224" s="52" t="str">
        <f>IFERROR(__xludf.DUMMYFUNCTION("""COMPUTED_VALUE"""),"Islam")</f>
        <v>Islam</v>
      </c>
      <c r="E224" s="52" t="str">
        <f>IFERROR(__xludf.DUMMYFUNCTION("""COMPUTED_VALUE"""),"CV. Adil Prima Perkasa")</f>
        <v>CV. Adil Prima Perkasa</v>
      </c>
      <c r="F224" s="52" t="str">
        <f>IFERROR(__xludf.DUMMYFUNCTION("""COMPUTED_VALUE"""),"DRIVER DT H700ZS")</f>
        <v>DRIVER DT H700ZS</v>
      </c>
      <c r="G224" s="52" t="str">
        <f>IFERROR(__xludf.DUMMYFUNCTION("""COMPUTED_VALUE"""),"KENDARAAN &amp; UNIT SUPPORT")</f>
        <v>KENDARAAN &amp; UNIT SUPPORT</v>
      </c>
      <c r="H224" s="52" t="str">
        <f>IFERROR(__xludf.DUMMYFUNCTION("""COMPUTED_VALUE"""),"[0102150004] NAFTALI RARE'A, ST")</f>
        <v>[0102150004] NAFTALI RARE'A, ST</v>
      </c>
      <c r="I224" s="55">
        <f>IFERROR(__xludf.DUMMYFUNCTION("""COMPUTED_VALUE"""),29279.0)</f>
        <v>29279</v>
      </c>
      <c r="J224" s="53" t="str">
        <f>IFERROR(__xludf.DUMMYFUNCTION("""COMPUTED_VALUE"""),"[206221649] IDRUS")</f>
        <v>[206221649] IDRUS</v>
      </c>
      <c r="K224" s="52"/>
      <c r="L224" s="52" t="str">
        <f t="shared" si="1"/>
        <v>#VALUE!</v>
      </c>
      <c r="M224" s="52"/>
      <c r="N224" s="52"/>
      <c r="O224" s="52"/>
      <c r="P224" s="52"/>
      <c r="Q224" s="52"/>
      <c r="R224" s="52"/>
      <c r="S224" s="52"/>
      <c r="T224" s="52"/>
      <c r="U224" s="52"/>
      <c r="V224" s="52"/>
      <c r="W224" s="52"/>
      <c r="X224" s="52"/>
      <c r="Y224" s="52"/>
      <c r="Z224" s="52"/>
    </row>
    <row r="225">
      <c r="A225" s="52">
        <f>IFERROR(__xludf.DUMMYFUNCTION("""COMPUTED_VALUE"""),2.0621144E8)</f>
        <v>206211440</v>
      </c>
      <c r="B225" s="52" t="str">
        <f>IFERROR(__xludf.DUMMYFUNCTION("""COMPUTED_VALUE"""),"IGNASIUS YANTO SAKA")</f>
        <v>IGNASIUS YANTO SAKA</v>
      </c>
      <c r="C225" s="52">
        <f>IFERROR(__xludf.DUMMYFUNCTION("""COMPUTED_VALUE"""),33.0)</f>
        <v>33</v>
      </c>
      <c r="D225" s="52" t="str">
        <f>IFERROR(__xludf.DUMMYFUNCTION("""COMPUTED_VALUE"""),"Kristen Khatolik")</f>
        <v>Kristen Khatolik</v>
      </c>
      <c r="E225" s="52" t="str">
        <f>IFERROR(__xludf.DUMMYFUNCTION("""COMPUTED_VALUE"""),"CV. Adil Prima Perkasa")</f>
        <v>CV. Adil Prima Perkasa</v>
      </c>
      <c r="F225" s="52" t="str">
        <f>IFERROR(__xludf.DUMMYFUNCTION("""COMPUTED_VALUE"""),"WASHING MAN")</f>
        <v>WASHING MAN</v>
      </c>
      <c r="G225" s="52" t="str">
        <f>IFERROR(__xludf.DUMMYFUNCTION("""COMPUTED_VALUE"""),"WORKSHOP")</f>
        <v>WORKSHOP</v>
      </c>
      <c r="H225" s="52" t="str">
        <f>IFERROR(__xludf.DUMMYFUNCTION("""COMPUTED_VALUE"""),"[0106190928] NATAN KONDO")</f>
        <v>[0106190928] NATAN KONDO</v>
      </c>
      <c r="I225" s="52"/>
      <c r="J225" s="53" t="str">
        <f>IFERROR(__xludf.DUMMYFUNCTION("""COMPUTED_VALUE"""),"[206211440] IGNASIUS YANTO SAKA")</f>
        <v>[206211440] IGNASIUS YANTO SAKA</v>
      </c>
      <c r="K225" s="52"/>
      <c r="L225" s="52" t="str">
        <f t="shared" si="1"/>
        <v>#VALUE!</v>
      </c>
      <c r="M225" s="52"/>
      <c r="N225" s="52"/>
      <c r="O225" s="52"/>
      <c r="P225" s="52"/>
      <c r="Q225" s="52"/>
      <c r="R225" s="52"/>
      <c r="S225" s="52"/>
      <c r="T225" s="52"/>
      <c r="U225" s="52"/>
      <c r="V225" s="52"/>
      <c r="W225" s="52"/>
      <c r="X225" s="52"/>
      <c r="Y225" s="52"/>
      <c r="Z225" s="52"/>
    </row>
    <row r="226">
      <c r="A226" s="52">
        <f>IFERROR(__xludf.DUMMYFUNCTION("""COMPUTED_VALUE"""),2.09231839E8)</f>
        <v>209231839</v>
      </c>
      <c r="B226" s="52" t="str">
        <f>IFERROR(__xludf.DUMMYFUNCTION("""COMPUTED_VALUE"""),"IHSAN")</f>
        <v>IHSAN</v>
      </c>
      <c r="C226" s="52">
        <f>IFERROR(__xludf.DUMMYFUNCTION("""COMPUTED_VALUE"""),0.0)</f>
        <v>0</v>
      </c>
      <c r="D226" s="52"/>
      <c r="E226" s="52" t="str">
        <f>IFERROR(__xludf.DUMMYFUNCTION("""COMPUTED_VALUE"""),"CV. Adil Prima Perkasa")</f>
        <v>CV. Adil Prima Perkasa</v>
      </c>
      <c r="F226" s="52" t="str">
        <f>IFERROR(__xludf.DUMMYFUNCTION("""COMPUTED_VALUE"""),"DRIVER DT H500")</f>
        <v>DRIVER DT H500</v>
      </c>
      <c r="G226" s="52" t="str">
        <f>IFERROR(__xludf.DUMMYFUNCTION("""COMPUTED_VALUE"""),"KENDARAAN &amp; UNIT SUPPORT")</f>
        <v>KENDARAAN &amp; UNIT SUPPORT</v>
      </c>
      <c r="H226" s="52" t="str">
        <f>IFERROR(__xludf.DUMMYFUNCTION("""COMPUTED_VALUE"""),"[0102150004] NAFTALI RARE'A, ST")</f>
        <v>[0102150004] NAFTALI RARE'A, ST</v>
      </c>
      <c r="I226" s="55">
        <f>IFERROR(__xludf.DUMMYFUNCTION("""COMPUTED_VALUE"""),31270.0)</f>
        <v>31270</v>
      </c>
      <c r="J226" s="53" t="str">
        <f>IFERROR(__xludf.DUMMYFUNCTION("""COMPUTED_VALUE"""),"[209231839] IHSAN")</f>
        <v>[209231839] IHSAN</v>
      </c>
      <c r="K226" s="52"/>
      <c r="L226" s="52" t="str">
        <f t="shared" si="1"/>
        <v>#VALUE!</v>
      </c>
      <c r="M226" s="52"/>
      <c r="N226" s="52"/>
      <c r="O226" s="52"/>
      <c r="P226" s="52"/>
      <c r="Q226" s="52"/>
      <c r="R226" s="52"/>
      <c r="S226" s="52"/>
      <c r="T226" s="52"/>
      <c r="U226" s="52"/>
      <c r="V226" s="52"/>
      <c r="W226" s="52"/>
      <c r="X226" s="52"/>
      <c r="Y226" s="52"/>
      <c r="Z226" s="52"/>
    </row>
    <row r="227">
      <c r="A227" s="52">
        <f>IFERROR(__xludf.DUMMYFUNCTION("""COMPUTED_VALUE"""),2.08221665E8)</f>
        <v>208221665</v>
      </c>
      <c r="B227" s="52" t="str">
        <f>IFERROR(__xludf.DUMMYFUNCTION("""COMPUTED_VALUE"""),"IKBAL")</f>
        <v>IKBAL</v>
      </c>
      <c r="C227" s="52">
        <f>IFERROR(__xludf.DUMMYFUNCTION("""COMPUTED_VALUE"""),24.0)</f>
        <v>24</v>
      </c>
      <c r="D227" s="52" t="str">
        <f>IFERROR(__xludf.DUMMYFUNCTION("""COMPUTED_VALUE"""),"Islam")</f>
        <v>Islam</v>
      </c>
      <c r="E227" s="52" t="str">
        <f>IFERROR(__xludf.DUMMYFUNCTION("""COMPUTED_VALUE"""),"CV. Adil Prima Perkasa")</f>
        <v>CV. Adil Prima Perkasa</v>
      </c>
      <c r="F227" s="52" t="str">
        <f>IFERROR(__xludf.DUMMYFUNCTION("""COMPUTED_VALUE"""),"HELPER TYRE")</f>
        <v>HELPER TYRE</v>
      </c>
      <c r="G227" s="52" t="str">
        <f>IFERROR(__xludf.DUMMYFUNCTION("""COMPUTED_VALUE"""),"WORKSHOP")</f>
        <v>WORKSHOP</v>
      </c>
      <c r="H227" s="52" t="str">
        <f>IFERROR(__xludf.DUMMYFUNCTION("""COMPUTED_VALUE"""),"[0102120144] JUFRY KOMALING")</f>
        <v>[0102120144] JUFRY KOMALING</v>
      </c>
      <c r="I227" s="52"/>
      <c r="J227" s="53" t="str">
        <f>IFERROR(__xludf.DUMMYFUNCTION("""COMPUTED_VALUE"""),"[208221665] IKBAL")</f>
        <v>[208221665] IKBAL</v>
      </c>
      <c r="K227" s="52"/>
      <c r="L227" s="52" t="str">
        <f t="shared" si="1"/>
        <v>#VALUE!</v>
      </c>
      <c r="M227" s="52"/>
      <c r="N227" s="52"/>
      <c r="O227" s="52"/>
      <c r="P227" s="52"/>
      <c r="Q227" s="52"/>
      <c r="R227" s="52"/>
      <c r="S227" s="52"/>
      <c r="T227" s="52"/>
      <c r="U227" s="52"/>
      <c r="V227" s="52"/>
      <c r="W227" s="52"/>
      <c r="X227" s="52"/>
      <c r="Y227" s="52"/>
      <c r="Z227" s="52"/>
    </row>
    <row r="228">
      <c r="A228" s="52">
        <f>IFERROR(__xludf.DUMMYFUNCTION("""COMPUTED_VALUE"""),2.04241908E8)</f>
        <v>204241908</v>
      </c>
      <c r="B228" s="52" t="str">
        <f>IFERROR(__xludf.DUMMYFUNCTION("""COMPUTED_VALUE"""),"IKSAN RUAKAU")</f>
        <v>IKSAN RUAKAU</v>
      </c>
      <c r="C228" s="52">
        <f>IFERROR(__xludf.DUMMYFUNCTION("""COMPUTED_VALUE"""),19.0)</f>
        <v>19</v>
      </c>
      <c r="D228" s="52" t="str">
        <f>IFERROR(__xludf.DUMMYFUNCTION("""COMPUTED_VALUE"""),"Kristen Protestan")</f>
        <v>Kristen Protestan</v>
      </c>
      <c r="E228" s="52" t="str">
        <f>IFERROR(__xludf.DUMMYFUNCTION("""COMPUTED_VALUE"""),"CV. Adil Prima Perkasa")</f>
        <v>CV. Adil Prima Perkasa</v>
      </c>
      <c r="F228" s="52" t="str">
        <f>IFERROR(__xludf.DUMMYFUNCTION("""COMPUTED_VALUE"""),"HELPER ELECTRICIAN")</f>
        <v>HELPER ELECTRICIAN</v>
      </c>
      <c r="G228" s="52" t="str">
        <f>IFERROR(__xludf.DUMMYFUNCTION("""COMPUTED_VALUE"""),"WORKSHOP")</f>
        <v>WORKSHOP</v>
      </c>
      <c r="H228" s="52" t="str">
        <f>IFERROR(__xludf.DUMMYFUNCTION("""COMPUTED_VALUE"""),"[0106190928] NATAN KONDO")</f>
        <v>[0106190928] NATAN KONDO</v>
      </c>
      <c r="I228" s="52"/>
      <c r="J228" s="53" t="str">
        <f>IFERROR(__xludf.DUMMYFUNCTION("""COMPUTED_VALUE"""),"[204241908] IKSAN RUAKAU")</f>
        <v>[204241908] IKSAN RUAKAU</v>
      </c>
      <c r="K228" s="52"/>
      <c r="L228" s="52" t="str">
        <f t="shared" si="1"/>
        <v>#VALUE!</v>
      </c>
      <c r="M228" s="52"/>
      <c r="N228" s="52"/>
      <c r="O228" s="52"/>
      <c r="P228" s="52"/>
      <c r="Q228" s="52"/>
      <c r="R228" s="52"/>
      <c r="S228" s="52"/>
      <c r="T228" s="52"/>
      <c r="U228" s="52"/>
      <c r="V228" s="52"/>
      <c r="W228" s="52"/>
      <c r="X228" s="52"/>
      <c r="Y228" s="52"/>
      <c r="Z228" s="52"/>
    </row>
    <row r="229">
      <c r="A229" s="52">
        <f>IFERROR(__xludf.DUMMYFUNCTION("""COMPUTED_VALUE"""),2.05221631E8)</f>
        <v>205221631</v>
      </c>
      <c r="B229" s="52" t="str">
        <f>IFERROR(__xludf.DUMMYFUNCTION("""COMPUTED_VALUE"""),"ILHAM")</f>
        <v>ILHAM</v>
      </c>
      <c r="C229" s="52">
        <f>IFERROR(__xludf.DUMMYFUNCTION("""COMPUTED_VALUE"""),24.0)</f>
        <v>24</v>
      </c>
      <c r="D229" s="52" t="str">
        <f>IFERROR(__xludf.DUMMYFUNCTION("""COMPUTED_VALUE"""),"Islam")</f>
        <v>Islam</v>
      </c>
      <c r="E229" s="52" t="str">
        <f>IFERROR(__xludf.DUMMYFUNCTION("""COMPUTED_VALUE"""),"CV. Adil Prima Perkasa")</f>
        <v>CV. Adil Prima Perkasa</v>
      </c>
      <c r="F229" s="52" t="str">
        <f>IFERROR(__xludf.DUMMYFUNCTION("""COMPUTED_VALUE"""),"DRIVER DT H700ZY")</f>
        <v>DRIVER DT H700ZY</v>
      </c>
      <c r="G229" s="52" t="str">
        <f>IFERROR(__xludf.DUMMYFUNCTION("""COMPUTED_VALUE"""),"KENDARAAN &amp; UNIT SUPPORT")</f>
        <v>KENDARAAN &amp; UNIT SUPPORT</v>
      </c>
      <c r="H229" s="52" t="str">
        <f>IFERROR(__xludf.DUMMYFUNCTION("""COMPUTED_VALUE"""),"[0102150004] NAFTALI RARE'A, ST")</f>
        <v>[0102150004] NAFTALI RARE'A, ST</v>
      </c>
      <c r="I229" s="52"/>
      <c r="J229" s="53" t="str">
        <f>IFERROR(__xludf.DUMMYFUNCTION("""COMPUTED_VALUE"""),"[205221631] ILHAM")</f>
        <v>[205221631] ILHAM</v>
      </c>
      <c r="K229" s="52"/>
      <c r="L229" s="52" t="str">
        <f t="shared" si="1"/>
        <v>#VALUE!</v>
      </c>
      <c r="M229" s="52"/>
      <c r="N229" s="52"/>
      <c r="O229" s="52"/>
      <c r="P229" s="52"/>
      <c r="Q229" s="52"/>
      <c r="R229" s="52"/>
      <c r="S229" s="52"/>
      <c r="T229" s="52"/>
      <c r="U229" s="52"/>
      <c r="V229" s="52"/>
      <c r="W229" s="52"/>
      <c r="X229" s="52"/>
      <c r="Y229" s="52"/>
      <c r="Z229" s="52"/>
    </row>
    <row r="230">
      <c r="A230" s="52">
        <f>IFERROR(__xludf.DUMMYFUNCTION("""COMPUTED_VALUE"""),1.04150117E8)</f>
        <v>104150117</v>
      </c>
      <c r="B230" s="52" t="str">
        <f>IFERROR(__xludf.DUMMYFUNCTION("""COMPUTED_VALUE"""),"IMANUEL MONANGU")</f>
        <v>IMANUEL MONANGU</v>
      </c>
      <c r="C230" s="52">
        <f>IFERROR(__xludf.DUMMYFUNCTION("""COMPUTED_VALUE"""),34.0)</f>
        <v>34</v>
      </c>
      <c r="D230" s="52" t="str">
        <f>IFERROR(__xludf.DUMMYFUNCTION("""COMPUTED_VALUE"""),"Kristen Protestan")</f>
        <v>Kristen Protestan</v>
      </c>
      <c r="E230" s="52" t="str">
        <f>IFERROR(__xludf.DUMMYFUNCTION("""COMPUTED_VALUE"""),"CV. SENTOSA ABADI")</f>
        <v>CV. SENTOSA ABADI</v>
      </c>
      <c r="F230" s="52" t="str">
        <f>IFERROR(__xludf.DUMMYFUNCTION("""COMPUTED_VALUE"""),"WELDER")</f>
        <v>WELDER</v>
      </c>
      <c r="G230" s="52" t="str">
        <f>IFERROR(__xludf.DUMMYFUNCTION("""COMPUTED_VALUE"""),"WORKSHOP")</f>
        <v>WORKSHOP</v>
      </c>
      <c r="H230" s="52" t="str">
        <f>IFERROR(__xludf.DUMMYFUNCTION("""COMPUTED_VALUE"""),"[0106190928] NATAN KONDO")</f>
        <v>[0106190928] NATAN KONDO</v>
      </c>
      <c r="I230" s="52"/>
      <c r="J230" s="53" t="str">
        <f>IFERROR(__xludf.DUMMYFUNCTION("""COMPUTED_VALUE"""),"[104150117] IMANUEL MONANGU")</f>
        <v>[104150117] IMANUEL MONANGU</v>
      </c>
      <c r="K230" s="52"/>
      <c r="L230" s="52" t="str">
        <f t="shared" si="1"/>
        <v>#VALUE!</v>
      </c>
      <c r="M230" s="52"/>
      <c r="N230" s="52"/>
      <c r="O230" s="52"/>
      <c r="P230" s="52"/>
      <c r="Q230" s="52"/>
      <c r="R230" s="52"/>
      <c r="S230" s="52"/>
      <c r="T230" s="52"/>
      <c r="U230" s="52"/>
      <c r="V230" s="52"/>
      <c r="W230" s="52"/>
      <c r="X230" s="52"/>
      <c r="Y230" s="52"/>
      <c r="Z230" s="52"/>
    </row>
    <row r="231">
      <c r="A231" s="52">
        <f>IFERROR(__xludf.DUMMYFUNCTION("""COMPUTED_VALUE"""),2.02241882E8)</f>
        <v>202241882</v>
      </c>
      <c r="B231" s="52" t="str">
        <f>IFERROR(__xludf.DUMMYFUNCTION("""COMPUTED_VALUE"""),"IMER ABDI PUTRA TANDI LEMBANG")</f>
        <v>IMER ABDI PUTRA TANDI LEMBANG</v>
      </c>
      <c r="C231" s="52">
        <f>IFERROR(__xludf.DUMMYFUNCTION("""COMPUTED_VALUE"""),0.0)</f>
        <v>0</v>
      </c>
      <c r="D231" s="52"/>
      <c r="E231" s="52" t="str">
        <f>IFERROR(__xludf.DUMMYFUNCTION("""COMPUTED_VALUE"""),"CV. Adil Prima Perkasa")</f>
        <v>CV. Adil Prima Perkasa</v>
      </c>
      <c r="F231" s="52" t="str">
        <f>IFERROR(__xludf.DUMMYFUNCTION("""COMPUTED_VALUE"""),"HELPER MAINTENANCE")</f>
        <v>HELPER MAINTENANCE</v>
      </c>
      <c r="G231" s="52" t="str">
        <f>IFERROR(__xludf.DUMMYFUNCTION("""COMPUTED_VALUE"""),"WORKSHOP")</f>
        <v>WORKSHOP</v>
      </c>
      <c r="H231" s="52" t="str">
        <f>IFERROR(__xludf.DUMMYFUNCTION("""COMPUTED_VALUE"""),"[0106190928] NATAN KONDO")</f>
        <v>[0106190928] NATAN KONDO</v>
      </c>
      <c r="I231" s="52"/>
      <c r="J231" s="53" t="str">
        <f>IFERROR(__xludf.DUMMYFUNCTION("""COMPUTED_VALUE"""),"[202241882] IMER ABDI PUTRA TANDI LEMBANG")</f>
        <v>[202241882] IMER ABDI PUTRA TANDI LEMBANG</v>
      </c>
      <c r="K231" s="52"/>
      <c r="L231" s="52" t="str">
        <f t="shared" si="1"/>
        <v>#VALUE!</v>
      </c>
      <c r="M231" s="52"/>
      <c r="N231" s="52"/>
      <c r="O231" s="52"/>
      <c r="P231" s="52"/>
      <c r="Q231" s="52"/>
      <c r="R231" s="52"/>
      <c r="S231" s="52"/>
      <c r="T231" s="52"/>
      <c r="U231" s="52"/>
      <c r="V231" s="52"/>
      <c r="W231" s="52"/>
      <c r="X231" s="52"/>
      <c r="Y231" s="52"/>
      <c r="Z231" s="52"/>
    </row>
    <row r="232">
      <c r="A232" s="52">
        <f>IFERROR(__xludf.DUMMYFUNCTION("""COMPUTED_VALUE"""),1.10211501E8)</f>
        <v>110211501</v>
      </c>
      <c r="B232" s="52" t="str">
        <f>IFERROR(__xludf.DUMMYFUNCTION("""COMPUTED_VALUE"""),"INANG MARWATI")</f>
        <v>INANG MARWATI</v>
      </c>
      <c r="C232" s="52">
        <f>IFERROR(__xludf.DUMMYFUNCTION("""COMPUTED_VALUE"""),27.0)</f>
        <v>27</v>
      </c>
      <c r="D232" s="52" t="str">
        <f>IFERROR(__xludf.DUMMYFUNCTION("""COMPUTED_VALUE"""),"Islam")</f>
        <v>Islam</v>
      </c>
      <c r="E232" s="52" t="str">
        <f>IFERROR(__xludf.DUMMYFUNCTION("""COMPUTED_VALUE"""),"CV. SENTOSA ABADI")</f>
        <v>CV. SENTOSA ABADI</v>
      </c>
      <c r="F232" s="52" t="str">
        <f>IFERROR(__xludf.DUMMYFUNCTION("""COMPUTED_VALUE"""),"STOCKER")</f>
        <v>STOCKER</v>
      </c>
      <c r="G232" s="52" t="str">
        <f>IFERROR(__xludf.DUMMYFUNCTION("""COMPUTED_VALUE"""),"HRD &amp; GA")</f>
        <v>HRD &amp; GA</v>
      </c>
      <c r="H232" s="52" t="str">
        <f>IFERROR(__xludf.DUMMYFUNCTION("""COMPUTED_VALUE"""),"[0103231738] MARYA SUSAN SIMBANGU")</f>
        <v>[0103231738] MARYA SUSAN SIMBANGU</v>
      </c>
      <c r="I232" s="52"/>
      <c r="J232" s="53" t="str">
        <f>IFERROR(__xludf.DUMMYFUNCTION("""COMPUTED_VALUE"""),"[110211501] INANG MARWATI")</f>
        <v>[110211501] INANG MARWATI</v>
      </c>
      <c r="K232" s="52"/>
      <c r="L232" s="52" t="str">
        <f t="shared" si="1"/>
        <v>#VALUE!</v>
      </c>
      <c r="M232" s="52"/>
      <c r="N232" s="52"/>
      <c r="O232" s="52"/>
      <c r="P232" s="52"/>
      <c r="Q232" s="52"/>
      <c r="R232" s="52"/>
      <c r="S232" s="52"/>
      <c r="T232" s="52"/>
      <c r="U232" s="52"/>
      <c r="V232" s="52"/>
      <c r="W232" s="52"/>
      <c r="X232" s="52"/>
      <c r="Y232" s="52"/>
      <c r="Z232" s="52"/>
    </row>
    <row r="233">
      <c r="A233" s="52">
        <f>IFERROR(__xludf.DUMMYFUNCTION("""COMPUTED_VALUE"""),1.06160119E8)</f>
        <v>106160119</v>
      </c>
      <c r="B233" s="52" t="str">
        <f>IFERROR(__xludf.DUMMYFUNCTION("""COMPUTED_VALUE"""),"INDO DARMA PETUNA")</f>
        <v>INDO DARMA PETUNA</v>
      </c>
      <c r="C233" s="52">
        <f>IFERROR(__xludf.DUMMYFUNCTION("""COMPUTED_VALUE"""),37.0)</f>
        <v>37</v>
      </c>
      <c r="D233" s="52" t="str">
        <f>IFERROR(__xludf.DUMMYFUNCTION("""COMPUTED_VALUE"""),"Kristen Protestan")</f>
        <v>Kristen Protestan</v>
      </c>
      <c r="E233" s="52" t="str">
        <f>IFERROR(__xludf.DUMMYFUNCTION("""COMPUTED_VALUE"""),"CV. SENTOSA ABADI")</f>
        <v>CV. SENTOSA ABADI</v>
      </c>
      <c r="F233" s="52" t="str">
        <f>IFERROR(__xludf.DUMMYFUNCTION("""COMPUTED_VALUE"""),"OPERATOR LOADER")</f>
        <v>OPERATOR LOADER</v>
      </c>
      <c r="G233" s="52" t="str">
        <f>IFERROR(__xludf.DUMMYFUNCTION("""COMPUTED_VALUE"""),"PRODUKSI")</f>
        <v>PRODUKSI</v>
      </c>
      <c r="H233" s="52" t="str">
        <f>IFERROR(__xludf.DUMMYFUNCTION("""COMPUTED_VALUE"""),"[0102130003] PURNAWAN")</f>
        <v>[0102130003] PURNAWAN</v>
      </c>
      <c r="I233" s="52"/>
      <c r="J233" s="53" t="str">
        <f>IFERROR(__xludf.DUMMYFUNCTION("""COMPUTED_VALUE"""),"[106160119] INDO DARMA PETUNA")</f>
        <v>[106160119] INDO DARMA PETUNA</v>
      </c>
      <c r="K233" s="52"/>
      <c r="L233" s="52" t="str">
        <f t="shared" si="1"/>
        <v>#VALUE!</v>
      </c>
      <c r="M233" s="52"/>
      <c r="N233" s="52"/>
      <c r="O233" s="52"/>
      <c r="P233" s="52"/>
      <c r="Q233" s="52"/>
      <c r="R233" s="52"/>
      <c r="S233" s="52"/>
      <c r="T233" s="52"/>
      <c r="U233" s="52"/>
      <c r="V233" s="52"/>
      <c r="W233" s="52"/>
      <c r="X233" s="52"/>
      <c r="Y233" s="52"/>
      <c r="Z233" s="52"/>
    </row>
    <row r="234">
      <c r="A234" s="52">
        <f>IFERROR(__xludf.DUMMYFUNCTION("""COMPUTED_VALUE"""),2.09191093E8)</f>
        <v>209191093</v>
      </c>
      <c r="B234" s="52" t="str">
        <f>IFERROR(__xludf.DUMMYFUNCTION("""COMPUTED_VALUE"""),"IQBAR")</f>
        <v>IQBAR</v>
      </c>
      <c r="C234" s="52">
        <f>IFERROR(__xludf.DUMMYFUNCTION("""COMPUTED_VALUE"""),49.0)</f>
        <v>49</v>
      </c>
      <c r="D234" s="52" t="str">
        <f>IFERROR(__xludf.DUMMYFUNCTION("""COMPUTED_VALUE"""),"Islam")</f>
        <v>Islam</v>
      </c>
      <c r="E234" s="52" t="str">
        <f>IFERROR(__xludf.DUMMYFUNCTION("""COMPUTED_VALUE"""),"CV. Adil Prima Perkasa")</f>
        <v>CV. Adil Prima Perkasa</v>
      </c>
      <c r="F234" s="52" t="str">
        <f>IFERROR(__xludf.DUMMYFUNCTION("""COMPUTED_VALUE"""),"OPERATOR ADT")</f>
        <v>OPERATOR ADT</v>
      </c>
      <c r="G234" s="52" t="str">
        <f>IFERROR(__xludf.DUMMYFUNCTION("""COMPUTED_VALUE"""),"PRODUKSI")</f>
        <v>PRODUKSI</v>
      </c>
      <c r="H234" s="52" t="str">
        <f>IFERROR(__xludf.DUMMYFUNCTION("""COMPUTED_VALUE"""),"[0102130003] PURNAWAN")</f>
        <v>[0102130003] PURNAWAN</v>
      </c>
      <c r="I234" s="52"/>
      <c r="J234" s="53" t="str">
        <f>IFERROR(__xludf.DUMMYFUNCTION("""COMPUTED_VALUE"""),"[209191093] IQBAR")</f>
        <v>[209191093] IQBAR</v>
      </c>
      <c r="K234" s="52"/>
      <c r="L234" s="52" t="str">
        <f t="shared" si="1"/>
        <v>#VALUE!</v>
      </c>
      <c r="M234" s="52"/>
      <c r="N234" s="52"/>
      <c r="O234" s="52"/>
      <c r="P234" s="52"/>
      <c r="Q234" s="52"/>
      <c r="R234" s="52"/>
      <c r="S234" s="52"/>
      <c r="T234" s="52"/>
      <c r="U234" s="52"/>
      <c r="V234" s="52"/>
      <c r="W234" s="52"/>
      <c r="X234" s="52"/>
      <c r="Y234" s="52"/>
      <c r="Z234" s="52"/>
    </row>
    <row r="235">
      <c r="A235" s="52">
        <f>IFERROR(__xludf.DUMMYFUNCTION("""COMPUTED_VALUE"""),2.06231788E8)</f>
        <v>206231788</v>
      </c>
      <c r="B235" s="52" t="str">
        <f>IFERROR(__xludf.DUMMYFUNCTION("""COMPUTED_VALUE"""),"IRFAN")</f>
        <v>IRFAN</v>
      </c>
      <c r="C235" s="52">
        <f>IFERROR(__xludf.DUMMYFUNCTION("""COMPUTED_VALUE"""),27.0)</f>
        <v>27</v>
      </c>
      <c r="D235" s="52" t="str">
        <f>IFERROR(__xludf.DUMMYFUNCTION("""COMPUTED_VALUE"""),"Islam")</f>
        <v>Islam</v>
      </c>
      <c r="E235" s="52" t="str">
        <f>IFERROR(__xludf.DUMMYFUNCTION("""COMPUTED_VALUE"""),"CV. Adil Prima Perkasa")</f>
        <v>CV. Adil Prima Perkasa</v>
      </c>
      <c r="F235" s="52" t="str">
        <f>IFERROR(__xludf.DUMMYFUNCTION("""COMPUTED_VALUE"""),"ADMIN KENDARAAN")</f>
        <v>ADMIN KENDARAAN</v>
      </c>
      <c r="G235" s="52" t="str">
        <f>IFERROR(__xludf.DUMMYFUNCTION("""COMPUTED_VALUE"""),"KENDARAAN &amp; UNIT SUPPORT")</f>
        <v>KENDARAAN &amp; UNIT SUPPORT</v>
      </c>
      <c r="H235" s="52" t="str">
        <f>IFERROR(__xludf.DUMMYFUNCTION("""COMPUTED_VALUE"""),"[0102150004] NAFTALI RARE'A, ST")</f>
        <v>[0102150004] NAFTALI RARE'A, ST</v>
      </c>
      <c r="I235" s="52"/>
      <c r="J235" s="53" t="str">
        <f>IFERROR(__xludf.DUMMYFUNCTION("""COMPUTED_VALUE"""),"[206231788] IRFAN")</f>
        <v>[206231788] IRFAN</v>
      </c>
      <c r="K235" s="52"/>
      <c r="L235" s="52" t="str">
        <f t="shared" si="1"/>
        <v>#VALUE!</v>
      </c>
      <c r="M235" s="52"/>
      <c r="N235" s="52"/>
      <c r="O235" s="52"/>
      <c r="P235" s="52"/>
      <c r="Q235" s="52"/>
      <c r="R235" s="52"/>
      <c r="S235" s="52"/>
      <c r="T235" s="52"/>
      <c r="U235" s="52"/>
      <c r="V235" s="52"/>
      <c r="W235" s="52"/>
      <c r="X235" s="52"/>
      <c r="Y235" s="52"/>
      <c r="Z235" s="52"/>
    </row>
    <row r="236">
      <c r="A236" s="52">
        <f>IFERROR(__xludf.DUMMYFUNCTION("""COMPUTED_VALUE"""),3.06210075E8)</f>
        <v>306210075</v>
      </c>
      <c r="B236" s="52" t="str">
        <f>IFERROR(__xludf.DUMMYFUNCTION("""COMPUTED_VALUE"""),"IRFIAN LIANSYAH")</f>
        <v>IRFIAN LIANSYAH</v>
      </c>
      <c r="C236" s="52">
        <f>IFERROR(__xludf.DUMMYFUNCTION("""COMPUTED_VALUE"""),21.0)</f>
        <v>21</v>
      </c>
      <c r="D236" s="52" t="str">
        <f>IFERROR(__xludf.DUMMYFUNCTION("""COMPUTED_VALUE"""),"Islam")</f>
        <v>Islam</v>
      </c>
      <c r="E236" s="52" t="str">
        <f>IFERROR(__xludf.DUMMYFUNCTION("""COMPUTED_VALUE"""),"CV. Monalisa")</f>
        <v>CV. Monalisa</v>
      </c>
      <c r="F236" s="52" t="str">
        <f>IFERROR(__xludf.DUMMYFUNCTION("""COMPUTED_VALUE"""),"CREW SURVEY")</f>
        <v>CREW SURVEY</v>
      </c>
      <c r="G236" s="52" t="str">
        <f>IFERROR(__xludf.DUMMYFUNCTION("""COMPUTED_VALUE"""),"MPE")</f>
        <v>MPE</v>
      </c>
      <c r="H236" s="52" t="str">
        <f>IFERROR(__xludf.DUMMYFUNCTION("""COMPUTED_VALUE"""),"[0102150008] ERWIN SAPA")</f>
        <v>[0102150008] ERWIN SAPA</v>
      </c>
      <c r="I236" s="52"/>
      <c r="J236" s="53" t="str">
        <f>IFERROR(__xludf.DUMMYFUNCTION("""COMPUTED_VALUE"""),"[306210075] IRFIAN LIANSYAH")</f>
        <v>[306210075] IRFIAN LIANSYAH</v>
      </c>
      <c r="K236" s="52"/>
      <c r="L236" s="52" t="str">
        <f t="shared" si="1"/>
        <v>#VALUE!</v>
      </c>
      <c r="M236" s="52"/>
      <c r="N236" s="52"/>
      <c r="O236" s="52"/>
      <c r="P236" s="52"/>
      <c r="Q236" s="52"/>
      <c r="R236" s="52"/>
      <c r="S236" s="52"/>
      <c r="T236" s="52"/>
      <c r="U236" s="52"/>
      <c r="V236" s="52"/>
      <c r="W236" s="52"/>
      <c r="X236" s="52"/>
      <c r="Y236" s="52"/>
      <c r="Z236" s="52"/>
    </row>
    <row r="237">
      <c r="A237" s="52">
        <f>IFERROR(__xludf.DUMMYFUNCTION("""COMPUTED_VALUE"""),2.11211539E8)</f>
        <v>211211539</v>
      </c>
      <c r="B237" s="52" t="str">
        <f>IFERROR(__xludf.DUMMYFUNCTION("""COMPUTED_VALUE"""),"IRRA APRILIA CITRA")</f>
        <v>IRRA APRILIA CITRA</v>
      </c>
      <c r="C237" s="52">
        <f>IFERROR(__xludf.DUMMYFUNCTION("""COMPUTED_VALUE"""),26.0)</f>
        <v>26</v>
      </c>
      <c r="D237" s="52" t="str">
        <f>IFERROR(__xludf.DUMMYFUNCTION("""COMPUTED_VALUE"""),"Islam")</f>
        <v>Islam</v>
      </c>
      <c r="E237" s="52" t="str">
        <f>IFERROR(__xludf.DUMMYFUNCTION("""COMPUTED_VALUE"""),"CV. Adil Prima Perkasa")</f>
        <v>CV. Adil Prima Perkasa</v>
      </c>
      <c r="F237" s="52" t="str">
        <f>IFERROR(__xludf.DUMMYFUNCTION("""COMPUTED_VALUE"""),"ASISTEN MPE")</f>
        <v>ASISTEN MPE</v>
      </c>
      <c r="G237" s="52" t="str">
        <f>IFERROR(__xludf.DUMMYFUNCTION("""COMPUTED_VALUE"""),"MPE")</f>
        <v>MPE</v>
      </c>
      <c r="H237" s="52" t="str">
        <f>IFERROR(__xludf.DUMMYFUNCTION("""COMPUTED_VALUE"""),"[0102150007] EKY SIDIK PRATAMA, ST")</f>
        <v>[0102150007] EKY SIDIK PRATAMA, ST</v>
      </c>
      <c r="I237" s="52"/>
      <c r="J237" s="53" t="str">
        <f>IFERROR(__xludf.DUMMYFUNCTION("""COMPUTED_VALUE"""),"[211211539] IRRA APRILIA CITRA")</f>
        <v>[211211539] IRRA APRILIA CITRA</v>
      </c>
      <c r="K237" s="52"/>
      <c r="L237" s="52" t="str">
        <f t="shared" si="1"/>
        <v>#VALUE!</v>
      </c>
      <c r="M237" s="52"/>
      <c r="N237" s="52"/>
      <c r="O237" s="52"/>
      <c r="P237" s="52"/>
      <c r="Q237" s="52"/>
      <c r="R237" s="52"/>
      <c r="S237" s="52"/>
      <c r="T237" s="52"/>
      <c r="U237" s="52"/>
      <c r="V237" s="52"/>
      <c r="W237" s="52"/>
      <c r="X237" s="52"/>
      <c r="Y237" s="52"/>
      <c r="Z237" s="52"/>
    </row>
    <row r="238">
      <c r="A238" s="52">
        <f>IFERROR(__xludf.DUMMYFUNCTION("""COMPUTED_VALUE"""),1.04211375E8)</f>
        <v>104211375</v>
      </c>
      <c r="B238" s="52" t="str">
        <f>IFERROR(__xludf.DUMMYFUNCTION("""COMPUTED_VALUE"""),"IRWAN")</f>
        <v>IRWAN</v>
      </c>
      <c r="C238" s="52">
        <f>IFERROR(__xludf.DUMMYFUNCTION("""COMPUTED_VALUE"""),37.0)</f>
        <v>37</v>
      </c>
      <c r="D238" s="52" t="str">
        <f>IFERROR(__xludf.DUMMYFUNCTION("""COMPUTED_VALUE"""),"Islam")</f>
        <v>Islam</v>
      </c>
      <c r="E238" s="52" t="str">
        <f>IFERROR(__xludf.DUMMYFUNCTION("""COMPUTED_VALUE"""),"CV. SENTOSA ABADI")</f>
        <v>CV. SENTOSA ABADI</v>
      </c>
      <c r="F238" s="52" t="str">
        <f>IFERROR(__xludf.DUMMYFUNCTION("""COMPUTED_VALUE"""),"OPERATOR EXCAVATOR")</f>
        <v>OPERATOR EXCAVATOR</v>
      </c>
      <c r="G238" s="52" t="str">
        <f>IFERROR(__xludf.DUMMYFUNCTION("""COMPUTED_VALUE"""),"PRODUKSI")</f>
        <v>PRODUKSI</v>
      </c>
      <c r="H238" s="52" t="str">
        <f>IFERROR(__xludf.DUMMYFUNCTION("""COMPUTED_VALUE"""),"[0102130003] PURNAWAN")</f>
        <v>[0102130003] PURNAWAN</v>
      </c>
      <c r="I238" s="55">
        <f>IFERROR(__xludf.DUMMYFUNCTION("""COMPUTED_VALUE"""),33156.0)</f>
        <v>33156</v>
      </c>
      <c r="J238" s="53" t="str">
        <f>IFERROR(__xludf.DUMMYFUNCTION("""COMPUTED_VALUE"""),"[104211375] IRWAN")</f>
        <v>[104211375] IRWAN</v>
      </c>
      <c r="K238" s="52"/>
      <c r="L238" s="52" t="str">
        <f t="shared" si="1"/>
        <v>#VALUE!</v>
      </c>
      <c r="M238" s="52"/>
      <c r="N238" s="52"/>
      <c r="O238" s="52"/>
      <c r="P238" s="52"/>
      <c r="Q238" s="52"/>
      <c r="R238" s="52"/>
      <c r="S238" s="52"/>
      <c r="T238" s="52"/>
      <c r="U238" s="52"/>
      <c r="V238" s="52"/>
      <c r="W238" s="52"/>
      <c r="X238" s="52"/>
      <c r="Y238" s="52"/>
      <c r="Z238" s="52"/>
    </row>
    <row r="239">
      <c r="A239" s="52">
        <f>IFERROR(__xludf.DUMMYFUNCTION("""COMPUTED_VALUE"""),1.12231867E8)</f>
        <v>112231867</v>
      </c>
      <c r="B239" s="52" t="str">
        <f>IFERROR(__xludf.DUMMYFUNCTION("""COMPUTED_VALUE"""),"IRYANTO SARES DAKURI")</f>
        <v>IRYANTO SARES DAKURI</v>
      </c>
      <c r="C239" s="52">
        <f>IFERROR(__xludf.DUMMYFUNCTION("""COMPUTED_VALUE"""),0.0)</f>
        <v>0</v>
      </c>
      <c r="D239" s="52"/>
      <c r="E239" s="52" t="str">
        <f>IFERROR(__xludf.DUMMYFUNCTION("""COMPUTED_VALUE"""),"CV. SENTOSA ABADI")</f>
        <v>CV. SENTOSA ABADI</v>
      </c>
      <c r="F239" s="52" t="str">
        <f>IFERROR(__xludf.DUMMYFUNCTION("""COMPUTED_VALUE"""),"ADMIN LOGISTIC")</f>
        <v>ADMIN LOGISTIC</v>
      </c>
      <c r="G239" s="52" t="str">
        <f>IFERROR(__xludf.DUMMYFUNCTION("""COMPUTED_VALUE"""),"LOGISTIC")</f>
        <v>LOGISTIC</v>
      </c>
      <c r="H239" s="52" t="str">
        <f>IFERROR(__xludf.DUMMYFUNCTION("""COMPUTED_VALUE"""),"[0109170014] JENES R. MANOPPO")</f>
        <v>[0109170014] JENES R. MANOPPO</v>
      </c>
      <c r="I239" s="52"/>
      <c r="J239" s="53" t="str">
        <f>IFERROR(__xludf.DUMMYFUNCTION("""COMPUTED_VALUE"""),"[112231867] IRYANTO SARES DAKURI")</f>
        <v>[112231867] IRYANTO SARES DAKURI</v>
      </c>
      <c r="K239" s="52"/>
      <c r="L239" s="52" t="str">
        <f t="shared" si="1"/>
        <v>#VALUE!</v>
      </c>
      <c r="M239" s="52"/>
      <c r="N239" s="52"/>
      <c r="O239" s="52"/>
      <c r="P239" s="52"/>
      <c r="Q239" s="52"/>
      <c r="R239" s="52"/>
      <c r="S239" s="52"/>
      <c r="T239" s="52"/>
      <c r="U239" s="52"/>
      <c r="V239" s="52"/>
      <c r="W239" s="52"/>
      <c r="X239" s="52"/>
      <c r="Y239" s="52"/>
      <c r="Z239" s="52"/>
    </row>
    <row r="240">
      <c r="A240" s="52">
        <f>IFERROR(__xludf.DUMMYFUNCTION("""COMPUTED_VALUE"""),1.12231861E8)</f>
        <v>112231861</v>
      </c>
      <c r="B240" s="52" t="str">
        <f>IFERROR(__xludf.DUMMYFUNCTION("""COMPUTED_VALUE"""),"ISKANDAR")</f>
        <v>ISKANDAR</v>
      </c>
      <c r="C240" s="52">
        <f>IFERROR(__xludf.DUMMYFUNCTION("""COMPUTED_VALUE"""),0.0)</f>
        <v>0</v>
      </c>
      <c r="D240" s="52"/>
      <c r="E240" s="52" t="str">
        <f>IFERROR(__xludf.DUMMYFUNCTION("""COMPUTED_VALUE"""),"CV. SENTOSA ABADI")</f>
        <v>CV. SENTOSA ABADI</v>
      </c>
      <c r="F240" s="52" t="str">
        <f>IFERROR(__xludf.DUMMYFUNCTION("""COMPUTED_VALUE"""),"DRIVER DT H500")</f>
        <v>DRIVER DT H500</v>
      </c>
      <c r="G240" s="52" t="str">
        <f>IFERROR(__xludf.DUMMYFUNCTION("""COMPUTED_VALUE"""),"KENDARAAN &amp; UNIT SUPPORT")</f>
        <v>KENDARAAN &amp; UNIT SUPPORT</v>
      </c>
      <c r="H240" s="52" t="str">
        <f>IFERROR(__xludf.DUMMYFUNCTION("""COMPUTED_VALUE"""),"[0102150004] NAFTALI RARE'A, ST")</f>
        <v>[0102150004] NAFTALI RARE'A, ST</v>
      </c>
      <c r="I240" s="52"/>
      <c r="J240" s="53" t="str">
        <f>IFERROR(__xludf.DUMMYFUNCTION("""COMPUTED_VALUE"""),"[112231861] ISKANDAR")</f>
        <v>[112231861] ISKANDAR</v>
      </c>
      <c r="K240" s="52"/>
      <c r="L240" s="52" t="str">
        <f t="shared" si="1"/>
        <v>#VALUE!</v>
      </c>
      <c r="M240" s="52"/>
      <c r="N240" s="52"/>
      <c r="O240" s="52"/>
      <c r="P240" s="52"/>
      <c r="Q240" s="52"/>
      <c r="R240" s="52"/>
      <c r="S240" s="52"/>
      <c r="T240" s="52"/>
      <c r="U240" s="52"/>
      <c r="V240" s="52"/>
      <c r="W240" s="52"/>
      <c r="X240" s="52"/>
      <c r="Y240" s="52"/>
      <c r="Z240" s="52"/>
    </row>
    <row r="241">
      <c r="A241" s="52">
        <f>IFERROR(__xludf.DUMMYFUNCTION("""COMPUTED_VALUE"""),2.12221713E8)</f>
        <v>212221713</v>
      </c>
      <c r="B241" s="52" t="str">
        <f>IFERROR(__xludf.DUMMYFUNCTION("""COMPUTED_VALUE"""),"ISKARI")</f>
        <v>ISKARI</v>
      </c>
      <c r="C241" s="52">
        <f>IFERROR(__xludf.DUMMYFUNCTION("""COMPUTED_VALUE"""),35.0)</f>
        <v>35</v>
      </c>
      <c r="D241" s="52" t="str">
        <f>IFERROR(__xludf.DUMMYFUNCTION("""COMPUTED_VALUE"""),"Islam")</f>
        <v>Islam</v>
      </c>
      <c r="E241" s="52" t="str">
        <f>IFERROR(__xludf.DUMMYFUNCTION("""COMPUTED_VALUE"""),"CV. Adil Prima Perkasa")</f>
        <v>CV. Adil Prima Perkasa</v>
      </c>
      <c r="F241" s="52" t="str">
        <f>IFERROR(__xludf.DUMMYFUNCTION("""COMPUTED_VALUE"""),"DRIVER DT H700ZS")</f>
        <v>DRIVER DT H700ZS</v>
      </c>
      <c r="G241" s="52" t="str">
        <f>IFERROR(__xludf.DUMMYFUNCTION("""COMPUTED_VALUE"""),"KENDARAAN &amp; UNIT SUPPORT")</f>
        <v>KENDARAAN &amp; UNIT SUPPORT</v>
      </c>
      <c r="H241" s="52" t="str">
        <f>IFERROR(__xludf.DUMMYFUNCTION("""COMPUTED_VALUE"""),"[0102150004] NAFTALI RARE'A, ST")</f>
        <v>[0102150004] NAFTALI RARE'A, ST</v>
      </c>
      <c r="I241" s="55">
        <f>IFERROR(__xludf.DUMMYFUNCTION("""COMPUTED_VALUE"""),34499.0)</f>
        <v>34499</v>
      </c>
      <c r="J241" s="53" t="str">
        <f>IFERROR(__xludf.DUMMYFUNCTION("""COMPUTED_VALUE"""),"[212221713] ISKARI")</f>
        <v>[212221713] ISKARI</v>
      </c>
      <c r="K241" s="52"/>
      <c r="L241" s="52" t="str">
        <f t="shared" si="1"/>
        <v>#VALUE!</v>
      </c>
      <c r="M241" s="52"/>
      <c r="N241" s="52"/>
      <c r="O241" s="52"/>
      <c r="P241" s="52"/>
      <c r="Q241" s="52"/>
      <c r="R241" s="52"/>
      <c r="S241" s="52"/>
      <c r="T241" s="52"/>
      <c r="U241" s="52"/>
      <c r="V241" s="52"/>
      <c r="W241" s="52"/>
      <c r="X241" s="52"/>
      <c r="Y241" s="52"/>
      <c r="Z241" s="52"/>
    </row>
    <row r="242">
      <c r="A242" s="52">
        <f>IFERROR(__xludf.DUMMYFUNCTION("""COMPUTED_VALUE"""),2.10221691E8)</f>
        <v>210221691</v>
      </c>
      <c r="B242" s="52" t="str">
        <f>IFERROR(__xludf.DUMMYFUNCTION("""COMPUTED_VALUE"""),"ISMAIL")</f>
        <v>ISMAIL</v>
      </c>
      <c r="C242" s="52">
        <f>IFERROR(__xludf.DUMMYFUNCTION("""COMPUTED_VALUE"""),20.0)</f>
        <v>20</v>
      </c>
      <c r="D242" s="52" t="str">
        <f>IFERROR(__xludf.DUMMYFUNCTION("""COMPUTED_VALUE"""),"Islam")</f>
        <v>Islam</v>
      </c>
      <c r="E242" s="52" t="str">
        <f>IFERROR(__xludf.DUMMYFUNCTION("""COMPUTED_VALUE"""),"CV. Adil Prima Perkasa")</f>
        <v>CV. Adil Prima Perkasa</v>
      </c>
      <c r="F242" s="52" t="str">
        <f>IFERROR(__xludf.DUMMYFUNCTION("""COMPUTED_VALUE"""),"HELPER TYRE")</f>
        <v>HELPER TYRE</v>
      </c>
      <c r="G242" s="52" t="str">
        <f>IFERROR(__xludf.DUMMYFUNCTION("""COMPUTED_VALUE"""),"WORKSHOP")</f>
        <v>WORKSHOP</v>
      </c>
      <c r="H242" s="52" t="str">
        <f>IFERROR(__xludf.DUMMYFUNCTION("""COMPUTED_VALUE"""),"FALSE")</f>
        <v>FALSE</v>
      </c>
      <c r="I242" s="52"/>
      <c r="J242" s="53" t="str">
        <f>IFERROR(__xludf.DUMMYFUNCTION("""COMPUTED_VALUE"""),"[210221691] ISMAIL")</f>
        <v>[210221691] ISMAIL</v>
      </c>
      <c r="K242" s="52"/>
      <c r="L242" s="52" t="str">
        <f t="shared" si="1"/>
        <v>#VALUE!</v>
      </c>
      <c r="M242" s="52"/>
      <c r="N242" s="52"/>
      <c r="O242" s="52"/>
      <c r="P242" s="52"/>
      <c r="Q242" s="52"/>
      <c r="R242" s="52"/>
      <c r="S242" s="52"/>
      <c r="T242" s="52"/>
      <c r="U242" s="52"/>
      <c r="V242" s="52"/>
      <c r="W242" s="52"/>
      <c r="X242" s="52"/>
      <c r="Y242" s="52"/>
      <c r="Z242" s="52"/>
    </row>
    <row r="243">
      <c r="A243" s="52">
        <f>IFERROR(__xludf.DUMMYFUNCTION("""COMPUTED_VALUE"""),2.0821147E8)</f>
        <v>208211470</v>
      </c>
      <c r="B243" s="52" t="str">
        <f>IFERROR(__xludf.DUMMYFUNCTION("""COMPUTED_VALUE"""),"ISMAIL")</f>
        <v>ISMAIL</v>
      </c>
      <c r="C243" s="52">
        <f>IFERROR(__xludf.DUMMYFUNCTION("""COMPUTED_VALUE"""),52.0)</f>
        <v>52</v>
      </c>
      <c r="D243" s="52" t="str">
        <f>IFERROR(__xludf.DUMMYFUNCTION("""COMPUTED_VALUE"""),"Islam")</f>
        <v>Islam</v>
      </c>
      <c r="E243" s="52" t="str">
        <f>IFERROR(__xludf.DUMMYFUNCTION("""COMPUTED_VALUE"""),"CV. Adil Prima Perkasa")</f>
        <v>CV. Adil Prima Perkasa</v>
      </c>
      <c r="F243" s="52" t="str">
        <f>IFERROR(__xludf.DUMMYFUNCTION("""COMPUTED_VALUE"""),"OPERATOR GRADER")</f>
        <v>OPERATOR GRADER</v>
      </c>
      <c r="G243" s="52" t="str">
        <f>IFERROR(__xludf.DUMMYFUNCTION("""COMPUTED_VALUE"""),"PRODUKSI")</f>
        <v>PRODUKSI</v>
      </c>
      <c r="H243" s="52" t="str">
        <f>IFERROR(__xludf.DUMMYFUNCTION("""COMPUTED_VALUE"""),"[0102130003] PURNAWAN")</f>
        <v>[0102130003] PURNAWAN</v>
      </c>
      <c r="I243" s="55">
        <f>IFERROR(__xludf.DUMMYFUNCTION("""COMPUTED_VALUE"""),23454.0)</f>
        <v>23454</v>
      </c>
      <c r="J243" s="53" t="str">
        <f>IFERROR(__xludf.DUMMYFUNCTION("""COMPUTED_VALUE"""),"[208211470] ISMAIL")</f>
        <v>[208211470] ISMAIL</v>
      </c>
      <c r="K243" s="52"/>
      <c r="L243" s="52" t="str">
        <f t="shared" si="1"/>
        <v>#VALUE!</v>
      </c>
      <c r="M243" s="52"/>
      <c r="N243" s="52"/>
      <c r="O243" s="52"/>
      <c r="P243" s="52"/>
      <c r="Q243" s="52"/>
      <c r="R243" s="52"/>
      <c r="S243" s="52"/>
      <c r="T243" s="52"/>
      <c r="U243" s="52"/>
      <c r="V243" s="52"/>
      <c r="W243" s="52"/>
      <c r="X243" s="52"/>
      <c r="Y243" s="52"/>
      <c r="Z243" s="52"/>
    </row>
    <row r="244">
      <c r="A244" s="52">
        <f>IFERROR(__xludf.DUMMYFUNCTION("""COMPUTED_VALUE"""),1.08191041E8)</f>
        <v>108191041</v>
      </c>
      <c r="B244" s="52" t="str">
        <f>IFERROR(__xludf.DUMMYFUNCTION("""COMPUTED_VALUE"""),"ISMAIL")</f>
        <v>ISMAIL</v>
      </c>
      <c r="C244" s="52">
        <f>IFERROR(__xludf.DUMMYFUNCTION("""COMPUTED_VALUE"""),37.0)</f>
        <v>37</v>
      </c>
      <c r="D244" s="52" t="str">
        <f>IFERROR(__xludf.DUMMYFUNCTION("""COMPUTED_VALUE"""),"Islam")</f>
        <v>Islam</v>
      </c>
      <c r="E244" s="52" t="str">
        <f>IFERROR(__xludf.DUMMYFUNCTION("""COMPUTED_VALUE"""),"CV. SENTOSA ABADI")</f>
        <v>CV. SENTOSA ABADI</v>
      </c>
      <c r="F244" s="52" t="str">
        <f>IFERROR(__xludf.DUMMYFUNCTION("""COMPUTED_VALUE"""),"DRIVER DT H700ZY")</f>
        <v>DRIVER DT H700ZY</v>
      </c>
      <c r="G244" s="52" t="str">
        <f>IFERROR(__xludf.DUMMYFUNCTION("""COMPUTED_VALUE"""),"KENDARAAN &amp; UNIT SUPPORT")</f>
        <v>KENDARAAN &amp; UNIT SUPPORT</v>
      </c>
      <c r="H244" s="52" t="str">
        <f>IFERROR(__xludf.DUMMYFUNCTION("""COMPUTED_VALUE"""),"[0102150004] NAFTALI RARE'A, ST")</f>
        <v>[0102150004] NAFTALI RARE'A, ST</v>
      </c>
      <c r="I244" s="55">
        <f>IFERROR(__xludf.DUMMYFUNCTION("""COMPUTED_VALUE"""),36015.0)</f>
        <v>36015</v>
      </c>
      <c r="J244" s="53" t="str">
        <f>IFERROR(__xludf.DUMMYFUNCTION("""COMPUTED_VALUE"""),"[108191041] ISMAIL")</f>
        <v>[108191041] ISMAIL</v>
      </c>
      <c r="K244" s="52"/>
      <c r="L244" s="52" t="str">
        <f t="shared" si="1"/>
        <v>#VALUE!</v>
      </c>
      <c r="M244" s="52"/>
      <c r="N244" s="52"/>
      <c r="O244" s="52"/>
      <c r="P244" s="52"/>
      <c r="Q244" s="52"/>
      <c r="R244" s="52"/>
      <c r="S244" s="52"/>
      <c r="T244" s="52"/>
      <c r="U244" s="52"/>
      <c r="V244" s="52"/>
      <c r="W244" s="52"/>
      <c r="X244" s="52"/>
      <c r="Y244" s="52"/>
      <c r="Z244" s="52"/>
    </row>
    <row r="245">
      <c r="A245" s="52">
        <f>IFERROR(__xludf.DUMMYFUNCTION("""COMPUTED_VALUE"""),1.07201166E8)</f>
        <v>107201166</v>
      </c>
      <c r="B245" s="52" t="str">
        <f>IFERROR(__xludf.DUMMYFUNCTION("""COMPUTED_VALUE"""),"ISMAN.M")</f>
        <v>ISMAN.M</v>
      </c>
      <c r="C245" s="52">
        <f>IFERROR(__xludf.DUMMYFUNCTION("""COMPUTED_VALUE"""),41.0)</f>
        <v>41</v>
      </c>
      <c r="D245" s="52" t="str">
        <f>IFERROR(__xludf.DUMMYFUNCTION("""COMPUTED_VALUE"""),"Islam")</f>
        <v>Islam</v>
      </c>
      <c r="E245" s="52" t="str">
        <f>IFERROR(__xludf.DUMMYFUNCTION("""COMPUTED_VALUE"""),"CV. SENTOSA ABADI")</f>
        <v>CV. SENTOSA ABADI</v>
      </c>
      <c r="F245" s="52" t="str">
        <f>IFERROR(__xludf.DUMMYFUNCTION("""COMPUTED_VALUE"""),"FOREMAN GRADE CONTROL")</f>
        <v>FOREMAN GRADE CONTROL</v>
      </c>
      <c r="G245" s="52" t="str">
        <f>IFERROR(__xludf.DUMMYFUNCTION("""COMPUTED_VALUE"""),"GRADE CONTROL")</f>
        <v>GRADE CONTROL</v>
      </c>
      <c r="H245" s="52" t="str">
        <f>IFERROR(__xludf.DUMMYFUNCTION("""COMPUTED_VALUE"""),"[0107201164] A.CHRISTI ARI WIBOWO")</f>
        <v>[0107201164] A.CHRISTI ARI WIBOWO</v>
      </c>
      <c r="I245" s="55">
        <f>IFERROR(__xludf.DUMMYFUNCTION("""COMPUTED_VALUE"""),32453.0)</f>
        <v>32453</v>
      </c>
      <c r="J245" s="53" t="str">
        <f>IFERROR(__xludf.DUMMYFUNCTION("""COMPUTED_VALUE"""),"[107201166] ISMAN.M")</f>
        <v>[107201166] ISMAN.M</v>
      </c>
      <c r="K245" s="52"/>
      <c r="L245" s="52" t="str">
        <f t="shared" si="1"/>
        <v>#VALUE!</v>
      </c>
      <c r="M245" s="52"/>
      <c r="N245" s="52"/>
      <c r="O245" s="52"/>
      <c r="P245" s="52"/>
      <c r="Q245" s="52"/>
      <c r="R245" s="52"/>
      <c r="S245" s="52"/>
      <c r="T245" s="52"/>
      <c r="U245" s="52"/>
      <c r="V245" s="52"/>
      <c r="W245" s="52"/>
      <c r="X245" s="52"/>
      <c r="Y245" s="52"/>
      <c r="Z245" s="52"/>
    </row>
    <row r="246">
      <c r="A246" s="52">
        <f>IFERROR(__xludf.DUMMYFUNCTION("""COMPUTED_VALUE"""),1.08201211E8)</f>
        <v>108201211</v>
      </c>
      <c r="B246" s="52" t="str">
        <f>IFERROR(__xludf.DUMMYFUNCTION("""COMPUTED_VALUE"""),"ISRUN AKANGKUNG")</f>
        <v>ISRUN AKANGKUNG</v>
      </c>
      <c r="C246" s="52">
        <f>IFERROR(__xludf.DUMMYFUNCTION("""COMPUTED_VALUE"""),59.0)</f>
        <v>59</v>
      </c>
      <c r="D246" s="52" t="str">
        <f>IFERROR(__xludf.DUMMYFUNCTION("""COMPUTED_VALUE"""),"Islam")</f>
        <v>Islam</v>
      </c>
      <c r="E246" s="52" t="str">
        <f>IFERROR(__xludf.DUMMYFUNCTION("""COMPUTED_VALUE"""),"CV. SENTOSA ABADI")</f>
        <v>CV. SENTOSA ABADI</v>
      </c>
      <c r="F246" s="52" t="str">
        <f>IFERROR(__xludf.DUMMYFUNCTION("""COMPUTED_VALUE"""),"DRIVER DT H700ZY")</f>
        <v>DRIVER DT H700ZY</v>
      </c>
      <c r="G246" s="52" t="str">
        <f>IFERROR(__xludf.DUMMYFUNCTION("""COMPUTED_VALUE"""),"KENDARAAN &amp; UNIT SUPPORT")</f>
        <v>KENDARAAN &amp; UNIT SUPPORT</v>
      </c>
      <c r="H246" s="52" t="str">
        <f>IFERROR(__xludf.DUMMYFUNCTION("""COMPUTED_VALUE"""),"[0102150004] NAFTALI RARE'A, ST")</f>
        <v>[0102150004] NAFTALI RARE'A, ST</v>
      </c>
      <c r="I246" s="52"/>
      <c r="J246" s="53" t="str">
        <f>IFERROR(__xludf.DUMMYFUNCTION("""COMPUTED_VALUE"""),"[108201211] ISRUN AKANGKUNG")</f>
        <v>[108201211] ISRUN AKANGKUNG</v>
      </c>
      <c r="K246" s="52"/>
      <c r="L246" s="52" t="str">
        <f t="shared" si="1"/>
        <v>#VALUE!</v>
      </c>
      <c r="M246" s="52"/>
      <c r="N246" s="52"/>
      <c r="O246" s="52"/>
      <c r="P246" s="52"/>
      <c r="Q246" s="52"/>
      <c r="R246" s="52"/>
      <c r="S246" s="52"/>
      <c r="T246" s="52"/>
      <c r="U246" s="52"/>
      <c r="V246" s="52"/>
      <c r="W246" s="52"/>
      <c r="X246" s="52"/>
      <c r="Y246" s="52"/>
      <c r="Z246" s="52"/>
    </row>
    <row r="247">
      <c r="A247" s="52">
        <f>IFERROR(__xludf.DUMMYFUNCTION("""COMPUTED_VALUE"""),2.08231825E8)</f>
        <v>208231825</v>
      </c>
      <c r="B247" s="52" t="str">
        <f>IFERROR(__xludf.DUMMYFUNCTION("""COMPUTED_VALUE"""),"ISWANDI")</f>
        <v>ISWANDI</v>
      </c>
      <c r="C247" s="52">
        <f>IFERROR(__xludf.DUMMYFUNCTION("""COMPUTED_VALUE"""),29.0)</f>
        <v>29</v>
      </c>
      <c r="D247" s="52" t="str">
        <f>IFERROR(__xludf.DUMMYFUNCTION("""COMPUTED_VALUE"""),"Islam")</f>
        <v>Islam</v>
      </c>
      <c r="E247" s="52" t="str">
        <f>IFERROR(__xludf.DUMMYFUNCTION("""COMPUTED_VALUE"""),"CV. Adil Prima Perkasa")</f>
        <v>CV. Adil Prima Perkasa</v>
      </c>
      <c r="F247" s="52" t="str">
        <f>IFERROR(__xludf.DUMMYFUNCTION("""COMPUTED_VALUE"""),"HELPER MECHANIC DT OTR")</f>
        <v>HELPER MECHANIC DT OTR</v>
      </c>
      <c r="G247" s="52" t="str">
        <f>IFERROR(__xludf.DUMMYFUNCTION("""COMPUTED_VALUE"""),"WORKSHOP")</f>
        <v>WORKSHOP</v>
      </c>
      <c r="H247" s="52" t="str">
        <f>IFERROR(__xludf.DUMMYFUNCTION("""COMPUTED_VALUE"""),"[0106190928] NATAN KONDO")</f>
        <v>[0106190928] NATAN KONDO</v>
      </c>
      <c r="I247" s="52"/>
      <c r="J247" s="53" t="str">
        <f>IFERROR(__xludf.DUMMYFUNCTION("""COMPUTED_VALUE"""),"[208231825] ISWANDI")</f>
        <v>[208231825] ISWANDI</v>
      </c>
      <c r="K247" s="52"/>
      <c r="L247" s="52" t="str">
        <f t="shared" si="1"/>
        <v>#VALUE!</v>
      </c>
      <c r="M247" s="52"/>
      <c r="N247" s="52"/>
      <c r="O247" s="52"/>
      <c r="P247" s="52"/>
      <c r="Q247" s="52"/>
      <c r="R247" s="52"/>
      <c r="S247" s="52"/>
      <c r="T247" s="52"/>
      <c r="U247" s="52"/>
      <c r="V247" s="52"/>
      <c r="W247" s="52"/>
      <c r="X247" s="52"/>
      <c r="Y247" s="52"/>
      <c r="Z247" s="52"/>
    </row>
    <row r="248">
      <c r="A248" s="52">
        <f>IFERROR(__xludf.DUMMYFUNCTION("""COMPUTED_VALUE"""),2.02211343E8)</f>
        <v>202211343</v>
      </c>
      <c r="B248" s="52" t="str">
        <f>IFERROR(__xludf.DUMMYFUNCTION("""COMPUTED_VALUE"""),"JABAL")</f>
        <v>JABAL</v>
      </c>
      <c r="C248" s="52">
        <f>IFERROR(__xludf.DUMMYFUNCTION("""COMPUTED_VALUE"""),22.0)</f>
        <v>22</v>
      </c>
      <c r="D248" s="52" t="str">
        <f>IFERROR(__xludf.DUMMYFUNCTION("""COMPUTED_VALUE"""),"Islam")</f>
        <v>Islam</v>
      </c>
      <c r="E248" s="52" t="str">
        <f>IFERROR(__xludf.DUMMYFUNCTION("""COMPUTED_VALUE"""),"CV. Adil Prima Perkasa")</f>
        <v>CV. Adil Prima Perkasa</v>
      </c>
      <c r="F248" s="52" t="str">
        <f>IFERROR(__xludf.DUMMYFUNCTION("""COMPUTED_VALUE"""),"CHECKER KENDARAAN")</f>
        <v>CHECKER KENDARAAN</v>
      </c>
      <c r="G248" s="52" t="str">
        <f>IFERROR(__xludf.DUMMYFUNCTION("""COMPUTED_VALUE"""),"KENDARAAN &amp; UNIT SUPPORT")</f>
        <v>KENDARAAN &amp; UNIT SUPPORT</v>
      </c>
      <c r="H248" s="52" t="str">
        <f>IFERROR(__xludf.DUMMYFUNCTION("""COMPUTED_VALUE"""),"[0102150004] NAFTALI RARE'A, ST")</f>
        <v>[0102150004] NAFTALI RARE'A, ST</v>
      </c>
      <c r="I248" s="52"/>
      <c r="J248" s="53" t="str">
        <f>IFERROR(__xludf.DUMMYFUNCTION("""COMPUTED_VALUE"""),"[202211343] JABAL")</f>
        <v>[202211343] JABAL</v>
      </c>
      <c r="K248" s="52"/>
      <c r="L248" s="52" t="str">
        <f t="shared" si="1"/>
        <v>#VALUE!</v>
      </c>
      <c r="M248" s="52"/>
      <c r="N248" s="52"/>
      <c r="O248" s="52"/>
      <c r="P248" s="52"/>
      <c r="Q248" s="52"/>
      <c r="R248" s="52"/>
      <c r="S248" s="52"/>
      <c r="T248" s="52"/>
      <c r="U248" s="52"/>
      <c r="V248" s="52"/>
      <c r="W248" s="52"/>
      <c r="X248" s="52"/>
      <c r="Y248" s="52"/>
      <c r="Z248" s="52"/>
    </row>
    <row r="249">
      <c r="A249" s="52"/>
      <c r="B249" s="52" t="str">
        <f>IFERROR(__xludf.DUMMYFUNCTION("""COMPUTED_VALUE"""),"JABL")</f>
        <v>JABL</v>
      </c>
      <c r="C249" s="52">
        <f>IFERROR(__xludf.DUMMYFUNCTION("""COMPUTED_VALUE"""),0.0)</f>
        <v>0</v>
      </c>
      <c r="D249" s="52"/>
      <c r="E249" s="52" t="str">
        <f>IFERROR(__xludf.DUMMYFUNCTION("""COMPUTED_VALUE"""),"CV. Adil Prima Perkasa")</f>
        <v>CV. Adil Prima Perkasa</v>
      </c>
      <c r="F249" s="52" t="str">
        <f>IFERROR(__xludf.DUMMYFUNCTION("""COMPUTED_VALUE"""),"FALSE")</f>
        <v>FALSE</v>
      </c>
      <c r="G249" s="52" t="str">
        <f>IFERROR(__xludf.DUMMYFUNCTION("""COMPUTED_VALUE"""),"FALSE")</f>
        <v>FALSE</v>
      </c>
      <c r="H249" s="52" t="str">
        <f>IFERROR(__xludf.DUMMYFUNCTION("""COMPUTED_VALUE"""),"FALSE")</f>
        <v>FALSE</v>
      </c>
      <c r="I249" s="52"/>
      <c r="J249" s="53" t="str">
        <f>IFERROR(__xludf.DUMMYFUNCTION("""COMPUTED_VALUE"""),"[] JABL")</f>
        <v>[] JABL</v>
      </c>
      <c r="K249" s="52"/>
      <c r="L249" s="52" t="str">
        <f t="shared" si="1"/>
        <v>#VALUE!</v>
      </c>
      <c r="M249" s="52"/>
      <c r="N249" s="52"/>
      <c r="O249" s="52"/>
      <c r="P249" s="52"/>
      <c r="Q249" s="52"/>
      <c r="R249" s="52"/>
      <c r="S249" s="52"/>
      <c r="T249" s="52"/>
      <c r="U249" s="52"/>
      <c r="V249" s="52"/>
      <c r="W249" s="52"/>
      <c r="X249" s="52"/>
      <c r="Y249" s="52"/>
      <c r="Z249" s="52"/>
    </row>
    <row r="250">
      <c r="A250" s="52">
        <f>IFERROR(__xludf.DUMMYFUNCTION("""COMPUTED_VALUE"""),1.1223186E8)</f>
        <v>112231860</v>
      </c>
      <c r="B250" s="52" t="str">
        <f>IFERROR(__xludf.DUMMYFUNCTION("""COMPUTED_VALUE"""),"JAIN RAMDIANTO LUMOTO")</f>
        <v>JAIN RAMDIANTO LUMOTO</v>
      </c>
      <c r="C250" s="52">
        <f>IFERROR(__xludf.DUMMYFUNCTION("""COMPUTED_VALUE"""),0.0)</f>
        <v>0</v>
      </c>
      <c r="D250" s="52"/>
      <c r="E250" s="52" t="str">
        <f>IFERROR(__xludf.DUMMYFUNCTION("""COMPUTED_VALUE"""),"CV. SENTOSA ABADI")</f>
        <v>CV. SENTOSA ABADI</v>
      </c>
      <c r="F250" s="52" t="str">
        <f>IFERROR(__xludf.DUMMYFUNCTION("""COMPUTED_VALUE"""),"DRIVER DT H500")</f>
        <v>DRIVER DT H500</v>
      </c>
      <c r="G250" s="52" t="str">
        <f>IFERROR(__xludf.DUMMYFUNCTION("""COMPUTED_VALUE"""),"KENDARAAN &amp; UNIT SUPPORT")</f>
        <v>KENDARAAN &amp; UNIT SUPPORT</v>
      </c>
      <c r="H250" s="52" t="str">
        <f>IFERROR(__xludf.DUMMYFUNCTION("""COMPUTED_VALUE"""),"[0102150004] NAFTALI RARE'A, ST")</f>
        <v>[0102150004] NAFTALI RARE'A, ST</v>
      </c>
      <c r="I250" s="52"/>
      <c r="J250" s="53" t="str">
        <f>IFERROR(__xludf.DUMMYFUNCTION("""COMPUTED_VALUE"""),"[112231860] JAIN RAMDIANTO LUMOTO")</f>
        <v>[112231860] JAIN RAMDIANTO LUMOTO</v>
      </c>
      <c r="K250" s="52"/>
      <c r="L250" s="52" t="str">
        <f t="shared" si="1"/>
        <v>#VALUE!</v>
      </c>
      <c r="M250" s="52"/>
      <c r="N250" s="52"/>
      <c r="O250" s="52"/>
      <c r="P250" s="52"/>
      <c r="Q250" s="52"/>
      <c r="R250" s="52"/>
      <c r="S250" s="52"/>
      <c r="T250" s="52"/>
      <c r="U250" s="52"/>
      <c r="V250" s="52"/>
      <c r="W250" s="52"/>
      <c r="X250" s="52"/>
      <c r="Y250" s="52"/>
      <c r="Z250" s="52"/>
    </row>
    <row r="251">
      <c r="A251" s="52">
        <f>IFERROR(__xludf.DUMMYFUNCTION("""COMPUTED_VALUE"""),3.09220106E8)</f>
        <v>309220106</v>
      </c>
      <c r="B251" s="52" t="str">
        <f>IFERROR(__xludf.DUMMYFUNCTION("""COMPUTED_VALUE"""),"JAINAL TURUSI")</f>
        <v>JAINAL TURUSI</v>
      </c>
      <c r="C251" s="52">
        <f>IFERROR(__xludf.DUMMYFUNCTION("""COMPUTED_VALUE"""),23.0)</f>
        <v>23</v>
      </c>
      <c r="D251" s="52" t="str">
        <f>IFERROR(__xludf.DUMMYFUNCTION("""COMPUTED_VALUE"""),"Islam")</f>
        <v>Islam</v>
      </c>
      <c r="E251" s="52" t="str">
        <f>IFERROR(__xludf.DUMMYFUNCTION("""COMPUTED_VALUE"""),"CV. Monalisa")</f>
        <v>CV. Monalisa</v>
      </c>
      <c r="F251" s="52" t="str">
        <f>IFERROR(__xludf.DUMMYFUNCTION("""COMPUTED_VALUE"""),"CREW SURVEY")</f>
        <v>CREW SURVEY</v>
      </c>
      <c r="G251" s="52" t="str">
        <f>IFERROR(__xludf.DUMMYFUNCTION("""COMPUTED_VALUE"""),"MPE")</f>
        <v>MPE</v>
      </c>
      <c r="H251" s="52" t="str">
        <f>IFERROR(__xludf.DUMMYFUNCTION("""COMPUTED_VALUE"""),"[0102150008] ERWIN SAPA")</f>
        <v>[0102150008] ERWIN SAPA</v>
      </c>
      <c r="I251" s="52"/>
      <c r="J251" s="53" t="str">
        <f>IFERROR(__xludf.DUMMYFUNCTION("""COMPUTED_VALUE"""),"[309220106] JAINAL TURUSI")</f>
        <v>[309220106] JAINAL TURUSI</v>
      </c>
      <c r="K251" s="52"/>
      <c r="L251" s="52" t="str">
        <f t="shared" si="1"/>
        <v>#VALUE!</v>
      </c>
      <c r="M251" s="52"/>
      <c r="N251" s="52"/>
      <c r="O251" s="52"/>
      <c r="P251" s="52"/>
      <c r="Q251" s="52"/>
      <c r="R251" s="52"/>
      <c r="S251" s="52"/>
      <c r="T251" s="52"/>
      <c r="U251" s="52"/>
      <c r="V251" s="52"/>
      <c r="W251" s="52"/>
      <c r="X251" s="52"/>
      <c r="Y251" s="52"/>
      <c r="Z251" s="52"/>
    </row>
    <row r="252">
      <c r="A252" s="52">
        <f>IFERROR(__xludf.DUMMYFUNCTION("""COMPUTED_VALUE"""),2.03221602E8)</f>
        <v>203221602</v>
      </c>
      <c r="B252" s="52" t="str">
        <f>IFERROR(__xludf.DUMMYFUNCTION("""COMPUTED_VALUE"""),"JAMALUDDIN")</f>
        <v>JAMALUDDIN</v>
      </c>
      <c r="C252" s="52">
        <f>IFERROR(__xludf.DUMMYFUNCTION("""COMPUTED_VALUE"""),40.0)</f>
        <v>40</v>
      </c>
      <c r="D252" s="52" t="str">
        <f>IFERROR(__xludf.DUMMYFUNCTION("""COMPUTED_VALUE"""),"Islam")</f>
        <v>Islam</v>
      </c>
      <c r="E252" s="52" t="str">
        <f>IFERROR(__xludf.DUMMYFUNCTION("""COMPUTED_VALUE"""),"CV. Adil Prima Perkasa")</f>
        <v>CV. Adil Prima Perkasa</v>
      </c>
      <c r="F252" s="52" t="str">
        <f>IFERROR(__xludf.DUMMYFUNCTION("""COMPUTED_VALUE"""),"DRIVER DT H700ZY")</f>
        <v>DRIVER DT H700ZY</v>
      </c>
      <c r="G252" s="52" t="str">
        <f>IFERROR(__xludf.DUMMYFUNCTION("""COMPUTED_VALUE"""),"KENDARAAN &amp; UNIT SUPPORT")</f>
        <v>KENDARAAN &amp; UNIT SUPPORT</v>
      </c>
      <c r="H252" s="52" t="str">
        <f>IFERROR(__xludf.DUMMYFUNCTION("""COMPUTED_VALUE"""),"[0102150004] NAFTALI RARE'A, ST")</f>
        <v>[0102150004] NAFTALI RARE'A, ST</v>
      </c>
      <c r="I252" s="52"/>
      <c r="J252" s="53" t="str">
        <f>IFERROR(__xludf.DUMMYFUNCTION("""COMPUTED_VALUE"""),"[203221602] JAMALUDDIN")</f>
        <v>[203221602] JAMALUDDIN</v>
      </c>
      <c r="K252" s="52"/>
      <c r="L252" s="52" t="str">
        <f t="shared" si="1"/>
        <v>#VALUE!</v>
      </c>
      <c r="M252" s="52"/>
      <c r="N252" s="52"/>
      <c r="O252" s="52"/>
      <c r="P252" s="52"/>
      <c r="Q252" s="52"/>
      <c r="R252" s="52"/>
      <c r="S252" s="52"/>
      <c r="T252" s="52"/>
      <c r="U252" s="52"/>
      <c r="V252" s="52"/>
      <c r="W252" s="52"/>
      <c r="X252" s="52"/>
      <c r="Y252" s="52"/>
      <c r="Z252" s="52"/>
    </row>
    <row r="253">
      <c r="A253" s="52">
        <f>IFERROR(__xludf.DUMMYFUNCTION("""COMPUTED_VALUE"""),4.07230005E8)</f>
        <v>407230005</v>
      </c>
      <c r="B253" s="52" t="str">
        <f>IFERROR(__xludf.DUMMYFUNCTION("""COMPUTED_VALUE"""),"JAMALUDDIN TALAMOA")</f>
        <v>JAMALUDDIN TALAMOA</v>
      </c>
      <c r="C253" s="52">
        <f>IFERROR(__xludf.DUMMYFUNCTION("""COMPUTED_VALUE"""),0.0)</f>
        <v>0</v>
      </c>
      <c r="D253" s="52"/>
      <c r="E253" s="52" t="str">
        <f>IFERROR(__xludf.DUMMYFUNCTION("""COMPUTED_VALUE"""),"CV. SENTOSA ABADI")</f>
        <v>CV. SENTOSA ABADI</v>
      </c>
      <c r="F253" s="52" t="str">
        <f>IFERROR(__xludf.DUMMYFUNCTION("""COMPUTED_VALUE"""),"DRIVER DT H500")</f>
        <v>DRIVER DT H500</v>
      </c>
      <c r="G253" s="52" t="str">
        <f>IFERROR(__xludf.DUMMYFUNCTION("""COMPUTED_VALUE"""),"KENDARAAN &amp; UNIT SUPPORT")</f>
        <v>KENDARAAN &amp; UNIT SUPPORT</v>
      </c>
      <c r="H253" s="52" t="str">
        <f>IFERROR(__xludf.DUMMYFUNCTION("""COMPUTED_VALUE"""),"[0102150004] NAFTALI RARE'A, ST")</f>
        <v>[0102150004] NAFTALI RARE'A, ST</v>
      </c>
      <c r="I253" s="52"/>
      <c r="J253" s="53" t="str">
        <f>IFERROR(__xludf.DUMMYFUNCTION("""COMPUTED_VALUE"""),"[407230005] JAMALUDDIN TALAMOA")</f>
        <v>[407230005] JAMALUDDIN TALAMOA</v>
      </c>
      <c r="K253" s="52"/>
      <c r="L253" s="52" t="str">
        <f t="shared" si="1"/>
        <v>#VALUE!</v>
      </c>
      <c r="M253" s="52"/>
      <c r="N253" s="52"/>
      <c r="O253" s="52"/>
      <c r="P253" s="52"/>
      <c r="Q253" s="52"/>
      <c r="R253" s="52"/>
      <c r="S253" s="52"/>
      <c r="T253" s="52"/>
      <c r="U253" s="52"/>
      <c r="V253" s="52"/>
      <c r="W253" s="52"/>
      <c r="X253" s="52"/>
      <c r="Y253" s="52"/>
      <c r="Z253" s="52"/>
    </row>
    <row r="254">
      <c r="A254" s="52">
        <f>IFERROR(__xludf.DUMMYFUNCTION("""COMPUTED_VALUE"""),1.05221626E8)</f>
        <v>105221626</v>
      </c>
      <c r="B254" s="52" t="str">
        <f>IFERROR(__xludf.DUMMYFUNCTION("""COMPUTED_VALUE"""),"JAMALUDDIN. A")</f>
        <v>JAMALUDDIN. A</v>
      </c>
      <c r="C254" s="52">
        <f>IFERROR(__xludf.DUMMYFUNCTION("""COMPUTED_VALUE"""),51.0)</f>
        <v>51</v>
      </c>
      <c r="D254" s="52" t="str">
        <f>IFERROR(__xludf.DUMMYFUNCTION("""COMPUTED_VALUE"""),"Islam")</f>
        <v>Islam</v>
      </c>
      <c r="E254" s="52" t="str">
        <f>IFERROR(__xludf.DUMMYFUNCTION("""COMPUTED_VALUE"""),"CV. SENTOSA ABADI")</f>
        <v>CV. SENTOSA ABADI</v>
      </c>
      <c r="F254" s="52" t="str">
        <f>IFERROR(__xludf.DUMMYFUNCTION("""COMPUTED_VALUE"""),"DRIVER DT H700ZS")</f>
        <v>DRIVER DT H700ZS</v>
      </c>
      <c r="G254" s="52" t="str">
        <f>IFERROR(__xludf.DUMMYFUNCTION("""COMPUTED_VALUE"""),"KENDARAAN &amp; UNIT SUPPORT")</f>
        <v>KENDARAAN &amp; UNIT SUPPORT</v>
      </c>
      <c r="H254" s="52" t="str">
        <f>IFERROR(__xludf.DUMMYFUNCTION("""COMPUTED_VALUE"""),"[0102150004] NAFTALI RARE'A, ST")</f>
        <v>[0102150004] NAFTALI RARE'A, ST</v>
      </c>
      <c r="I254" s="55">
        <f>IFERROR(__xludf.DUMMYFUNCTION("""COMPUTED_VALUE"""),27885.0)</f>
        <v>27885</v>
      </c>
      <c r="J254" s="53" t="str">
        <f>IFERROR(__xludf.DUMMYFUNCTION("""COMPUTED_VALUE"""),"[105221626] JAMALUDDIN. A")</f>
        <v>[105221626] JAMALUDDIN. A</v>
      </c>
      <c r="K254" s="52"/>
      <c r="L254" s="52" t="str">
        <f t="shared" si="1"/>
        <v>#VALUE!</v>
      </c>
      <c r="M254" s="52"/>
      <c r="N254" s="52"/>
      <c r="O254" s="52"/>
      <c r="P254" s="52"/>
      <c r="Q254" s="52"/>
      <c r="R254" s="52"/>
      <c r="S254" s="52"/>
      <c r="T254" s="52"/>
      <c r="U254" s="52"/>
      <c r="V254" s="52"/>
      <c r="W254" s="52"/>
      <c r="X254" s="52"/>
      <c r="Y254" s="52"/>
      <c r="Z254" s="52"/>
    </row>
    <row r="255">
      <c r="A255" s="52">
        <f>IFERROR(__xludf.DUMMYFUNCTION("""COMPUTED_VALUE"""),2.07231811E8)</f>
        <v>207231811</v>
      </c>
      <c r="B255" s="52" t="str">
        <f>IFERROR(__xludf.DUMMYFUNCTION("""COMPUTED_VALUE"""),"JAMER SONGKO")</f>
        <v>JAMER SONGKO</v>
      </c>
      <c r="C255" s="52">
        <f>IFERROR(__xludf.DUMMYFUNCTION("""COMPUTED_VALUE"""),0.0)</f>
        <v>0</v>
      </c>
      <c r="D255" s="52"/>
      <c r="E255" s="52" t="str">
        <f>IFERROR(__xludf.DUMMYFUNCTION("""COMPUTED_VALUE"""),"CV. Adil Prima Perkasa")</f>
        <v>CV. Adil Prima Perkasa</v>
      </c>
      <c r="F255" s="52" t="str">
        <f>IFERROR(__xludf.DUMMYFUNCTION("""COMPUTED_VALUE"""),"HELPER TYRE")</f>
        <v>HELPER TYRE</v>
      </c>
      <c r="G255" s="52" t="str">
        <f>IFERROR(__xludf.DUMMYFUNCTION("""COMPUTED_VALUE"""),"WORKSHOP")</f>
        <v>WORKSHOP</v>
      </c>
      <c r="H255" s="52" t="str">
        <f>IFERROR(__xludf.DUMMYFUNCTION("""COMPUTED_VALUE"""),"[0106190928] NATAN KONDO")</f>
        <v>[0106190928] NATAN KONDO</v>
      </c>
      <c r="I255" s="52"/>
      <c r="J255" s="53" t="str">
        <f>IFERROR(__xludf.DUMMYFUNCTION("""COMPUTED_VALUE"""),"[207231811] JAMER SONGKO")</f>
        <v>[207231811] JAMER SONGKO</v>
      </c>
      <c r="K255" s="52"/>
      <c r="L255" s="52" t="str">
        <f t="shared" si="1"/>
        <v>#VALUE!</v>
      </c>
      <c r="M255" s="52"/>
      <c r="N255" s="52"/>
      <c r="O255" s="52"/>
      <c r="P255" s="52"/>
      <c r="Q255" s="52"/>
      <c r="R255" s="52"/>
      <c r="S255" s="52"/>
      <c r="T255" s="52"/>
      <c r="U255" s="52"/>
      <c r="V255" s="52"/>
      <c r="W255" s="52"/>
      <c r="X255" s="52"/>
      <c r="Y255" s="52"/>
      <c r="Z255" s="52"/>
    </row>
    <row r="256">
      <c r="A256" s="52">
        <f>IFERROR(__xludf.DUMMYFUNCTION("""COMPUTED_VALUE"""),1.02190772E8)</f>
        <v>102190772</v>
      </c>
      <c r="B256" s="52" t="str">
        <f>IFERROR(__xludf.DUMMYFUNCTION("""COMPUTED_VALUE"""),"JASMAN")</f>
        <v>JASMAN</v>
      </c>
      <c r="C256" s="52">
        <f>IFERROR(__xludf.DUMMYFUNCTION("""COMPUTED_VALUE"""),44.0)</f>
        <v>44</v>
      </c>
      <c r="D256" s="52" t="str">
        <f>IFERROR(__xludf.DUMMYFUNCTION("""COMPUTED_VALUE"""),"Islam")</f>
        <v>Islam</v>
      </c>
      <c r="E256" s="52" t="str">
        <f>IFERROR(__xludf.DUMMYFUNCTION("""COMPUTED_VALUE"""),"CV. SENTOSA ABADI")</f>
        <v>CV. SENTOSA ABADI</v>
      </c>
      <c r="F256" s="52" t="str">
        <f>IFERROR(__xludf.DUMMYFUNCTION("""COMPUTED_VALUE"""),"HELPER MEKANIK LV")</f>
        <v>HELPER MEKANIK LV</v>
      </c>
      <c r="G256" s="52" t="str">
        <f>IFERROR(__xludf.DUMMYFUNCTION("""COMPUTED_VALUE"""),"WORKSHOP")</f>
        <v>WORKSHOP</v>
      </c>
      <c r="H256" s="52" t="str">
        <f>IFERROR(__xludf.DUMMYFUNCTION("""COMPUTED_VALUE"""),"FALSE")</f>
        <v>FALSE</v>
      </c>
      <c r="I256" s="55">
        <f>IFERROR(__xludf.DUMMYFUNCTION("""COMPUTED_VALUE"""),27621.0)</f>
        <v>27621</v>
      </c>
      <c r="J256" s="53" t="str">
        <f>IFERROR(__xludf.DUMMYFUNCTION("""COMPUTED_VALUE"""),"[102190772] JASMAN")</f>
        <v>[102190772] JASMAN</v>
      </c>
      <c r="K256" s="52"/>
      <c r="L256" s="52" t="str">
        <f t="shared" si="1"/>
        <v>#VALUE!</v>
      </c>
      <c r="M256" s="52"/>
      <c r="N256" s="52"/>
      <c r="O256" s="52"/>
      <c r="P256" s="52"/>
      <c r="Q256" s="52"/>
      <c r="R256" s="52"/>
      <c r="S256" s="52"/>
      <c r="T256" s="52"/>
      <c r="U256" s="52"/>
      <c r="V256" s="52"/>
      <c r="W256" s="52"/>
      <c r="X256" s="52"/>
      <c r="Y256" s="52"/>
      <c r="Z256" s="52"/>
    </row>
    <row r="257">
      <c r="A257" s="52">
        <f>IFERROR(__xludf.DUMMYFUNCTION("""COMPUTED_VALUE"""),1.02150018E8)</f>
        <v>102150018</v>
      </c>
      <c r="B257" s="52" t="str">
        <f>IFERROR(__xludf.DUMMYFUNCTION("""COMPUTED_VALUE"""),"JEANETTE HANNA IRENE WATUNA")</f>
        <v>JEANETTE HANNA IRENE WATUNA</v>
      </c>
      <c r="C257" s="52">
        <f>IFERROR(__xludf.DUMMYFUNCTION("""COMPUTED_VALUE"""),34.0)</f>
        <v>34</v>
      </c>
      <c r="D257" s="52" t="str">
        <f>IFERROR(__xludf.DUMMYFUNCTION("""COMPUTED_VALUE"""),"Kristen Protestan")</f>
        <v>Kristen Protestan</v>
      </c>
      <c r="E257" s="52" t="str">
        <f>IFERROR(__xludf.DUMMYFUNCTION("""COMPUTED_VALUE"""),"CV. SENTOSA ABADI")</f>
        <v>CV. SENTOSA ABADI</v>
      </c>
      <c r="F257" s="52" t="str">
        <f>IFERROR(__xludf.DUMMYFUNCTION("""COMPUTED_VALUE"""),"ACCOUNTING")</f>
        <v>ACCOUNTING</v>
      </c>
      <c r="G257" s="52" t="str">
        <f>IFERROR(__xludf.DUMMYFUNCTION("""COMPUTED_VALUE"""),"FINANCE")</f>
        <v>FINANCE</v>
      </c>
      <c r="H257" s="52" t="str">
        <f>IFERROR(__xludf.DUMMYFUNCTION("""COMPUTED_VALUE"""),"[0206189004] ALFRETH ALVIAN TIAKI")</f>
        <v>[0206189004] ALFRETH ALVIAN TIAKI</v>
      </c>
      <c r="I257" s="52"/>
      <c r="J257" s="53" t="str">
        <f>IFERROR(__xludf.DUMMYFUNCTION("""COMPUTED_VALUE"""),"[102150018] JEANETTE HANNA IRENE WATUNA")</f>
        <v>[102150018] JEANETTE HANNA IRENE WATUNA</v>
      </c>
      <c r="K257" s="52"/>
      <c r="L257" s="52" t="str">
        <f t="shared" si="1"/>
        <v>#VALUE!</v>
      </c>
      <c r="M257" s="52"/>
      <c r="N257" s="52"/>
      <c r="O257" s="52"/>
      <c r="P257" s="52"/>
      <c r="Q257" s="52"/>
      <c r="R257" s="52"/>
      <c r="S257" s="52"/>
      <c r="T257" s="52"/>
      <c r="U257" s="52"/>
      <c r="V257" s="52"/>
      <c r="W257" s="52"/>
      <c r="X257" s="52"/>
      <c r="Y257" s="52"/>
      <c r="Z257" s="52"/>
    </row>
    <row r="258">
      <c r="A258" s="52">
        <f>IFERROR(__xludf.DUMMYFUNCTION("""COMPUTED_VALUE"""),1.11211533E8)</f>
        <v>111211533</v>
      </c>
      <c r="B258" s="52" t="str">
        <f>IFERROR(__xludf.DUMMYFUNCTION("""COMPUTED_VALUE"""),"JEMRIS MENGGAU")</f>
        <v>JEMRIS MENGGAU</v>
      </c>
      <c r="C258" s="52">
        <f>IFERROR(__xludf.DUMMYFUNCTION("""COMPUTED_VALUE"""),44.0)</f>
        <v>44</v>
      </c>
      <c r="D258" s="52" t="str">
        <f>IFERROR(__xludf.DUMMYFUNCTION("""COMPUTED_VALUE"""),"Kristen Protestan")</f>
        <v>Kristen Protestan</v>
      </c>
      <c r="E258" s="52" t="str">
        <f>IFERROR(__xludf.DUMMYFUNCTION("""COMPUTED_VALUE"""),"CV. SENTOSA ABADI")</f>
        <v>CV. SENTOSA ABADI</v>
      </c>
      <c r="F258" s="52" t="str">
        <f>IFERROR(__xludf.DUMMYFUNCTION("""COMPUTED_VALUE"""),"OPERATOR ADT")</f>
        <v>OPERATOR ADT</v>
      </c>
      <c r="G258" s="52" t="str">
        <f>IFERROR(__xludf.DUMMYFUNCTION("""COMPUTED_VALUE"""),"PRODUKSI")</f>
        <v>PRODUKSI</v>
      </c>
      <c r="H258" s="52" t="str">
        <f>IFERROR(__xludf.DUMMYFUNCTION("""COMPUTED_VALUE"""),"[0102130003] PURNAWAN")</f>
        <v>[0102130003] PURNAWAN</v>
      </c>
      <c r="I258" s="55">
        <f>IFERROR(__xludf.DUMMYFUNCTION("""COMPUTED_VALUE"""),29567.0)</f>
        <v>29567</v>
      </c>
      <c r="J258" s="53" t="str">
        <f>IFERROR(__xludf.DUMMYFUNCTION("""COMPUTED_VALUE"""),"[111211533] JEMRIS MENGGAU")</f>
        <v>[111211533] JEMRIS MENGGAU</v>
      </c>
      <c r="K258" s="52"/>
      <c r="L258" s="52" t="str">
        <f t="shared" si="1"/>
        <v>#VALUE!</v>
      </c>
      <c r="M258" s="52"/>
      <c r="N258" s="52"/>
      <c r="O258" s="52"/>
      <c r="P258" s="52"/>
      <c r="Q258" s="52"/>
      <c r="R258" s="52"/>
      <c r="S258" s="52"/>
      <c r="T258" s="52"/>
      <c r="U258" s="52"/>
      <c r="V258" s="52"/>
      <c r="W258" s="52"/>
      <c r="X258" s="52"/>
      <c r="Y258" s="52"/>
      <c r="Z258" s="52"/>
    </row>
    <row r="259">
      <c r="A259" s="52">
        <f>IFERROR(__xludf.DUMMYFUNCTION("""COMPUTED_VALUE"""),1.09170014E8)</f>
        <v>109170014</v>
      </c>
      <c r="B259" s="52" t="str">
        <f>IFERROR(__xludf.DUMMYFUNCTION("""COMPUTED_VALUE"""),"JENES R. MANOPPO")</f>
        <v>JENES R. MANOPPO</v>
      </c>
      <c r="C259" s="52">
        <f>IFERROR(__xludf.DUMMYFUNCTION("""COMPUTED_VALUE"""),0.0)</f>
        <v>0</v>
      </c>
      <c r="D259" s="52"/>
      <c r="E259" s="52" t="str">
        <f>IFERROR(__xludf.DUMMYFUNCTION("""COMPUTED_VALUE"""),"CV. SENTOSA ABADI")</f>
        <v>CV. SENTOSA ABADI</v>
      </c>
      <c r="F259" s="52" t="str">
        <f>IFERROR(__xludf.DUMMYFUNCTION("""COMPUTED_VALUE"""),"HEAD OF LOGISTIC")</f>
        <v>HEAD OF LOGISTIC</v>
      </c>
      <c r="G259" s="52" t="str">
        <f>IFERROR(__xludf.DUMMYFUNCTION("""COMPUTED_VALUE"""),"LOGISTIC")</f>
        <v>LOGISTIC</v>
      </c>
      <c r="H259" s="52" t="str">
        <f>IFERROR(__xludf.DUMMYFUNCTION("""COMPUTED_VALUE"""),"[0102150007] EKY SIDIK PRATAMA, ST")</f>
        <v>[0102150007] EKY SIDIK PRATAMA, ST</v>
      </c>
      <c r="I259" s="52"/>
      <c r="J259" s="53" t="str">
        <f>IFERROR(__xludf.DUMMYFUNCTION("""COMPUTED_VALUE"""),"[109170014] JENES R. MANOPPO")</f>
        <v>[109170014] JENES R. MANOPPO</v>
      </c>
      <c r="K259" s="52"/>
      <c r="L259" s="52" t="str">
        <f t="shared" si="1"/>
        <v>#VALUE!</v>
      </c>
      <c r="M259" s="52"/>
      <c r="N259" s="52"/>
      <c r="O259" s="52"/>
      <c r="P259" s="52"/>
      <c r="Q259" s="52"/>
      <c r="R259" s="52"/>
      <c r="S259" s="52"/>
      <c r="T259" s="52"/>
      <c r="U259" s="52"/>
      <c r="V259" s="52"/>
      <c r="W259" s="52"/>
      <c r="X259" s="52"/>
      <c r="Y259" s="52"/>
      <c r="Z259" s="52"/>
    </row>
    <row r="260">
      <c r="A260" s="52">
        <f>IFERROR(__xludf.DUMMYFUNCTION("""COMPUTED_VALUE"""),2.06241944E8)</f>
        <v>206241944</v>
      </c>
      <c r="B260" s="52" t="str">
        <f>IFERROR(__xludf.DUMMYFUNCTION("""COMPUTED_VALUE"""),"JESHUA EFRAEL")</f>
        <v>JESHUA EFRAEL</v>
      </c>
      <c r="C260" s="52">
        <f>IFERROR(__xludf.DUMMYFUNCTION("""COMPUTED_VALUE"""),18.0)</f>
        <v>18</v>
      </c>
      <c r="D260" s="52" t="str">
        <f>IFERROR(__xludf.DUMMYFUNCTION("""COMPUTED_VALUE"""),"Kristen Protestan")</f>
        <v>Kristen Protestan</v>
      </c>
      <c r="E260" s="52" t="str">
        <f>IFERROR(__xludf.DUMMYFUNCTION("""COMPUTED_VALUE"""),"CV. Adil Prima Perkasa")</f>
        <v>CV. Adil Prima Perkasa</v>
      </c>
      <c r="F260" s="52" t="str">
        <f>IFERROR(__xludf.DUMMYFUNCTION("""COMPUTED_VALUE"""),"HELPER ELECTRICIAN")</f>
        <v>HELPER ELECTRICIAN</v>
      </c>
      <c r="G260" s="52" t="str">
        <f>IFERROR(__xludf.DUMMYFUNCTION("""COMPUTED_VALUE"""),"WORKSHOP")</f>
        <v>WORKSHOP</v>
      </c>
      <c r="H260" s="52" t="str">
        <f>IFERROR(__xludf.DUMMYFUNCTION("""COMPUTED_VALUE"""),"[0106190928] NATAN KONDO")</f>
        <v>[0106190928] NATAN KONDO</v>
      </c>
      <c r="I260" s="52"/>
      <c r="J260" s="53" t="str">
        <f>IFERROR(__xludf.DUMMYFUNCTION("""COMPUTED_VALUE"""),"[206241944] JESHUA EFRAEL")</f>
        <v>[206241944] JESHUA EFRAEL</v>
      </c>
      <c r="K260" s="52"/>
      <c r="L260" s="52" t="str">
        <f t="shared" si="1"/>
        <v>#VALUE!</v>
      </c>
      <c r="M260" s="52"/>
      <c r="N260" s="52"/>
      <c r="O260" s="52"/>
      <c r="P260" s="52"/>
      <c r="Q260" s="52"/>
      <c r="R260" s="52"/>
      <c r="S260" s="52"/>
      <c r="T260" s="52"/>
      <c r="U260" s="52"/>
      <c r="V260" s="52"/>
      <c r="W260" s="52"/>
      <c r="X260" s="52"/>
      <c r="Y260" s="52"/>
      <c r="Z260" s="52"/>
    </row>
    <row r="261">
      <c r="A261" s="52"/>
      <c r="B261" s="52" t="str">
        <f>IFERROR(__xludf.DUMMYFUNCTION("""COMPUTED_VALUE"""),"JESSIKA SETIAWAN")</f>
        <v>JESSIKA SETIAWAN</v>
      </c>
      <c r="C261" s="52">
        <f>IFERROR(__xludf.DUMMYFUNCTION("""COMPUTED_VALUE"""),29.0)</f>
        <v>29</v>
      </c>
      <c r="D261" s="52" t="str">
        <f>IFERROR(__xludf.DUMMYFUNCTION("""COMPUTED_VALUE"""),"Kristen Protestan")</f>
        <v>Kristen Protestan</v>
      </c>
      <c r="E261" s="52" t="str">
        <f>IFERROR(__xludf.DUMMYFUNCTION("""COMPUTED_VALUE"""),"CV. Adil Prima Perkasa")</f>
        <v>CV. Adil Prima Perkasa</v>
      </c>
      <c r="F261" s="52" t="str">
        <f>IFERROR(__xludf.DUMMYFUNCTION("""COMPUTED_VALUE"""),"TREASURY (KASIR)")</f>
        <v>TREASURY (KASIR)</v>
      </c>
      <c r="G261" s="52" t="str">
        <f>IFERROR(__xludf.DUMMYFUNCTION("""COMPUTED_VALUE"""),"FINANCE")</f>
        <v>FINANCE</v>
      </c>
      <c r="H261" s="52" t="str">
        <f>IFERROR(__xludf.DUMMYFUNCTION("""COMPUTED_VALUE"""),"[0206189004] ALFRETH ALVIAN TIAKI")</f>
        <v>[0206189004] ALFRETH ALVIAN TIAKI</v>
      </c>
      <c r="I261" s="52"/>
      <c r="J261" s="53" t="str">
        <f>IFERROR(__xludf.DUMMYFUNCTION("""COMPUTED_VALUE"""),"[] JESSIKA SETIAWAN")</f>
        <v>[] JESSIKA SETIAWAN</v>
      </c>
      <c r="K261" s="52"/>
      <c r="L261" s="52" t="str">
        <f t="shared" si="1"/>
        <v>#VALUE!</v>
      </c>
      <c r="M261" s="52"/>
      <c r="N261" s="52"/>
      <c r="O261" s="52"/>
      <c r="P261" s="52"/>
      <c r="Q261" s="52"/>
      <c r="R261" s="52"/>
      <c r="S261" s="52"/>
      <c r="T261" s="52"/>
      <c r="U261" s="52"/>
      <c r="V261" s="52"/>
      <c r="W261" s="52"/>
      <c r="X261" s="52"/>
      <c r="Y261" s="52"/>
      <c r="Z261" s="52"/>
    </row>
    <row r="262">
      <c r="A262" s="52">
        <f>IFERROR(__xludf.DUMMYFUNCTION("""COMPUTED_VALUE"""),2.05241929E8)</f>
        <v>205241929</v>
      </c>
      <c r="B262" s="52" t="str">
        <f>IFERROR(__xludf.DUMMYFUNCTION("""COMPUTED_VALUE"""),"JONI PESE")</f>
        <v>JONI PESE</v>
      </c>
      <c r="C262" s="52">
        <f>IFERROR(__xludf.DUMMYFUNCTION("""COMPUTED_VALUE"""),0.0)</f>
        <v>0</v>
      </c>
      <c r="D262" s="52"/>
      <c r="E262" s="52" t="str">
        <f>IFERROR(__xludf.DUMMYFUNCTION("""COMPUTED_VALUE"""),"CV. Adil Prima Perkasa")</f>
        <v>CV. Adil Prima Perkasa</v>
      </c>
      <c r="F262" s="52" t="str">
        <f>IFERROR(__xludf.DUMMYFUNCTION("""COMPUTED_VALUE"""),"HELPER MEKANIK")</f>
        <v>HELPER MEKANIK</v>
      </c>
      <c r="G262" s="52" t="str">
        <f>IFERROR(__xludf.DUMMYFUNCTION("""COMPUTED_VALUE"""),"WORKSHOP")</f>
        <v>WORKSHOP</v>
      </c>
      <c r="H262" s="52" t="str">
        <f>IFERROR(__xludf.DUMMYFUNCTION("""COMPUTED_VALUE"""),"[0106190928] NATAN KONDO")</f>
        <v>[0106190928] NATAN KONDO</v>
      </c>
      <c r="I262" s="52"/>
      <c r="J262" s="53" t="str">
        <f>IFERROR(__xludf.DUMMYFUNCTION("""COMPUTED_VALUE"""),"[205241929] JONI PESE")</f>
        <v>[205241929] JONI PESE</v>
      </c>
      <c r="K262" s="52"/>
      <c r="L262" s="52" t="str">
        <f t="shared" si="1"/>
        <v>#VALUE!</v>
      </c>
      <c r="M262" s="52"/>
      <c r="N262" s="52"/>
      <c r="O262" s="52"/>
      <c r="P262" s="52"/>
      <c r="Q262" s="52"/>
      <c r="R262" s="52"/>
      <c r="S262" s="52"/>
      <c r="T262" s="52"/>
      <c r="U262" s="52"/>
      <c r="V262" s="52"/>
      <c r="W262" s="52"/>
      <c r="X262" s="52"/>
      <c r="Y262" s="52"/>
      <c r="Z262" s="52"/>
    </row>
    <row r="263">
      <c r="A263" s="52">
        <f>IFERROR(__xludf.DUMMYFUNCTION("""COMPUTED_VALUE"""),3.03210055E8)</f>
        <v>303210055</v>
      </c>
      <c r="B263" s="52" t="str">
        <f>IFERROR(__xludf.DUMMYFUNCTION("""COMPUTED_VALUE"""),"JONI SALI")</f>
        <v>JONI SALI</v>
      </c>
      <c r="C263" s="52">
        <f>IFERROR(__xludf.DUMMYFUNCTION("""COMPUTED_VALUE"""),46.0)</f>
        <v>46</v>
      </c>
      <c r="D263" s="52" t="str">
        <f>IFERROR(__xludf.DUMMYFUNCTION("""COMPUTED_VALUE"""),"Kristen Protestan")</f>
        <v>Kristen Protestan</v>
      </c>
      <c r="E263" s="52" t="str">
        <f>IFERROR(__xludf.DUMMYFUNCTION("""COMPUTED_VALUE"""),"CV. Monalisa")</f>
        <v>CV. Monalisa</v>
      </c>
      <c r="F263" s="52" t="str">
        <f>IFERROR(__xludf.DUMMYFUNCTION("""COMPUTED_VALUE"""),"OPERATOR BULLDOZER")</f>
        <v>OPERATOR BULLDOZER</v>
      </c>
      <c r="G263" s="52" t="str">
        <f>IFERROR(__xludf.DUMMYFUNCTION("""COMPUTED_VALUE"""),"PRODUKSI")</f>
        <v>PRODUKSI</v>
      </c>
      <c r="H263" s="52" t="str">
        <f>IFERROR(__xludf.DUMMYFUNCTION("""COMPUTED_VALUE"""),"FALSE")</f>
        <v>FALSE</v>
      </c>
      <c r="I263" s="52"/>
      <c r="J263" s="53" t="str">
        <f>IFERROR(__xludf.DUMMYFUNCTION("""COMPUTED_VALUE"""),"[303210055] JONI SALI")</f>
        <v>[303210055] JONI SALI</v>
      </c>
      <c r="K263" s="52"/>
      <c r="L263" s="52" t="str">
        <f t="shared" si="1"/>
        <v>#VALUE!</v>
      </c>
      <c r="M263" s="52"/>
      <c r="N263" s="52"/>
      <c r="O263" s="52"/>
      <c r="P263" s="52"/>
      <c r="Q263" s="52"/>
      <c r="R263" s="52"/>
      <c r="S263" s="52"/>
      <c r="T263" s="52"/>
      <c r="U263" s="52"/>
      <c r="V263" s="52"/>
      <c r="W263" s="52"/>
      <c r="X263" s="52"/>
      <c r="Y263" s="52"/>
      <c r="Z263" s="52"/>
    </row>
    <row r="264">
      <c r="A264" s="52">
        <f>IFERROR(__xludf.DUMMYFUNCTION("""COMPUTED_VALUE"""),1.11160142E8)</f>
        <v>111160142</v>
      </c>
      <c r="B264" s="52" t="str">
        <f>IFERROR(__xludf.DUMMYFUNCTION("""COMPUTED_VALUE"""),"JONI TAPPI")</f>
        <v>JONI TAPPI</v>
      </c>
      <c r="C264" s="52">
        <f>IFERROR(__xludf.DUMMYFUNCTION("""COMPUTED_VALUE"""),49.0)</f>
        <v>49</v>
      </c>
      <c r="D264" s="52" t="str">
        <f>IFERROR(__xludf.DUMMYFUNCTION("""COMPUTED_VALUE"""),"Kristen Protestan")</f>
        <v>Kristen Protestan</v>
      </c>
      <c r="E264" s="52" t="str">
        <f>IFERROR(__xludf.DUMMYFUNCTION("""COMPUTED_VALUE"""),"CV. SENTOSA ABADI")</f>
        <v>CV. SENTOSA ABADI</v>
      </c>
      <c r="F264" s="52" t="str">
        <f>IFERROR(__xludf.DUMMYFUNCTION("""COMPUTED_VALUE"""),"OPERATOR BULLDOZER")</f>
        <v>OPERATOR BULLDOZER</v>
      </c>
      <c r="G264" s="52" t="str">
        <f>IFERROR(__xludf.DUMMYFUNCTION("""COMPUTED_VALUE"""),"PRODUKSI")</f>
        <v>PRODUKSI</v>
      </c>
      <c r="H264" s="52" t="str">
        <f>IFERROR(__xludf.DUMMYFUNCTION("""COMPUTED_VALUE"""),"[0102130003] PURNAWAN")</f>
        <v>[0102130003] PURNAWAN</v>
      </c>
      <c r="I264" s="52"/>
      <c r="J264" s="53" t="str">
        <f>IFERROR(__xludf.DUMMYFUNCTION("""COMPUTED_VALUE"""),"[111160142] JONI TAPPI")</f>
        <v>[111160142] JONI TAPPI</v>
      </c>
      <c r="K264" s="52"/>
      <c r="L264" s="52" t="str">
        <f t="shared" si="1"/>
        <v>#VALUE!</v>
      </c>
      <c r="M264" s="52"/>
      <c r="N264" s="52"/>
      <c r="O264" s="52"/>
      <c r="P264" s="52"/>
      <c r="Q264" s="52"/>
      <c r="R264" s="52"/>
      <c r="S264" s="52"/>
      <c r="T264" s="52"/>
      <c r="U264" s="52"/>
      <c r="V264" s="52"/>
      <c r="W264" s="52"/>
      <c r="X264" s="52"/>
      <c r="Y264" s="52"/>
      <c r="Z264" s="52"/>
    </row>
    <row r="265">
      <c r="A265" s="52">
        <f>IFERROR(__xludf.DUMMYFUNCTION("""COMPUTED_VALUE"""),1.10221686E8)</f>
        <v>110221686</v>
      </c>
      <c r="B265" s="52" t="str">
        <f>IFERROR(__xludf.DUMMYFUNCTION("""COMPUTED_VALUE"""),"JOYNAL SIMON")</f>
        <v>JOYNAL SIMON</v>
      </c>
      <c r="C265" s="52">
        <f>IFERROR(__xludf.DUMMYFUNCTION("""COMPUTED_VALUE"""),20.0)</f>
        <v>20</v>
      </c>
      <c r="D265" s="52" t="str">
        <f>IFERROR(__xludf.DUMMYFUNCTION("""COMPUTED_VALUE"""),"Kristen Protestan")</f>
        <v>Kristen Protestan</v>
      </c>
      <c r="E265" s="52" t="str">
        <f>IFERROR(__xludf.DUMMYFUNCTION("""COMPUTED_VALUE"""),"CV. SENTOSA ABADI")</f>
        <v>CV. SENTOSA ABADI</v>
      </c>
      <c r="F265" s="52" t="str">
        <f>IFERROR(__xludf.DUMMYFUNCTION("""COMPUTED_VALUE"""),"HELPER MECHANIC MAINTENANCE")</f>
        <v>HELPER MECHANIC MAINTENANCE</v>
      </c>
      <c r="G265" s="52" t="str">
        <f>IFERROR(__xludf.DUMMYFUNCTION("""COMPUTED_VALUE"""),"WORKSHOP")</f>
        <v>WORKSHOP</v>
      </c>
      <c r="H265" s="52" t="str">
        <f>IFERROR(__xludf.DUMMYFUNCTION("""COMPUTED_VALUE"""),"[0106190928] NATAN KONDO")</f>
        <v>[0106190928] NATAN KONDO</v>
      </c>
      <c r="I265" s="52"/>
      <c r="J265" s="53" t="str">
        <f>IFERROR(__xludf.DUMMYFUNCTION("""COMPUTED_VALUE"""),"[110221686] JOYNAL SIMON")</f>
        <v>[110221686] JOYNAL SIMON</v>
      </c>
      <c r="K265" s="52"/>
      <c r="L265" s="52" t="str">
        <f t="shared" si="1"/>
        <v>#VALUE!</v>
      </c>
      <c r="M265" s="52"/>
      <c r="N265" s="52"/>
      <c r="O265" s="52"/>
      <c r="P265" s="52"/>
      <c r="Q265" s="52"/>
      <c r="R265" s="52"/>
      <c r="S265" s="52"/>
      <c r="T265" s="52"/>
      <c r="U265" s="52"/>
      <c r="V265" s="52"/>
      <c r="W265" s="52"/>
      <c r="X265" s="52"/>
      <c r="Y265" s="52"/>
      <c r="Z265" s="52"/>
    </row>
    <row r="266">
      <c r="A266" s="52">
        <f>IFERROR(__xludf.DUMMYFUNCTION("""COMPUTED_VALUE"""),1.02120144E8)</f>
        <v>102120144</v>
      </c>
      <c r="B266" s="52" t="str">
        <f>IFERROR(__xludf.DUMMYFUNCTION("""COMPUTED_VALUE"""),"JUFRY KOMALING")</f>
        <v>JUFRY KOMALING</v>
      </c>
      <c r="C266" s="52">
        <f>IFERROR(__xludf.DUMMYFUNCTION("""COMPUTED_VALUE"""),56.0)</f>
        <v>56</v>
      </c>
      <c r="D266" s="52" t="str">
        <f>IFERROR(__xludf.DUMMYFUNCTION("""COMPUTED_VALUE"""),"Kristen Protestan")</f>
        <v>Kristen Protestan</v>
      </c>
      <c r="E266" s="52" t="str">
        <f>IFERROR(__xludf.DUMMYFUNCTION("""COMPUTED_VALUE"""),"CV. SENTOSA ABADI")</f>
        <v>CV. SENTOSA ABADI</v>
      </c>
      <c r="F266" s="52" t="str">
        <f>IFERROR(__xludf.DUMMYFUNCTION("""COMPUTED_VALUE"""),"HEAD OF TYRE")</f>
        <v>HEAD OF TYRE</v>
      </c>
      <c r="G266" s="52" t="str">
        <f>IFERROR(__xludf.DUMMYFUNCTION("""COMPUTED_VALUE"""),"WORKSHOP")</f>
        <v>WORKSHOP</v>
      </c>
      <c r="H266" s="52" t="str">
        <f>IFERROR(__xludf.DUMMYFUNCTION("""COMPUTED_VALUE"""),"[0106190928] NATAN KONDO")</f>
        <v>[0106190928] NATAN KONDO</v>
      </c>
      <c r="I266" s="55">
        <f>IFERROR(__xludf.DUMMYFUNCTION("""COMPUTED_VALUE"""),28665.0)</f>
        <v>28665</v>
      </c>
      <c r="J266" s="53" t="str">
        <f>IFERROR(__xludf.DUMMYFUNCTION("""COMPUTED_VALUE"""),"[102120144] JUFRY KOMALING")</f>
        <v>[102120144] JUFRY KOMALING</v>
      </c>
      <c r="K266" s="52"/>
      <c r="L266" s="52" t="str">
        <f t="shared" si="1"/>
        <v>#VALUE!</v>
      </c>
      <c r="M266" s="52"/>
      <c r="N266" s="52"/>
      <c r="O266" s="52"/>
      <c r="P266" s="52"/>
      <c r="Q266" s="52"/>
      <c r="R266" s="52"/>
      <c r="S266" s="52"/>
      <c r="T266" s="52"/>
      <c r="U266" s="52"/>
      <c r="V266" s="52"/>
      <c r="W266" s="52"/>
      <c r="X266" s="52"/>
      <c r="Y266" s="52"/>
      <c r="Z266" s="52"/>
    </row>
    <row r="267">
      <c r="A267" s="52">
        <f>IFERROR(__xludf.DUMMYFUNCTION("""COMPUTED_VALUE"""),2.10221696E8)</f>
        <v>210221696</v>
      </c>
      <c r="B267" s="52" t="str">
        <f>IFERROR(__xludf.DUMMYFUNCTION("""COMPUTED_VALUE"""),"JUNAIDI")</f>
        <v>JUNAIDI</v>
      </c>
      <c r="C267" s="52">
        <f>IFERROR(__xludf.DUMMYFUNCTION("""COMPUTED_VALUE"""),39.0)</f>
        <v>39</v>
      </c>
      <c r="D267" s="52" t="str">
        <f>IFERROR(__xludf.DUMMYFUNCTION("""COMPUTED_VALUE"""),"Islam")</f>
        <v>Islam</v>
      </c>
      <c r="E267" s="52" t="str">
        <f>IFERROR(__xludf.DUMMYFUNCTION("""COMPUTED_VALUE"""),"CV. Adil Prima Perkasa")</f>
        <v>CV. Adil Prima Perkasa</v>
      </c>
      <c r="F267" s="52" t="str">
        <f>IFERROR(__xludf.DUMMYFUNCTION("""COMPUTED_VALUE"""),"DRIVER LV")</f>
        <v>DRIVER LV</v>
      </c>
      <c r="G267" s="52" t="str">
        <f>IFERROR(__xludf.DUMMYFUNCTION("""COMPUTED_VALUE"""),"KENDARAAN &amp; UNIT SUPPORT")</f>
        <v>KENDARAAN &amp; UNIT SUPPORT</v>
      </c>
      <c r="H267" s="52" t="str">
        <f>IFERROR(__xludf.DUMMYFUNCTION("""COMPUTED_VALUE"""),"[0102150004] NAFTALI RARE'A, ST")</f>
        <v>[0102150004] NAFTALI RARE'A, ST</v>
      </c>
      <c r="I267" s="55">
        <f>IFERROR(__xludf.DUMMYFUNCTION("""COMPUTED_VALUE"""),31603.0)</f>
        <v>31603</v>
      </c>
      <c r="J267" s="53" t="str">
        <f>IFERROR(__xludf.DUMMYFUNCTION("""COMPUTED_VALUE"""),"[210221696] JUNAIDI")</f>
        <v>[210221696] JUNAIDI</v>
      </c>
      <c r="K267" s="52"/>
      <c r="L267" s="52" t="str">
        <f t="shared" si="1"/>
        <v>#VALUE!</v>
      </c>
      <c r="M267" s="52"/>
      <c r="N267" s="52"/>
      <c r="O267" s="52"/>
      <c r="P267" s="52"/>
      <c r="Q267" s="52"/>
      <c r="R267" s="52"/>
      <c r="S267" s="52"/>
      <c r="T267" s="52"/>
      <c r="U267" s="52"/>
      <c r="V267" s="52"/>
      <c r="W267" s="52"/>
      <c r="X267" s="52"/>
      <c r="Y267" s="52"/>
      <c r="Z267" s="52"/>
    </row>
    <row r="268">
      <c r="A268" s="52">
        <f>IFERROR(__xludf.DUMMYFUNCTION("""COMPUTED_VALUE"""),2.06241976E8)</f>
        <v>206241976</v>
      </c>
      <c r="B268" s="52" t="str">
        <f>IFERROR(__xludf.DUMMYFUNCTION("""COMPUTED_VALUE"""),"JUPRIANTO SAPUTRA")</f>
        <v>JUPRIANTO SAPUTRA</v>
      </c>
      <c r="C268" s="52">
        <f>IFERROR(__xludf.DUMMYFUNCTION("""COMPUTED_VALUE"""),21.0)</f>
        <v>21</v>
      </c>
      <c r="D268" s="52" t="str">
        <f>IFERROR(__xludf.DUMMYFUNCTION("""COMPUTED_VALUE"""),"Kristen Khatolik")</f>
        <v>Kristen Khatolik</v>
      </c>
      <c r="E268" s="52" t="str">
        <f>IFERROR(__xludf.DUMMYFUNCTION("""COMPUTED_VALUE"""),"CV. Adil Prima Perkasa")</f>
        <v>CV. Adil Prima Perkasa</v>
      </c>
      <c r="F268" s="52" t="str">
        <f>IFERROR(__xludf.DUMMYFUNCTION("""COMPUTED_VALUE"""),"HELPER ELECTRICIAN")</f>
        <v>HELPER ELECTRICIAN</v>
      </c>
      <c r="G268" s="52" t="str">
        <f>IFERROR(__xludf.DUMMYFUNCTION("""COMPUTED_VALUE"""),"WORKSHOP")</f>
        <v>WORKSHOP</v>
      </c>
      <c r="H268" s="52" t="str">
        <f>IFERROR(__xludf.DUMMYFUNCTION("""COMPUTED_VALUE"""),"[0106190928] NATAN KONDO")</f>
        <v>[0106190928] NATAN KONDO</v>
      </c>
      <c r="I268" s="52"/>
      <c r="J268" s="53" t="str">
        <f>IFERROR(__xludf.DUMMYFUNCTION("""COMPUTED_VALUE"""),"[206241976] JUPRIANTO SAPUTRA")</f>
        <v>[206241976] JUPRIANTO SAPUTRA</v>
      </c>
      <c r="K268" s="52"/>
      <c r="L268" s="52" t="str">
        <f t="shared" si="1"/>
        <v>#VALUE!</v>
      </c>
      <c r="M268" s="52"/>
      <c r="N268" s="52"/>
      <c r="O268" s="52"/>
      <c r="P268" s="52"/>
      <c r="Q268" s="52"/>
      <c r="R268" s="52"/>
      <c r="S268" s="52"/>
      <c r="T268" s="52"/>
      <c r="U268" s="52"/>
      <c r="V268" s="52"/>
      <c r="W268" s="52"/>
      <c r="X268" s="52"/>
      <c r="Y268" s="52"/>
      <c r="Z268" s="52"/>
    </row>
    <row r="269">
      <c r="A269" s="52">
        <f>IFERROR(__xludf.DUMMYFUNCTION("""COMPUTED_VALUE"""),2.06221654E8)</f>
        <v>206221654</v>
      </c>
      <c r="B269" s="52" t="str">
        <f>IFERROR(__xludf.DUMMYFUNCTION("""COMPUTED_VALUE"""),"JUSMAIL")</f>
        <v>JUSMAIL</v>
      </c>
      <c r="C269" s="52">
        <f>IFERROR(__xludf.DUMMYFUNCTION("""COMPUTED_VALUE"""),45.0)</f>
        <v>45</v>
      </c>
      <c r="D269" s="52" t="str">
        <f>IFERROR(__xludf.DUMMYFUNCTION("""COMPUTED_VALUE"""),"Islam")</f>
        <v>Islam</v>
      </c>
      <c r="E269" s="52" t="str">
        <f>IFERROR(__xludf.DUMMYFUNCTION("""COMPUTED_VALUE"""),"CV. Adil Prima Perkasa")</f>
        <v>CV. Adil Prima Perkasa</v>
      </c>
      <c r="F269" s="52" t="str">
        <f>IFERROR(__xludf.DUMMYFUNCTION("""COMPUTED_VALUE"""),"DRIVER DT H700ZY")</f>
        <v>DRIVER DT H700ZY</v>
      </c>
      <c r="G269" s="52" t="str">
        <f>IFERROR(__xludf.DUMMYFUNCTION("""COMPUTED_VALUE"""),"KENDARAAN &amp; UNIT SUPPORT")</f>
        <v>KENDARAAN &amp; UNIT SUPPORT</v>
      </c>
      <c r="H269" s="52" t="str">
        <f>IFERROR(__xludf.DUMMYFUNCTION("""COMPUTED_VALUE"""),"[0102150004] NAFTALI RARE'A, ST")</f>
        <v>[0102150004] NAFTALI RARE'A, ST</v>
      </c>
      <c r="I269" s="52"/>
      <c r="J269" s="53" t="str">
        <f>IFERROR(__xludf.DUMMYFUNCTION("""COMPUTED_VALUE"""),"[206221654] JUSMAIL")</f>
        <v>[206221654] JUSMAIL</v>
      </c>
      <c r="K269" s="52"/>
      <c r="L269" s="52" t="str">
        <f t="shared" si="1"/>
        <v>#VALUE!</v>
      </c>
      <c r="M269" s="52"/>
      <c r="N269" s="52"/>
      <c r="O269" s="52"/>
      <c r="P269" s="52"/>
      <c r="Q269" s="52"/>
      <c r="R269" s="52"/>
      <c r="S269" s="52"/>
      <c r="T269" s="52"/>
      <c r="U269" s="52"/>
      <c r="V269" s="52"/>
      <c r="W269" s="52"/>
      <c r="X269" s="52"/>
      <c r="Y269" s="52"/>
      <c r="Z269" s="52"/>
    </row>
    <row r="270">
      <c r="A270" s="52">
        <f>IFERROR(__xludf.DUMMYFUNCTION("""COMPUTED_VALUE"""),1.07190944E8)</f>
        <v>107190944</v>
      </c>
      <c r="B270" s="52" t="str">
        <f>IFERROR(__xludf.DUMMYFUNCTION("""COMPUTED_VALUE"""),"JUSRAN")</f>
        <v>JUSRAN</v>
      </c>
      <c r="C270" s="52">
        <f>IFERROR(__xludf.DUMMYFUNCTION("""COMPUTED_VALUE"""),38.0)</f>
        <v>38</v>
      </c>
      <c r="D270" s="52" t="str">
        <f>IFERROR(__xludf.DUMMYFUNCTION("""COMPUTED_VALUE"""),"Islam")</f>
        <v>Islam</v>
      </c>
      <c r="E270" s="52" t="str">
        <f>IFERROR(__xludf.DUMMYFUNCTION("""COMPUTED_VALUE"""),"CV. SENTOSA ABADI")</f>
        <v>CV. SENTOSA ABADI</v>
      </c>
      <c r="F270" s="52" t="str">
        <f>IFERROR(__xludf.DUMMYFUNCTION("""COMPUTED_VALUE"""),"FOREMAN PRODUKSI")</f>
        <v>FOREMAN PRODUKSI</v>
      </c>
      <c r="G270" s="52" t="str">
        <f>IFERROR(__xludf.DUMMYFUNCTION("""COMPUTED_VALUE"""),"PRODUKSI")</f>
        <v>PRODUKSI</v>
      </c>
      <c r="H270" s="52" t="str">
        <f>IFERROR(__xludf.DUMMYFUNCTION("""COMPUTED_VALUE"""),"FALSE")</f>
        <v>FALSE</v>
      </c>
      <c r="I270" s="55">
        <f>IFERROR(__xludf.DUMMYFUNCTION("""COMPUTED_VALUE"""),33313.0)</f>
        <v>33313</v>
      </c>
      <c r="J270" s="53" t="str">
        <f>IFERROR(__xludf.DUMMYFUNCTION("""COMPUTED_VALUE"""),"[107190944] JUSRAN")</f>
        <v>[107190944] JUSRAN</v>
      </c>
      <c r="K270" s="52"/>
      <c r="L270" s="52" t="str">
        <f t="shared" si="1"/>
        <v>#VALUE!</v>
      </c>
      <c r="M270" s="52"/>
      <c r="N270" s="52"/>
      <c r="O270" s="52"/>
      <c r="P270" s="52"/>
      <c r="Q270" s="52"/>
      <c r="R270" s="52"/>
      <c r="S270" s="52"/>
      <c r="T270" s="52"/>
      <c r="U270" s="52"/>
      <c r="V270" s="52"/>
      <c r="W270" s="52"/>
      <c r="X270" s="52"/>
      <c r="Y270" s="52"/>
      <c r="Z270" s="52"/>
    </row>
    <row r="271">
      <c r="A271" s="52">
        <f>IFERROR(__xludf.DUMMYFUNCTION("""COMPUTED_VALUE"""),2.07160684E8)</f>
        <v>207160684</v>
      </c>
      <c r="B271" s="52" t="str">
        <f>IFERROR(__xludf.DUMMYFUNCTION("""COMPUTED_VALUE"""),"KADIR DG. KULLE")</f>
        <v>KADIR DG. KULLE</v>
      </c>
      <c r="C271" s="52">
        <f>IFERROR(__xludf.DUMMYFUNCTION("""COMPUTED_VALUE"""),38.0)</f>
        <v>38</v>
      </c>
      <c r="D271" s="52" t="str">
        <f>IFERROR(__xludf.DUMMYFUNCTION("""COMPUTED_VALUE"""),"Islam")</f>
        <v>Islam</v>
      </c>
      <c r="E271" s="52" t="str">
        <f>IFERROR(__xludf.DUMMYFUNCTION("""COMPUTED_VALUE"""),"CV. Adil Prima Perkasa")</f>
        <v>CV. Adil Prima Perkasa</v>
      </c>
      <c r="F271" s="52" t="str">
        <f>IFERROR(__xludf.DUMMYFUNCTION("""COMPUTED_VALUE"""),"OPERATOR EXCAVATOR")</f>
        <v>OPERATOR EXCAVATOR</v>
      </c>
      <c r="G271" s="52" t="str">
        <f>IFERROR(__xludf.DUMMYFUNCTION("""COMPUTED_VALUE"""),"PRODUKSI")</f>
        <v>PRODUKSI</v>
      </c>
      <c r="H271" s="52" t="str">
        <f>IFERROR(__xludf.DUMMYFUNCTION("""COMPUTED_VALUE"""),"FALSE")</f>
        <v>FALSE</v>
      </c>
      <c r="I271" s="52"/>
      <c r="J271" s="53" t="str">
        <f>IFERROR(__xludf.DUMMYFUNCTION("""COMPUTED_VALUE"""),"[207160684] KADIR DG. KULLE")</f>
        <v>[207160684] KADIR DG. KULLE</v>
      </c>
      <c r="K271" s="52"/>
      <c r="L271" s="52" t="str">
        <f t="shared" si="1"/>
        <v>#VALUE!</v>
      </c>
      <c r="M271" s="52"/>
      <c r="N271" s="52"/>
      <c r="O271" s="52"/>
      <c r="P271" s="52"/>
      <c r="Q271" s="52"/>
      <c r="R271" s="52"/>
      <c r="S271" s="52"/>
      <c r="T271" s="52"/>
      <c r="U271" s="52"/>
      <c r="V271" s="52"/>
      <c r="W271" s="52"/>
      <c r="X271" s="52"/>
      <c r="Y271" s="52"/>
      <c r="Z271" s="52"/>
    </row>
    <row r="272">
      <c r="A272" s="52">
        <f>IFERROR(__xludf.DUMMYFUNCTION("""COMPUTED_VALUE"""),2.07211453E8)</f>
        <v>207211453</v>
      </c>
      <c r="B272" s="52" t="str">
        <f>IFERROR(__xludf.DUMMYFUNCTION("""COMPUTED_VALUE"""),"KAHARUDDIN")</f>
        <v>KAHARUDDIN</v>
      </c>
      <c r="C272" s="52">
        <f>IFERROR(__xludf.DUMMYFUNCTION("""COMPUTED_VALUE"""),38.0)</f>
        <v>38</v>
      </c>
      <c r="D272" s="52" t="str">
        <f>IFERROR(__xludf.DUMMYFUNCTION("""COMPUTED_VALUE"""),"Islam")</f>
        <v>Islam</v>
      </c>
      <c r="E272" s="52" t="str">
        <f>IFERROR(__xludf.DUMMYFUNCTION("""COMPUTED_VALUE"""),"CV. Adil Prima Perkasa")</f>
        <v>CV. Adil Prima Perkasa</v>
      </c>
      <c r="F272" s="52" t="str">
        <f>IFERROR(__xludf.DUMMYFUNCTION("""COMPUTED_VALUE"""),"WASHING MAN")</f>
        <v>WASHING MAN</v>
      </c>
      <c r="G272" s="52" t="str">
        <f>IFERROR(__xludf.DUMMYFUNCTION("""COMPUTED_VALUE"""),"WORKSHOP")</f>
        <v>WORKSHOP</v>
      </c>
      <c r="H272" s="52" t="str">
        <f>IFERROR(__xludf.DUMMYFUNCTION("""COMPUTED_VALUE"""),"[0106190928] NATAN KONDO")</f>
        <v>[0106190928] NATAN KONDO</v>
      </c>
      <c r="I272" s="52"/>
      <c r="J272" s="53" t="str">
        <f>IFERROR(__xludf.DUMMYFUNCTION("""COMPUTED_VALUE"""),"[207211453] KAHARUDDIN")</f>
        <v>[207211453] KAHARUDDIN</v>
      </c>
      <c r="K272" s="52"/>
      <c r="L272" s="52" t="str">
        <f t="shared" si="1"/>
        <v>#VALUE!</v>
      </c>
      <c r="M272" s="52"/>
      <c r="N272" s="52"/>
      <c r="O272" s="52"/>
      <c r="P272" s="52"/>
      <c r="Q272" s="52"/>
      <c r="R272" s="52"/>
      <c r="S272" s="52"/>
      <c r="T272" s="52"/>
      <c r="U272" s="52"/>
      <c r="V272" s="52"/>
      <c r="W272" s="52"/>
      <c r="X272" s="52"/>
      <c r="Y272" s="52"/>
      <c r="Z272" s="52"/>
    </row>
    <row r="273">
      <c r="A273" s="52">
        <f>IFERROR(__xludf.DUMMYFUNCTION("""COMPUTED_VALUE"""),2.09201234E8)</f>
        <v>209201234</v>
      </c>
      <c r="B273" s="52" t="str">
        <f>IFERROR(__xludf.DUMMYFUNCTION("""COMPUTED_VALUE"""),"KAMARUDDIN")</f>
        <v>KAMARUDDIN</v>
      </c>
      <c r="C273" s="52">
        <f>IFERROR(__xludf.DUMMYFUNCTION("""COMPUTED_VALUE"""),32.0)</f>
        <v>32</v>
      </c>
      <c r="D273" s="52" t="str">
        <f>IFERROR(__xludf.DUMMYFUNCTION("""COMPUTED_VALUE"""),"Islam")</f>
        <v>Islam</v>
      </c>
      <c r="E273" s="52" t="str">
        <f>IFERROR(__xludf.DUMMYFUNCTION("""COMPUTED_VALUE"""),"CV. Adil Prima Perkasa")</f>
        <v>CV. Adil Prima Perkasa</v>
      </c>
      <c r="F273" s="52" t="str">
        <f>IFERROR(__xludf.DUMMYFUNCTION("""COMPUTED_VALUE"""),"DRIVER DT H700ZY")</f>
        <v>DRIVER DT H700ZY</v>
      </c>
      <c r="G273" s="52" t="str">
        <f>IFERROR(__xludf.DUMMYFUNCTION("""COMPUTED_VALUE"""),"KENDARAAN &amp; UNIT SUPPORT")</f>
        <v>KENDARAAN &amp; UNIT SUPPORT</v>
      </c>
      <c r="H273" s="52" t="str">
        <f>IFERROR(__xludf.DUMMYFUNCTION("""COMPUTED_VALUE"""),"[0102150004] NAFTALI RARE'A, ST")</f>
        <v>[0102150004] NAFTALI RARE'A, ST</v>
      </c>
      <c r="I273" s="52"/>
      <c r="J273" s="53" t="str">
        <f>IFERROR(__xludf.DUMMYFUNCTION("""COMPUTED_VALUE"""),"[209201234] KAMARUDDIN")</f>
        <v>[209201234] KAMARUDDIN</v>
      </c>
      <c r="K273" s="52"/>
      <c r="L273" s="52" t="str">
        <f t="shared" si="1"/>
        <v>#VALUE!</v>
      </c>
      <c r="M273" s="52"/>
      <c r="N273" s="52"/>
      <c r="O273" s="52"/>
      <c r="P273" s="52"/>
      <c r="Q273" s="52"/>
      <c r="R273" s="52"/>
      <c r="S273" s="52"/>
      <c r="T273" s="52"/>
      <c r="U273" s="52"/>
      <c r="V273" s="52"/>
      <c r="W273" s="52"/>
      <c r="X273" s="52"/>
      <c r="Y273" s="52"/>
      <c r="Z273" s="52"/>
    </row>
    <row r="274">
      <c r="A274" s="52">
        <f>IFERROR(__xludf.DUMMYFUNCTION("""COMPUTED_VALUE"""),2.0220113E8)</f>
        <v>202201130</v>
      </c>
      <c r="B274" s="52" t="str">
        <f>IFERROR(__xludf.DUMMYFUNCTION("""COMPUTED_VALUE"""),"KAMARUDDIN DG BUNDU")</f>
        <v>KAMARUDDIN DG BUNDU</v>
      </c>
      <c r="C274" s="52">
        <f>IFERROR(__xludf.DUMMYFUNCTION("""COMPUTED_VALUE"""),53.0)</f>
        <v>53</v>
      </c>
      <c r="D274" s="52" t="str">
        <f>IFERROR(__xludf.DUMMYFUNCTION("""COMPUTED_VALUE"""),"Islam")</f>
        <v>Islam</v>
      </c>
      <c r="E274" s="52" t="str">
        <f>IFERROR(__xludf.DUMMYFUNCTION("""COMPUTED_VALUE"""),"CV. Adil Prima Perkasa")</f>
        <v>CV. Adil Prima Perkasa</v>
      </c>
      <c r="F274" s="52" t="str">
        <f>IFERROR(__xludf.DUMMYFUNCTION("""COMPUTED_VALUE"""),"OPERATOR ADT")</f>
        <v>OPERATOR ADT</v>
      </c>
      <c r="G274" s="52" t="str">
        <f>IFERROR(__xludf.DUMMYFUNCTION("""COMPUTED_VALUE"""),"PRODUKSI")</f>
        <v>PRODUKSI</v>
      </c>
      <c r="H274" s="52" t="str">
        <f>IFERROR(__xludf.DUMMYFUNCTION("""COMPUTED_VALUE"""),"FALSE")</f>
        <v>FALSE</v>
      </c>
      <c r="I274" s="52"/>
      <c r="J274" s="53" t="str">
        <f>IFERROR(__xludf.DUMMYFUNCTION("""COMPUTED_VALUE"""),"[202201130] KAMARUDDIN DG BUNDU")</f>
        <v>[202201130] KAMARUDDIN DG BUNDU</v>
      </c>
      <c r="K274" s="52"/>
      <c r="L274" s="52" t="str">
        <f t="shared" si="1"/>
        <v>#VALUE!</v>
      </c>
      <c r="M274" s="52"/>
      <c r="N274" s="52"/>
      <c r="O274" s="52"/>
      <c r="P274" s="52"/>
      <c r="Q274" s="52"/>
      <c r="R274" s="52"/>
      <c r="S274" s="52"/>
      <c r="T274" s="52"/>
      <c r="U274" s="52"/>
      <c r="V274" s="52"/>
      <c r="W274" s="52"/>
      <c r="X274" s="52"/>
      <c r="Y274" s="52"/>
      <c r="Z274" s="52"/>
    </row>
    <row r="275">
      <c r="A275" s="52">
        <f>IFERROR(__xludf.DUMMYFUNCTION("""COMPUTED_VALUE"""),2.0324189E8)</f>
        <v>203241890</v>
      </c>
      <c r="B275" s="52" t="str">
        <f>IFERROR(__xludf.DUMMYFUNCTION("""COMPUTED_VALUE"""),"KAROLIUS SEDA")</f>
        <v>KAROLIUS SEDA</v>
      </c>
      <c r="C275" s="52">
        <f>IFERROR(__xludf.DUMMYFUNCTION("""COMPUTED_VALUE"""),23.0)</f>
        <v>23</v>
      </c>
      <c r="D275" s="52" t="str">
        <f>IFERROR(__xludf.DUMMYFUNCTION("""COMPUTED_VALUE"""),"Kristen Khatolik")</f>
        <v>Kristen Khatolik</v>
      </c>
      <c r="E275" s="52" t="str">
        <f>IFERROR(__xludf.DUMMYFUNCTION("""COMPUTED_VALUE"""),"CV. Adil Prima Perkasa")</f>
        <v>CV. Adil Prima Perkasa</v>
      </c>
      <c r="F275" s="52" t="str">
        <f>IFERROR(__xludf.DUMMYFUNCTION("""COMPUTED_VALUE"""),"CREW SURVEY")</f>
        <v>CREW SURVEY</v>
      </c>
      <c r="G275" s="52" t="str">
        <f>IFERROR(__xludf.DUMMYFUNCTION("""COMPUTED_VALUE"""),"MPE")</f>
        <v>MPE</v>
      </c>
      <c r="H275" s="52" t="str">
        <f>IFERROR(__xludf.DUMMYFUNCTION("""COMPUTED_VALUE"""),"[0102150007] EKY SIDIK PRATAMA, ST")</f>
        <v>[0102150007] EKY SIDIK PRATAMA, ST</v>
      </c>
      <c r="I275" s="52"/>
      <c r="J275" s="53" t="str">
        <f>IFERROR(__xludf.DUMMYFUNCTION("""COMPUTED_VALUE"""),"[203241890] KAROLIUS SEDA")</f>
        <v>[203241890] KAROLIUS SEDA</v>
      </c>
      <c r="K275" s="52"/>
      <c r="L275" s="52" t="str">
        <f t="shared" si="1"/>
        <v>#VALUE!</v>
      </c>
      <c r="M275" s="52"/>
      <c r="N275" s="52"/>
      <c r="O275" s="52"/>
      <c r="P275" s="52"/>
      <c r="Q275" s="52"/>
      <c r="R275" s="52"/>
      <c r="S275" s="52"/>
      <c r="T275" s="52"/>
      <c r="U275" s="52"/>
      <c r="V275" s="52"/>
      <c r="W275" s="52"/>
      <c r="X275" s="52"/>
      <c r="Y275" s="52"/>
      <c r="Z275" s="52"/>
    </row>
    <row r="276">
      <c r="A276" s="52">
        <f>IFERROR(__xludf.DUMMYFUNCTION("""COMPUTED_VALUE"""),2.0324189E8)</f>
        <v>203241890</v>
      </c>
      <c r="B276" s="52" t="str">
        <f>IFERROR(__xludf.DUMMYFUNCTION("""COMPUTED_VALUE"""),"KAROLUS SEDA")</f>
        <v>KAROLUS SEDA</v>
      </c>
      <c r="C276" s="52">
        <f>IFERROR(__xludf.DUMMYFUNCTION("""COMPUTED_VALUE"""),0.0)</f>
        <v>0</v>
      </c>
      <c r="D276" s="52"/>
      <c r="E276" s="52" t="str">
        <f>IFERROR(__xludf.DUMMYFUNCTION("""COMPUTED_VALUE"""),"CV. Adil Prima Perkasa")</f>
        <v>CV. Adil Prima Perkasa</v>
      </c>
      <c r="F276" s="52" t="str">
        <f>IFERROR(__xludf.DUMMYFUNCTION("""COMPUTED_VALUE"""),"CREW SURVEY")</f>
        <v>CREW SURVEY</v>
      </c>
      <c r="G276" s="52" t="str">
        <f>IFERROR(__xludf.DUMMYFUNCTION("""COMPUTED_VALUE"""),"MPE")</f>
        <v>MPE</v>
      </c>
      <c r="H276" s="52" t="str">
        <f>IFERROR(__xludf.DUMMYFUNCTION("""COMPUTED_VALUE"""),"[0102150007] EKY SIDIK PRATAMA, ST")</f>
        <v>[0102150007] EKY SIDIK PRATAMA, ST</v>
      </c>
      <c r="I276" s="52"/>
      <c r="J276" s="53" t="str">
        <f>IFERROR(__xludf.DUMMYFUNCTION("""COMPUTED_VALUE"""),"[203241890] KAROLUS SEDA")</f>
        <v>[203241890] KAROLUS SEDA</v>
      </c>
      <c r="K276" s="52"/>
      <c r="L276" s="52" t="str">
        <f t="shared" si="1"/>
        <v>#VALUE!</v>
      </c>
      <c r="M276" s="52"/>
      <c r="N276" s="52"/>
      <c r="O276" s="52"/>
      <c r="P276" s="52"/>
      <c r="Q276" s="52"/>
      <c r="R276" s="52"/>
      <c r="S276" s="52"/>
      <c r="T276" s="52"/>
      <c r="U276" s="52"/>
      <c r="V276" s="52"/>
      <c r="W276" s="52"/>
      <c r="X276" s="52"/>
      <c r="Y276" s="52"/>
      <c r="Z276" s="52"/>
    </row>
    <row r="277">
      <c r="A277" s="52">
        <f>IFERROR(__xludf.DUMMYFUNCTION("""COMPUTED_VALUE"""),2.05231767E8)</f>
        <v>205231767</v>
      </c>
      <c r="B277" s="52" t="str">
        <f>IFERROR(__xludf.DUMMYFUNCTION("""COMPUTED_VALUE"""),"KAYSAR")</f>
        <v>KAYSAR</v>
      </c>
      <c r="C277" s="52">
        <f>IFERROR(__xludf.DUMMYFUNCTION("""COMPUTED_VALUE"""),0.0)</f>
        <v>0</v>
      </c>
      <c r="D277" s="52"/>
      <c r="E277" s="52" t="str">
        <f>IFERROR(__xludf.DUMMYFUNCTION("""COMPUTED_VALUE"""),"CV. Adil Prima Perkasa")</f>
        <v>CV. Adil Prima Perkasa</v>
      </c>
      <c r="F277" s="52" t="str">
        <f>IFERROR(__xludf.DUMMYFUNCTION("""COMPUTED_VALUE"""),"OPERATOR EXCAVATOR")</f>
        <v>OPERATOR EXCAVATOR</v>
      </c>
      <c r="G277" s="52" t="str">
        <f>IFERROR(__xludf.DUMMYFUNCTION("""COMPUTED_VALUE"""),"FALSE")</f>
        <v>FALSE</v>
      </c>
      <c r="H277" s="52" t="str">
        <f>IFERROR(__xludf.DUMMYFUNCTION("""COMPUTED_VALUE"""),"FALSE")</f>
        <v>FALSE</v>
      </c>
      <c r="I277" s="52"/>
      <c r="J277" s="53" t="str">
        <f>IFERROR(__xludf.DUMMYFUNCTION("""COMPUTED_VALUE"""),"[205231767] KAYSAR")</f>
        <v>[205231767] KAYSAR</v>
      </c>
      <c r="K277" s="52"/>
      <c r="L277" s="52" t="str">
        <f t="shared" si="1"/>
        <v>#VALUE!</v>
      </c>
      <c r="M277" s="52"/>
      <c r="N277" s="52"/>
      <c r="O277" s="52"/>
      <c r="P277" s="52"/>
      <c r="Q277" s="52"/>
      <c r="R277" s="52"/>
      <c r="S277" s="52"/>
      <c r="T277" s="52"/>
      <c r="U277" s="52"/>
      <c r="V277" s="52"/>
      <c r="W277" s="52"/>
      <c r="X277" s="52"/>
      <c r="Y277" s="52"/>
      <c r="Z277" s="52"/>
    </row>
    <row r="278">
      <c r="A278" s="52">
        <f>IFERROR(__xludf.DUMMYFUNCTION("""COMPUTED_VALUE"""),3.03230111E8)</f>
        <v>303230111</v>
      </c>
      <c r="B278" s="52" t="str">
        <f>IFERROR(__xludf.DUMMYFUNCTION("""COMPUTED_VALUE"""),"KERYO SAMANA")</f>
        <v>KERYO SAMANA</v>
      </c>
      <c r="C278" s="52">
        <f>IFERROR(__xludf.DUMMYFUNCTION("""COMPUTED_VALUE"""),20.0)</f>
        <v>20</v>
      </c>
      <c r="D278" s="52" t="str">
        <f>IFERROR(__xludf.DUMMYFUNCTION("""COMPUTED_VALUE"""),"Kristen Protestan")</f>
        <v>Kristen Protestan</v>
      </c>
      <c r="E278" s="52" t="str">
        <f>IFERROR(__xludf.DUMMYFUNCTION("""COMPUTED_VALUE"""),"CV. Monalisa")</f>
        <v>CV. Monalisa</v>
      </c>
      <c r="F278" s="52" t="str">
        <f>IFERROR(__xludf.DUMMYFUNCTION("""COMPUTED_VALUE"""),"SECURITY")</f>
        <v>SECURITY</v>
      </c>
      <c r="G278" s="52" t="str">
        <f>IFERROR(__xludf.DUMMYFUNCTION("""COMPUTED_VALUE"""),"HRD &amp; GA")</f>
        <v>HRD &amp; GA</v>
      </c>
      <c r="H278" s="52" t="str">
        <f>IFERROR(__xludf.DUMMYFUNCTION("""COMPUTED_VALUE"""),"[0108191037] ERNIE FRISLIA")</f>
        <v>[0108191037] ERNIE FRISLIA</v>
      </c>
      <c r="I278" s="52"/>
      <c r="J278" s="53" t="str">
        <f>IFERROR(__xludf.DUMMYFUNCTION("""COMPUTED_VALUE"""),"[303230111] KERYO SAMANA")</f>
        <v>[303230111] KERYO SAMANA</v>
      </c>
      <c r="K278" s="52"/>
      <c r="L278" s="52" t="str">
        <f t="shared" si="1"/>
        <v>#VALUE!</v>
      </c>
      <c r="M278" s="52"/>
      <c r="N278" s="52"/>
      <c r="O278" s="52"/>
      <c r="P278" s="52"/>
      <c r="Q278" s="52"/>
      <c r="R278" s="52"/>
      <c r="S278" s="52"/>
      <c r="T278" s="52"/>
      <c r="U278" s="52"/>
      <c r="V278" s="52"/>
      <c r="W278" s="52"/>
      <c r="X278" s="52"/>
      <c r="Y278" s="52"/>
      <c r="Z278" s="52"/>
    </row>
    <row r="279">
      <c r="A279" s="52">
        <f>IFERROR(__xludf.DUMMYFUNCTION("""COMPUTED_VALUE"""),2.01221579E8)</f>
        <v>201221579</v>
      </c>
      <c r="B279" s="52" t="str">
        <f>IFERROR(__xludf.DUMMYFUNCTION("""COMPUTED_VALUE"""),"KHAERUL SAPUTRA")</f>
        <v>KHAERUL SAPUTRA</v>
      </c>
      <c r="C279" s="52">
        <f>IFERROR(__xludf.DUMMYFUNCTION("""COMPUTED_VALUE"""),27.0)</f>
        <v>27</v>
      </c>
      <c r="D279" s="52" t="str">
        <f>IFERROR(__xludf.DUMMYFUNCTION("""COMPUTED_VALUE"""),"Islam")</f>
        <v>Islam</v>
      </c>
      <c r="E279" s="52" t="str">
        <f>IFERROR(__xludf.DUMMYFUNCTION("""COMPUTED_VALUE"""),"CV. Adil Prima Perkasa")</f>
        <v>CV. Adil Prima Perkasa</v>
      </c>
      <c r="F279" s="52" t="str">
        <f>IFERROR(__xludf.DUMMYFUNCTION("""COMPUTED_VALUE"""),"DRIVER MAINTENANCE")</f>
        <v>DRIVER MAINTENANCE</v>
      </c>
      <c r="G279" s="52" t="str">
        <f>IFERROR(__xludf.DUMMYFUNCTION("""COMPUTED_VALUE"""),"KENDARAAN &amp; UNIT SUPPORT")</f>
        <v>KENDARAAN &amp; UNIT SUPPORT</v>
      </c>
      <c r="H279" s="52" t="str">
        <f>IFERROR(__xludf.DUMMYFUNCTION("""COMPUTED_VALUE"""),"[0102150004] NAFTALI RARE'A, ST")</f>
        <v>[0102150004] NAFTALI RARE'A, ST</v>
      </c>
      <c r="I279" s="52"/>
      <c r="J279" s="53" t="str">
        <f>IFERROR(__xludf.DUMMYFUNCTION("""COMPUTED_VALUE"""),"[201221579] KHAERUL SAPUTRA")</f>
        <v>[201221579] KHAERUL SAPUTRA</v>
      </c>
      <c r="K279" s="52"/>
      <c r="L279" s="52" t="str">
        <f t="shared" si="1"/>
        <v>#VALUE!</v>
      </c>
      <c r="M279" s="52"/>
      <c r="N279" s="52"/>
      <c r="O279" s="52"/>
      <c r="P279" s="52"/>
      <c r="Q279" s="52"/>
      <c r="R279" s="52"/>
      <c r="S279" s="52"/>
      <c r="T279" s="52"/>
      <c r="U279" s="52"/>
      <c r="V279" s="52"/>
      <c r="W279" s="52"/>
      <c r="X279" s="52"/>
      <c r="Y279" s="52"/>
      <c r="Z279" s="52"/>
    </row>
    <row r="280">
      <c r="A280" s="52">
        <f>IFERROR(__xludf.DUMMYFUNCTION("""COMPUTED_VALUE"""),1.09201212E8)</f>
        <v>109201212</v>
      </c>
      <c r="B280" s="52" t="str">
        <f>IFERROR(__xludf.DUMMYFUNCTION("""COMPUTED_VALUE"""),"KRISTIAN DWI JAYANTO")</f>
        <v>KRISTIAN DWI JAYANTO</v>
      </c>
      <c r="C280" s="52">
        <f>IFERROR(__xludf.DUMMYFUNCTION("""COMPUTED_VALUE"""),31.0)</f>
        <v>31</v>
      </c>
      <c r="D280" s="52" t="str">
        <f>IFERROR(__xludf.DUMMYFUNCTION("""COMPUTED_VALUE"""),"Kristen Khatolik")</f>
        <v>Kristen Khatolik</v>
      </c>
      <c r="E280" s="52" t="str">
        <f>IFERROR(__xludf.DUMMYFUNCTION("""COMPUTED_VALUE"""),"CV. SENTOSA ABADI")</f>
        <v>CV. SENTOSA ABADI</v>
      </c>
      <c r="F280" s="52" t="str">
        <f>IFERROR(__xludf.DUMMYFUNCTION("""COMPUTED_VALUE"""),"SAFETY OFFICER")</f>
        <v>SAFETY OFFICER</v>
      </c>
      <c r="G280" s="52" t="str">
        <f>IFERROR(__xludf.DUMMYFUNCTION("""COMPUTED_VALUE"""),"HSE")</f>
        <v>HSE</v>
      </c>
      <c r="H280" s="52" t="str">
        <f>IFERROR(__xludf.DUMMYFUNCTION("""COMPUTED_VALUE"""),"[0409230007] SLAMET WAHYUDI SAPUTRA")</f>
        <v>[0409230007] SLAMET WAHYUDI SAPUTRA</v>
      </c>
      <c r="I280" s="52"/>
      <c r="J280" s="53" t="str">
        <f>IFERROR(__xludf.DUMMYFUNCTION("""COMPUTED_VALUE"""),"[109201212] KRISTIAN DWI JAYANTO")</f>
        <v>[109201212] KRISTIAN DWI JAYANTO</v>
      </c>
      <c r="K280" s="52"/>
      <c r="L280" s="52" t="str">
        <f t="shared" si="1"/>
        <v>#VALUE!</v>
      </c>
      <c r="M280" s="52"/>
      <c r="N280" s="52"/>
      <c r="O280" s="52"/>
      <c r="P280" s="52"/>
      <c r="Q280" s="52"/>
      <c r="R280" s="52"/>
      <c r="S280" s="52"/>
      <c r="T280" s="52"/>
      <c r="U280" s="52"/>
      <c r="V280" s="52"/>
      <c r="W280" s="52"/>
      <c r="X280" s="52"/>
      <c r="Y280" s="52"/>
      <c r="Z280" s="52"/>
    </row>
    <row r="281">
      <c r="A281" s="52">
        <f>IFERROR(__xludf.DUMMYFUNCTION("""COMPUTED_VALUE"""),2.0623178E8)</f>
        <v>206231780</v>
      </c>
      <c r="B281" s="52" t="str">
        <f>IFERROR(__xludf.DUMMYFUNCTION("""COMPUTED_VALUE"""),"LANTIF SUSENO")</f>
        <v>LANTIF SUSENO</v>
      </c>
      <c r="C281" s="52">
        <f>IFERROR(__xludf.DUMMYFUNCTION("""COMPUTED_VALUE"""),38.0)</f>
        <v>38</v>
      </c>
      <c r="D281" s="52" t="str">
        <f>IFERROR(__xludf.DUMMYFUNCTION("""COMPUTED_VALUE"""),"Islam")</f>
        <v>Islam</v>
      </c>
      <c r="E281" s="52" t="str">
        <f>IFERROR(__xludf.DUMMYFUNCTION("""COMPUTED_VALUE"""),"CV. Adil Prima Perkasa")</f>
        <v>CV. Adil Prima Perkasa</v>
      </c>
      <c r="F281" s="52" t="str">
        <f>IFERROR(__xludf.DUMMYFUNCTION("""COMPUTED_VALUE"""),"STAFF GA")</f>
        <v>STAFF GA</v>
      </c>
      <c r="G281" s="52" t="str">
        <f>IFERROR(__xludf.DUMMYFUNCTION("""COMPUTED_VALUE"""),"HRD &amp; GA")</f>
        <v>HRD &amp; GA</v>
      </c>
      <c r="H281" s="52" t="str">
        <f>IFERROR(__xludf.DUMMYFUNCTION("""COMPUTED_VALUE"""),"[0108191037] ERNIE FRISLIA")</f>
        <v>[0108191037] ERNIE FRISLIA</v>
      </c>
      <c r="I281" s="55">
        <f>IFERROR(__xludf.DUMMYFUNCTION("""COMPUTED_VALUE"""),34830.0)</f>
        <v>34830</v>
      </c>
      <c r="J281" s="53" t="str">
        <f>IFERROR(__xludf.DUMMYFUNCTION("""COMPUTED_VALUE"""),"[206231780] LANTIF SUSENO")</f>
        <v>[206231780] LANTIF SUSENO</v>
      </c>
      <c r="K281" s="52"/>
      <c r="L281" s="52" t="str">
        <f t="shared" si="1"/>
        <v>#VALUE!</v>
      </c>
      <c r="M281" s="52"/>
      <c r="N281" s="52"/>
      <c r="O281" s="52"/>
      <c r="P281" s="52"/>
      <c r="Q281" s="52"/>
      <c r="R281" s="52"/>
      <c r="S281" s="52"/>
      <c r="T281" s="52"/>
      <c r="U281" s="52"/>
      <c r="V281" s="52"/>
      <c r="W281" s="52"/>
      <c r="X281" s="52"/>
      <c r="Y281" s="52"/>
      <c r="Z281" s="52"/>
    </row>
    <row r="282">
      <c r="A282" s="52">
        <f>IFERROR(__xludf.DUMMYFUNCTION("""COMPUTED_VALUE"""),2.02241883E8)</f>
        <v>202241883</v>
      </c>
      <c r="B282" s="52" t="str">
        <f>IFERROR(__xludf.DUMMYFUNCTION("""COMPUTED_VALUE"""),"LEFRAN PANGATI")</f>
        <v>LEFRAN PANGATI</v>
      </c>
      <c r="C282" s="52">
        <f>IFERROR(__xludf.DUMMYFUNCTION("""COMPUTED_VALUE"""),0.0)</f>
        <v>0</v>
      </c>
      <c r="D282" s="52"/>
      <c r="E282" s="52" t="str">
        <f>IFERROR(__xludf.DUMMYFUNCTION("""COMPUTED_VALUE"""),"CV. Adil Prima Perkasa")</f>
        <v>CV. Adil Prima Perkasa</v>
      </c>
      <c r="F282" s="52" t="str">
        <f>IFERROR(__xludf.DUMMYFUNCTION("""COMPUTED_VALUE"""),"HELPER MECHANIC MAINTENANCE")</f>
        <v>HELPER MECHANIC MAINTENANCE</v>
      </c>
      <c r="G282" s="52" t="str">
        <f>IFERROR(__xludf.DUMMYFUNCTION("""COMPUTED_VALUE"""),"WORKSHOP")</f>
        <v>WORKSHOP</v>
      </c>
      <c r="H282" s="52" t="str">
        <f>IFERROR(__xludf.DUMMYFUNCTION("""COMPUTED_VALUE"""),"[0106190928] NATAN KONDO")</f>
        <v>[0106190928] NATAN KONDO</v>
      </c>
      <c r="I282" s="52"/>
      <c r="J282" s="53" t="str">
        <f>IFERROR(__xludf.DUMMYFUNCTION("""COMPUTED_VALUE"""),"[202241883] LEFRAN PANGATI")</f>
        <v>[202241883] LEFRAN PANGATI</v>
      </c>
      <c r="K282" s="52"/>
      <c r="L282" s="52" t="str">
        <f t="shared" si="1"/>
        <v>#VALUE!</v>
      </c>
      <c r="M282" s="52"/>
      <c r="N282" s="52"/>
      <c r="O282" s="52"/>
      <c r="P282" s="52"/>
      <c r="Q282" s="52"/>
      <c r="R282" s="52"/>
      <c r="S282" s="52"/>
      <c r="T282" s="52"/>
      <c r="U282" s="52"/>
      <c r="V282" s="52"/>
      <c r="W282" s="52"/>
      <c r="X282" s="52"/>
      <c r="Y282" s="52"/>
      <c r="Z282" s="52"/>
    </row>
    <row r="283">
      <c r="A283" s="52">
        <f>IFERROR(__xludf.DUMMYFUNCTION("""COMPUTED_VALUE"""),2.03241897E8)</f>
        <v>203241897</v>
      </c>
      <c r="B283" s="52" t="str">
        <f>IFERROR(__xludf.DUMMYFUNCTION("""COMPUTED_VALUE"""),"LESLI RENGKU")</f>
        <v>LESLI RENGKU</v>
      </c>
      <c r="C283" s="52">
        <f>IFERROR(__xludf.DUMMYFUNCTION("""COMPUTED_VALUE"""),0.0)</f>
        <v>0</v>
      </c>
      <c r="D283" s="52"/>
      <c r="E283" s="52" t="str">
        <f>IFERROR(__xludf.DUMMYFUNCTION("""COMPUTED_VALUE"""),"CV. Adil Prima Perkasa")</f>
        <v>CV. Adil Prima Perkasa</v>
      </c>
      <c r="F283" s="52" t="str">
        <f>IFERROR(__xludf.DUMMYFUNCTION("""COMPUTED_VALUE"""),"HELPER TYRE")</f>
        <v>HELPER TYRE</v>
      </c>
      <c r="G283" s="52" t="str">
        <f>IFERROR(__xludf.DUMMYFUNCTION("""COMPUTED_VALUE"""),"WORKSHOP")</f>
        <v>WORKSHOP</v>
      </c>
      <c r="H283" s="52" t="str">
        <f>IFERROR(__xludf.DUMMYFUNCTION("""COMPUTED_VALUE"""),"[0106190928] NATAN KONDO")</f>
        <v>[0106190928] NATAN KONDO</v>
      </c>
      <c r="I283" s="52"/>
      <c r="J283" s="53" t="str">
        <f>IFERROR(__xludf.DUMMYFUNCTION("""COMPUTED_VALUE"""),"[203241897] LESLI RENGKU")</f>
        <v>[203241897] LESLI RENGKU</v>
      </c>
      <c r="K283" s="52"/>
      <c r="L283" s="52" t="str">
        <f t="shared" si="1"/>
        <v>#VALUE!</v>
      </c>
      <c r="M283" s="52"/>
      <c r="N283" s="52"/>
      <c r="O283" s="52"/>
      <c r="P283" s="52"/>
      <c r="Q283" s="52"/>
      <c r="R283" s="52"/>
      <c r="S283" s="52"/>
      <c r="T283" s="52"/>
      <c r="U283" s="52"/>
      <c r="V283" s="52"/>
      <c r="W283" s="52"/>
      <c r="X283" s="52"/>
      <c r="Y283" s="52"/>
      <c r="Z283" s="52"/>
    </row>
    <row r="284">
      <c r="A284" s="52">
        <f>IFERROR(__xludf.DUMMYFUNCTION("""COMPUTED_VALUE"""),2.03231743E8)</f>
        <v>203231743</v>
      </c>
      <c r="B284" s="52" t="str">
        <f>IFERROR(__xludf.DUMMYFUNCTION("""COMPUTED_VALUE"""),"LEXSY SUMBUNG")</f>
        <v>LEXSY SUMBUNG</v>
      </c>
      <c r="C284" s="52">
        <f>IFERROR(__xludf.DUMMYFUNCTION("""COMPUTED_VALUE"""),26.0)</f>
        <v>26</v>
      </c>
      <c r="D284" s="52" t="str">
        <f>IFERROR(__xludf.DUMMYFUNCTION("""COMPUTED_VALUE"""),"Kristen Protestan")</f>
        <v>Kristen Protestan</v>
      </c>
      <c r="E284" s="52" t="str">
        <f>IFERROR(__xludf.DUMMYFUNCTION("""COMPUTED_VALUE"""),"CV. Adil Prima Perkasa")</f>
        <v>CV. Adil Prima Perkasa</v>
      </c>
      <c r="F284" s="52" t="str">
        <f>IFERROR(__xludf.DUMMYFUNCTION("""COMPUTED_VALUE"""),"CREW SURVEY")</f>
        <v>CREW SURVEY</v>
      </c>
      <c r="G284" s="52" t="str">
        <f>IFERROR(__xludf.DUMMYFUNCTION("""COMPUTED_VALUE"""),"MPE")</f>
        <v>MPE</v>
      </c>
      <c r="H284" s="52" t="str">
        <f>IFERROR(__xludf.DUMMYFUNCTION("""COMPUTED_VALUE"""),"FALSE")</f>
        <v>FALSE</v>
      </c>
      <c r="I284" s="52"/>
      <c r="J284" s="53" t="str">
        <f>IFERROR(__xludf.DUMMYFUNCTION("""COMPUTED_VALUE"""),"[203231743] LEXSY SUMBUNG")</f>
        <v>[203231743] LEXSY SUMBUNG</v>
      </c>
      <c r="K284" s="52"/>
      <c r="L284" s="52" t="str">
        <f t="shared" si="1"/>
        <v>#VALUE!</v>
      </c>
      <c r="M284" s="52"/>
      <c r="N284" s="52"/>
      <c r="O284" s="52"/>
      <c r="P284" s="52"/>
      <c r="Q284" s="52"/>
      <c r="R284" s="52"/>
      <c r="S284" s="52"/>
      <c r="T284" s="52"/>
      <c r="U284" s="52"/>
      <c r="V284" s="52"/>
      <c r="W284" s="52"/>
      <c r="X284" s="52"/>
      <c r="Y284" s="52"/>
      <c r="Z284" s="52"/>
    </row>
    <row r="285">
      <c r="A285" s="52">
        <f>IFERROR(__xludf.DUMMYFUNCTION("""COMPUTED_VALUE"""),1.05241928E8)</f>
        <v>105241928</v>
      </c>
      <c r="B285" s="52" t="str">
        <f>IFERROR(__xludf.DUMMYFUNCTION("""COMPUTED_VALUE"""),"LUDIA ASRI SIAMPA")</f>
        <v>LUDIA ASRI SIAMPA</v>
      </c>
      <c r="C285" s="52">
        <f>IFERROR(__xludf.DUMMYFUNCTION("""COMPUTED_VALUE"""),0.0)</f>
        <v>0</v>
      </c>
      <c r="D285" s="52"/>
      <c r="E285" s="52" t="str">
        <f>IFERROR(__xludf.DUMMYFUNCTION("""COMPUTED_VALUE"""),"CV. SENTOSA ABADI")</f>
        <v>CV. SENTOSA ABADI</v>
      </c>
      <c r="F285" s="52" t="str">
        <f>IFERROR(__xludf.DUMMYFUNCTION("""COMPUTED_VALUE"""),"STOCKER")</f>
        <v>STOCKER</v>
      </c>
      <c r="G285" s="52" t="str">
        <f>IFERROR(__xludf.DUMMYFUNCTION("""COMPUTED_VALUE"""),"HRD &amp; GA")</f>
        <v>HRD &amp; GA</v>
      </c>
      <c r="H285" s="52" t="str">
        <f>IFERROR(__xludf.DUMMYFUNCTION("""COMPUTED_VALUE"""),"[0108191037] ERNIE FRISLIA")</f>
        <v>[0108191037] ERNIE FRISLIA</v>
      </c>
      <c r="I285" s="52"/>
      <c r="J285" s="53" t="str">
        <f>IFERROR(__xludf.DUMMYFUNCTION("""COMPUTED_VALUE"""),"[105241928] LUDIA ASRI SIAMPA")</f>
        <v>[105241928] LUDIA ASRI SIAMPA</v>
      </c>
      <c r="K285" s="52"/>
      <c r="L285" s="52" t="str">
        <f t="shared" si="1"/>
        <v>#VALUE!</v>
      </c>
      <c r="M285" s="52"/>
      <c r="N285" s="52"/>
      <c r="O285" s="52"/>
      <c r="P285" s="52"/>
      <c r="Q285" s="52"/>
      <c r="R285" s="52"/>
      <c r="S285" s="52"/>
      <c r="T285" s="52"/>
      <c r="U285" s="52"/>
      <c r="V285" s="52"/>
      <c r="W285" s="52"/>
      <c r="X285" s="52"/>
      <c r="Y285" s="52"/>
      <c r="Z285" s="52"/>
    </row>
    <row r="286">
      <c r="A286" s="52">
        <f>IFERROR(__xludf.DUMMYFUNCTION("""COMPUTED_VALUE"""),1.10191103E8)</f>
        <v>110191103</v>
      </c>
      <c r="B286" s="52" t="str">
        <f>IFERROR(__xludf.DUMMYFUNCTION("""COMPUTED_VALUE"""),"M. AKBAR")</f>
        <v>M. AKBAR</v>
      </c>
      <c r="C286" s="52">
        <f>IFERROR(__xludf.DUMMYFUNCTION("""COMPUTED_VALUE"""),26.0)</f>
        <v>26</v>
      </c>
      <c r="D286" s="52" t="str">
        <f>IFERROR(__xludf.DUMMYFUNCTION("""COMPUTED_VALUE"""),"Islam")</f>
        <v>Islam</v>
      </c>
      <c r="E286" s="52" t="str">
        <f>IFERROR(__xludf.DUMMYFUNCTION("""COMPUTED_VALUE"""),"CV. SENTOSA ABADI")</f>
        <v>CV. SENTOSA ABADI</v>
      </c>
      <c r="F286" s="52" t="str">
        <f>IFERROR(__xludf.DUMMYFUNCTION("""COMPUTED_VALUE"""),"OPERATOR EXCAVATOR")</f>
        <v>OPERATOR EXCAVATOR</v>
      </c>
      <c r="G286" s="52" t="str">
        <f>IFERROR(__xludf.DUMMYFUNCTION("""COMPUTED_VALUE"""),"PRODUKSI")</f>
        <v>PRODUKSI</v>
      </c>
      <c r="H286" s="52" t="str">
        <f>IFERROR(__xludf.DUMMYFUNCTION("""COMPUTED_VALUE"""),"[0102130003] PURNAWAN")</f>
        <v>[0102130003] PURNAWAN</v>
      </c>
      <c r="I286" s="52"/>
      <c r="J286" s="53" t="str">
        <f>IFERROR(__xludf.DUMMYFUNCTION("""COMPUTED_VALUE"""),"[110191103] M. AKBAR")</f>
        <v>[110191103] M. AKBAR</v>
      </c>
      <c r="K286" s="52"/>
      <c r="L286" s="52" t="str">
        <f t="shared" si="1"/>
        <v>#VALUE!</v>
      </c>
      <c r="M286" s="52"/>
      <c r="N286" s="52"/>
      <c r="O286" s="52"/>
      <c r="P286" s="52"/>
      <c r="Q286" s="52"/>
      <c r="R286" s="52"/>
      <c r="S286" s="52"/>
      <c r="T286" s="52"/>
      <c r="U286" s="52"/>
      <c r="V286" s="52"/>
      <c r="W286" s="52"/>
      <c r="X286" s="52"/>
      <c r="Y286" s="52"/>
      <c r="Z286" s="52"/>
    </row>
    <row r="287">
      <c r="A287" s="52">
        <f>IFERROR(__xludf.DUMMYFUNCTION("""COMPUTED_VALUE"""),2.12211546E8)</f>
        <v>212211546</v>
      </c>
      <c r="B287" s="52" t="str">
        <f>IFERROR(__xludf.DUMMYFUNCTION("""COMPUTED_VALUE"""),"M. NASIR YALE")</f>
        <v>M. NASIR YALE</v>
      </c>
      <c r="C287" s="52">
        <f>IFERROR(__xludf.DUMMYFUNCTION("""COMPUTED_VALUE"""),52.0)</f>
        <v>52</v>
      </c>
      <c r="D287" s="52" t="str">
        <f>IFERROR(__xludf.DUMMYFUNCTION("""COMPUTED_VALUE"""),"Islam")</f>
        <v>Islam</v>
      </c>
      <c r="E287" s="52" t="str">
        <f>IFERROR(__xludf.DUMMYFUNCTION("""COMPUTED_VALUE"""),"CV. Adil Prima Perkasa")</f>
        <v>CV. Adil Prima Perkasa</v>
      </c>
      <c r="F287" s="52" t="str">
        <f>IFERROR(__xludf.DUMMYFUNCTION("""COMPUTED_VALUE"""),"DRIVER DT H700ZY")</f>
        <v>DRIVER DT H700ZY</v>
      </c>
      <c r="G287" s="52" t="str">
        <f>IFERROR(__xludf.DUMMYFUNCTION("""COMPUTED_VALUE"""),"KENDARAAN &amp; UNIT SUPPORT")</f>
        <v>KENDARAAN &amp; UNIT SUPPORT</v>
      </c>
      <c r="H287" s="52" t="str">
        <f>IFERROR(__xludf.DUMMYFUNCTION("""COMPUTED_VALUE"""),"[0102150004] NAFTALI RARE'A, ST")</f>
        <v>[0102150004] NAFTALI RARE'A, ST</v>
      </c>
      <c r="I287" s="52"/>
      <c r="J287" s="53" t="str">
        <f>IFERROR(__xludf.DUMMYFUNCTION("""COMPUTED_VALUE"""),"[212211546] M. NASIR YALE")</f>
        <v>[212211546] M. NASIR YALE</v>
      </c>
      <c r="K287" s="52"/>
      <c r="L287" s="52" t="str">
        <f t="shared" si="1"/>
        <v>#VALUE!</v>
      </c>
      <c r="M287" s="52"/>
      <c r="N287" s="52"/>
      <c r="O287" s="52"/>
      <c r="P287" s="52"/>
      <c r="Q287" s="52"/>
      <c r="R287" s="52"/>
      <c r="S287" s="52"/>
      <c r="T287" s="52"/>
      <c r="U287" s="52"/>
      <c r="V287" s="52"/>
      <c r="W287" s="52"/>
      <c r="X287" s="52"/>
      <c r="Y287" s="52"/>
      <c r="Z287" s="52"/>
    </row>
    <row r="288">
      <c r="A288" s="52">
        <f>IFERROR(__xludf.DUMMYFUNCTION("""COMPUTED_VALUE"""),1.03190805E8)</f>
        <v>103190805</v>
      </c>
      <c r="B288" s="52" t="str">
        <f>IFERROR(__xludf.DUMMYFUNCTION("""COMPUTED_VALUE"""),"MAHALI BIN AHMAD")</f>
        <v>MAHALI BIN AHMAD</v>
      </c>
      <c r="C288" s="52">
        <f>IFERROR(__xludf.DUMMYFUNCTION("""COMPUTED_VALUE"""),44.0)</f>
        <v>44</v>
      </c>
      <c r="D288" s="52" t="str">
        <f>IFERROR(__xludf.DUMMYFUNCTION("""COMPUTED_VALUE"""),"Islam")</f>
        <v>Islam</v>
      </c>
      <c r="E288" s="52" t="str">
        <f>IFERROR(__xludf.DUMMYFUNCTION("""COMPUTED_VALUE"""),"CV. SENTOSA ABADI")</f>
        <v>CV. SENTOSA ABADI</v>
      </c>
      <c r="F288" s="52" t="str">
        <f>IFERROR(__xludf.DUMMYFUNCTION("""COMPUTED_VALUE"""),"OPERATOR BULLDOZER")</f>
        <v>OPERATOR BULLDOZER</v>
      </c>
      <c r="G288" s="52" t="str">
        <f>IFERROR(__xludf.DUMMYFUNCTION("""COMPUTED_VALUE"""),"PRODUKSI")</f>
        <v>PRODUKSI</v>
      </c>
      <c r="H288" s="52" t="str">
        <f>IFERROR(__xludf.DUMMYFUNCTION("""COMPUTED_VALUE"""),"[0102130003] PURNAWAN")</f>
        <v>[0102130003] PURNAWAN</v>
      </c>
      <c r="I288" s="52"/>
      <c r="J288" s="53" t="str">
        <f>IFERROR(__xludf.DUMMYFUNCTION("""COMPUTED_VALUE"""),"[103190805] MAHALI BIN AHMAD")</f>
        <v>[103190805] MAHALI BIN AHMAD</v>
      </c>
      <c r="K288" s="52"/>
      <c r="L288" s="52" t="str">
        <f t="shared" si="1"/>
        <v>#VALUE!</v>
      </c>
      <c r="M288" s="52"/>
      <c r="N288" s="52"/>
      <c r="O288" s="52"/>
      <c r="P288" s="52"/>
      <c r="Q288" s="52"/>
      <c r="R288" s="52"/>
      <c r="S288" s="52"/>
      <c r="T288" s="52"/>
      <c r="U288" s="52"/>
      <c r="V288" s="52"/>
      <c r="W288" s="52"/>
      <c r="X288" s="52"/>
      <c r="Y288" s="52"/>
      <c r="Z288" s="52"/>
    </row>
    <row r="289">
      <c r="A289" s="52">
        <f>IFERROR(__xludf.DUMMYFUNCTION("""COMPUTED_VALUE"""),1.08201173E8)</f>
        <v>108201173</v>
      </c>
      <c r="B289" s="52" t="str">
        <f>IFERROR(__xludf.DUMMYFUNCTION("""COMPUTED_VALUE"""),"MAING")</f>
        <v>MAING</v>
      </c>
      <c r="C289" s="52">
        <f>IFERROR(__xludf.DUMMYFUNCTION("""COMPUTED_VALUE"""),48.0)</f>
        <v>48</v>
      </c>
      <c r="D289" s="52" t="str">
        <f>IFERROR(__xludf.DUMMYFUNCTION("""COMPUTED_VALUE"""),"Islam")</f>
        <v>Islam</v>
      </c>
      <c r="E289" s="52" t="str">
        <f>IFERROR(__xludf.DUMMYFUNCTION("""COMPUTED_VALUE"""),"CV. SENTOSA ABADI")</f>
        <v>CV. SENTOSA ABADI</v>
      </c>
      <c r="F289" s="52" t="str">
        <f>IFERROR(__xludf.DUMMYFUNCTION("""COMPUTED_VALUE"""),"DRIVER DT H700ZY")</f>
        <v>DRIVER DT H700ZY</v>
      </c>
      <c r="G289" s="52" t="str">
        <f>IFERROR(__xludf.DUMMYFUNCTION("""COMPUTED_VALUE"""),"KENDARAAN &amp; UNIT SUPPORT")</f>
        <v>KENDARAAN &amp; UNIT SUPPORT</v>
      </c>
      <c r="H289" s="52" t="str">
        <f>IFERROR(__xludf.DUMMYFUNCTION("""COMPUTED_VALUE"""),"[0102150004] NAFTALI RARE'A, ST")</f>
        <v>[0102150004] NAFTALI RARE'A, ST</v>
      </c>
      <c r="I289" s="52"/>
      <c r="J289" s="53" t="str">
        <f>IFERROR(__xludf.DUMMYFUNCTION("""COMPUTED_VALUE"""),"[108201173] MAING")</f>
        <v>[108201173] MAING</v>
      </c>
      <c r="K289" s="52"/>
      <c r="L289" s="52" t="str">
        <f t="shared" si="1"/>
        <v>#VALUE!</v>
      </c>
      <c r="M289" s="52"/>
      <c r="N289" s="52"/>
      <c r="O289" s="52"/>
      <c r="P289" s="52"/>
      <c r="Q289" s="52"/>
      <c r="R289" s="52"/>
      <c r="S289" s="52"/>
      <c r="T289" s="52"/>
      <c r="U289" s="52"/>
      <c r="V289" s="52"/>
      <c r="W289" s="52"/>
      <c r="X289" s="52"/>
      <c r="Y289" s="52"/>
      <c r="Z289" s="52"/>
    </row>
    <row r="290">
      <c r="A290" s="52"/>
      <c r="B290" s="52" t="str">
        <f>IFERROR(__xludf.DUMMYFUNCTION("""COMPUTED_VALUE"""),"MARC")</f>
        <v>MARC</v>
      </c>
      <c r="C290" s="52">
        <f>IFERROR(__xludf.DUMMYFUNCTION("""COMPUTED_VALUE"""),0.0)</f>
        <v>0</v>
      </c>
      <c r="D290" s="52"/>
      <c r="E290" s="52" t="str">
        <f>IFERROR(__xludf.DUMMYFUNCTION("""COMPUTED_VALUE"""),"CV. Adil Prima Perkasa")</f>
        <v>CV. Adil Prima Perkasa</v>
      </c>
      <c r="F290" s="52" t="str">
        <f>IFERROR(__xludf.DUMMYFUNCTION("""COMPUTED_VALUE"""),"FALSE")</f>
        <v>FALSE</v>
      </c>
      <c r="G290" s="52" t="str">
        <f>IFERROR(__xludf.DUMMYFUNCTION("""COMPUTED_VALUE"""),"FALSE")</f>
        <v>FALSE</v>
      </c>
      <c r="H290" s="52" t="str">
        <f>IFERROR(__xludf.DUMMYFUNCTION("""COMPUTED_VALUE"""),"FALSE")</f>
        <v>FALSE</v>
      </c>
      <c r="I290" s="52"/>
      <c r="J290" s="53" t="str">
        <f>IFERROR(__xludf.DUMMYFUNCTION("""COMPUTED_VALUE"""),"[] MARC")</f>
        <v>[] MARC</v>
      </c>
      <c r="K290" s="52"/>
      <c r="L290" s="52" t="str">
        <f t="shared" si="1"/>
        <v>#VALUE!</v>
      </c>
      <c r="M290" s="52"/>
      <c r="N290" s="52"/>
      <c r="O290" s="52"/>
      <c r="P290" s="52"/>
      <c r="Q290" s="52"/>
      <c r="R290" s="52"/>
      <c r="S290" s="52"/>
      <c r="T290" s="52"/>
      <c r="U290" s="52"/>
      <c r="V290" s="52"/>
      <c r="W290" s="52"/>
      <c r="X290" s="52"/>
      <c r="Y290" s="52"/>
      <c r="Z290" s="52"/>
    </row>
    <row r="291">
      <c r="A291" s="52">
        <f>IFERROR(__xludf.DUMMYFUNCTION("""COMPUTED_VALUE"""),4.07230006E8)</f>
        <v>407230006</v>
      </c>
      <c r="B291" s="52" t="str">
        <f>IFERROR(__xludf.DUMMYFUNCTION("""COMPUTED_VALUE"""),"MARCHO FRITS WOTULO")</f>
        <v>MARCHO FRITS WOTULO</v>
      </c>
      <c r="C291" s="52">
        <f>IFERROR(__xludf.DUMMYFUNCTION("""COMPUTED_VALUE"""),0.0)</f>
        <v>0</v>
      </c>
      <c r="D291" s="52"/>
      <c r="E291" s="52" t="str">
        <f>IFERROR(__xludf.DUMMYFUNCTION("""COMPUTED_VALUE"""),"CV. SENTOSA ABADI")</f>
        <v>CV. SENTOSA ABADI</v>
      </c>
      <c r="F291" s="52" t="str">
        <f>IFERROR(__xludf.DUMMYFUNCTION("""COMPUTED_VALUE"""),"DRIVER LV")</f>
        <v>DRIVER LV</v>
      </c>
      <c r="G291" s="52" t="str">
        <f>IFERROR(__xludf.DUMMYFUNCTION("""COMPUTED_VALUE"""),"KENDARAAN &amp; UNIT SUPPORT")</f>
        <v>KENDARAAN &amp; UNIT SUPPORT</v>
      </c>
      <c r="H291" s="52" t="str">
        <f>IFERROR(__xludf.DUMMYFUNCTION("""COMPUTED_VALUE"""),"[0102150004] NAFTALI RARE'A, ST")</f>
        <v>[0102150004] NAFTALI RARE'A, ST</v>
      </c>
      <c r="I291" s="52"/>
      <c r="J291" s="53" t="str">
        <f>IFERROR(__xludf.DUMMYFUNCTION("""COMPUTED_VALUE"""),"[407230006] MARCHO FRITS WOTULO")</f>
        <v>[407230006] MARCHO FRITS WOTULO</v>
      </c>
      <c r="K291" s="52"/>
      <c r="L291" s="52" t="str">
        <f t="shared" si="1"/>
        <v>#VALUE!</v>
      </c>
      <c r="M291" s="52"/>
      <c r="N291" s="52"/>
      <c r="O291" s="52"/>
      <c r="P291" s="52"/>
      <c r="Q291" s="52"/>
      <c r="R291" s="52"/>
      <c r="S291" s="52"/>
      <c r="T291" s="52"/>
      <c r="U291" s="52"/>
      <c r="V291" s="52"/>
      <c r="W291" s="52"/>
      <c r="X291" s="52"/>
      <c r="Y291" s="52"/>
      <c r="Z291" s="52"/>
    </row>
    <row r="292">
      <c r="A292" s="52">
        <f>IFERROR(__xludf.DUMMYFUNCTION("""COMPUTED_VALUE"""),2.11201271E8)</f>
        <v>211201271</v>
      </c>
      <c r="B292" s="52" t="str">
        <f>IFERROR(__xludf.DUMMYFUNCTION("""COMPUTED_VALUE"""),"MARDI")</f>
        <v>MARDI</v>
      </c>
      <c r="C292" s="52">
        <f>IFERROR(__xludf.DUMMYFUNCTION("""COMPUTED_VALUE"""),38.0)</f>
        <v>38</v>
      </c>
      <c r="D292" s="52" t="str">
        <f>IFERROR(__xludf.DUMMYFUNCTION("""COMPUTED_VALUE"""),"Islam")</f>
        <v>Islam</v>
      </c>
      <c r="E292" s="52" t="str">
        <f>IFERROR(__xludf.DUMMYFUNCTION("""COMPUTED_VALUE"""),"CV. Adil Prima Perkasa")</f>
        <v>CV. Adil Prima Perkasa</v>
      </c>
      <c r="F292" s="52" t="str">
        <f>IFERROR(__xludf.DUMMYFUNCTION("""COMPUTED_VALUE"""),"DRIVER DT H700ZY")</f>
        <v>DRIVER DT H700ZY</v>
      </c>
      <c r="G292" s="52" t="str">
        <f>IFERROR(__xludf.DUMMYFUNCTION("""COMPUTED_VALUE"""),"KENDARAAN &amp; UNIT SUPPORT")</f>
        <v>KENDARAAN &amp; UNIT SUPPORT</v>
      </c>
      <c r="H292" s="52" t="str">
        <f>IFERROR(__xludf.DUMMYFUNCTION("""COMPUTED_VALUE"""),"[0102150004] NAFTALI RARE'A, ST")</f>
        <v>[0102150004] NAFTALI RARE'A, ST</v>
      </c>
      <c r="I292" s="52"/>
      <c r="J292" s="53" t="str">
        <f>IFERROR(__xludf.DUMMYFUNCTION("""COMPUTED_VALUE"""),"[211201271] MARDI")</f>
        <v>[211201271] MARDI</v>
      </c>
      <c r="K292" s="52"/>
      <c r="L292" s="52" t="str">
        <f t="shared" si="1"/>
        <v>#VALUE!</v>
      </c>
      <c r="M292" s="52"/>
      <c r="N292" s="52"/>
      <c r="O292" s="52"/>
      <c r="P292" s="52"/>
      <c r="Q292" s="52"/>
      <c r="R292" s="52"/>
      <c r="S292" s="52"/>
      <c r="T292" s="52"/>
      <c r="U292" s="52"/>
      <c r="V292" s="52"/>
      <c r="W292" s="52"/>
      <c r="X292" s="52"/>
      <c r="Y292" s="52"/>
      <c r="Z292" s="52"/>
    </row>
    <row r="293">
      <c r="A293" s="52">
        <f>IFERROR(__xludf.DUMMYFUNCTION("""COMPUTED_VALUE"""),1.08191056E8)</f>
        <v>108191056</v>
      </c>
      <c r="B293" s="52" t="str">
        <f>IFERROR(__xludf.DUMMYFUNCTION("""COMPUTED_VALUE"""),"MARIONO")</f>
        <v>MARIONO</v>
      </c>
      <c r="C293" s="52">
        <f>IFERROR(__xludf.DUMMYFUNCTION("""COMPUTED_VALUE"""),43.0)</f>
        <v>43</v>
      </c>
      <c r="D293" s="52" t="str">
        <f>IFERROR(__xludf.DUMMYFUNCTION("""COMPUTED_VALUE"""),"Islam")</f>
        <v>Islam</v>
      </c>
      <c r="E293" s="52" t="str">
        <f>IFERROR(__xludf.DUMMYFUNCTION("""COMPUTED_VALUE"""),"CV. SENTOSA ABADI")</f>
        <v>CV. SENTOSA ABADI</v>
      </c>
      <c r="F293" s="52" t="str">
        <f>IFERROR(__xludf.DUMMYFUNCTION("""COMPUTED_VALUE"""),"DRIVER DT H700ZY")</f>
        <v>DRIVER DT H700ZY</v>
      </c>
      <c r="G293" s="52" t="str">
        <f>IFERROR(__xludf.DUMMYFUNCTION("""COMPUTED_VALUE"""),"KENDARAAN &amp; UNIT SUPPORT")</f>
        <v>KENDARAAN &amp; UNIT SUPPORT</v>
      </c>
      <c r="H293" s="52" t="str">
        <f>IFERROR(__xludf.DUMMYFUNCTION("""COMPUTED_VALUE"""),"[0102150004] NAFTALI RARE'A, ST")</f>
        <v>[0102150004] NAFTALI RARE'A, ST</v>
      </c>
      <c r="I293" s="52"/>
      <c r="J293" s="53" t="str">
        <f>IFERROR(__xludf.DUMMYFUNCTION("""COMPUTED_VALUE"""),"[108191056] MARIONO")</f>
        <v>[108191056] MARIONO</v>
      </c>
      <c r="K293" s="52"/>
      <c r="L293" s="52" t="str">
        <f t="shared" si="1"/>
        <v>#VALUE!</v>
      </c>
      <c r="M293" s="52"/>
      <c r="N293" s="52"/>
      <c r="O293" s="52"/>
      <c r="P293" s="52"/>
      <c r="Q293" s="52"/>
      <c r="R293" s="52"/>
      <c r="S293" s="52"/>
      <c r="T293" s="52"/>
      <c r="U293" s="52"/>
      <c r="V293" s="52"/>
      <c r="W293" s="52"/>
      <c r="X293" s="52"/>
      <c r="Y293" s="52"/>
      <c r="Z293" s="52"/>
    </row>
    <row r="294">
      <c r="A294" s="52">
        <f>IFERROR(__xludf.DUMMYFUNCTION("""COMPUTED_VALUE"""),3.06200007E8)</f>
        <v>306200007</v>
      </c>
      <c r="B294" s="52" t="str">
        <f>IFERROR(__xludf.DUMMYFUNCTION("""COMPUTED_VALUE"""),"MARKUS PADANG")</f>
        <v>MARKUS PADANG</v>
      </c>
      <c r="C294" s="52">
        <f>IFERROR(__xludf.DUMMYFUNCTION("""COMPUTED_VALUE"""),32.0)</f>
        <v>32</v>
      </c>
      <c r="D294" s="52" t="str">
        <f>IFERROR(__xludf.DUMMYFUNCTION("""COMPUTED_VALUE"""),"Kristen Protestan")</f>
        <v>Kristen Protestan</v>
      </c>
      <c r="E294" s="52" t="str">
        <f>IFERROR(__xludf.DUMMYFUNCTION("""COMPUTED_VALUE"""),"CV. Monalisa")</f>
        <v>CV. Monalisa</v>
      </c>
      <c r="F294" s="52" t="str">
        <f>IFERROR(__xludf.DUMMYFUNCTION("""COMPUTED_VALUE"""),"CREW SURVEY")</f>
        <v>CREW SURVEY</v>
      </c>
      <c r="G294" s="52" t="str">
        <f>IFERROR(__xludf.DUMMYFUNCTION("""COMPUTED_VALUE"""),"MPE")</f>
        <v>MPE</v>
      </c>
      <c r="H294" s="52" t="str">
        <f>IFERROR(__xludf.DUMMYFUNCTION("""COMPUTED_VALUE"""),"[0102150007] EKY SIDIK PRATAMA, ST")</f>
        <v>[0102150007] EKY SIDIK PRATAMA, ST</v>
      </c>
      <c r="I294" s="52"/>
      <c r="J294" s="53" t="str">
        <f>IFERROR(__xludf.DUMMYFUNCTION("""COMPUTED_VALUE"""),"[306200007] MARKUS PADANG")</f>
        <v>[306200007] MARKUS PADANG</v>
      </c>
      <c r="K294" s="52"/>
      <c r="L294" s="52" t="str">
        <f t="shared" si="1"/>
        <v>#VALUE!</v>
      </c>
      <c r="M294" s="52"/>
      <c r="N294" s="52"/>
      <c r="O294" s="52"/>
      <c r="P294" s="52"/>
      <c r="Q294" s="52"/>
      <c r="R294" s="52"/>
      <c r="S294" s="52"/>
      <c r="T294" s="52"/>
      <c r="U294" s="52"/>
      <c r="V294" s="52"/>
      <c r="W294" s="52"/>
      <c r="X294" s="52"/>
      <c r="Y294" s="52"/>
      <c r="Z294" s="52"/>
    </row>
    <row r="295">
      <c r="A295" s="52">
        <f>IFERROR(__xludf.DUMMYFUNCTION("""COMPUTED_VALUE"""),2.10231847E8)</f>
        <v>210231847</v>
      </c>
      <c r="B295" s="52" t="str">
        <f>IFERROR(__xludf.DUMMYFUNCTION("""COMPUTED_VALUE"""),"MARSEL MOA'E")</f>
        <v>MARSEL MOA'E</v>
      </c>
      <c r="C295" s="52">
        <f>IFERROR(__xludf.DUMMYFUNCTION("""COMPUTED_VALUE"""),0.0)</f>
        <v>0</v>
      </c>
      <c r="D295" s="52"/>
      <c r="E295" s="52" t="str">
        <f>IFERROR(__xludf.DUMMYFUNCTION("""COMPUTED_VALUE"""),"CV. Adil Prima Perkasa")</f>
        <v>CV. Adil Prima Perkasa</v>
      </c>
      <c r="F295" s="52" t="str">
        <f>IFERROR(__xludf.DUMMYFUNCTION("""COMPUTED_VALUE"""),"SECURITY")</f>
        <v>SECURITY</v>
      </c>
      <c r="G295" s="52" t="str">
        <f>IFERROR(__xludf.DUMMYFUNCTION("""COMPUTED_VALUE"""),"HRD &amp; GA")</f>
        <v>HRD &amp; GA</v>
      </c>
      <c r="H295" s="52" t="str">
        <f>IFERROR(__xludf.DUMMYFUNCTION("""COMPUTED_VALUE"""),"[0108191037] ERNIE FRISLIA")</f>
        <v>[0108191037] ERNIE FRISLIA</v>
      </c>
      <c r="I295" s="52"/>
      <c r="J295" s="53" t="str">
        <f>IFERROR(__xludf.DUMMYFUNCTION("""COMPUTED_VALUE"""),"[210231847] MARSEL MOA'E")</f>
        <v>[210231847] MARSEL MOA'E</v>
      </c>
      <c r="K295" s="52"/>
      <c r="L295" s="52" t="str">
        <f t="shared" si="1"/>
        <v>#VALUE!</v>
      </c>
      <c r="M295" s="52"/>
      <c r="N295" s="52"/>
      <c r="O295" s="52"/>
      <c r="P295" s="52"/>
      <c r="Q295" s="52"/>
      <c r="R295" s="52"/>
      <c r="S295" s="52"/>
      <c r="T295" s="52"/>
      <c r="U295" s="52"/>
      <c r="V295" s="52"/>
      <c r="W295" s="52"/>
      <c r="X295" s="52"/>
      <c r="Y295" s="52"/>
      <c r="Z295" s="52"/>
    </row>
    <row r="296">
      <c r="A296" s="52">
        <f>IFERROR(__xludf.DUMMYFUNCTION("""COMPUTED_VALUE"""),2.02221596E8)</f>
        <v>202221596</v>
      </c>
      <c r="B296" s="52" t="str">
        <f>IFERROR(__xludf.DUMMYFUNCTION("""COMPUTED_VALUE"""),"MARSELUS JEMI")</f>
        <v>MARSELUS JEMI</v>
      </c>
      <c r="C296" s="52">
        <f>IFERROR(__xludf.DUMMYFUNCTION("""COMPUTED_VALUE"""),32.0)</f>
        <v>32</v>
      </c>
      <c r="D296" s="52" t="str">
        <f>IFERROR(__xludf.DUMMYFUNCTION("""COMPUTED_VALUE"""),"Kristen Khatolik")</f>
        <v>Kristen Khatolik</v>
      </c>
      <c r="E296" s="52" t="str">
        <f>IFERROR(__xludf.DUMMYFUNCTION("""COMPUTED_VALUE"""),"CV. Adil Prima Perkasa")</f>
        <v>CV. Adil Prima Perkasa</v>
      </c>
      <c r="F296" s="52" t="str">
        <f>IFERROR(__xludf.DUMMYFUNCTION("""COMPUTED_VALUE"""),"HELPER MECHANIC MAINTENANCE")</f>
        <v>HELPER MECHANIC MAINTENANCE</v>
      </c>
      <c r="G296" s="52" t="str">
        <f>IFERROR(__xludf.DUMMYFUNCTION("""COMPUTED_VALUE"""),"WORKSHOP")</f>
        <v>WORKSHOP</v>
      </c>
      <c r="H296" s="52" t="str">
        <f>IFERROR(__xludf.DUMMYFUNCTION("""COMPUTED_VALUE"""),"[0102120144] JUFRY KOMALING")</f>
        <v>[0102120144] JUFRY KOMALING</v>
      </c>
      <c r="I296" s="55">
        <f>IFERROR(__xludf.DUMMYFUNCTION("""COMPUTED_VALUE"""),34508.0)</f>
        <v>34508</v>
      </c>
      <c r="J296" s="53" t="str">
        <f>IFERROR(__xludf.DUMMYFUNCTION("""COMPUTED_VALUE"""),"[202221596] MARSELUS JEMI")</f>
        <v>[202221596] MARSELUS JEMI</v>
      </c>
      <c r="K296" s="52"/>
      <c r="L296" s="52" t="str">
        <f t="shared" si="1"/>
        <v>#VALUE!</v>
      </c>
      <c r="M296" s="52"/>
      <c r="N296" s="52"/>
      <c r="O296" s="52"/>
      <c r="P296" s="52"/>
      <c r="Q296" s="52"/>
      <c r="R296" s="52"/>
      <c r="S296" s="52"/>
      <c r="T296" s="52"/>
      <c r="U296" s="52"/>
      <c r="V296" s="52"/>
      <c r="W296" s="52"/>
      <c r="X296" s="52"/>
      <c r="Y296" s="52"/>
      <c r="Z296" s="52"/>
    </row>
    <row r="297">
      <c r="A297" s="52">
        <f>IFERROR(__xludf.DUMMYFUNCTION("""COMPUTED_VALUE"""),2.06190939E8)</f>
        <v>206190939</v>
      </c>
      <c r="B297" s="52" t="str">
        <f>IFERROR(__xludf.DUMMYFUNCTION("""COMPUTED_VALUE"""),"MARSUKI")</f>
        <v>MARSUKI</v>
      </c>
      <c r="C297" s="52">
        <f>IFERROR(__xludf.DUMMYFUNCTION("""COMPUTED_VALUE"""),45.0)</f>
        <v>45</v>
      </c>
      <c r="D297" s="52" t="str">
        <f>IFERROR(__xludf.DUMMYFUNCTION("""COMPUTED_VALUE"""),"Islam")</f>
        <v>Islam</v>
      </c>
      <c r="E297" s="52" t="str">
        <f>IFERROR(__xludf.DUMMYFUNCTION("""COMPUTED_VALUE"""),"CV. Adil Prima Perkasa")</f>
        <v>CV. Adil Prima Perkasa</v>
      </c>
      <c r="F297" s="52" t="str">
        <f>IFERROR(__xludf.DUMMYFUNCTION("""COMPUTED_VALUE"""),"OPERATOR ADT")</f>
        <v>OPERATOR ADT</v>
      </c>
      <c r="G297" s="52" t="str">
        <f>IFERROR(__xludf.DUMMYFUNCTION("""COMPUTED_VALUE"""),"PRODUKSI")</f>
        <v>PRODUKSI</v>
      </c>
      <c r="H297" s="52" t="str">
        <f>IFERROR(__xludf.DUMMYFUNCTION("""COMPUTED_VALUE"""),"[0102130003] PURNAWAN")</f>
        <v>[0102130003] PURNAWAN</v>
      </c>
      <c r="I297" s="52"/>
      <c r="J297" s="53" t="str">
        <f>IFERROR(__xludf.DUMMYFUNCTION("""COMPUTED_VALUE"""),"[206190939] MARSUKI")</f>
        <v>[206190939] MARSUKI</v>
      </c>
      <c r="K297" s="52"/>
      <c r="L297" s="52" t="str">
        <f t="shared" si="1"/>
        <v>#VALUE!</v>
      </c>
      <c r="M297" s="52"/>
      <c r="N297" s="52"/>
      <c r="O297" s="52"/>
      <c r="P297" s="52"/>
      <c r="Q297" s="52"/>
      <c r="R297" s="52"/>
      <c r="S297" s="52"/>
      <c r="T297" s="52"/>
      <c r="U297" s="52"/>
      <c r="V297" s="52"/>
      <c r="W297" s="52"/>
      <c r="X297" s="52"/>
      <c r="Y297" s="52"/>
      <c r="Z297" s="52"/>
    </row>
    <row r="298">
      <c r="A298" s="52">
        <f>IFERROR(__xludf.DUMMYFUNCTION("""COMPUTED_VALUE"""),2.12221706E8)</f>
        <v>212221706</v>
      </c>
      <c r="B298" s="52" t="str">
        <f>IFERROR(__xludf.DUMMYFUNCTION("""COMPUTED_VALUE"""),"MARTHEN KALATIKU YUSAKA")</f>
        <v>MARTHEN KALATIKU YUSAKA</v>
      </c>
      <c r="C298" s="52">
        <f>IFERROR(__xludf.DUMMYFUNCTION("""COMPUTED_VALUE"""),0.0)</f>
        <v>0</v>
      </c>
      <c r="D298" s="52"/>
      <c r="E298" s="52" t="str">
        <f>IFERROR(__xludf.DUMMYFUNCTION("""COMPUTED_VALUE"""),"CV. Adil Prima Perkasa")</f>
        <v>CV. Adil Prima Perkasa</v>
      </c>
      <c r="F298" s="52" t="str">
        <f>IFERROR(__xludf.DUMMYFUNCTION("""COMPUTED_VALUE"""),"DRIVER LV")</f>
        <v>DRIVER LV</v>
      </c>
      <c r="G298" s="52" t="str">
        <f>IFERROR(__xludf.DUMMYFUNCTION("""COMPUTED_VALUE"""),"KENDARAAN &amp; UNIT SUPPORT")</f>
        <v>KENDARAAN &amp; UNIT SUPPORT</v>
      </c>
      <c r="H298" s="52" t="str">
        <f>IFERROR(__xludf.DUMMYFUNCTION("""COMPUTED_VALUE"""),"[0102150004] NAFTALI RARE'A, ST")</f>
        <v>[0102150004] NAFTALI RARE'A, ST</v>
      </c>
      <c r="I298" s="52"/>
      <c r="J298" s="53" t="str">
        <f>IFERROR(__xludf.DUMMYFUNCTION("""COMPUTED_VALUE"""),"[212221706] MARTHEN KALATIKU YUSAKA")</f>
        <v>[212221706] MARTHEN KALATIKU YUSAKA</v>
      </c>
      <c r="K298" s="52"/>
      <c r="L298" s="52" t="str">
        <f t="shared" si="1"/>
        <v>#VALUE!</v>
      </c>
      <c r="M298" s="52"/>
      <c r="N298" s="52"/>
      <c r="O298" s="52"/>
      <c r="P298" s="52"/>
      <c r="Q298" s="52"/>
      <c r="R298" s="52"/>
      <c r="S298" s="52"/>
      <c r="T298" s="52"/>
      <c r="U298" s="52"/>
      <c r="V298" s="52"/>
      <c r="W298" s="52"/>
      <c r="X298" s="52"/>
      <c r="Y298" s="52"/>
      <c r="Z298" s="52"/>
    </row>
    <row r="299">
      <c r="A299" s="52">
        <f>IFERROR(__xludf.DUMMYFUNCTION("""COMPUTED_VALUE"""),2.02201133E8)</f>
        <v>202201133</v>
      </c>
      <c r="B299" s="52" t="str">
        <f>IFERROR(__xludf.DUMMYFUNCTION("""COMPUTED_VALUE"""),"MARTHINUS")</f>
        <v>MARTHINUS</v>
      </c>
      <c r="C299" s="52">
        <f>IFERROR(__xludf.DUMMYFUNCTION("""COMPUTED_VALUE"""),48.0)</f>
        <v>48</v>
      </c>
      <c r="D299" s="52" t="str">
        <f>IFERROR(__xludf.DUMMYFUNCTION("""COMPUTED_VALUE"""),"Kristen Protestan")</f>
        <v>Kristen Protestan</v>
      </c>
      <c r="E299" s="52" t="str">
        <f>IFERROR(__xludf.DUMMYFUNCTION("""COMPUTED_VALUE"""),"CV. Adil Prima Perkasa")</f>
        <v>CV. Adil Prima Perkasa</v>
      </c>
      <c r="F299" s="52" t="str">
        <f>IFERROR(__xludf.DUMMYFUNCTION("""COMPUTED_VALUE"""),"OPERATOR COMPACTOR")</f>
        <v>OPERATOR COMPACTOR</v>
      </c>
      <c r="G299" s="52" t="str">
        <f>IFERROR(__xludf.DUMMYFUNCTION("""COMPUTED_VALUE"""),"PRODUKSI")</f>
        <v>PRODUKSI</v>
      </c>
      <c r="H299" s="52" t="str">
        <f>IFERROR(__xludf.DUMMYFUNCTION("""COMPUTED_VALUE"""),"[0102130003] PURNAWAN")</f>
        <v>[0102130003] PURNAWAN</v>
      </c>
      <c r="I299" s="52"/>
      <c r="J299" s="53" t="str">
        <f>IFERROR(__xludf.DUMMYFUNCTION("""COMPUTED_VALUE"""),"[202201133] MARTHINUS")</f>
        <v>[202201133] MARTHINUS</v>
      </c>
      <c r="K299" s="52"/>
      <c r="L299" s="52" t="str">
        <f t="shared" si="1"/>
        <v>#VALUE!</v>
      </c>
      <c r="M299" s="52"/>
      <c r="N299" s="52"/>
      <c r="O299" s="52"/>
      <c r="P299" s="52"/>
      <c r="Q299" s="52"/>
      <c r="R299" s="52"/>
      <c r="S299" s="52"/>
      <c r="T299" s="52"/>
      <c r="U299" s="52"/>
      <c r="V299" s="52"/>
      <c r="W299" s="52"/>
      <c r="X299" s="52"/>
      <c r="Y299" s="52"/>
      <c r="Z299" s="52"/>
    </row>
    <row r="300">
      <c r="A300" s="52">
        <f>IFERROR(__xludf.DUMMYFUNCTION("""COMPUTED_VALUE"""),1.12211553E8)</f>
        <v>112211553</v>
      </c>
      <c r="B300" s="52" t="str">
        <f>IFERROR(__xludf.DUMMYFUNCTION("""COMPUTED_VALUE"""),"MARTINUS")</f>
        <v>MARTINUS</v>
      </c>
      <c r="C300" s="52">
        <f>IFERROR(__xludf.DUMMYFUNCTION("""COMPUTED_VALUE"""),49.0)</f>
        <v>49</v>
      </c>
      <c r="D300" s="52" t="str">
        <f>IFERROR(__xludf.DUMMYFUNCTION("""COMPUTED_VALUE"""),"Kristen Protestan")</f>
        <v>Kristen Protestan</v>
      </c>
      <c r="E300" s="52" t="str">
        <f>IFERROR(__xludf.DUMMYFUNCTION("""COMPUTED_VALUE"""),"CV. SENTOSA ABADI")</f>
        <v>CV. SENTOSA ABADI</v>
      </c>
      <c r="F300" s="52" t="str">
        <f>IFERROR(__xludf.DUMMYFUNCTION("""COMPUTED_VALUE"""),"OPERATOR COMPACTOR")</f>
        <v>OPERATOR COMPACTOR</v>
      </c>
      <c r="G300" s="52" t="str">
        <f>IFERROR(__xludf.DUMMYFUNCTION("""COMPUTED_VALUE"""),"PRODUKSI")</f>
        <v>PRODUKSI</v>
      </c>
      <c r="H300" s="52" t="str">
        <f>IFERROR(__xludf.DUMMYFUNCTION("""COMPUTED_VALUE"""),"FALSE")</f>
        <v>FALSE</v>
      </c>
      <c r="I300" s="55">
        <f>IFERROR(__xludf.DUMMYFUNCTION("""COMPUTED_VALUE"""),24067.0)</f>
        <v>24067</v>
      </c>
      <c r="J300" s="53" t="str">
        <f>IFERROR(__xludf.DUMMYFUNCTION("""COMPUTED_VALUE"""),"[112211553] MARTINUS")</f>
        <v>[112211553] MARTINUS</v>
      </c>
      <c r="K300" s="52"/>
      <c r="L300" s="52" t="str">
        <f t="shared" si="1"/>
        <v>#VALUE!</v>
      </c>
      <c r="M300" s="52"/>
      <c r="N300" s="52"/>
      <c r="O300" s="52"/>
      <c r="P300" s="52"/>
      <c r="Q300" s="52"/>
      <c r="R300" s="52"/>
      <c r="S300" s="52"/>
      <c r="T300" s="52"/>
      <c r="U300" s="52"/>
      <c r="V300" s="52"/>
      <c r="W300" s="52"/>
      <c r="X300" s="52"/>
      <c r="Y300" s="52"/>
      <c r="Z300" s="52"/>
    </row>
    <row r="301">
      <c r="A301" s="52">
        <f>IFERROR(__xludf.DUMMYFUNCTION("""COMPUTED_VALUE"""),1.03231738E8)</f>
        <v>103231738</v>
      </c>
      <c r="B301" s="52" t="str">
        <f>IFERROR(__xludf.DUMMYFUNCTION("""COMPUTED_VALUE"""),"MARYA SUSAN SIMBANGU")</f>
        <v>MARYA SUSAN SIMBANGU</v>
      </c>
      <c r="C301" s="52">
        <f>IFERROR(__xludf.DUMMYFUNCTION("""COMPUTED_VALUE"""),30.0)</f>
        <v>30</v>
      </c>
      <c r="D301" s="52" t="str">
        <f>IFERROR(__xludf.DUMMYFUNCTION("""COMPUTED_VALUE"""),"Kristen Protestan")</f>
        <v>Kristen Protestan</v>
      </c>
      <c r="E301" s="52" t="str">
        <f>IFERROR(__xludf.DUMMYFUNCTION("""COMPUTED_VALUE"""),"CV. SENTOSA ABADI")</f>
        <v>CV. SENTOSA ABADI</v>
      </c>
      <c r="F301" s="52" t="str">
        <f>IFERROR(__xludf.DUMMYFUNCTION("""COMPUTED_VALUE"""),"HEAD OF STOCKER")</f>
        <v>HEAD OF STOCKER</v>
      </c>
      <c r="G301" s="52" t="str">
        <f>IFERROR(__xludf.DUMMYFUNCTION("""COMPUTED_VALUE"""),"HRD &amp; GA")</f>
        <v>HRD &amp; GA</v>
      </c>
      <c r="H301" s="52" t="str">
        <f>IFERROR(__xludf.DUMMYFUNCTION("""COMPUTED_VALUE"""),"[0112201306] FROLIS LABIRO")</f>
        <v>[0112201306] FROLIS LABIRO</v>
      </c>
      <c r="I301" s="52"/>
      <c r="J301" s="53" t="str">
        <f>IFERROR(__xludf.DUMMYFUNCTION("""COMPUTED_VALUE"""),"[103231738] MARYA SUSAN SIMBANGU")</f>
        <v>[103231738] MARYA SUSAN SIMBANGU</v>
      </c>
      <c r="K301" s="52"/>
      <c r="L301" s="52" t="str">
        <f t="shared" si="1"/>
        <v>#VALUE!</v>
      </c>
      <c r="M301" s="52"/>
      <c r="N301" s="52"/>
      <c r="O301" s="52"/>
      <c r="P301" s="52"/>
      <c r="Q301" s="52"/>
      <c r="R301" s="52"/>
      <c r="S301" s="52"/>
      <c r="T301" s="52"/>
      <c r="U301" s="52"/>
      <c r="V301" s="52"/>
      <c r="W301" s="52"/>
      <c r="X301" s="52"/>
      <c r="Y301" s="52"/>
      <c r="Z301" s="52"/>
    </row>
    <row r="302">
      <c r="A302" s="52">
        <f>IFERROR(__xludf.DUMMYFUNCTION("""COMPUTED_VALUE"""),1.09231837E8)</f>
        <v>109231837</v>
      </c>
      <c r="B302" s="52" t="str">
        <f>IFERROR(__xludf.DUMMYFUNCTION("""COMPUTED_VALUE"""),"MAYKEL JULSINTO DEKE")</f>
        <v>MAYKEL JULSINTO DEKE</v>
      </c>
      <c r="C302" s="52">
        <f>IFERROR(__xludf.DUMMYFUNCTION("""COMPUTED_VALUE"""),26.0)</f>
        <v>26</v>
      </c>
      <c r="D302" s="52" t="str">
        <f>IFERROR(__xludf.DUMMYFUNCTION("""COMPUTED_VALUE"""),"Kristen Protestan")</f>
        <v>Kristen Protestan</v>
      </c>
      <c r="E302" s="52" t="str">
        <f>IFERROR(__xludf.DUMMYFUNCTION("""COMPUTED_VALUE"""),"CV. SENTOSA ABADI")</f>
        <v>CV. SENTOSA ABADI</v>
      </c>
      <c r="F302" s="52" t="str">
        <f>IFERROR(__xludf.DUMMYFUNCTION("""COMPUTED_VALUE"""),"DRIVER DT H500")</f>
        <v>DRIVER DT H500</v>
      </c>
      <c r="G302" s="52" t="str">
        <f>IFERROR(__xludf.DUMMYFUNCTION("""COMPUTED_VALUE"""),"KENDARAAN &amp; UNIT SUPPORT")</f>
        <v>KENDARAAN &amp; UNIT SUPPORT</v>
      </c>
      <c r="H302" s="52" t="str">
        <f>IFERROR(__xludf.DUMMYFUNCTION("""COMPUTED_VALUE"""),"[0102150004] NAFTALI RARE'A, ST")</f>
        <v>[0102150004] NAFTALI RARE'A, ST</v>
      </c>
      <c r="I302" s="55">
        <f>IFERROR(__xludf.DUMMYFUNCTION("""COMPUTED_VALUE"""),34839.0)</f>
        <v>34839</v>
      </c>
      <c r="J302" s="53" t="str">
        <f>IFERROR(__xludf.DUMMYFUNCTION("""COMPUTED_VALUE"""),"[109231837] MAYKEL JULSINTO DEKE")</f>
        <v>[109231837] MAYKEL JULSINTO DEKE</v>
      </c>
      <c r="K302" s="52"/>
      <c r="L302" s="52" t="str">
        <f t="shared" si="1"/>
        <v>#VALUE!</v>
      </c>
      <c r="M302" s="52"/>
      <c r="N302" s="52"/>
      <c r="O302" s="52"/>
      <c r="P302" s="52"/>
      <c r="Q302" s="52"/>
      <c r="R302" s="52"/>
      <c r="S302" s="52"/>
      <c r="T302" s="52"/>
      <c r="U302" s="52"/>
      <c r="V302" s="52"/>
      <c r="W302" s="52"/>
      <c r="X302" s="52"/>
      <c r="Y302" s="52"/>
      <c r="Z302" s="52"/>
    </row>
    <row r="303">
      <c r="A303" s="52">
        <f>IFERROR(__xludf.DUMMYFUNCTION("""COMPUTED_VALUE"""),3.11200018E8)</f>
        <v>311200018</v>
      </c>
      <c r="B303" s="52" t="str">
        <f>IFERROR(__xludf.DUMMYFUNCTION("""COMPUTED_VALUE"""),"MELKHIOR TIPO")</f>
        <v>MELKHIOR TIPO</v>
      </c>
      <c r="C303" s="52">
        <f>IFERROR(__xludf.DUMMYFUNCTION("""COMPUTED_VALUE"""),40.0)</f>
        <v>40</v>
      </c>
      <c r="D303" s="52" t="str">
        <f>IFERROR(__xludf.DUMMYFUNCTION("""COMPUTED_VALUE"""),"Kristen Khatolik")</f>
        <v>Kristen Khatolik</v>
      </c>
      <c r="E303" s="52" t="str">
        <f>IFERROR(__xludf.DUMMYFUNCTION("""COMPUTED_VALUE"""),"CV. Monalisa")</f>
        <v>CV. Monalisa</v>
      </c>
      <c r="F303" s="52" t="str">
        <f>IFERROR(__xludf.DUMMYFUNCTION("""COMPUTED_VALUE"""),"OPERATOR BULLDOZER")</f>
        <v>OPERATOR BULLDOZER</v>
      </c>
      <c r="G303" s="52" t="str">
        <f>IFERROR(__xludf.DUMMYFUNCTION("""COMPUTED_VALUE"""),"PRODUKSI")</f>
        <v>PRODUKSI</v>
      </c>
      <c r="H303" s="52" t="str">
        <f>IFERROR(__xludf.DUMMYFUNCTION("""COMPUTED_VALUE"""),"FALSE")</f>
        <v>FALSE</v>
      </c>
      <c r="I303" s="52"/>
      <c r="J303" s="53" t="str">
        <f>IFERROR(__xludf.DUMMYFUNCTION("""COMPUTED_VALUE"""),"[311200018] MELKHIOR TIPO")</f>
        <v>[311200018] MELKHIOR TIPO</v>
      </c>
      <c r="K303" s="52"/>
      <c r="L303" s="52" t="str">
        <f t="shared" si="1"/>
        <v>#VALUE!</v>
      </c>
      <c r="M303" s="52"/>
      <c r="N303" s="52"/>
      <c r="O303" s="52"/>
      <c r="P303" s="52"/>
      <c r="Q303" s="52"/>
      <c r="R303" s="52"/>
      <c r="S303" s="52"/>
      <c r="T303" s="52"/>
      <c r="U303" s="52"/>
      <c r="V303" s="52"/>
      <c r="W303" s="52"/>
      <c r="X303" s="52"/>
      <c r="Y303" s="52"/>
      <c r="Z303" s="52"/>
    </row>
    <row r="304">
      <c r="A304" s="52">
        <f>IFERROR(__xludf.DUMMYFUNCTION("""COMPUTED_VALUE"""),2.04231749E8)</f>
        <v>204231749</v>
      </c>
      <c r="B304" s="52" t="str">
        <f>IFERROR(__xludf.DUMMYFUNCTION("""COMPUTED_VALUE"""),"MICHAEL JONAS THOMPSON FREDHYK KARUNDENG")</f>
        <v>MICHAEL JONAS THOMPSON FREDHYK KARUNDENG</v>
      </c>
      <c r="C304" s="52">
        <f>IFERROR(__xludf.DUMMYFUNCTION("""COMPUTED_VALUE"""),40.0)</f>
        <v>40</v>
      </c>
      <c r="D304" s="52" t="str">
        <f>IFERROR(__xludf.DUMMYFUNCTION("""COMPUTED_VALUE"""),"Kristen Khatolik")</f>
        <v>Kristen Khatolik</v>
      </c>
      <c r="E304" s="52" t="str">
        <f>IFERROR(__xludf.DUMMYFUNCTION("""COMPUTED_VALUE"""),"CV. Adil Prima Perkasa")</f>
        <v>CV. Adil Prima Perkasa</v>
      </c>
      <c r="F304" s="52" t="str">
        <f>IFERROR(__xludf.DUMMYFUNCTION("""COMPUTED_VALUE"""),"DRIVER DT H700ZS")</f>
        <v>DRIVER DT H700ZS</v>
      </c>
      <c r="G304" s="52" t="str">
        <f>IFERROR(__xludf.DUMMYFUNCTION("""COMPUTED_VALUE"""),"KENDARAAN &amp; UNIT SUPPORT")</f>
        <v>KENDARAAN &amp; UNIT SUPPORT</v>
      </c>
      <c r="H304" s="52" t="str">
        <f>IFERROR(__xludf.DUMMYFUNCTION("""COMPUTED_VALUE"""),"[0102150004] NAFTALI RARE'A, ST")</f>
        <v>[0102150004] NAFTALI RARE'A, ST</v>
      </c>
      <c r="I304" s="55">
        <f>IFERROR(__xludf.DUMMYFUNCTION("""COMPUTED_VALUE"""),31703.0)</f>
        <v>31703</v>
      </c>
      <c r="J304" s="53" t="str">
        <f>IFERROR(__xludf.DUMMYFUNCTION("""COMPUTED_VALUE"""),"[204231749] MICHAEL JONAS THOMPSON FREDHYK KARUNDENG")</f>
        <v>[204231749] MICHAEL JONAS THOMPSON FREDHYK KARUNDENG</v>
      </c>
      <c r="K304" s="52"/>
      <c r="L304" s="52" t="str">
        <f t="shared" si="1"/>
        <v>#VALUE!</v>
      </c>
      <c r="M304" s="52"/>
      <c r="N304" s="52"/>
      <c r="O304" s="52"/>
      <c r="P304" s="52"/>
      <c r="Q304" s="52"/>
      <c r="R304" s="52"/>
      <c r="S304" s="52"/>
      <c r="T304" s="52"/>
      <c r="U304" s="52"/>
      <c r="V304" s="52"/>
      <c r="W304" s="52"/>
      <c r="X304" s="52"/>
      <c r="Y304" s="52"/>
      <c r="Z304" s="52"/>
    </row>
    <row r="305">
      <c r="A305" s="52">
        <f>IFERROR(__xludf.DUMMYFUNCTION("""COMPUTED_VALUE"""),1.12201318E8)</f>
        <v>112201318</v>
      </c>
      <c r="B305" s="52" t="str">
        <f>IFERROR(__xludf.DUMMYFUNCTION("""COMPUTED_VALUE"""),"MIDUN HULOPI")</f>
        <v>MIDUN HULOPI</v>
      </c>
      <c r="C305" s="52">
        <f>IFERROR(__xludf.DUMMYFUNCTION("""COMPUTED_VALUE"""),49.0)</f>
        <v>49</v>
      </c>
      <c r="D305" s="52" t="str">
        <f>IFERROR(__xludf.DUMMYFUNCTION("""COMPUTED_VALUE"""),"Islam")</f>
        <v>Islam</v>
      </c>
      <c r="E305" s="52" t="str">
        <f>IFERROR(__xludf.DUMMYFUNCTION("""COMPUTED_VALUE"""),"CV. SENTOSA ABADI")</f>
        <v>CV. SENTOSA ABADI</v>
      </c>
      <c r="F305" s="52" t="str">
        <f>IFERROR(__xludf.DUMMYFUNCTION("""COMPUTED_VALUE"""),"DRIVER DT H700ZS")</f>
        <v>DRIVER DT H700ZS</v>
      </c>
      <c r="G305" s="52" t="str">
        <f>IFERROR(__xludf.DUMMYFUNCTION("""COMPUTED_VALUE"""),"KENDARAAN &amp; UNIT SUPPORT")</f>
        <v>KENDARAAN &amp; UNIT SUPPORT</v>
      </c>
      <c r="H305" s="52" t="str">
        <f>IFERROR(__xludf.DUMMYFUNCTION("""COMPUTED_VALUE"""),"[0102150004] NAFTALI RARE'A, ST")</f>
        <v>[0102150004] NAFTALI RARE'A, ST</v>
      </c>
      <c r="I305" s="52"/>
      <c r="J305" s="53" t="str">
        <f>IFERROR(__xludf.DUMMYFUNCTION("""COMPUTED_VALUE"""),"[112201318] MIDUN HULOPI")</f>
        <v>[112201318] MIDUN HULOPI</v>
      </c>
      <c r="K305" s="52"/>
      <c r="L305" s="52" t="str">
        <f t="shared" si="1"/>
        <v>#VALUE!</v>
      </c>
      <c r="M305" s="52"/>
      <c r="N305" s="52"/>
      <c r="O305" s="52"/>
      <c r="P305" s="52"/>
      <c r="Q305" s="52"/>
      <c r="R305" s="52"/>
      <c r="S305" s="52"/>
      <c r="T305" s="52"/>
      <c r="U305" s="52"/>
      <c r="V305" s="52"/>
      <c r="W305" s="52"/>
      <c r="X305" s="52"/>
      <c r="Y305" s="52"/>
      <c r="Z305" s="52"/>
    </row>
    <row r="306">
      <c r="A306" s="52">
        <f>IFERROR(__xludf.DUMMYFUNCTION("""COMPUTED_VALUE"""),1.08160013E8)</f>
        <v>108160013</v>
      </c>
      <c r="B306" s="52" t="str">
        <f>IFERROR(__xludf.DUMMYFUNCTION("""COMPUTED_VALUE"""),"MIFTAHUDDIN, ST")</f>
        <v>MIFTAHUDDIN, ST</v>
      </c>
      <c r="C306" s="52">
        <f>IFERROR(__xludf.DUMMYFUNCTION("""COMPUTED_VALUE"""),44.0)</f>
        <v>44</v>
      </c>
      <c r="D306" s="52" t="str">
        <f>IFERROR(__xludf.DUMMYFUNCTION("""COMPUTED_VALUE"""),"Islam")</f>
        <v>Islam</v>
      </c>
      <c r="E306" s="52" t="str">
        <f>IFERROR(__xludf.DUMMYFUNCTION("""COMPUTED_VALUE"""),"CV. SENTOSA ABADI")</f>
        <v>CV. SENTOSA ABADI</v>
      </c>
      <c r="F306" s="52" t="str">
        <f>IFERROR(__xludf.DUMMYFUNCTION("""COMPUTED_VALUE"""),"FOREMAN PRODUKSI")</f>
        <v>FOREMAN PRODUKSI</v>
      </c>
      <c r="G306" s="52" t="str">
        <f>IFERROR(__xludf.DUMMYFUNCTION("""COMPUTED_VALUE"""),"PRODUKSI")</f>
        <v>PRODUKSI</v>
      </c>
      <c r="H306" s="52" t="str">
        <f>IFERROR(__xludf.DUMMYFUNCTION("""COMPUTED_VALUE"""),"[0102130003] PURNAWAN")</f>
        <v>[0102130003] PURNAWAN</v>
      </c>
      <c r="I306" s="52"/>
      <c r="J306" s="53" t="str">
        <f>IFERROR(__xludf.DUMMYFUNCTION("""COMPUTED_VALUE"""),"[108160013] MIFTAHUDDIN, ST")</f>
        <v>[108160013] MIFTAHUDDIN, ST</v>
      </c>
      <c r="K306" s="52"/>
      <c r="L306" s="52" t="str">
        <f t="shared" si="1"/>
        <v>#VALUE!</v>
      </c>
      <c r="M306" s="52"/>
      <c r="N306" s="52"/>
      <c r="O306" s="52"/>
      <c r="P306" s="52"/>
      <c r="Q306" s="52"/>
      <c r="R306" s="52"/>
      <c r="S306" s="52"/>
      <c r="T306" s="52"/>
      <c r="U306" s="52"/>
      <c r="V306" s="52"/>
      <c r="W306" s="52"/>
      <c r="X306" s="52"/>
      <c r="Y306" s="52"/>
      <c r="Z306" s="52"/>
    </row>
    <row r="307">
      <c r="A307" s="52">
        <f>IFERROR(__xludf.DUMMYFUNCTION("""COMPUTED_VALUE"""),2.0219077E8)</f>
        <v>202190770</v>
      </c>
      <c r="B307" s="52" t="str">
        <f>IFERROR(__xludf.DUMMYFUNCTION("""COMPUTED_VALUE"""),"MILTO ASTEFANO MAGANIA")</f>
        <v>MILTO ASTEFANO MAGANIA</v>
      </c>
      <c r="C307" s="52">
        <f>IFERROR(__xludf.DUMMYFUNCTION("""COMPUTED_VALUE"""),33.0)</f>
        <v>33</v>
      </c>
      <c r="D307" s="52" t="str">
        <f>IFERROR(__xludf.DUMMYFUNCTION("""COMPUTED_VALUE"""),"Islam")</f>
        <v>Islam</v>
      </c>
      <c r="E307" s="52" t="str">
        <f>IFERROR(__xludf.DUMMYFUNCTION("""COMPUTED_VALUE"""),"CV. Adil Prima Perkasa")</f>
        <v>CV. Adil Prima Perkasa</v>
      </c>
      <c r="F307" s="52" t="str">
        <f>IFERROR(__xludf.DUMMYFUNCTION("""COMPUTED_VALUE"""),"OPERATOR BULLDOZER")</f>
        <v>OPERATOR BULLDOZER</v>
      </c>
      <c r="G307" s="52" t="str">
        <f>IFERROR(__xludf.DUMMYFUNCTION("""COMPUTED_VALUE"""),"PRODUKSI")</f>
        <v>PRODUKSI</v>
      </c>
      <c r="H307" s="52" t="str">
        <f>IFERROR(__xludf.DUMMYFUNCTION("""COMPUTED_VALUE"""),"[0102130003] PURNAWAN")</f>
        <v>[0102130003] PURNAWAN</v>
      </c>
      <c r="I307" s="52"/>
      <c r="J307" s="53" t="str">
        <f>IFERROR(__xludf.DUMMYFUNCTION("""COMPUTED_VALUE"""),"[202190770] MILTO ASTEFANO MAGANIA")</f>
        <v>[202190770] MILTO ASTEFANO MAGANIA</v>
      </c>
      <c r="K307" s="52"/>
      <c r="L307" s="52" t="str">
        <f t="shared" si="1"/>
        <v>#VALUE!</v>
      </c>
      <c r="M307" s="52"/>
      <c r="N307" s="52"/>
      <c r="O307" s="52"/>
      <c r="P307" s="52"/>
      <c r="Q307" s="52"/>
      <c r="R307" s="52"/>
      <c r="S307" s="52"/>
      <c r="T307" s="52"/>
      <c r="U307" s="52"/>
      <c r="V307" s="52"/>
      <c r="W307" s="52"/>
      <c r="X307" s="52"/>
      <c r="Y307" s="52"/>
      <c r="Z307" s="52"/>
    </row>
    <row r="308">
      <c r="A308" s="52">
        <f>IFERROR(__xludf.DUMMYFUNCTION("""COMPUTED_VALUE"""),1.04211387E8)</f>
        <v>104211387</v>
      </c>
      <c r="B308" s="52" t="str">
        <f>IFERROR(__xludf.DUMMYFUNCTION("""COMPUTED_VALUE"""),"MIRZAL")</f>
        <v>MIRZAL</v>
      </c>
      <c r="C308" s="52">
        <f>IFERROR(__xludf.DUMMYFUNCTION("""COMPUTED_VALUE"""),42.0)</f>
        <v>42</v>
      </c>
      <c r="D308" s="52" t="str">
        <f>IFERROR(__xludf.DUMMYFUNCTION("""COMPUTED_VALUE"""),"Islam")</f>
        <v>Islam</v>
      </c>
      <c r="E308" s="52" t="str">
        <f>IFERROR(__xludf.DUMMYFUNCTION("""COMPUTED_VALUE"""),"CV. SENTOSA ABADI")</f>
        <v>CV. SENTOSA ABADI</v>
      </c>
      <c r="F308" s="52" t="str">
        <f>IFERROR(__xludf.DUMMYFUNCTION("""COMPUTED_VALUE"""),"MEKANIK")</f>
        <v>MEKANIK</v>
      </c>
      <c r="G308" s="52" t="str">
        <f>IFERROR(__xludf.DUMMYFUNCTION("""COMPUTED_VALUE"""),"WORKSHOP")</f>
        <v>WORKSHOP</v>
      </c>
      <c r="H308" s="52" t="str">
        <f>IFERROR(__xludf.DUMMYFUNCTION("""COMPUTED_VALUE"""),"[0106190928] NATAN KONDO")</f>
        <v>[0106190928] NATAN KONDO</v>
      </c>
      <c r="I308" s="52"/>
      <c r="J308" s="53" t="str">
        <f>IFERROR(__xludf.DUMMYFUNCTION("""COMPUTED_VALUE"""),"[104211387] MIRZAL")</f>
        <v>[104211387] MIRZAL</v>
      </c>
      <c r="K308" s="52"/>
      <c r="L308" s="52" t="str">
        <f t="shared" si="1"/>
        <v>#VALUE!</v>
      </c>
      <c r="M308" s="52"/>
      <c r="N308" s="52"/>
      <c r="O308" s="52"/>
      <c r="P308" s="52"/>
      <c r="Q308" s="52"/>
      <c r="R308" s="52"/>
      <c r="S308" s="52"/>
      <c r="T308" s="52"/>
      <c r="U308" s="52"/>
      <c r="V308" s="52"/>
      <c r="W308" s="52"/>
      <c r="X308" s="52"/>
      <c r="Y308" s="52"/>
      <c r="Z308" s="52"/>
    </row>
    <row r="309">
      <c r="A309" s="52">
        <f>IFERROR(__xludf.DUMMYFUNCTION("""COMPUTED_VALUE"""),1.10211507E8)</f>
        <v>110211507</v>
      </c>
      <c r="B309" s="52" t="str">
        <f>IFERROR(__xludf.DUMMYFUNCTION("""COMPUTED_VALUE"""),"MOCHAMMAD SOEBARQAH ANDI PASO")</f>
        <v>MOCHAMMAD SOEBARQAH ANDI PASO</v>
      </c>
      <c r="C309" s="52">
        <f>IFERROR(__xludf.DUMMYFUNCTION("""COMPUTED_VALUE"""),30.0)</f>
        <v>30</v>
      </c>
      <c r="D309" s="52" t="str">
        <f>IFERROR(__xludf.DUMMYFUNCTION("""COMPUTED_VALUE"""),"Islam")</f>
        <v>Islam</v>
      </c>
      <c r="E309" s="52" t="str">
        <f>IFERROR(__xludf.DUMMYFUNCTION("""COMPUTED_VALUE"""),"CV. SENTOSA ABADI")</f>
        <v>CV. SENTOSA ABADI</v>
      </c>
      <c r="F309" s="52" t="str">
        <f>IFERROR(__xludf.DUMMYFUNCTION("""COMPUTED_VALUE"""),"FOREMAN KENDARAAN")</f>
        <v>FOREMAN KENDARAAN</v>
      </c>
      <c r="G309" s="52" t="str">
        <f>IFERROR(__xludf.DUMMYFUNCTION("""COMPUTED_VALUE"""),"KENDARAAN &amp; UNIT SUPPORT")</f>
        <v>KENDARAAN &amp; UNIT SUPPORT</v>
      </c>
      <c r="H309" s="52" t="str">
        <f>IFERROR(__xludf.DUMMYFUNCTION("""COMPUTED_VALUE"""),"[0102150004] NAFTALI RARE'A, ST")</f>
        <v>[0102150004] NAFTALI RARE'A, ST</v>
      </c>
      <c r="I309" s="52"/>
      <c r="J309" s="53" t="str">
        <f>IFERROR(__xludf.DUMMYFUNCTION("""COMPUTED_VALUE"""),"[110211507] MOCHAMMAD SOEBARQAH ANDI PASO")</f>
        <v>[110211507] MOCHAMMAD SOEBARQAH ANDI PASO</v>
      </c>
      <c r="K309" s="52"/>
      <c r="L309" s="52" t="str">
        <f t="shared" si="1"/>
        <v>#VALUE!</v>
      </c>
      <c r="M309" s="52"/>
      <c r="N309" s="52"/>
      <c r="O309" s="52"/>
      <c r="P309" s="52"/>
      <c r="Q309" s="52"/>
      <c r="R309" s="52"/>
      <c r="S309" s="52"/>
      <c r="T309" s="52"/>
      <c r="U309" s="52"/>
      <c r="V309" s="52"/>
      <c r="W309" s="52"/>
      <c r="X309" s="52"/>
      <c r="Y309" s="52"/>
      <c r="Z309" s="52"/>
    </row>
    <row r="310">
      <c r="A310" s="52">
        <f>IFERROR(__xludf.DUMMYFUNCTION("""COMPUTED_VALUE"""),2.0524192E8)</f>
        <v>205241920</v>
      </c>
      <c r="B310" s="52" t="str">
        <f>IFERROR(__xludf.DUMMYFUNCTION("""COMPUTED_VALUE"""),"MOH FEBRIANSYAH")</f>
        <v>MOH FEBRIANSYAH</v>
      </c>
      <c r="C310" s="52">
        <f>IFERROR(__xludf.DUMMYFUNCTION("""COMPUTED_VALUE"""),0.0)</f>
        <v>0</v>
      </c>
      <c r="D310" s="52"/>
      <c r="E310" s="52" t="str">
        <f>IFERROR(__xludf.DUMMYFUNCTION("""COMPUTED_VALUE"""),"CV. Adil Prima Perkasa")</f>
        <v>CV. Adil Prima Perkasa</v>
      </c>
      <c r="F310" s="52" t="str">
        <f>IFERROR(__xludf.DUMMYFUNCTION("""COMPUTED_VALUE"""),"HELPER TYRE")</f>
        <v>HELPER TYRE</v>
      </c>
      <c r="G310" s="52" t="str">
        <f>IFERROR(__xludf.DUMMYFUNCTION("""COMPUTED_VALUE"""),"WORKSHOP")</f>
        <v>WORKSHOP</v>
      </c>
      <c r="H310" s="52" t="str">
        <f>IFERROR(__xludf.DUMMYFUNCTION("""COMPUTED_VALUE"""),"[0106190928] NATAN KONDO")</f>
        <v>[0106190928] NATAN KONDO</v>
      </c>
      <c r="I310" s="52"/>
      <c r="J310" s="53" t="str">
        <f>IFERROR(__xludf.DUMMYFUNCTION("""COMPUTED_VALUE"""),"[205241920] MOH FEBRIANSYAH")</f>
        <v>[205241920] MOH FEBRIANSYAH</v>
      </c>
      <c r="K310" s="52"/>
      <c r="L310" s="52" t="str">
        <f t="shared" si="1"/>
        <v>#VALUE!</v>
      </c>
      <c r="M310" s="52"/>
      <c r="N310" s="52"/>
      <c r="O310" s="52"/>
      <c r="P310" s="52"/>
      <c r="Q310" s="52"/>
      <c r="R310" s="52"/>
      <c r="S310" s="52"/>
      <c r="T310" s="52"/>
      <c r="U310" s="52"/>
      <c r="V310" s="52"/>
      <c r="W310" s="52"/>
      <c r="X310" s="52"/>
      <c r="Y310" s="52"/>
      <c r="Z310" s="52"/>
    </row>
    <row r="311">
      <c r="A311" s="52">
        <f>IFERROR(__xludf.DUMMYFUNCTION("""COMPUTED_VALUE"""),2.06221645E8)</f>
        <v>206221645</v>
      </c>
      <c r="B311" s="52" t="str">
        <f>IFERROR(__xludf.DUMMYFUNCTION("""COMPUTED_VALUE"""),"MOH. FARDIANSAH")</f>
        <v>MOH. FARDIANSAH</v>
      </c>
      <c r="C311" s="52">
        <f>IFERROR(__xludf.DUMMYFUNCTION("""COMPUTED_VALUE"""),26.0)</f>
        <v>26</v>
      </c>
      <c r="D311" s="52" t="str">
        <f>IFERROR(__xludf.DUMMYFUNCTION("""COMPUTED_VALUE"""),"Islam")</f>
        <v>Islam</v>
      </c>
      <c r="E311" s="52" t="str">
        <f>IFERROR(__xludf.DUMMYFUNCTION("""COMPUTED_VALUE"""),"CV. Adil Prima Perkasa")</f>
        <v>CV. Adil Prima Perkasa</v>
      </c>
      <c r="F311" s="52" t="str">
        <f>IFERROR(__xludf.DUMMYFUNCTION("""COMPUTED_VALUE"""),"ASISTEN FOREMAN KENDARAAN")</f>
        <v>ASISTEN FOREMAN KENDARAAN</v>
      </c>
      <c r="G311" s="52" t="str">
        <f>IFERROR(__xludf.DUMMYFUNCTION("""COMPUTED_VALUE"""),"KENDARAAN &amp; UNIT SUPPORT")</f>
        <v>KENDARAAN &amp; UNIT SUPPORT</v>
      </c>
      <c r="H311" s="52" t="str">
        <f>IFERROR(__xludf.DUMMYFUNCTION("""COMPUTED_VALUE"""),"[0102150004] NAFTALI RARE'A, ST")</f>
        <v>[0102150004] NAFTALI RARE'A, ST</v>
      </c>
      <c r="I311" s="52"/>
      <c r="J311" s="53" t="str">
        <f>IFERROR(__xludf.DUMMYFUNCTION("""COMPUTED_VALUE"""),"[206221645] MOH. FARDIANSAH")</f>
        <v>[206221645] MOH. FARDIANSAH</v>
      </c>
      <c r="K311" s="52"/>
      <c r="L311" s="52" t="str">
        <f t="shared" si="1"/>
        <v>#VALUE!</v>
      </c>
      <c r="M311" s="52"/>
      <c r="N311" s="52"/>
      <c r="O311" s="52"/>
      <c r="P311" s="52"/>
      <c r="Q311" s="52"/>
      <c r="R311" s="52"/>
      <c r="S311" s="52"/>
      <c r="T311" s="52"/>
      <c r="U311" s="52"/>
      <c r="V311" s="52"/>
      <c r="W311" s="52"/>
      <c r="X311" s="52"/>
      <c r="Y311" s="52"/>
      <c r="Z311" s="52"/>
    </row>
    <row r="312">
      <c r="A312" s="52">
        <f>IFERROR(__xludf.DUMMYFUNCTION("""COMPUTED_VALUE"""),2.12211548E8)</f>
        <v>212211548</v>
      </c>
      <c r="B312" s="52" t="str">
        <f>IFERROR(__xludf.DUMMYFUNCTION("""COMPUTED_VALUE"""),"MOH. RAMADHAN")</f>
        <v>MOH. RAMADHAN</v>
      </c>
      <c r="C312" s="52">
        <f>IFERROR(__xludf.DUMMYFUNCTION("""COMPUTED_VALUE"""),34.0)</f>
        <v>34</v>
      </c>
      <c r="D312" s="52" t="str">
        <f>IFERROR(__xludf.DUMMYFUNCTION("""COMPUTED_VALUE"""),"Islam")</f>
        <v>Islam</v>
      </c>
      <c r="E312" s="52" t="str">
        <f>IFERROR(__xludf.DUMMYFUNCTION("""COMPUTED_VALUE"""),"CV. Adil Prima Perkasa")</f>
        <v>CV. Adil Prima Perkasa</v>
      </c>
      <c r="F312" s="52" t="str">
        <f>IFERROR(__xludf.DUMMYFUNCTION("""COMPUTED_VALUE"""),"DRIVER DT H700ZY")</f>
        <v>DRIVER DT H700ZY</v>
      </c>
      <c r="G312" s="52" t="str">
        <f>IFERROR(__xludf.DUMMYFUNCTION("""COMPUTED_VALUE"""),"KENDARAAN &amp; UNIT SUPPORT")</f>
        <v>KENDARAAN &amp; UNIT SUPPORT</v>
      </c>
      <c r="H312" s="52" t="str">
        <f>IFERROR(__xludf.DUMMYFUNCTION("""COMPUTED_VALUE"""),"[0102150004] NAFTALI RARE'A, ST")</f>
        <v>[0102150004] NAFTALI RARE'A, ST</v>
      </c>
      <c r="I312" s="52"/>
      <c r="J312" s="53" t="str">
        <f>IFERROR(__xludf.DUMMYFUNCTION("""COMPUTED_VALUE"""),"[212211548] MOH. RAMADHAN")</f>
        <v>[212211548] MOH. RAMADHAN</v>
      </c>
      <c r="K312" s="52"/>
      <c r="L312" s="52" t="str">
        <f t="shared" si="1"/>
        <v>#VALUE!</v>
      </c>
      <c r="M312" s="52"/>
      <c r="N312" s="52"/>
      <c r="O312" s="52"/>
      <c r="P312" s="52"/>
      <c r="Q312" s="52"/>
      <c r="R312" s="52"/>
      <c r="S312" s="52"/>
      <c r="T312" s="52"/>
      <c r="U312" s="52"/>
      <c r="V312" s="52"/>
      <c r="W312" s="52"/>
      <c r="X312" s="52"/>
      <c r="Y312" s="52"/>
      <c r="Z312" s="52"/>
    </row>
    <row r="313">
      <c r="A313" s="52">
        <f>IFERROR(__xludf.DUMMYFUNCTION("""COMPUTED_VALUE"""),2.08231818E8)</f>
        <v>208231818</v>
      </c>
      <c r="B313" s="52" t="str">
        <f>IFERROR(__xludf.DUMMYFUNCTION("""COMPUTED_VALUE"""),"MOHAMMAD RUDITO WIDAGDO")</f>
        <v>MOHAMMAD RUDITO WIDAGDO</v>
      </c>
      <c r="C313" s="52">
        <f>IFERROR(__xludf.DUMMYFUNCTION("""COMPUTED_VALUE"""),49.0)</f>
        <v>49</v>
      </c>
      <c r="D313" s="52" t="str">
        <f>IFERROR(__xludf.DUMMYFUNCTION("""COMPUTED_VALUE"""),"Islam")</f>
        <v>Islam</v>
      </c>
      <c r="E313" s="52" t="str">
        <f>IFERROR(__xludf.DUMMYFUNCTION("""COMPUTED_VALUE"""),"CV. Adil Prima Perkasa")</f>
        <v>CV. Adil Prima Perkasa</v>
      </c>
      <c r="F313" s="52" t="str">
        <f>IFERROR(__xludf.DUMMYFUNCTION("""COMPUTED_VALUE"""),"DEPUTY PM SUPPORT")</f>
        <v>DEPUTY PM SUPPORT</v>
      </c>
      <c r="G313" s="52" t="str">
        <f>IFERROR(__xludf.DUMMYFUNCTION("""COMPUTED_VALUE"""),"PROJECT MANAGER")</f>
        <v>PROJECT MANAGER</v>
      </c>
      <c r="H313" s="52" t="str">
        <f>IFERROR(__xludf.DUMMYFUNCTION("""COMPUTED_VALUE"""),"FALSE")</f>
        <v>FALSE</v>
      </c>
      <c r="I313" s="52"/>
      <c r="J313" s="53" t="str">
        <f>IFERROR(__xludf.DUMMYFUNCTION("""COMPUTED_VALUE"""),"[208231818] MOHAMMAD RUDITO WIDAGDO")</f>
        <v>[208231818] MOHAMMAD RUDITO WIDAGDO</v>
      </c>
      <c r="K313" s="52"/>
      <c r="L313" s="52" t="str">
        <f t="shared" si="1"/>
        <v>#VALUE!</v>
      </c>
      <c r="M313" s="52"/>
      <c r="N313" s="52"/>
      <c r="O313" s="52"/>
      <c r="P313" s="52"/>
      <c r="Q313" s="52"/>
      <c r="R313" s="52"/>
      <c r="S313" s="52"/>
      <c r="T313" s="52"/>
      <c r="U313" s="52"/>
      <c r="V313" s="52"/>
      <c r="W313" s="52"/>
      <c r="X313" s="52"/>
      <c r="Y313" s="52"/>
      <c r="Z313" s="52"/>
    </row>
    <row r="314">
      <c r="A314" s="52">
        <f>IFERROR(__xludf.DUMMYFUNCTION("""COMPUTED_VALUE"""),2.10170666E8)</f>
        <v>210170666</v>
      </c>
      <c r="B314" s="52" t="str">
        <f>IFERROR(__xludf.DUMMYFUNCTION("""COMPUTED_VALUE"""),"MOSES ALO")</f>
        <v>MOSES ALO</v>
      </c>
      <c r="C314" s="52">
        <f>IFERROR(__xludf.DUMMYFUNCTION("""COMPUTED_VALUE"""),35.0)</f>
        <v>35</v>
      </c>
      <c r="D314" s="52" t="str">
        <f>IFERROR(__xludf.DUMMYFUNCTION("""COMPUTED_VALUE"""),"Kristen Protestan")</f>
        <v>Kristen Protestan</v>
      </c>
      <c r="E314" s="52" t="str">
        <f>IFERROR(__xludf.DUMMYFUNCTION("""COMPUTED_VALUE"""),"CV. Adil Prima Perkasa")</f>
        <v>CV. Adil Prima Perkasa</v>
      </c>
      <c r="F314" s="52" t="str">
        <f>IFERROR(__xludf.DUMMYFUNCTION("""COMPUTED_VALUE"""),"FOREMAN PRODUKSI")</f>
        <v>FOREMAN PRODUKSI</v>
      </c>
      <c r="G314" s="52" t="str">
        <f>IFERROR(__xludf.DUMMYFUNCTION("""COMPUTED_VALUE"""),"PRODUKSI")</f>
        <v>PRODUKSI</v>
      </c>
      <c r="H314" s="52" t="str">
        <f>IFERROR(__xludf.DUMMYFUNCTION("""COMPUTED_VALUE"""),"[0102130003] PURNAWAN")</f>
        <v>[0102130003] PURNAWAN</v>
      </c>
      <c r="I314" s="55">
        <f>IFERROR(__xludf.DUMMYFUNCTION("""COMPUTED_VALUE"""),33127.0)</f>
        <v>33127</v>
      </c>
      <c r="J314" s="53" t="str">
        <f>IFERROR(__xludf.DUMMYFUNCTION("""COMPUTED_VALUE"""),"[210170666] MOSES ALO")</f>
        <v>[210170666] MOSES ALO</v>
      </c>
      <c r="K314" s="52"/>
      <c r="L314" s="52" t="str">
        <f t="shared" si="1"/>
        <v>#VALUE!</v>
      </c>
      <c r="M314" s="52"/>
      <c r="N314" s="52"/>
      <c r="O314" s="52"/>
      <c r="P314" s="52"/>
      <c r="Q314" s="52"/>
      <c r="R314" s="52"/>
      <c r="S314" s="52"/>
      <c r="T314" s="52"/>
      <c r="U314" s="52"/>
      <c r="V314" s="52"/>
      <c r="W314" s="52"/>
      <c r="X314" s="52"/>
      <c r="Y314" s="52"/>
      <c r="Z314" s="52"/>
    </row>
    <row r="315">
      <c r="A315" s="52">
        <f>IFERROR(__xludf.DUMMYFUNCTION("""COMPUTED_VALUE"""),1.10231842E8)</f>
        <v>110231842</v>
      </c>
      <c r="B315" s="52" t="str">
        <f>IFERROR(__xludf.DUMMYFUNCTION("""COMPUTED_VALUE"""),"MUCHLIS")</f>
        <v>MUCHLIS</v>
      </c>
      <c r="C315" s="52">
        <f>IFERROR(__xludf.DUMMYFUNCTION("""COMPUTED_VALUE"""),42.0)</f>
        <v>42</v>
      </c>
      <c r="D315" s="52" t="str">
        <f>IFERROR(__xludf.DUMMYFUNCTION("""COMPUTED_VALUE"""),"Islam")</f>
        <v>Islam</v>
      </c>
      <c r="E315" s="52" t="str">
        <f>IFERROR(__xludf.DUMMYFUNCTION("""COMPUTED_VALUE"""),"CV. SENTOSA ABADI")</f>
        <v>CV. SENTOSA ABADI</v>
      </c>
      <c r="F315" s="52" t="str">
        <f>IFERROR(__xludf.DUMMYFUNCTION("""COMPUTED_VALUE"""),"DRIVER DT H500")</f>
        <v>DRIVER DT H500</v>
      </c>
      <c r="G315" s="52" t="str">
        <f>IFERROR(__xludf.DUMMYFUNCTION("""COMPUTED_VALUE"""),"KENDARAAN &amp; UNIT SUPPORT")</f>
        <v>KENDARAAN &amp; UNIT SUPPORT</v>
      </c>
      <c r="H315" s="52" t="str">
        <f>IFERROR(__xludf.DUMMYFUNCTION("""COMPUTED_VALUE"""),"[0102150004] NAFTALI RARE'A, ST")</f>
        <v>[0102150004] NAFTALI RARE'A, ST</v>
      </c>
      <c r="I315" s="55">
        <f>IFERROR(__xludf.DUMMYFUNCTION("""COMPUTED_VALUE"""),30599.0)</f>
        <v>30599</v>
      </c>
      <c r="J315" s="53" t="str">
        <f>IFERROR(__xludf.DUMMYFUNCTION("""COMPUTED_VALUE"""),"[110231842] MUCHLIS")</f>
        <v>[110231842] MUCHLIS</v>
      </c>
      <c r="K315" s="52"/>
      <c r="L315" s="52" t="str">
        <f t="shared" si="1"/>
        <v>#VALUE!</v>
      </c>
      <c r="M315" s="52"/>
      <c r="N315" s="52"/>
      <c r="O315" s="52"/>
      <c r="P315" s="52"/>
      <c r="Q315" s="52"/>
      <c r="R315" s="52"/>
      <c r="S315" s="52"/>
      <c r="T315" s="52"/>
      <c r="U315" s="52"/>
      <c r="V315" s="52"/>
      <c r="W315" s="52"/>
      <c r="X315" s="52"/>
      <c r="Y315" s="52"/>
      <c r="Z315" s="52"/>
    </row>
    <row r="316">
      <c r="A316" s="52">
        <f>IFERROR(__xludf.DUMMYFUNCTION("""COMPUTED_VALUE"""),2.03241902E8)</f>
        <v>203241902</v>
      </c>
      <c r="B316" s="52" t="str">
        <f>IFERROR(__xludf.DUMMYFUNCTION("""COMPUTED_VALUE"""),"MUH ARIF")</f>
        <v>MUH ARIF</v>
      </c>
      <c r="C316" s="52">
        <f>IFERROR(__xludf.DUMMYFUNCTION("""COMPUTED_VALUE"""),0.0)</f>
        <v>0</v>
      </c>
      <c r="D316" s="52"/>
      <c r="E316" s="52" t="str">
        <f>IFERROR(__xludf.DUMMYFUNCTION("""COMPUTED_VALUE"""),"CV. Adil Prima Perkasa")</f>
        <v>CV. Adil Prima Perkasa</v>
      </c>
      <c r="F316" s="52" t="str">
        <f>IFERROR(__xludf.DUMMYFUNCTION("""COMPUTED_VALUE"""),"HELPER TYRE")</f>
        <v>HELPER TYRE</v>
      </c>
      <c r="G316" s="52" t="str">
        <f>IFERROR(__xludf.DUMMYFUNCTION("""COMPUTED_VALUE"""),"FALSE")</f>
        <v>FALSE</v>
      </c>
      <c r="H316" s="52" t="str">
        <f>IFERROR(__xludf.DUMMYFUNCTION("""COMPUTED_VALUE"""),"FALSE")</f>
        <v>FALSE</v>
      </c>
      <c r="I316" s="52"/>
      <c r="J316" s="53" t="str">
        <f>IFERROR(__xludf.DUMMYFUNCTION("""COMPUTED_VALUE"""),"[203241902] MUH ARIF")</f>
        <v>[203241902] MUH ARIF</v>
      </c>
      <c r="K316" s="52"/>
      <c r="L316" s="52" t="str">
        <f t="shared" si="1"/>
        <v>#VALUE!</v>
      </c>
      <c r="M316" s="52"/>
      <c r="N316" s="52"/>
      <c r="O316" s="52"/>
      <c r="P316" s="52"/>
      <c r="Q316" s="52"/>
      <c r="R316" s="52"/>
      <c r="S316" s="52"/>
      <c r="T316" s="52"/>
      <c r="U316" s="52"/>
      <c r="V316" s="52"/>
      <c r="W316" s="52"/>
      <c r="X316" s="52"/>
      <c r="Y316" s="52"/>
      <c r="Z316" s="52"/>
    </row>
    <row r="317">
      <c r="A317" s="52">
        <f>IFERROR(__xludf.DUMMYFUNCTION("""COMPUTED_VALUE"""),2.0523177E8)</f>
        <v>205231770</v>
      </c>
      <c r="B317" s="52" t="str">
        <f>IFERROR(__xludf.DUMMYFUNCTION("""COMPUTED_VALUE"""),"MUH ARIF DG NOMBONG")</f>
        <v>MUH ARIF DG NOMBONG</v>
      </c>
      <c r="C317" s="52">
        <f>IFERROR(__xludf.DUMMYFUNCTION("""COMPUTED_VALUE"""),41.0)</f>
        <v>41</v>
      </c>
      <c r="D317" s="52" t="str">
        <f>IFERROR(__xludf.DUMMYFUNCTION("""COMPUTED_VALUE"""),"Islam")</f>
        <v>Islam</v>
      </c>
      <c r="E317" s="52" t="str">
        <f>IFERROR(__xludf.DUMMYFUNCTION("""COMPUTED_VALUE"""),"CV. Adil Prima Perkasa")</f>
        <v>CV. Adil Prima Perkasa</v>
      </c>
      <c r="F317" s="52" t="str">
        <f>IFERROR(__xludf.DUMMYFUNCTION("""COMPUTED_VALUE"""),"OPERATOR ADT")</f>
        <v>OPERATOR ADT</v>
      </c>
      <c r="G317" s="52" t="str">
        <f>IFERROR(__xludf.DUMMYFUNCTION("""COMPUTED_VALUE"""),"PRODUKSI")</f>
        <v>PRODUKSI</v>
      </c>
      <c r="H317" s="52" t="str">
        <f>IFERROR(__xludf.DUMMYFUNCTION("""COMPUTED_VALUE"""),"[0102130003] PURNAWAN")</f>
        <v>[0102130003] PURNAWAN</v>
      </c>
      <c r="I317" s="52"/>
      <c r="J317" s="53" t="str">
        <f>IFERROR(__xludf.DUMMYFUNCTION("""COMPUTED_VALUE"""),"[205231770] MUH ARIF DG NOMBONG")</f>
        <v>[205231770] MUH ARIF DG NOMBONG</v>
      </c>
      <c r="K317" s="52"/>
      <c r="L317" s="52" t="str">
        <f t="shared" si="1"/>
        <v>#VALUE!</v>
      </c>
      <c r="M317" s="52"/>
      <c r="N317" s="52"/>
      <c r="O317" s="52"/>
      <c r="P317" s="52"/>
      <c r="Q317" s="52"/>
      <c r="R317" s="52"/>
      <c r="S317" s="52"/>
      <c r="T317" s="52"/>
      <c r="U317" s="52"/>
      <c r="V317" s="52"/>
      <c r="W317" s="52"/>
      <c r="X317" s="52"/>
      <c r="Y317" s="52"/>
      <c r="Z317" s="52"/>
    </row>
    <row r="318">
      <c r="A318" s="52">
        <f>IFERROR(__xludf.DUMMYFUNCTION("""COMPUTED_VALUE"""),2.01221568E8)</f>
        <v>201221568</v>
      </c>
      <c r="B318" s="52" t="str">
        <f>IFERROR(__xludf.DUMMYFUNCTION("""COMPUTED_VALUE"""),"MUH IQRAM NUR")</f>
        <v>MUH IQRAM NUR</v>
      </c>
      <c r="C318" s="52">
        <f>IFERROR(__xludf.DUMMYFUNCTION("""COMPUTED_VALUE"""),25.0)</f>
        <v>25</v>
      </c>
      <c r="D318" s="52" t="str">
        <f>IFERROR(__xludf.DUMMYFUNCTION("""COMPUTED_VALUE"""),"Islam")</f>
        <v>Islam</v>
      </c>
      <c r="E318" s="52" t="str">
        <f>IFERROR(__xludf.DUMMYFUNCTION("""COMPUTED_VALUE"""),"CV. Adil Prima Perkasa")</f>
        <v>CV. Adil Prima Perkasa</v>
      </c>
      <c r="F318" s="52" t="str">
        <f>IFERROR(__xludf.DUMMYFUNCTION("""COMPUTED_VALUE"""),"DRIVER DT H700ZS")</f>
        <v>DRIVER DT H700ZS</v>
      </c>
      <c r="G318" s="52" t="str">
        <f>IFERROR(__xludf.DUMMYFUNCTION("""COMPUTED_VALUE"""),"KENDARAAN &amp; UNIT SUPPORT")</f>
        <v>KENDARAAN &amp; UNIT SUPPORT</v>
      </c>
      <c r="H318" s="52" t="str">
        <f>IFERROR(__xludf.DUMMYFUNCTION("""COMPUTED_VALUE"""),"[0102150004] NAFTALI RARE'A, ST")</f>
        <v>[0102150004] NAFTALI RARE'A, ST</v>
      </c>
      <c r="I318" s="52"/>
      <c r="J318" s="53" t="str">
        <f>IFERROR(__xludf.DUMMYFUNCTION("""COMPUTED_VALUE"""),"[201221568] MUH IQRAM NUR")</f>
        <v>[201221568] MUH IQRAM NUR</v>
      </c>
      <c r="K318" s="52"/>
      <c r="L318" s="52" t="str">
        <f t="shared" si="1"/>
        <v>#VALUE!</v>
      </c>
      <c r="M318" s="52"/>
      <c r="N318" s="52"/>
      <c r="O318" s="52"/>
      <c r="P318" s="52"/>
      <c r="Q318" s="52"/>
      <c r="R318" s="52"/>
      <c r="S318" s="52"/>
      <c r="T318" s="52"/>
      <c r="U318" s="52"/>
      <c r="V318" s="52"/>
      <c r="W318" s="52"/>
      <c r="X318" s="52"/>
      <c r="Y318" s="52"/>
      <c r="Z318" s="52"/>
    </row>
    <row r="319">
      <c r="A319" s="52">
        <f>IFERROR(__xludf.DUMMYFUNCTION("""COMPUTED_VALUE"""),2.05241924E8)</f>
        <v>205241924</v>
      </c>
      <c r="B319" s="52" t="str">
        <f>IFERROR(__xludf.DUMMYFUNCTION("""COMPUTED_VALUE"""),"MUH SYAFAAT")</f>
        <v>MUH SYAFAAT</v>
      </c>
      <c r="C319" s="52">
        <f>IFERROR(__xludf.DUMMYFUNCTION("""COMPUTED_VALUE"""),30.0)</f>
        <v>30</v>
      </c>
      <c r="D319" s="52" t="str">
        <f>IFERROR(__xludf.DUMMYFUNCTION("""COMPUTED_VALUE"""),"Islam")</f>
        <v>Islam</v>
      </c>
      <c r="E319" s="52" t="str">
        <f>IFERROR(__xludf.DUMMYFUNCTION("""COMPUTED_VALUE"""),"CV. Adil Prima Perkasa")</f>
        <v>CV. Adil Prima Perkasa</v>
      </c>
      <c r="F319" s="52" t="str">
        <f>IFERROR(__xludf.DUMMYFUNCTION("""COMPUTED_VALUE"""),"HELPER TYRE")</f>
        <v>HELPER TYRE</v>
      </c>
      <c r="G319" s="52" t="str">
        <f>IFERROR(__xludf.DUMMYFUNCTION("""COMPUTED_VALUE"""),"WORKSHOP")</f>
        <v>WORKSHOP</v>
      </c>
      <c r="H319" s="52" t="str">
        <f>IFERROR(__xludf.DUMMYFUNCTION("""COMPUTED_VALUE"""),"[0106190928] NATAN KONDO")</f>
        <v>[0106190928] NATAN KONDO</v>
      </c>
      <c r="I319" s="52"/>
      <c r="J319" s="53" t="str">
        <f>IFERROR(__xludf.DUMMYFUNCTION("""COMPUTED_VALUE"""),"[205241924] MUH SYAFAAT")</f>
        <v>[205241924] MUH SYAFAAT</v>
      </c>
      <c r="K319" s="52"/>
      <c r="L319" s="52" t="str">
        <f t="shared" si="1"/>
        <v>#VALUE!</v>
      </c>
      <c r="M319" s="52"/>
      <c r="N319" s="52"/>
      <c r="O319" s="52"/>
      <c r="P319" s="52"/>
      <c r="Q319" s="52"/>
      <c r="R319" s="52"/>
      <c r="S319" s="52"/>
      <c r="T319" s="52"/>
      <c r="U319" s="52"/>
      <c r="V319" s="52"/>
      <c r="W319" s="52"/>
      <c r="X319" s="52"/>
      <c r="Y319" s="52"/>
      <c r="Z319" s="52"/>
    </row>
    <row r="320">
      <c r="A320" s="52">
        <f>IFERROR(__xludf.DUMMYFUNCTION("""COMPUTED_VALUE"""),1.10211521E8)</f>
        <v>110211521</v>
      </c>
      <c r="B320" s="52" t="str">
        <f>IFERROR(__xludf.DUMMYFUNCTION("""COMPUTED_VALUE"""),"MUH TAUFIK PARINGKUAN")</f>
        <v>MUH TAUFIK PARINGKUAN</v>
      </c>
      <c r="C320" s="52">
        <f>IFERROR(__xludf.DUMMYFUNCTION("""COMPUTED_VALUE"""),24.0)</f>
        <v>24</v>
      </c>
      <c r="D320" s="52" t="str">
        <f>IFERROR(__xludf.DUMMYFUNCTION("""COMPUTED_VALUE"""),"Islam")</f>
        <v>Islam</v>
      </c>
      <c r="E320" s="52" t="str">
        <f>IFERROR(__xludf.DUMMYFUNCTION("""COMPUTED_VALUE"""),"CV. SENTOSA ABADI")</f>
        <v>CV. SENTOSA ABADI</v>
      </c>
      <c r="F320" s="52" t="str">
        <f>IFERROR(__xludf.DUMMYFUNCTION("""COMPUTED_VALUE"""),"HELPER MECHANIC MAINTENANCE")</f>
        <v>HELPER MECHANIC MAINTENANCE</v>
      </c>
      <c r="G320" s="52" t="str">
        <f>IFERROR(__xludf.DUMMYFUNCTION("""COMPUTED_VALUE"""),"WORKSHOP")</f>
        <v>WORKSHOP</v>
      </c>
      <c r="H320" s="52" t="str">
        <f>IFERROR(__xludf.DUMMYFUNCTION("""COMPUTED_VALUE"""),"[0106190928] NATAN KONDO")</f>
        <v>[0106190928] NATAN KONDO</v>
      </c>
      <c r="I320" s="52"/>
      <c r="J320" s="53" t="str">
        <f>IFERROR(__xludf.DUMMYFUNCTION("""COMPUTED_VALUE"""),"[110211521] MUH TAUFIK PARINGKUAN")</f>
        <v>[110211521] MUH TAUFIK PARINGKUAN</v>
      </c>
      <c r="K320" s="52"/>
      <c r="L320" s="52" t="str">
        <f t="shared" si="1"/>
        <v>#VALUE!</v>
      </c>
      <c r="M320" s="52"/>
      <c r="N320" s="52"/>
      <c r="O320" s="52"/>
      <c r="P320" s="52"/>
      <c r="Q320" s="52"/>
      <c r="R320" s="52"/>
      <c r="S320" s="52"/>
      <c r="T320" s="52"/>
      <c r="U320" s="52"/>
      <c r="V320" s="52"/>
      <c r="W320" s="52"/>
      <c r="X320" s="52"/>
      <c r="Y320" s="52"/>
      <c r="Z320" s="52"/>
    </row>
    <row r="321">
      <c r="A321" s="52">
        <f>IFERROR(__xludf.DUMMYFUNCTION("""COMPUTED_VALUE"""),2.10201263E8)</f>
        <v>210201263</v>
      </c>
      <c r="B321" s="52" t="str">
        <f>IFERROR(__xludf.DUMMYFUNCTION("""COMPUTED_VALUE"""),"MUH. ALDI RIFALDI")</f>
        <v>MUH. ALDI RIFALDI</v>
      </c>
      <c r="C321" s="52">
        <f>IFERROR(__xludf.DUMMYFUNCTION("""COMPUTED_VALUE"""),29.0)</f>
        <v>29</v>
      </c>
      <c r="D321" s="52" t="str">
        <f>IFERROR(__xludf.DUMMYFUNCTION("""COMPUTED_VALUE"""),"Islam")</f>
        <v>Islam</v>
      </c>
      <c r="E321" s="52" t="str">
        <f>IFERROR(__xludf.DUMMYFUNCTION("""COMPUTED_VALUE"""),"CV. Adil Prima Perkasa")</f>
        <v>CV. Adil Prima Perkasa</v>
      </c>
      <c r="F321" s="52" t="str">
        <f>IFERROR(__xludf.DUMMYFUNCTION("""COMPUTED_VALUE"""),"DRIVER LV")</f>
        <v>DRIVER LV</v>
      </c>
      <c r="G321" s="52" t="str">
        <f>IFERROR(__xludf.DUMMYFUNCTION("""COMPUTED_VALUE"""),"KENDARAAN &amp; UNIT SUPPORT")</f>
        <v>KENDARAAN &amp; UNIT SUPPORT</v>
      </c>
      <c r="H321" s="52" t="str">
        <f>IFERROR(__xludf.DUMMYFUNCTION("""COMPUTED_VALUE"""),"[0102150004] NAFTALI RARE'A, ST")</f>
        <v>[0102150004] NAFTALI RARE'A, ST</v>
      </c>
      <c r="I321" s="52"/>
      <c r="J321" s="53" t="str">
        <f>IFERROR(__xludf.DUMMYFUNCTION("""COMPUTED_VALUE"""),"[210201263] MUH. ALDI RIFALDI")</f>
        <v>[210201263] MUH. ALDI RIFALDI</v>
      </c>
      <c r="K321" s="52"/>
      <c r="L321" s="52" t="str">
        <f t="shared" si="1"/>
        <v>#VALUE!</v>
      </c>
      <c r="M321" s="52"/>
      <c r="N321" s="52"/>
      <c r="O321" s="52"/>
      <c r="P321" s="52"/>
      <c r="Q321" s="52"/>
      <c r="R321" s="52"/>
      <c r="S321" s="52"/>
      <c r="T321" s="52"/>
      <c r="U321" s="52"/>
      <c r="V321" s="52"/>
      <c r="W321" s="52"/>
      <c r="X321" s="52"/>
      <c r="Y321" s="52"/>
      <c r="Z321" s="52"/>
    </row>
    <row r="322">
      <c r="A322" s="52">
        <f>IFERROR(__xludf.DUMMYFUNCTION("""COMPUTED_VALUE"""),1.07190982E8)</f>
        <v>107190982</v>
      </c>
      <c r="B322" s="52" t="str">
        <f>IFERROR(__xludf.DUMMYFUNCTION("""COMPUTED_VALUE"""),"MUH. BASRI")</f>
        <v>MUH. BASRI</v>
      </c>
      <c r="C322" s="52">
        <f>IFERROR(__xludf.DUMMYFUNCTION("""COMPUTED_VALUE"""),44.0)</f>
        <v>44</v>
      </c>
      <c r="D322" s="52" t="str">
        <f>IFERROR(__xludf.DUMMYFUNCTION("""COMPUTED_VALUE"""),"Islam")</f>
        <v>Islam</v>
      </c>
      <c r="E322" s="52" t="str">
        <f>IFERROR(__xludf.DUMMYFUNCTION("""COMPUTED_VALUE"""),"CV. SENTOSA ABADI")</f>
        <v>CV. SENTOSA ABADI</v>
      </c>
      <c r="F322" s="52" t="str">
        <f>IFERROR(__xludf.DUMMYFUNCTION("""COMPUTED_VALUE"""),"DRIVER DT H700ZY")</f>
        <v>DRIVER DT H700ZY</v>
      </c>
      <c r="G322" s="52" t="str">
        <f>IFERROR(__xludf.DUMMYFUNCTION("""COMPUTED_VALUE"""),"KENDARAAN &amp; UNIT SUPPORT")</f>
        <v>KENDARAAN &amp; UNIT SUPPORT</v>
      </c>
      <c r="H322" s="52" t="str">
        <f>IFERROR(__xludf.DUMMYFUNCTION("""COMPUTED_VALUE"""),"[0102150004] NAFTALI RARE'A, ST")</f>
        <v>[0102150004] NAFTALI RARE'A, ST</v>
      </c>
      <c r="I322" s="55">
        <f>IFERROR(__xludf.DUMMYFUNCTION("""COMPUTED_VALUE"""),29657.0)</f>
        <v>29657</v>
      </c>
      <c r="J322" s="53" t="str">
        <f>IFERROR(__xludf.DUMMYFUNCTION("""COMPUTED_VALUE"""),"[107190982] MUH. BASRI")</f>
        <v>[107190982] MUH. BASRI</v>
      </c>
      <c r="K322" s="52"/>
      <c r="L322" s="52" t="str">
        <f t="shared" si="1"/>
        <v>#VALUE!</v>
      </c>
      <c r="M322" s="52"/>
      <c r="N322" s="52"/>
      <c r="O322" s="52"/>
      <c r="P322" s="52"/>
      <c r="Q322" s="52"/>
      <c r="R322" s="52"/>
      <c r="S322" s="52"/>
      <c r="T322" s="52"/>
      <c r="U322" s="52"/>
      <c r="V322" s="52"/>
      <c r="W322" s="52"/>
      <c r="X322" s="52"/>
      <c r="Y322" s="52"/>
      <c r="Z322" s="52"/>
    </row>
    <row r="323">
      <c r="A323" s="52">
        <f>IFERROR(__xludf.DUMMYFUNCTION("""COMPUTED_VALUE"""),2.04221618E8)</f>
        <v>204221618</v>
      </c>
      <c r="B323" s="52" t="str">
        <f>IFERROR(__xludf.DUMMYFUNCTION("""COMPUTED_VALUE"""),"MUH. BASRI")</f>
        <v>MUH. BASRI</v>
      </c>
      <c r="C323" s="52">
        <f>IFERROR(__xludf.DUMMYFUNCTION("""COMPUTED_VALUE"""),43.0)</f>
        <v>43</v>
      </c>
      <c r="D323" s="52" t="str">
        <f>IFERROR(__xludf.DUMMYFUNCTION("""COMPUTED_VALUE"""),"Islam")</f>
        <v>Islam</v>
      </c>
      <c r="E323" s="52" t="str">
        <f>IFERROR(__xludf.DUMMYFUNCTION("""COMPUTED_VALUE"""),"CV. Adil Prima Perkasa")</f>
        <v>CV. Adil Prima Perkasa</v>
      </c>
      <c r="F323" s="52" t="str">
        <f>IFERROR(__xludf.DUMMYFUNCTION("""COMPUTED_VALUE"""),"OPERATOR COMPACTOR")</f>
        <v>OPERATOR COMPACTOR</v>
      </c>
      <c r="G323" s="52" t="str">
        <f>IFERROR(__xludf.DUMMYFUNCTION("""COMPUTED_VALUE"""),"PRODUKSI")</f>
        <v>PRODUKSI</v>
      </c>
      <c r="H323" s="52" t="str">
        <f>IFERROR(__xludf.DUMMYFUNCTION("""COMPUTED_VALUE"""),"[0102130003] PURNAWAN")</f>
        <v>[0102130003] PURNAWAN</v>
      </c>
      <c r="I323" s="55">
        <f>IFERROR(__xludf.DUMMYFUNCTION("""COMPUTED_VALUE"""),29768.0)</f>
        <v>29768</v>
      </c>
      <c r="J323" s="53" t="str">
        <f>IFERROR(__xludf.DUMMYFUNCTION("""COMPUTED_VALUE"""),"[204221618] MUH. BASRI")</f>
        <v>[204221618] MUH. BASRI</v>
      </c>
      <c r="K323" s="52"/>
      <c r="L323" s="52" t="str">
        <f t="shared" si="1"/>
        <v>#VALUE!</v>
      </c>
      <c r="M323" s="52"/>
      <c r="N323" s="52"/>
      <c r="O323" s="52"/>
      <c r="P323" s="52"/>
      <c r="Q323" s="52"/>
      <c r="R323" s="52"/>
      <c r="S323" s="52"/>
      <c r="T323" s="52"/>
      <c r="U323" s="52"/>
      <c r="V323" s="52"/>
      <c r="W323" s="52"/>
      <c r="X323" s="52"/>
      <c r="Y323" s="52"/>
      <c r="Z323" s="52"/>
    </row>
    <row r="324">
      <c r="A324" s="52">
        <f>IFERROR(__xludf.DUMMYFUNCTION("""COMPUTED_VALUE"""),1.10180556E8)</f>
        <v>110180556</v>
      </c>
      <c r="B324" s="52" t="str">
        <f>IFERROR(__xludf.DUMMYFUNCTION("""COMPUTED_VALUE"""),"MUH. FAISAL")</f>
        <v>MUH. FAISAL</v>
      </c>
      <c r="C324" s="52">
        <f>IFERROR(__xludf.DUMMYFUNCTION("""COMPUTED_VALUE"""),23.0)</f>
        <v>23</v>
      </c>
      <c r="D324" s="52" t="str">
        <f>IFERROR(__xludf.DUMMYFUNCTION("""COMPUTED_VALUE"""),"Islam")</f>
        <v>Islam</v>
      </c>
      <c r="E324" s="52" t="str">
        <f>IFERROR(__xludf.DUMMYFUNCTION("""COMPUTED_VALUE"""),"CV. SENTOSA ABADI")</f>
        <v>CV. SENTOSA ABADI</v>
      </c>
      <c r="F324" s="52" t="str">
        <f>IFERROR(__xludf.DUMMYFUNCTION("""COMPUTED_VALUE"""),"HELPER WELDER")</f>
        <v>HELPER WELDER</v>
      </c>
      <c r="G324" s="52" t="str">
        <f>IFERROR(__xludf.DUMMYFUNCTION("""COMPUTED_VALUE"""),"WORKSHOP")</f>
        <v>WORKSHOP</v>
      </c>
      <c r="H324" s="52" t="str">
        <f>IFERROR(__xludf.DUMMYFUNCTION("""COMPUTED_VALUE"""),"[0106190928] NATAN KONDO")</f>
        <v>[0106190928] NATAN KONDO</v>
      </c>
      <c r="I324" s="52"/>
      <c r="J324" s="53" t="str">
        <f>IFERROR(__xludf.DUMMYFUNCTION("""COMPUTED_VALUE"""),"[110180556] MUH. FAISAL")</f>
        <v>[110180556] MUH. FAISAL</v>
      </c>
      <c r="K324" s="52"/>
      <c r="L324" s="52" t="str">
        <f t="shared" si="1"/>
        <v>#VALUE!</v>
      </c>
      <c r="M324" s="52"/>
      <c r="N324" s="52"/>
      <c r="O324" s="52"/>
      <c r="P324" s="52"/>
      <c r="Q324" s="52"/>
      <c r="R324" s="52"/>
      <c r="S324" s="52"/>
      <c r="T324" s="52"/>
      <c r="U324" s="52"/>
      <c r="V324" s="52"/>
      <c r="W324" s="52"/>
      <c r="X324" s="52"/>
      <c r="Y324" s="52"/>
      <c r="Z324" s="52"/>
    </row>
    <row r="325">
      <c r="A325" s="52">
        <f>IFERROR(__xludf.DUMMYFUNCTION("""COMPUTED_VALUE"""),1.10221687E8)</f>
        <v>110221687</v>
      </c>
      <c r="B325" s="52" t="str">
        <f>IFERROR(__xludf.DUMMYFUNCTION("""COMPUTED_VALUE"""),"MUH. HAIKAL ADITYA")</f>
        <v>MUH. HAIKAL ADITYA</v>
      </c>
      <c r="C325" s="52">
        <f>IFERROR(__xludf.DUMMYFUNCTION("""COMPUTED_VALUE"""),19.0)</f>
        <v>19</v>
      </c>
      <c r="D325" s="52" t="str">
        <f>IFERROR(__xludf.DUMMYFUNCTION("""COMPUTED_VALUE"""),"Islam")</f>
        <v>Islam</v>
      </c>
      <c r="E325" s="52" t="str">
        <f>IFERROR(__xludf.DUMMYFUNCTION("""COMPUTED_VALUE"""),"CV. SENTOSA ABADI")</f>
        <v>CV. SENTOSA ABADI</v>
      </c>
      <c r="F325" s="52" t="str">
        <f>IFERROR(__xludf.DUMMYFUNCTION("""COMPUTED_VALUE"""),"HELPER MECHANIC MAINTENANCE")</f>
        <v>HELPER MECHANIC MAINTENANCE</v>
      </c>
      <c r="G325" s="52" t="str">
        <f>IFERROR(__xludf.DUMMYFUNCTION("""COMPUTED_VALUE"""),"WORKSHOP")</f>
        <v>WORKSHOP</v>
      </c>
      <c r="H325" s="52" t="str">
        <f>IFERROR(__xludf.DUMMYFUNCTION("""COMPUTED_VALUE"""),"[0106190928] NATAN KONDO")</f>
        <v>[0106190928] NATAN KONDO</v>
      </c>
      <c r="I325" s="52"/>
      <c r="J325" s="53" t="str">
        <f>IFERROR(__xludf.DUMMYFUNCTION("""COMPUTED_VALUE"""),"[110221687] MUH. HAIKAL ADITYA")</f>
        <v>[110221687] MUH. HAIKAL ADITYA</v>
      </c>
      <c r="K325" s="52"/>
      <c r="L325" s="52" t="str">
        <f t="shared" si="1"/>
        <v>#VALUE!</v>
      </c>
      <c r="M325" s="52"/>
      <c r="N325" s="52"/>
      <c r="O325" s="52"/>
      <c r="P325" s="52"/>
      <c r="Q325" s="52"/>
      <c r="R325" s="52"/>
      <c r="S325" s="52"/>
      <c r="T325" s="52"/>
      <c r="U325" s="52"/>
      <c r="V325" s="52"/>
      <c r="W325" s="52"/>
      <c r="X325" s="52"/>
      <c r="Y325" s="52"/>
      <c r="Z325" s="52"/>
    </row>
    <row r="326">
      <c r="A326" s="52">
        <f>IFERROR(__xludf.DUMMYFUNCTION("""COMPUTED_VALUE"""),4.09230008E8)</f>
        <v>409230008</v>
      </c>
      <c r="B326" s="52" t="str">
        <f>IFERROR(__xludf.DUMMYFUNCTION("""COMPUTED_VALUE"""),"MUH. RIFKI RESA")</f>
        <v>MUH. RIFKI RESA</v>
      </c>
      <c r="C326" s="52">
        <f>IFERROR(__xludf.DUMMYFUNCTION("""COMPUTED_VALUE"""),24.0)</f>
        <v>24</v>
      </c>
      <c r="D326" s="52" t="str">
        <f>IFERROR(__xludf.DUMMYFUNCTION("""COMPUTED_VALUE"""),"Islam")</f>
        <v>Islam</v>
      </c>
      <c r="E326" s="52" t="str">
        <f>IFERROR(__xludf.DUMMYFUNCTION("""COMPUTED_VALUE"""),"CV. SENTOSA ABADI")</f>
        <v>CV. SENTOSA ABADI</v>
      </c>
      <c r="F326" s="52" t="str">
        <f>IFERROR(__xludf.DUMMYFUNCTION("""COMPUTED_VALUE"""),"ASISTEN MPE")</f>
        <v>ASISTEN MPE</v>
      </c>
      <c r="G326" s="52" t="str">
        <f>IFERROR(__xludf.DUMMYFUNCTION("""COMPUTED_VALUE"""),"MPE")</f>
        <v>MPE</v>
      </c>
      <c r="H326" s="52" t="str">
        <f>IFERROR(__xludf.DUMMYFUNCTION("""COMPUTED_VALUE"""),"[0102150007] EKY SIDIK PRATAMA, ST")</f>
        <v>[0102150007] EKY SIDIK PRATAMA, ST</v>
      </c>
      <c r="I326" s="52"/>
      <c r="J326" s="53" t="str">
        <f>IFERROR(__xludf.DUMMYFUNCTION("""COMPUTED_VALUE"""),"[409230008] MUH. RIFKI RESA")</f>
        <v>[409230008] MUH. RIFKI RESA</v>
      </c>
      <c r="K326" s="52"/>
      <c r="L326" s="52" t="str">
        <f t="shared" si="1"/>
        <v>#VALUE!</v>
      </c>
      <c r="M326" s="52"/>
      <c r="N326" s="52"/>
      <c r="O326" s="52"/>
      <c r="P326" s="52"/>
      <c r="Q326" s="52"/>
      <c r="R326" s="52"/>
      <c r="S326" s="52"/>
      <c r="T326" s="52"/>
      <c r="U326" s="52"/>
      <c r="V326" s="52"/>
      <c r="W326" s="52"/>
      <c r="X326" s="52"/>
      <c r="Y326" s="52"/>
      <c r="Z326" s="52"/>
    </row>
    <row r="327">
      <c r="A327" s="52">
        <f>IFERROR(__xludf.DUMMYFUNCTION("""COMPUTED_VALUE"""),2.07231809E8)</f>
        <v>207231809</v>
      </c>
      <c r="B327" s="52" t="str">
        <f>IFERROR(__xludf.DUMMYFUNCTION("""COMPUTED_VALUE"""),"MUH. SAFIT")</f>
        <v>MUH. SAFIT</v>
      </c>
      <c r="C327" s="52">
        <f>IFERROR(__xludf.DUMMYFUNCTION("""COMPUTED_VALUE"""),0.0)</f>
        <v>0</v>
      </c>
      <c r="D327" s="52"/>
      <c r="E327" s="52" t="str">
        <f>IFERROR(__xludf.DUMMYFUNCTION("""COMPUTED_VALUE"""),"CV. Adil Prima Perkasa")</f>
        <v>CV. Adil Prima Perkasa</v>
      </c>
      <c r="F327" s="52" t="str">
        <f>IFERROR(__xludf.DUMMYFUNCTION("""COMPUTED_VALUE"""),"HELPER MEKANIK LV")</f>
        <v>HELPER MEKANIK LV</v>
      </c>
      <c r="G327" s="52" t="str">
        <f>IFERROR(__xludf.DUMMYFUNCTION("""COMPUTED_VALUE"""),"WORKSHOP")</f>
        <v>WORKSHOP</v>
      </c>
      <c r="H327" s="52" t="str">
        <f>IFERROR(__xludf.DUMMYFUNCTION("""COMPUTED_VALUE"""),"[0106190928] NATAN KONDO")</f>
        <v>[0106190928] NATAN KONDO</v>
      </c>
      <c r="I327" s="52"/>
      <c r="J327" s="53" t="str">
        <f>IFERROR(__xludf.DUMMYFUNCTION("""COMPUTED_VALUE"""),"[207231809] MUH. SAFIT")</f>
        <v>[207231809] MUH. SAFIT</v>
      </c>
      <c r="K327" s="52"/>
      <c r="L327" s="52" t="str">
        <f t="shared" si="1"/>
        <v>#VALUE!</v>
      </c>
      <c r="M327" s="52"/>
      <c r="N327" s="52"/>
      <c r="O327" s="52"/>
      <c r="P327" s="52"/>
      <c r="Q327" s="52"/>
      <c r="R327" s="52"/>
      <c r="S327" s="52"/>
      <c r="T327" s="52"/>
      <c r="U327" s="52"/>
      <c r="V327" s="52"/>
      <c r="W327" s="52"/>
      <c r="X327" s="52"/>
      <c r="Y327" s="52"/>
      <c r="Z327" s="52"/>
    </row>
    <row r="328">
      <c r="A328" s="52">
        <f>IFERROR(__xludf.DUMMYFUNCTION("""COMPUTED_VALUE"""),1.0521141E8)</f>
        <v>105211410</v>
      </c>
      <c r="B328" s="52" t="str">
        <f>IFERROR(__xludf.DUMMYFUNCTION("""COMPUTED_VALUE"""),"MUH. TAKDIR")</f>
        <v>MUH. TAKDIR</v>
      </c>
      <c r="C328" s="52">
        <f>IFERROR(__xludf.DUMMYFUNCTION("""COMPUTED_VALUE"""),40.0)</f>
        <v>40</v>
      </c>
      <c r="D328" s="52" t="str">
        <f>IFERROR(__xludf.DUMMYFUNCTION("""COMPUTED_VALUE"""),"Islam")</f>
        <v>Islam</v>
      </c>
      <c r="E328" s="52" t="str">
        <f>IFERROR(__xludf.DUMMYFUNCTION("""COMPUTED_VALUE"""),"CV. SENTOSA ABADI")</f>
        <v>CV. SENTOSA ABADI</v>
      </c>
      <c r="F328" s="52" t="str">
        <f>IFERROR(__xludf.DUMMYFUNCTION("""COMPUTED_VALUE"""),"OPERATOR ADT")</f>
        <v>OPERATOR ADT</v>
      </c>
      <c r="G328" s="52" t="str">
        <f>IFERROR(__xludf.DUMMYFUNCTION("""COMPUTED_VALUE"""),"PRODUKSI")</f>
        <v>PRODUKSI</v>
      </c>
      <c r="H328" s="52" t="str">
        <f>IFERROR(__xludf.DUMMYFUNCTION("""COMPUTED_VALUE"""),"[0102130003] PURNAWAN")</f>
        <v>[0102130003] PURNAWAN</v>
      </c>
      <c r="I328" s="52"/>
      <c r="J328" s="53" t="str">
        <f>IFERROR(__xludf.DUMMYFUNCTION("""COMPUTED_VALUE"""),"[105211410] MUH. TAKDIR")</f>
        <v>[105211410] MUH. TAKDIR</v>
      </c>
      <c r="K328" s="52"/>
      <c r="L328" s="52" t="str">
        <f t="shared" si="1"/>
        <v>#VALUE!</v>
      </c>
      <c r="M328" s="52"/>
      <c r="N328" s="52"/>
      <c r="O328" s="52"/>
      <c r="P328" s="52"/>
      <c r="Q328" s="52"/>
      <c r="R328" s="52"/>
      <c r="S328" s="52"/>
      <c r="T328" s="52"/>
      <c r="U328" s="52"/>
      <c r="V328" s="52"/>
      <c r="W328" s="52"/>
      <c r="X328" s="52"/>
      <c r="Y328" s="52"/>
      <c r="Z328" s="52"/>
    </row>
    <row r="329">
      <c r="A329" s="52">
        <f>IFERROR(__xludf.DUMMYFUNCTION("""COMPUTED_VALUE"""),2.06241938E8)</f>
        <v>206241938</v>
      </c>
      <c r="B329" s="52" t="str">
        <f>IFERROR(__xludf.DUMMYFUNCTION("""COMPUTED_VALUE"""),"MUHAMMAD CHAIRIL FATAHILLAH ACHMAD")</f>
        <v>MUHAMMAD CHAIRIL FATAHILLAH ACHMAD</v>
      </c>
      <c r="C329" s="52">
        <f>IFERROR(__xludf.DUMMYFUNCTION("""COMPUTED_VALUE"""),19.0)</f>
        <v>19</v>
      </c>
      <c r="D329" s="52" t="str">
        <f>IFERROR(__xludf.DUMMYFUNCTION("""COMPUTED_VALUE"""),"Kristen Protestan")</f>
        <v>Kristen Protestan</v>
      </c>
      <c r="E329" s="52" t="str">
        <f>IFERROR(__xludf.DUMMYFUNCTION("""COMPUTED_VALUE"""),"CV. Adil Prima Perkasa")</f>
        <v>CV. Adil Prima Perkasa</v>
      </c>
      <c r="F329" s="52" t="str">
        <f>IFERROR(__xludf.DUMMYFUNCTION("""COMPUTED_VALUE"""),"CREW SURVEY")</f>
        <v>CREW SURVEY</v>
      </c>
      <c r="G329" s="52" t="str">
        <f>IFERROR(__xludf.DUMMYFUNCTION("""COMPUTED_VALUE"""),"MPE")</f>
        <v>MPE</v>
      </c>
      <c r="H329" s="52" t="str">
        <f>IFERROR(__xludf.DUMMYFUNCTION("""COMPUTED_VALUE"""),"[0102150008] ERWIN SAPA")</f>
        <v>[0102150008] ERWIN SAPA</v>
      </c>
      <c r="I329" s="52"/>
      <c r="J329" s="53" t="str">
        <f>IFERROR(__xludf.DUMMYFUNCTION("""COMPUTED_VALUE"""),"[206241938] MUHAMMAD CHAIRIL FATAHILLAH ACHMAD")</f>
        <v>[206241938] MUHAMMAD CHAIRIL FATAHILLAH ACHMAD</v>
      </c>
      <c r="K329" s="52"/>
      <c r="L329" s="52" t="str">
        <f t="shared" si="1"/>
        <v>#VALUE!</v>
      </c>
      <c r="M329" s="52"/>
      <c r="N329" s="52"/>
      <c r="O329" s="52"/>
      <c r="P329" s="52"/>
      <c r="Q329" s="52"/>
      <c r="R329" s="52"/>
      <c r="S329" s="52"/>
      <c r="T329" s="52"/>
      <c r="U329" s="52"/>
      <c r="V329" s="52"/>
      <c r="W329" s="52"/>
      <c r="X329" s="52"/>
      <c r="Y329" s="52"/>
      <c r="Z329" s="52"/>
    </row>
    <row r="330">
      <c r="A330" s="52">
        <f>IFERROR(__xludf.DUMMYFUNCTION("""COMPUTED_VALUE"""),2.09221675E8)</f>
        <v>209221675</v>
      </c>
      <c r="B330" s="52" t="str">
        <f>IFERROR(__xludf.DUMMYFUNCTION("""COMPUTED_VALUE"""),"MUHAMMAD FATHUR RACHMAN")</f>
        <v>MUHAMMAD FATHUR RACHMAN</v>
      </c>
      <c r="C330" s="52">
        <f>IFERROR(__xludf.DUMMYFUNCTION("""COMPUTED_VALUE"""),28.0)</f>
        <v>28</v>
      </c>
      <c r="D330" s="52" t="str">
        <f>IFERROR(__xludf.DUMMYFUNCTION("""COMPUTED_VALUE"""),"Islam")</f>
        <v>Islam</v>
      </c>
      <c r="E330" s="52" t="str">
        <f>IFERROR(__xludf.DUMMYFUNCTION("""COMPUTED_VALUE"""),"CV. Adil Prima Perkasa")</f>
        <v>CV. Adil Prima Perkasa</v>
      </c>
      <c r="F330" s="52" t="str">
        <f>IFERROR(__xludf.DUMMYFUNCTION("""COMPUTED_VALUE"""),"ADMIN KENDARAAN")</f>
        <v>ADMIN KENDARAAN</v>
      </c>
      <c r="G330" s="52" t="str">
        <f>IFERROR(__xludf.DUMMYFUNCTION("""COMPUTED_VALUE"""),"KENDARAAN &amp; UNIT SUPPORT")</f>
        <v>KENDARAAN &amp; UNIT SUPPORT</v>
      </c>
      <c r="H330" s="52" t="str">
        <f>IFERROR(__xludf.DUMMYFUNCTION("""COMPUTED_VALUE"""),"[0102150004] NAFTALI RARE'A, ST")</f>
        <v>[0102150004] NAFTALI RARE'A, ST</v>
      </c>
      <c r="I330" s="52"/>
      <c r="J330" s="53" t="str">
        <f>IFERROR(__xludf.DUMMYFUNCTION("""COMPUTED_VALUE"""),"[209221675] MUHAMMAD FATHUR RACHMAN")</f>
        <v>[209221675] MUHAMMAD FATHUR RACHMAN</v>
      </c>
      <c r="K330" s="52"/>
      <c r="L330" s="52" t="str">
        <f t="shared" si="1"/>
        <v>#VALUE!</v>
      </c>
      <c r="M330" s="52"/>
      <c r="N330" s="52"/>
      <c r="O330" s="52"/>
      <c r="P330" s="52"/>
      <c r="Q330" s="52"/>
      <c r="R330" s="52"/>
      <c r="S330" s="52"/>
      <c r="T330" s="52"/>
      <c r="U330" s="52"/>
      <c r="V330" s="52"/>
      <c r="W330" s="52"/>
      <c r="X330" s="52"/>
      <c r="Y330" s="52"/>
      <c r="Z330" s="52"/>
    </row>
    <row r="331">
      <c r="A331" s="52">
        <f>IFERROR(__xludf.DUMMYFUNCTION("""COMPUTED_VALUE"""),2.0524193E8)</f>
        <v>205241930</v>
      </c>
      <c r="B331" s="52" t="str">
        <f>IFERROR(__xludf.DUMMYFUNCTION("""COMPUTED_VALUE"""),"MUHAMMAD NUSRI")</f>
        <v>MUHAMMAD NUSRI</v>
      </c>
      <c r="C331" s="52">
        <f>IFERROR(__xludf.DUMMYFUNCTION("""COMPUTED_VALUE"""),0.0)</f>
        <v>0</v>
      </c>
      <c r="D331" s="52"/>
      <c r="E331" s="52" t="str">
        <f>IFERROR(__xludf.DUMMYFUNCTION("""COMPUTED_VALUE"""),"CV. Adil Prima Perkasa")</f>
        <v>CV. Adil Prima Perkasa</v>
      </c>
      <c r="F331" s="52" t="str">
        <f>IFERROR(__xludf.DUMMYFUNCTION("""COMPUTED_VALUE"""),"OPERATOR EXCAVATOR")</f>
        <v>OPERATOR EXCAVATOR</v>
      </c>
      <c r="G331" s="52" t="str">
        <f>IFERROR(__xludf.DUMMYFUNCTION("""COMPUTED_VALUE"""),"PRODUKSI")</f>
        <v>PRODUKSI</v>
      </c>
      <c r="H331" s="52" t="str">
        <f>IFERROR(__xludf.DUMMYFUNCTION("""COMPUTED_VALUE"""),"[0102130003] PURNAWAN")</f>
        <v>[0102130003] PURNAWAN</v>
      </c>
      <c r="I331" s="52"/>
      <c r="J331" s="53" t="str">
        <f>IFERROR(__xludf.DUMMYFUNCTION("""COMPUTED_VALUE"""),"[205241930] MUHAMMAD NUSRI")</f>
        <v>[205241930] MUHAMMAD NUSRI</v>
      </c>
      <c r="K331" s="52"/>
      <c r="L331" s="52" t="str">
        <f t="shared" si="1"/>
        <v>#VALUE!</v>
      </c>
      <c r="M331" s="52"/>
      <c r="N331" s="52"/>
      <c r="O331" s="52"/>
      <c r="P331" s="52"/>
      <c r="Q331" s="52"/>
      <c r="R331" s="52"/>
      <c r="S331" s="52"/>
      <c r="T331" s="52"/>
      <c r="U331" s="52"/>
      <c r="V331" s="52"/>
      <c r="W331" s="52"/>
      <c r="X331" s="52"/>
      <c r="Y331" s="52"/>
      <c r="Z331" s="52"/>
    </row>
    <row r="332">
      <c r="A332" s="52">
        <f>IFERROR(__xludf.DUMMYFUNCTION("""COMPUTED_VALUE"""),1.06211431E8)</f>
        <v>106211431</v>
      </c>
      <c r="B332" s="52" t="str">
        <f>IFERROR(__xludf.DUMMYFUNCTION("""COMPUTED_VALUE"""),"MUHAMMAD RANGGA")</f>
        <v>MUHAMMAD RANGGA</v>
      </c>
      <c r="C332" s="52">
        <f>IFERROR(__xludf.DUMMYFUNCTION("""COMPUTED_VALUE"""),21.0)</f>
        <v>21</v>
      </c>
      <c r="D332" s="52" t="str">
        <f>IFERROR(__xludf.DUMMYFUNCTION("""COMPUTED_VALUE"""),"Islam")</f>
        <v>Islam</v>
      </c>
      <c r="E332" s="52" t="str">
        <f>IFERROR(__xludf.DUMMYFUNCTION("""COMPUTED_VALUE"""),"CV. SENTOSA ABADI")</f>
        <v>CV. SENTOSA ABADI</v>
      </c>
      <c r="F332" s="52" t="str">
        <f>IFERROR(__xludf.DUMMYFUNCTION("""COMPUTED_VALUE"""),"HELPER TYRE")</f>
        <v>HELPER TYRE</v>
      </c>
      <c r="G332" s="52" t="str">
        <f>IFERROR(__xludf.DUMMYFUNCTION("""COMPUTED_VALUE"""),"WORKSHOP")</f>
        <v>WORKSHOP</v>
      </c>
      <c r="H332" s="52" t="str">
        <f>IFERROR(__xludf.DUMMYFUNCTION("""COMPUTED_VALUE"""),"[0102120144] JUFRY KOMALING")</f>
        <v>[0102120144] JUFRY KOMALING</v>
      </c>
      <c r="I332" s="52"/>
      <c r="J332" s="53" t="str">
        <f>IFERROR(__xludf.DUMMYFUNCTION("""COMPUTED_VALUE"""),"[106211431] MUHAMMAD RANGGA")</f>
        <v>[106211431] MUHAMMAD RANGGA</v>
      </c>
      <c r="K332" s="52"/>
      <c r="L332" s="52" t="str">
        <f t="shared" si="1"/>
        <v>#VALUE!</v>
      </c>
      <c r="M332" s="52"/>
      <c r="N332" s="52"/>
      <c r="O332" s="52"/>
      <c r="P332" s="52"/>
      <c r="Q332" s="52"/>
      <c r="R332" s="52"/>
      <c r="S332" s="52"/>
      <c r="T332" s="52"/>
      <c r="U332" s="52"/>
      <c r="V332" s="52"/>
      <c r="W332" s="52"/>
      <c r="X332" s="52"/>
      <c r="Y332" s="52"/>
      <c r="Z332" s="52"/>
    </row>
    <row r="333">
      <c r="A333" s="52">
        <f>IFERROR(__xludf.DUMMYFUNCTION("""COMPUTED_VALUE"""),1.06211426E8)</f>
        <v>106211426</v>
      </c>
      <c r="B333" s="52" t="str">
        <f>IFERROR(__xludf.DUMMYFUNCTION("""COMPUTED_VALUE"""),"MUHAMMAD YASIN")</f>
        <v>MUHAMMAD YASIN</v>
      </c>
      <c r="C333" s="52">
        <f>IFERROR(__xludf.DUMMYFUNCTION("""COMPUTED_VALUE"""),22.0)</f>
        <v>22</v>
      </c>
      <c r="D333" s="52" t="str">
        <f>IFERROR(__xludf.DUMMYFUNCTION("""COMPUTED_VALUE"""),"Islam")</f>
        <v>Islam</v>
      </c>
      <c r="E333" s="52" t="str">
        <f>IFERROR(__xludf.DUMMYFUNCTION("""COMPUTED_VALUE"""),"CV. SENTOSA ABADI")</f>
        <v>CV. SENTOSA ABADI</v>
      </c>
      <c r="F333" s="52" t="str">
        <f>IFERROR(__xludf.DUMMYFUNCTION("""COMPUTED_VALUE"""),"HELPER MAINTENANCE")</f>
        <v>HELPER MAINTENANCE</v>
      </c>
      <c r="G333" s="52" t="str">
        <f>IFERROR(__xludf.DUMMYFUNCTION("""COMPUTED_VALUE"""),"WORKSHOP")</f>
        <v>WORKSHOP</v>
      </c>
      <c r="H333" s="52" t="str">
        <f>IFERROR(__xludf.DUMMYFUNCTION("""COMPUTED_VALUE"""),"[0102120144] JUFRY KOMALING")</f>
        <v>[0102120144] JUFRY KOMALING</v>
      </c>
      <c r="I333" s="52"/>
      <c r="J333" s="53" t="str">
        <f>IFERROR(__xludf.DUMMYFUNCTION("""COMPUTED_VALUE"""),"[106211426] MUHAMMAD YASIN")</f>
        <v>[106211426] MUHAMMAD YASIN</v>
      </c>
      <c r="K333" s="52"/>
      <c r="L333" s="52" t="str">
        <f t="shared" si="1"/>
        <v>#VALUE!</v>
      </c>
      <c r="M333" s="52"/>
      <c r="N333" s="52"/>
      <c r="O333" s="52"/>
      <c r="P333" s="52"/>
      <c r="Q333" s="52"/>
      <c r="R333" s="52"/>
      <c r="S333" s="52"/>
      <c r="T333" s="52"/>
      <c r="U333" s="52"/>
      <c r="V333" s="52"/>
      <c r="W333" s="52"/>
      <c r="X333" s="52"/>
      <c r="Y333" s="52"/>
      <c r="Z333" s="52"/>
    </row>
    <row r="334">
      <c r="A334" s="52">
        <f>IFERROR(__xludf.DUMMYFUNCTION("""COMPUTED_VALUE"""),2.09201227E8)</f>
        <v>209201227</v>
      </c>
      <c r="B334" s="52" t="str">
        <f>IFERROR(__xludf.DUMMYFUNCTION("""COMPUTED_VALUE"""),"MUKSIN")</f>
        <v>MUKSIN</v>
      </c>
      <c r="C334" s="52">
        <f>IFERROR(__xludf.DUMMYFUNCTION("""COMPUTED_VALUE"""),41.0)</f>
        <v>41</v>
      </c>
      <c r="D334" s="52" t="str">
        <f>IFERROR(__xludf.DUMMYFUNCTION("""COMPUTED_VALUE"""),"Islam")</f>
        <v>Islam</v>
      </c>
      <c r="E334" s="52" t="str">
        <f>IFERROR(__xludf.DUMMYFUNCTION("""COMPUTED_VALUE"""),"CV. Adil Prima Perkasa")</f>
        <v>CV. Adil Prima Perkasa</v>
      </c>
      <c r="F334" s="52" t="str">
        <f>IFERROR(__xludf.DUMMYFUNCTION("""COMPUTED_VALUE"""),"DRIVER DT H700ZY")</f>
        <v>DRIVER DT H700ZY</v>
      </c>
      <c r="G334" s="52" t="str">
        <f>IFERROR(__xludf.DUMMYFUNCTION("""COMPUTED_VALUE"""),"KENDARAAN &amp; UNIT SUPPORT")</f>
        <v>KENDARAAN &amp; UNIT SUPPORT</v>
      </c>
      <c r="H334" s="52" t="str">
        <f>IFERROR(__xludf.DUMMYFUNCTION("""COMPUTED_VALUE"""),"[0102150004] NAFTALI RARE'A, ST")</f>
        <v>[0102150004] NAFTALI RARE'A, ST</v>
      </c>
      <c r="I334" s="55">
        <f>IFERROR(__xludf.DUMMYFUNCTION("""COMPUTED_VALUE"""),30750.0)</f>
        <v>30750</v>
      </c>
      <c r="J334" s="53" t="str">
        <f>IFERROR(__xludf.DUMMYFUNCTION("""COMPUTED_VALUE"""),"[209201227] MUKSIN")</f>
        <v>[209201227] MUKSIN</v>
      </c>
      <c r="K334" s="52"/>
      <c r="L334" s="52" t="str">
        <f t="shared" si="1"/>
        <v>#VALUE!</v>
      </c>
      <c r="M334" s="52"/>
      <c r="N334" s="52"/>
      <c r="O334" s="52"/>
      <c r="P334" s="52"/>
      <c r="Q334" s="52"/>
      <c r="R334" s="52"/>
      <c r="S334" s="52"/>
      <c r="T334" s="52"/>
      <c r="U334" s="52"/>
      <c r="V334" s="52"/>
      <c r="W334" s="52"/>
      <c r="X334" s="52"/>
      <c r="Y334" s="52"/>
      <c r="Z334" s="52"/>
    </row>
    <row r="335">
      <c r="A335" s="52">
        <f>IFERROR(__xludf.DUMMYFUNCTION("""COMPUTED_VALUE"""),1.09201237E8)</f>
        <v>109201237</v>
      </c>
      <c r="B335" s="52" t="str">
        <f>IFERROR(__xludf.DUMMYFUNCTION("""COMPUTED_VALUE"""),"MUPADLI")</f>
        <v>MUPADLI</v>
      </c>
      <c r="C335" s="52">
        <f>IFERROR(__xludf.DUMMYFUNCTION("""COMPUTED_VALUE"""),34.0)</f>
        <v>34</v>
      </c>
      <c r="D335" s="52" t="str">
        <f>IFERROR(__xludf.DUMMYFUNCTION("""COMPUTED_VALUE"""),"Islam")</f>
        <v>Islam</v>
      </c>
      <c r="E335" s="52" t="str">
        <f>IFERROR(__xludf.DUMMYFUNCTION("""COMPUTED_VALUE"""),"CV. SENTOSA ABADI")</f>
        <v>CV. SENTOSA ABADI</v>
      </c>
      <c r="F335" s="52" t="str">
        <f>IFERROR(__xludf.DUMMYFUNCTION("""COMPUTED_VALUE"""),"HELPER MEKANIK")</f>
        <v>HELPER MEKANIK</v>
      </c>
      <c r="G335" s="52" t="str">
        <f>IFERROR(__xludf.DUMMYFUNCTION("""COMPUTED_VALUE"""),"WORKSHOP")</f>
        <v>WORKSHOP</v>
      </c>
      <c r="H335" s="52" t="str">
        <f>IFERROR(__xludf.DUMMYFUNCTION("""COMPUTED_VALUE"""),"[0106190928] NATAN KONDO")</f>
        <v>[0106190928] NATAN KONDO</v>
      </c>
      <c r="I335" s="55">
        <f>IFERROR(__xludf.DUMMYFUNCTION("""COMPUTED_VALUE"""),33133.0)</f>
        <v>33133</v>
      </c>
      <c r="J335" s="53" t="str">
        <f>IFERROR(__xludf.DUMMYFUNCTION("""COMPUTED_VALUE"""),"[109201237] MUPADLI")</f>
        <v>[109201237] MUPADLI</v>
      </c>
      <c r="K335" s="52"/>
      <c r="L335" s="52" t="str">
        <f t="shared" si="1"/>
        <v>#VALUE!</v>
      </c>
      <c r="M335" s="52"/>
      <c r="N335" s="52"/>
      <c r="O335" s="52"/>
      <c r="P335" s="52"/>
      <c r="Q335" s="52"/>
      <c r="R335" s="52"/>
      <c r="S335" s="52"/>
      <c r="T335" s="52"/>
      <c r="U335" s="52"/>
      <c r="V335" s="52"/>
      <c r="W335" s="52"/>
      <c r="X335" s="52"/>
      <c r="Y335" s="52"/>
      <c r="Z335" s="52"/>
    </row>
    <row r="336">
      <c r="A336" s="52">
        <f>IFERROR(__xludf.DUMMYFUNCTION("""COMPUTED_VALUE"""),1.04190817E8)</f>
        <v>104190817</v>
      </c>
      <c r="B336" s="52" t="str">
        <f>IFERROR(__xludf.DUMMYFUNCTION("""COMPUTED_VALUE"""),"MURDOV MAINTI")</f>
        <v>MURDOV MAINTI</v>
      </c>
      <c r="C336" s="52">
        <f>IFERROR(__xludf.DUMMYFUNCTION("""COMPUTED_VALUE"""),39.0)</f>
        <v>39</v>
      </c>
      <c r="D336" s="52" t="str">
        <f>IFERROR(__xludf.DUMMYFUNCTION("""COMPUTED_VALUE"""),"Kristen Protestan")</f>
        <v>Kristen Protestan</v>
      </c>
      <c r="E336" s="52" t="str">
        <f>IFERROR(__xludf.DUMMYFUNCTION("""COMPUTED_VALUE"""),"CV. SENTOSA ABADI")</f>
        <v>CV. SENTOSA ABADI</v>
      </c>
      <c r="F336" s="52" t="str">
        <f>IFERROR(__xludf.DUMMYFUNCTION("""COMPUTED_VALUE"""),"HELPER TYRE")</f>
        <v>HELPER TYRE</v>
      </c>
      <c r="G336" s="52" t="str">
        <f>IFERROR(__xludf.DUMMYFUNCTION("""COMPUTED_VALUE"""),"WORKSHOP")</f>
        <v>WORKSHOP</v>
      </c>
      <c r="H336" s="52" t="str">
        <f>IFERROR(__xludf.DUMMYFUNCTION("""COMPUTED_VALUE"""),"[0102120144] JUFRY KOMALING")</f>
        <v>[0102120144] JUFRY KOMALING</v>
      </c>
      <c r="I336" s="52"/>
      <c r="J336" s="53" t="str">
        <f>IFERROR(__xludf.DUMMYFUNCTION("""COMPUTED_VALUE"""),"[104190817] MURDOV MAINTI")</f>
        <v>[104190817] MURDOV MAINTI</v>
      </c>
      <c r="K336" s="52"/>
      <c r="L336" s="52" t="str">
        <f t="shared" si="1"/>
        <v>#VALUE!</v>
      </c>
      <c r="M336" s="52"/>
      <c r="N336" s="52"/>
      <c r="O336" s="52"/>
      <c r="P336" s="52"/>
      <c r="Q336" s="52"/>
      <c r="R336" s="52"/>
      <c r="S336" s="52"/>
      <c r="T336" s="52"/>
      <c r="U336" s="52"/>
      <c r="V336" s="52"/>
      <c r="W336" s="52"/>
      <c r="X336" s="52"/>
      <c r="Y336" s="52"/>
      <c r="Z336" s="52"/>
    </row>
    <row r="337">
      <c r="A337" s="52">
        <f>IFERROR(__xludf.DUMMYFUNCTION("""COMPUTED_VALUE"""),2.03190797E8)</f>
        <v>203190797</v>
      </c>
      <c r="B337" s="52" t="str">
        <f>IFERROR(__xludf.DUMMYFUNCTION("""COMPUTED_VALUE"""),"MURFA")</f>
        <v>MURFA</v>
      </c>
      <c r="C337" s="52">
        <f>IFERROR(__xludf.DUMMYFUNCTION("""COMPUTED_VALUE"""),34.0)</f>
        <v>34</v>
      </c>
      <c r="D337" s="52" t="str">
        <f>IFERROR(__xludf.DUMMYFUNCTION("""COMPUTED_VALUE"""),"Islam")</f>
        <v>Islam</v>
      </c>
      <c r="E337" s="52" t="str">
        <f>IFERROR(__xludf.DUMMYFUNCTION("""COMPUTED_VALUE"""),"CV. Adil Prima Perkasa")</f>
        <v>CV. Adil Prima Perkasa</v>
      </c>
      <c r="F337" s="52" t="str">
        <f>IFERROR(__xludf.DUMMYFUNCTION("""COMPUTED_VALUE"""),"DRIVER DT H700ZY")</f>
        <v>DRIVER DT H700ZY</v>
      </c>
      <c r="G337" s="52" t="str">
        <f>IFERROR(__xludf.DUMMYFUNCTION("""COMPUTED_VALUE"""),"KENDARAAN &amp; UNIT SUPPORT")</f>
        <v>KENDARAAN &amp; UNIT SUPPORT</v>
      </c>
      <c r="H337" s="52" t="str">
        <f>IFERROR(__xludf.DUMMYFUNCTION("""COMPUTED_VALUE"""),"[0102150004] NAFTALI RARE'A, ST")</f>
        <v>[0102150004] NAFTALI RARE'A, ST</v>
      </c>
      <c r="I337" s="55">
        <f>IFERROR(__xludf.DUMMYFUNCTION("""COMPUTED_VALUE"""),33383.0)</f>
        <v>33383</v>
      </c>
      <c r="J337" s="53" t="str">
        <f>IFERROR(__xludf.DUMMYFUNCTION("""COMPUTED_VALUE"""),"[203190797] MURFA")</f>
        <v>[203190797] MURFA</v>
      </c>
      <c r="K337" s="52"/>
      <c r="L337" s="52" t="str">
        <f t="shared" si="1"/>
        <v>#VALUE!</v>
      </c>
      <c r="M337" s="52"/>
      <c r="N337" s="52"/>
      <c r="O337" s="52"/>
      <c r="P337" s="52"/>
      <c r="Q337" s="52"/>
      <c r="R337" s="52"/>
      <c r="S337" s="52"/>
      <c r="T337" s="52"/>
      <c r="U337" s="52"/>
      <c r="V337" s="52"/>
      <c r="W337" s="52"/>
      <c r="X337" s="52"/>
      <c r="Y337" s="52"/>
      <c r="Z337" s="52"/>
    </row>
    <row r="338">
      <c r="A338" s="52">
        <f>IFERROR(__xludf.DUMMYFUNCTION("""COMPUTED_VALUE"""),2.04231751E8)</f>
        <v>204231751</v>
      </c>
      <c r="B338" s="52" t="str">
        <f>IFERROR(__xludf.DUMMYFUNCTION("""COMPUTED_VALUE"""),"MUSAKKAR")</f>
        <v>MUSAKKAR</v>
      </c>
      <c r="C338" s="52">
        <f>IFERROR(__xludf.DUMMYFUNCTION("""COMPUTED_VALUE"""),44.0)</f>
        <v>44</v>
      </c>
      <c r="D338" s="52" t="str">
        <f>IFERROR(__xludf.DUMMYFUNCTION("""COMPUTED_VALUE"""),"Islam")</f>
        <v>Islam</v>
      </c>
      <c r="E338" s="52" t="str">
        <f>IFERROR(__xludf.DUMMYFUNCTION("""COMPUTED_VALUE"""),"CV. Adil Prima Perkasa")</f>
        <v>CV. Adil Prima Perkasa</v>
      </c>
      <c r="F338" s="52" t="str">
        <f>IFERROR(__xludf.DUMMYFUNCTION("""COMPUTED_VALUE"""),"DRIVER DT H700ZS")</f>
        <v>DRIVER DT H700ZS</v>
      </c>
      <c r="G338" s="52" t="str">
        <f>IFERROR(__xludf.DUMMYFUNCTION("""COMPUTED_VALUE"""),"KENDARAAN &amp; UNIT SUPPORT")</f>
        <v>KENDARAAN &amp; UNIT SUPPORT</v>
      </c>
      <c r="H338" s="52" t="str">
        <f>IFERROR(__xludf.DUMMYFUNCTION("""COMPUTED_VALUE"""),"[0102150004] NAFTALI RARE'A, ST")</f>
        <v>[0102150004] NAFTALI RARE'A, ST</v>
      </c>
      <c r="I338" s="52"/>
      <c r="J338" s="53" t="str">
        <f>IFERROR(__xludf.DUMMYFUNCTION("""COMPUTED_VALUE"""),"[204231751] MUSAKKAR")</f>
        <v>[204231751] MUSAKKAR</v>
      </c>
      <c r="K338" s="52"/>
      <c r="L338" s="52" t="str">
        <f t="shared" si="1"/>
        <v>#VALUE!</v>
      </c>
      <c r="M338" s="52"/>
      <c r="N338" s="52"/>
      <c r="O338" s="52"/>
      <c r="P338" s="52"/>
      <c r="Q338" s="52"/>
      <c r="R338" s="52"/>
      <c r="S338" s="52"/>
      <c r="T338" s="52"/>
      <c r="U338" s="52"/>
      <c r="V338" s="52"/>
      <c r="W338" s="52"/>
      <c r="X338" s="52"/>
      <c r="Y338" s="52"/>
      <c r="Z338" s="52"/>
    </row>
    <row r="339">
      <c r="A339" s="52">
        <f>IFERROR(__xludf.DUMMYFUNCTION("""COMPUTED_VALUE"""),1.01199001E8)</f>
        <v>101199001</v>
      </c>
      <c r="B339" s="52" t="str">
        <f>IFERROR(__xludf.DUMMYFUNCTION("""COMPUTED_VALUE"""),"Monita Febyanti")</f>
        <v>Monita Febyanti</v>
      </c>
      <c r="C339" s="52">
        <f>IFERROR(__xludf.DUMMYFUNCTION("""COMPUTED_VALUE"""),0.0)</f>
        <v>0</v>
      </c>
      <c r="D339" s="52"/>
      <c r="E339" s="52" t="str">
        <f>IFERROR(__xludf.DUMMYFUNCTION("""COMPUTED_VALUE"""),"CV. SENTOSA ABADI")</f>
        <v>CV. SENTOSA ABADI</v>
      </c>
      <c r="F339" s="52" t="str">
        <f>IFERROR(__xludf.DUMMYFUNCTION("""COMPUTED_VALUE"""),"FALSE")</f>
        <v>FALSE</v>
      </c>
      <c r="G339" s="52" t="str">
        <f>IFERROR(__xludf.DUMMYFUNCTION("""COMPUTED_VALUE"""),"FALSE")</f>
        <v>FALSE</v>
      </c>
      <c r="H339" s="52" t="str">
        <f>IFERROR(__xludf.DUMMYFUNCTION("""COMPUTED_VALUE"""),"FALSE")</f>
        <v>FALSE</v>
      </c>
      <c r="I339" s="52"/>
      <c r="J339" s="53" t="str">
        <f>IFERROR(__xludf.DUMMYFUNCTION("""COMPUTED_VALUE"""),"[101199001] Monita Febyanti")</f>
        <v>[101199001] Monita Febyanti</v>
      </c>
      <c r="K339" s="52"/>
      <c r="L339" s="52" t="str">
        <f t="shared" si="1"/>
        <v>#VALUE!</v>
      </c>
      <c r="M339" s="52"/>
      <c r="N339" s="52"/>
      <c r="O339" s="52"/>
      <c r="P339" s="52"/>
      <c r="Q339" s="52"/>
      <c r="R339" s="52"/>
      <c r="S339" s="52"/>
      <c r="T339" s="52"/>
      <c r="U339" s="52"/>
      <c r="V339" s="52"/>
      <c r="W339" s="52"/>
      <c r="X339" s="52"/>
      <c r="Y339" s="52"/>
      <c r="Z339" s="52"/>
    </row>
    <row r="340">
      <c r="A340" s="52">
        <f>IFERROR(__xludf.DUMMYFUNCTION("""COMPUTED_VALUE"""),1.02150004E8)</f>
        <v>102150004</v>
      </c>
      <c r="B340" s="52" t="str">
        <f>IFERROR(__xludf.DUMMYFUNCTION("""COMPUTED_VALUE"""),"NAFTALI RARE'A, ST")</f>
        <v>NAFTALI RARE'A, ST</v>
      </c>
      <c r="C340" s="52">
        <f>IFERROR(__xludf.DUMMYFUNCTION("""COMPUTED_VALUE"""),34.0)</f>
        <v>34</v>
      </c>
      <c r="D340" s="52" t="str">
        <f>IFERROR(__xludf.DUMMYFUNCTION("""COMPUTED_VALUE"""),"Kristen Protestan")</f>
        <v>Kristen Protestan</v>
      </c>
      <c r="E340" s="52" t="str">
        <f>IFERROR(__xludf.DUMMYFUNCTION("""COMPUTED_VALUE"""),"CV. SENTOSA ABADI")</f>
        <v>CV. SENTOSA ABADI</v>
      </c>
      <c r="F340" s="52" t="str">
        <f>IFERROR(__xludf.DUMMYFUNCTION("""COMPUTED_VALUE"""),"HEAD OF VEHICLE")</f>
        <v>HEAD OF VEHICLE</v>
      </c>
      <c r="G340" s="52" t="str">
        <f>IFERROR(__xludf.DUMMYFUNCTION("""COMPUTED_VALUE"""),"KENDARAAN &amp; UNIT SUPPORT")</f>
        <v>KENDARAAN &amp; UNIT SUPPORT</v>
      </c>
      <c r="H340" s="52" t="str">
        <f>IFERROR(__xludf.DUMMYFUNCTION("""COMPUTED_VALUE"""),"[0102150007] EKY SIDIK PRATAMA, ST")</f>
        <v>[0102150007] EKY SIDIK PRATAMA, ST</v>
      </c>
      <c r="I340" s="52"/>
      <c r="J340" s="53" t="str">
        <f>IFERROR(__xludf.DUMMYFUNCTION("""COMPUTED_VALUE"""),"[102150004] NAFTALI RARE'A, ST")</f>
        <v>[102150004] NAFTALI RARE'A, ST</v>
      </c>
      <c r="K340" s="52"/>
      <c r="L340" s="52" t="str">
        <f t="shared" si="1"/>
        <v>#VALUE!</v>
      </c>
      <c r="M340" s="52"/>
      <c r="N340" s="52"/>
      <c r="O340" s="52"/>
      <c r="P340" s="52"/>
      <c r="Q340" s="52"/>
      <c r="R340" s="52"/>
      <c r="S340" s="52"/>
      <c r="T340" s="52"/>
      <c r="U340" s="52"/>
      <c r="V340" s="52"/>
      <c r="W340" s="52"/>
      <c r="X340" s="52"/>
      <c r="Y340" s="52"/>
      <c r="Z340" s="52"/>
    </row>
    <row r="341">
      <c r="A341" s="52">
        <f>IFERROR(__xludf.DUMMYFUNCTION("""COMPUTED_VALUE"""),2.0224191E8)</f>
        <v>202241910</v>
      </c>
      <c r="B341" s="52" t="str">
        <f>IFERROR(__xludf.DUMMYFUNCTION("""COMPUTED_VALUE"""),"NASAR")</f>
        <v>NASAR</v>
      </c>
      <c r="C341" s="52">
        <f>IFERROR(__xludf.DUMMYFUNCTION("""COMPUTED_VALUE"""),0.0)</f>
        <v>0</v>
      </c>
      <c r="D341" s="52"/>
      <c r="E341" s="52" t="str">
        <f>IFERROR(__xludf.DUMMYFUNCTION("""COMPUTED_VALUE"""),"CV. Adil Prima Perkasa")</f>
        <v>CV. Adil Prima Perkasa</v>
      </c>
      <c r="F341" s="52" t="str">
        <f>IFERROR(__xludf.DUMMYFUNCTION("""COMPUTED_VALUE"""),"HELPER TYRE")</f>
        <v>HELPER TYRE</v>
      </c>
      <c r="G341" s="52" t="str">
        <f>IFERROR(__xludf.DUMMYFUNCTION("""COMPUTED_VALUE"""),"WORKSHOP")</f>
        <v>WORKSHOP</v>
      </c>
      <c r="H341" s="52" t="str">
        <f>IFERROR(__xludf.DUMMYFUNCTION("""COMPUTED_VALUE"""),"[0106190928] NATAN KONDO")</f>
        <v>[0106190928] NATAN KONDO</v>
      </c>
      <c r="I341" s="52"/>
      <c r="J341" s="53" t="str">
        <f>IFERROR(__xludf.DUMMYFUNCTION("""COMPUTED_VALUE"""),"[202241910] NASAR")</f>
        <v>[202241910] NASAR</v>
      </c>
      <c r="K341" s="52"/>
      <c r="L341" s="52" t="str">
        <f t="shared" si="1"/>
        <v>#VALUE!</v>
      </c>
      <c r="M341" s="52"/>
      <c r="N341" s="52"/>
      <c r="O341" s="52"/>
      <c r="P341" s="52"/>
      <c r="Q341" s="52"/>
      <c r="R341" s="52"/>
      <c r="S341" s="52"/>
      <c r="T341" s="52"/>
      <c r="U341" s="52"/>
      <c r="V341" s="52"/>
      <c r="W341" s="52"/>
      <c r="X341" s="52"/>
      <c r="Y341" s="52"/>
      <c r="Z341" s="52"/>
    </row>
    <row r="342">
      <c r="A342" s="52">
        <f>IFERROR(__xludf.DUMMYFUNCTION("""COMPUTED_VALUE"""),1.12191119E8)</f>
        <v>112191119</v>
      </c>
      <c r="B342" s="52" t="str">
        <f>IFERROR(__xludf.DUMMYFUNCTION("""COMPUTED_VALUE"""),"NASRUN")</f>
        <v>NASRUN</v>
      </c>
      <c r="C342" s="52">
        <f>IFERROR(__xludf.DUMMYFUNCTION("""COMPUTED_VALUE"""),49.0)</f>
        <v>49</v>
      </c>
      <c r="D342" s="52" t="str">
        <f>IFERROR(__xludf.DUMMYFUNCTION("""COMPUTED_VALUE"""),"Islam")</f>
        <v>Islam</v>
      </c>
      <c r="E342" s="52" t="str">
        <f>IFERROR(__xludf.DUMMYFUNCTION("""COMPUTED_VALUE"""),"CV. SENTOSA ABADI")</f>
        <v>CV. SENTOSA ABADI</v>
      </c>
      <c r="F342" s="52" t="str">
        <f>IFERROR(__xludf.DUMMYFUNCTION("""COMPUTED_VALUE"""),"OPERATOR ADT")</f>
        <v>OPERATOR ADT</v>
      </c>
      <c r="G342" s="52" t="str">
        <f>IFERROR(__xludf.DUMMYFUNCTION("""COMPUTED_VALUE"""),"PRODUKSI")</f>
        <v>PRODUKSI</v>
      </c>
      <c r="H342" s="52" t="str">
        <f>IFERROR(__xludf.DUMMYFUNCTION("""COMPUTED_VALUE"""),"FALSE")</f>
        <v>FALSE</v>
      </c>
      <c r="I342" s="55">
        <f>IFERROR(__xludf.DUMMYFUNCTION("""COMPUTED_VALUE"""),27759.0)</f>
        <v>27759</v>
      </c>
      <c r="J342" s="53" t="str">
        <f>IFERROR(__xludf.DUMMYFUNCTION("""COMPUTED_VALUE"""),"[112191119] NASRUN")</f>
        <v>[112191119] NASRUN</v>
      </c>
      <c r="K342" s="52"/>
      <c r="L342" s="52" t="str">
        <f t="shared" si="1"/>
        <v>#VALUE!</v>
      </c>
      <c r="M342" s="52"/>
      <c r="N342" s="52"/>
      <c r="O342" s="52"/>
      <c r="P342" s="52"/>
      <c r="Q342" s="52"/>
      <c r="R342" s="52"/>
      <c r="S342" s="52"/>
      <c r="T342" s="52"/>
      <c r="U342" s="52"/>
      <c r="V342" s="52"/>
      <c r="W342" s="52"/>
      <c r="X342" s="52"/>
      <c r="Y342" s="52"/>
      <c r="Z342" s="52"/>
    </row>
    <row r="343">
      <c r="A343" s="52">
        <f>IFERROR(__xludf.DUMMYFUNCTION("""COMPUTED_VALUE"""),1.06190928E8)</f>
        <v>106190928</v>
      </c>
      <c r="B343" s="52" t="str">
        <f>IFERROR(__xludf.DUMMYFUNCTION("""COMPUTED_VALUE"""),"NATAN KONDO")</f>
        <v>NATAN KONDO</v>
      </c>
      <c r="C343" s="52">
        <f>IFERROR(__xludf.DUMMYFUNCTION("""COMPUTED_VALUE"""),44.0)</f>
        <v>44</v>
      </c>
      <c r="D343" s="52" t="str">
        <f>IFERROR(__xludf.DUMMYFUNCTION("""COMPUTED_VALUE"""),"Kristen Protestan")</f>
        <v>Kristen Protestan</v>
      </c>
      <c r="E343" s="52" t="str">
        <f>IFERROR(__xludf.DUMMYFUNCTION("""COMPUTED_VALUE"""),"CV. SENTOSA ABADI")</f>
        <v>CV. SENTOSA ABADI</v>
      </c>
      <c r="F343" s="52" t="str">
        <f>IFERROR(__xludf.DUMMYFUNCTION("""COMPUTED_VALUE"""),"HEAD OF WORKSHOP")</f>
        <v>HEAD OF WORKSHOP</v>
      </c>
      <c r="G343" s="52" t="str">
        <f>IFERROR(__xludf.DUMMYFUNCTION("""COMPUTED_VALUE"""),"WORKSHOP")</f>
        <v>WORKSHOP</v>
      </c>
      <c r="H343" s="52" t="str">
        <f>IFERROR(__xludf.DUMMYFUNCTION("""COMPUTED_VALUE"""),"FALSE")</f>
        <v>FALSE</v>
      </c>
      <c r="I343" s="52"/>
      <c r="J343" s="53" t="str">
        <f>IFERROR(__xludf.DUMMYFUNCTION("""COMPUTED_VALUE"""),"[106190928] NATAN KONDO")</f>
        <v>[106190928] NATAN KONDO</v>
      </c>
      <c r="K343" s="52"/>
      <c r="L343" s="52" t="str">
        <f t="shared" si="1"/>
        <v>#VALUE!</v>
      </c>
      <c r="M343" s="52"/>
      <c r="N343" s="52"/>
      <c r="O343" s="52"/>
      <c r="P343" s="52"/>
      <c r="Q343" s="52"/>
      <c r="R343" s="52"/>
      <c r="S343" s="52"/>
      <c r="T343" s="52"/>
      <c r="U343" s="52"/>
      <c r="V343" s="52"/>
      <c r="W343" s="52"/>
      <c r="X343" s="52"/>
      <c r="Y343" s="52"/>
      <c r="Z343" s="52"/>
    </row>
    <row r="344">
      <c r="A344" s="52">
        <f>IFERROR(__xludf.DUMMYFUNCTION("""COMPUTED_VALUE"""),1.05190857E8)</f>
        <v>105190857</v>
      </c>
      <c r="B344" s="52" t="str">
        <f>IFERROR(__xludf.DUMMYFUNCTION("""COMPUTED_VALUE"""),"NATANIEL")</f>
        <v>NATANIEL</v>
      </c>
      <c r="C344" s="52">
        <f>IFERROR(__xludf.DUMMYFUNCTION("""COMPUTED_VALUE"""),24.0)</f>
        <v>24</v>
      </c>
      <c r="D344" s="52" t="str">
        <f>IFERROR(__xludf.DUMMYFUNCTION("""COMPUTED_VALUE"""),"Kristen Khatolik")</f>
        <v>Kristen Khatolik</v>
      </c>
      <c r="E344" s="52" t="str">
        <f>IFERROR(__xludf.DUMMYFUNCTION("""COMPUTED_VALUE"""),"CV. SENTOSA ABADI")</f>
        <v>CV. SENTOSA ABADI</v>
      </c>
      <c r="F344" s="52" t="str">
        <f>IFERROR(__xludf.DUMMYFUNCTION("""COMPUTED_VALUE"""),"HELPER MECHANIC MAINTENANCE")</f>
        <v>HELPER MECHANIC MAINTENANCE</v>
      </c>
      <c r="G344" s="52" t="str">
        <f>IFERROR(__xludf.DUMMYFUNCTION("""COMPUTED_VALUE"""),"WORKSHOP")</f>
        <v>WORKSHOP</v>
      </c>
      <c r="H344" s="52" t="str">
        <f>IFERROR(__xludf.DUMMYFUNCTION("""COMPUTED_VALUE"""),"[0107190958] DIPINTO TANGKAMBU")</f>
        <v>[0107190958] DIPINTO TANGKAMBU</v>
      </c>
      <c r="I344" s="52"/>
      <c r="J344" s="53" t="str">
        <f>IFERROR(__xludf.DUMMYFUNCTION("""COMPUTED_VALUE"""),"[105190857] NATANIEL")</f>
        <v>[105190857] NATANIEL</v>
      </c>
      <c r="K344" s="52"/>
      <c r="L344" s="52" t="str">
        <f t="shared" si="1"/>
        <v>#VALUE!</v>
      </c>
      <c r="M344" s="52"/>
      <c r="N344" s="52"/>
      <c r="O344" s="52"/>
      <c r="P344" s="52"/>
      <c r="Q344" s="52"/>
      <c r="R344" s="52"/>
      <c r="S344" s="52"/>
      <c r="T344" s="52"/>
      <c r="U344" s="52"/>
      <c r="V344" s="52"/>
      <c r="W344" s="52"/>
      <c r="X344" s="52"/>
      <c r="Y344" s="52"/>
      <c r="Z344" s="52"/>
    </row>
    <row r="345">
      <c r="A345" s="52">
        <f>IFERROR(__xludf.DUMMYFUNCTION("""COMPUTED_VALUE"""),2.06221635E8)</f>
        <v>206221635</v>
      </c>
      <c r="B345" s="52" t="str">
        <f>IFERROR(__xludf.DUMMYFUNCTION("""COMPUTED_VALUE"""),"NOFRI FERDIANTO")</f>
        <v>NOFRI FERDIANTO</v>
      </c>
      <c r="C345" s="52">
        <f>IFERROR(__xludf.DUMMYFUNCTION("""COMPUTED_VALUE"""),29.0)</f>
        <v>29</v>
      </c>
      <c r="D345" s="52" t="str">
        <f>IFERROR(__xludf.DUMMYFUNCTION("""COMPUTED_VALUE"""),"Islam")</f>
        <v>Islam</v>
      </c>
      <c r="E345" s="52" t="str">
        <f>IFERROR(__xludf.DUMMYFUNCTION("""COMPUTED_VALUE"""),"CV. Adil Prima Perkasa")</f>
        <v>CV. Adil Prima Perkasa</v>
      </c>
      <c r="F345" s="52" t="str">
        <f>IFERROR(__xludf.DUMMYFUNCTION("""COMPUTED_VALUE"""),"HELPER WELDER")</f>
        <v>HELPER WELDER</v>
      </c>
      <c r="G345" s="52" t="str">
        <f>IFERROR(__xludf.DUMMYFUNCTION("""COMPUTED_VALUE"""),"WORKSHOP")</f>
        <v>WORKSHOP</v>
      </c>
      <c r="H345" s="52" t="str">
        <f>IFERROR(__xludf.DUMMYFUNCTION("""COMPUTED_VALUE"""),"[0106190928] NATAN KONDO")</f>
        <v>[0106190928] NATAN KONDO</v>
      </c>
      <c r="I345" s="52"/>
      <c r="J345" s="53" t="str">
        <f>IFERROR(__xludf.DUMMYFUNCTION("""COMPUTED_VALUE"""),"[206221635] NOFRI FERDIANTO")</f>
        <v>[206221635] NOFRI FERDIANTO</v>
      </c>
      <c r="K345" s="52"/>
      <c r="L345" s="52" t="str">
        <f t="shared" si="1"/>
        <v>#VALUE!</v>
      </c>
      <c r="M345" s="52"/>
      <c r="N345" s="52"/>
      <c r="O345" s="52"/>
      <c r="P345" s="52"/>
      <c r="Q345" s="52"/>
      <c r="R345" s="52"/>
      <c r="S345" s="52"/>
      <c r="T345" s="52"/>
      <c r="U345" s="52"/>
      <c r="V345" s="52"/>
      <c r="W345" s="52"/>
      <c r="X345" s="52"/>
      <c r="Y345" s="52"/>
      <c r="Z345" s="52"/>
    </row>
    <row r="346">
      <c r="A346" s="52">
        <f>IFERROR(__xludf.DUMMYFUNCTION("""COMPUTED_VALUE"""),1.02201135E8)</f>
        <v>102201135</v>
      </c>
      <c r="B346" s="52" t="str">
        <f>IFERROR(__xludf.DUMMYFUNCTION("""COMPUTED_VALUE"""),"NOLDI POHU")</f>
        <v>NOLDI POHU</v>
      </c>
      <c r="C346" s="52">
        <f>IFERROR(__xludf.DUMMYFUNCTION("""COMPUTED_VALUE"""),36.0)</f>
        <v>36</v>
      </c>
      <c r="D346" s="52" t="str">
        <f>IFERROR(__xludf.DUMMYFUNCTION("""COMPUTED_VALUE"""),"Kristen Protestan")</f>
        <v>Kristen Protestan</v>
      </c>
      <c r="E346" s="52" t="str">
        <f>IFERROR(__xludf.DUMMYFUNCTION("""COMPUTED_VALUE"""),"CV. SENTOSA ABADI")</f>
        <v>CV. SENTOSA ABADI</v>
      </c>
      <c r="F346" s="52" t="str">
        <f>IFERROR(__xludf.DUMMYFUNCTION("""COMPUTED_VALUE"""),"DRIVER DT H700ZY")</f>
        <v>DRIVER DT H700ZY</v>
      </c>
      <c r="G346" s="52" t="str">
        <f>IFERROR(__xludf.DUMMYFUNCTION("""COMPUTED_VALUE"""),"KENDARAAN &amp; UNIT SUPPORT")</f>
        <v>KENDARAAN &amp; UNIT SUPPORT</v>
      </c>
      <c r="H346" s="52" t="str">
        <f>IFERROR(__xludf.DUMMYFUNCTION("""COMPUTED_VALUE"""),"[0102150004] NAFTALI RARE'A, ST")</f>
        <v>[0102150004] NAFTALI RARE'A, ST</v>
      </c>
      <c r="I346" s="52"/>
      <c r="J346" s="53" t="str">
        <f>IFERROR(__xludf.DUMMYFUNCTION("""COMPUTED_VALUE"""),"[102201135] NOLDI POHU")</f>
        <v>[102201135] NOLDI POHU</v>
      </c>
      <c r="K346" s="52"/>
      <c r="L346" s="52" t="str">
        <f t="shared" si="1"/>
        <v>#VALUE!</v>
      </c>
      <c r="M346" s="52"/>
      <c r="N346" s="52"/>
      <c r="O346" s="52"/>
      <c r="P346" s="52"/>
      <c r="Q346" s="52"/>
      <c r="R346" s="52"/>
      <c r="S346" s="52"/>
      <c r="T346" s="52"/>
      <c r="U346" s="52"/>
      <c r="V346" s="52"/>
      <c r="W346" s="52"/>
      <c r="X346" s="52"/>
      <c r="Y346" s="52"/>
      <c r="Z346" s="52"/>
    </row>
    <row r="347">
      <c r="A347" s="52">
        <f>IFERROR(__xludf.DUMMYFUNCTION("""COMPUTED_VALUE"""),1.06201156E8)</f>
        <v>106201156</v>
      </c>
      <c r="B347" s="52" t="str">
        <f>IFERROR(__xludf.DUMMYFUNCTION("""COMPUTED_VALUE"""),"NORCE LATONTJE")</f>
        <v>NORCE LATONTJE</v>
      </c>
      <c r="C347" s="52">
        <f>IFERROR(__xludf.DUMMYFUNCTION("""COMPUTED_VALUE"""),56.0)</f>
        <v>56</v>
      </c>
      <c r="D347" s="52" t="str">
        <f>IFERROR(__xludf.DUMMYFUNCTION("""COMPUTED_VALUE"""),"Kristen Protestan")</f>
        <v>Kristen Protestan</v>
      </c>
      <c r="E347" s="52" t="str">
        <f>IFERROR(__xludf.DUMMYFUNCTION("""COMPUTED_VALUE"""),"CV. SENTOSA ABADI")</f>
        <v>CV. SENTOSA ABADI</v>
      </c>
      <c r="F347" s="52" t="str">
        <f>IFERROR(__xludf.DUMMYFUNCTION("""COMPUTED_VALUE"""),"STOCKER")</f>
        <v>STOCKER</v>
      </c>
      <c r="G347" s="52" t="str">
        <f>IFERROR(__xludf.DUMMYFUNCTION("""COMPUTED_VALUE"""),"HRD &amp; GA")</f>
        <v>HRD &amp; GA</v>
      </c>
      <c r="H347" s="52" t="str">
        <f>IFERROR(__xludf.DUMMYFUNCTION("""COMPUTED_VALUE"""),"[0103231738] MARYA SUSAN SIMBANGU")</f>
        <v>[0103231738] MARYA SUSAN SIMBANGU</v>
      </c>
      <c r="I347" s="52"/>
      <c r="J347" s="53" t="str">
        <f>IFERROR(__xludf.DUMMYFUNCTION("""COMPUTED_VALUE"""),"[106201156] NORCE LATONTJE")</f>
        <v>[106201156] NORCE LATONTJE</v>
      </c>
      <c r="K347" s="52"/>
      <c r="L347" s="52" t="str">
        <f t="shared" si="1"/>
        <v>#VALUE!</v>
      </c>
      <c r="M347" s="52"/>
      <c r="N347" s="52"/>
      <c r="O347" s="52"/>
      <c r="P347" s="52"/>
      <c r="Q347" s="52"/>
      <c r="R347" s="52"/>
      <c r="S347" s="52"/>
      <c r="T347" s="52"/>
      <c r="U347" s="52"/>
      <c r="V347" s="52"/>
      <c r="W347" s="52"/>
      <c r="X347" s="52"/>
      <c r="Y347" s="52"/>
      <c r="Z347" s="52"/>
    </row>
    <row r="348">
      <c r="A348" s="52">
        <f>IFERROR(__xludf.DUMMYFUNCTION("""COMPUTED_VALUE"""),2.03241901E8)</f>
        <v>203241901</v>
      </c>
      <c r="B348" s="52" t="str">
        <f>IFERROR(__xludf.DUMMYFUNCTION("""COMPUTED_VALUE"""),"NUGIE")</f>
        <v>NUGIE</v>
      </c>
      <c r="C348" s="52">
        <f>IFERROR(__xludf.DUMMYFUNCTION("""COMPUTED_VALUE"""),0.0)</f>
        <v>0</v>
      </c>
      <c r="D348" s="52"/>
      <c r="E348" s="52" t="str">
        <f>IFERROR(__xludf.DUMMYFUNCTION("""COMPUTED_VALUE"""),"CV. Adil Prima Perkasa")</f>
        <v>CV. Adil Prima Perkasa</v>
      </c>
      <c r="F348" s="52" t="str">
        <f>IFERROR(__xludf.DUMMYFUNCTION("""COMPUTED_VALUE"""),"DRIVER LT")</f>
        <v>DRIVER LT</v>
      </c>
      <c r="G348" s="52" t="str">
        <f>IFERROR(__xludf.DUMMYFUNCTION("""COMPUTED_VALUE"""),"KENDARAAN &amp; UNIT SUPPORT")</f>
        <v>KENDARAAN &amp; UNIT SUPPORT</v>
      </c>
      <c r="H348" s="52" t="str">
        <f>IFERROR(__xludf.DUMMYFUNCTION("""COMPUTED_VALUE"""),"[0102150004] NAFTALI RARE'A, ST")</f>
        <v>[0102150004] NAFTALI RARE'A, ST</v>
      </c>
      <c r="I348" s="52"/>
      <c r="J348" s="53" t="str">
        <f>IFERROR(__xludf.DUMMYFUNCTION("""COMPUTED_VALUE"""),"[203241901] NUGIE")</f>
        <v>[203241901] NUGIE</v>
      </c>
      <c r="K348" s="52"/>
      <c r="L348" s="52" t="str">
        <f t="shared" si="1"/>
        <v>#VALUE!</v>
      </c>
      <c r="M348" s="52"/>
      <c r="N348" s="52"/>
      <c r="O348" s="52"/>
      <c r="P348" s="52"/>
      <c r="Q348" s="52"/>
      <c r="R348" s="52"/>
      <c r="S348" s="52"/>
      <c r="T348" s="52"/>
      <c r="U348" s="52"/>
      <c r="V348" s="52"/>
      <c r="W348" s="52"/>
      <c r="X348" s="52"/>
      <c r="Y348" s="52"/>
      <c r="Z348" s="52"/>
    </row>
    <row r="349">
      <c r="A349" s="52">
        <f>IFERROR(__xludf.DUMMYFUNCTION("""COMPUTED_VALUE"""),3.01210045E8)</f>
        <v>301210045</v>
      </c>
      <c r="B349" s="52" t="str">
        <f>IFERROR(__xludf.DUMMYFUNCTION("""COMPUTED_VALUE"""),"NULDIN LAEME")</f>
        <v>NULDIN LAEME</v>
      </c>
      <c r="C349" s="52">
        <f>IFERROR(__xludf.DUMMYFUNCTION("""COMPUTED_VALUE"""),45.0)</f>
        <v>45</v>
      </c>
      <c r="D349" s="52" t="str">
        <f>IFERROR(__xludf.DUMMYFUNCTION("""COMPUTED_VALUE"""),"Kristen Protestan")</f>
        <v>Kristen Protestan</v>
      </c>
      <c r="E349" s="52" t="str">
        <f>IFERROR(__xludf.DUMMYFUNCTION("""COMPUTED_VALUE"""),"CV. Monalisa")</f>
        <v>CV. Monalisa</v>
      </c>
      <c r="F349" s="52" t="str">
        <f>IFERROR(__xludf.DUMMYFUNCTION("""COMPUTED_VALUE"""),"OPERATOR GRADER")</f>
        <v>OPERATOR GRADER</v>
      </c>
      <c r="G349" s="52" t="str">
        <f>IFERROR(__xludf.DUMMYFUNCTION("""COMPUTED_VALUE"""),"PRODUKSI")</f>
        <v>PRODUKSI</v>
      </c>
      <c r="H349" s="52" t="str">
        <f>IFERROR(__xludf.DUMMYFUNCTION("""COMPUTED_VALUE"""),"FALSE")</f>
        <v>FALSE</v>
      </c>
      <c r="I349" s="52"/>
      <c r="J349" s="53" t="str">
        <f>IFERROR(__xludf.DUMMYFUNCTION("""COMPUTED_VALUE"""),"[301210045] NULDIN LAEME")</f>
        <v>[301210045] NULDIN LAEME</v>
      </c>
      <c r="K349" s="52"/>
      <c r="L349" s="52" t="str">
        <f t="shared" si="1"/>
        <v>#VALUE!</v>
      </c>
      <c r="M349" s="52"/>
      <c r="N349" s="52"/>
      <c r="O349" s="52"/>
      <c r="P349" s="52"/>
      <c r="Q349" s="52"/>
      <c r="R349" s="52"/>
      <c r="S349" s="52"/>
      <c r="T349" s="52"/>
      <c r="U349" s="52"/>
      <c r="V349" s="52"/>
      <c r="W349" s="52"/>
      <c r="X349" s="52"/>
      <c r="Y349" s="52"/>
      <c r="Z349" s="52"/>
    </row>
    <row r="350">
      <c r="A350" s="52">
        <f>IFERROR(__xludf.DUMMYFUNCTION("""COMPUTED_VALUE"""),1.11201276E8)</f>
        <v>111201276</v>
      </c>
      <c r="B350" s="52" t="str">
        <f>IFERROR(__xludf.DUMMYFUNCTION("""COMPUTED_VALUE"""),"NUR USMAN BOLIS")</f>
        <v>NUR USMAN BOLIS</v>
      </c>
      <c r="C350" s="52">
        <f>IFERROR(__xludf.DUMMYFUNCTION("""COMPUTED_VALUE"""),48.0)</f>
        <v>48</v>
      </c>
      <c r="D350" s="52" t="str">
        <f>IFERROR(__xludf.DUMMYFUNCTION("""COMPUTED_VALUE"""),"Islam")</f>
        <v>Islam</v>
      </c>
      <c r="E350" s="52" t="str">
        <f>IFERROR(__xludf.DUMMYFUNCTION("""COMPUTED_VALUE"""),"CV. SENTOSA ABADI")</f>
        <v>CV. SENTOSA ABADI</v>
      </c>
      <c r="F350" s="52" t="str">
        <f>IFERROR(__xludf.DUMMYFUNCTION("""COMPUTED_VALUE"""),"OPERATOR BULLDOZER")</f>
        <v>OPERATOR BULLDOZER</v>
      </c>
      <c r="G350" s="52" t="str">
        <f>IFERROR(__xludf.DUMMYFUNCTION("""COMPUTED_VALUE"""),"PRODUKSI")</f>
        <v>PRODUKSI</v>
      </c>
      <c r="H350" s="52" t="str">
        <f>IFERROR(__xludf.DUMMYFUNCTION("""COMPUTED_VALUE"""),"[0102130003] PURNAWAN")</f>
        <v>[0102130003] PURNAWAN</v>
      </c>
      <c r="I350" s="55">
        <f>IFERROR(__xludf.DUMMYFUNCTION("""COMPUTED_VALUE"""),28395.0)</f>
        <v>28395</v>
      </c>
      <c r="J350" s="53" t="str">
        <f>IFERROR(__xludf.DUMMYFUNCTION("""COMPUTED_VALUE"""),"[111201276] NUR USMAN BOLIS")</f>
        <v>[111201276] NUR USMAN BOLIS</v>
      </c>
      <c r="K350" s="52"/>
      <c r="L350" s="52" t="str">
        <f t="shared" si="1"/>
        <v>#VALUE!</v>
      </c>
      <c r="M350" s="52"/>
      <c r="N350" s="52"/>
      <c r="O350" s="52"/>
      <c r="P350" s="52"/>
      <c r="Q350" s="52"/>
      <c r="R350" s="52"/>
      <c r="S350" s="52"/>
      <c r="T350" s="52"/>
      <c r="U350" s="52"/>
      <c r="V350" s="52"/>
      <c r="W350" s="52"/>
      <c r="X350" s="52"/>
      <c r="Y350" s="52"/>
      <c r="Z350" s="52"/>
    </row>
    <row r="351">
      <c r="A351" s="52">
        <f>IFERROR(__xludf.DUMMYFUNCTION("""COMPUTED_VALUE"""),2.10221697E8)</f>
        <v>210221697</v>
      </c>
      <c r="B351" s="52" t="str">
        <f>IFERROR(__xludf.DUMMYFUNCTION("""COMPUTED_VALUE"""),"NUR VERI FADLI")</f>
        <v>NUR VERI FADLI</v>
      </c>
      <c r="C351" s="52">
        <f>IFERROR(__xludf.DUMMYFUNCTION("""COMPUTED_VALUE"""),20.0)</f>
        <v>20</v>
      </c>
      <c r="D351" s="52" t="str">
        <f>IFERROR(__xludf.DUMMYFUNCTION("""COMPUTED_VALUE"""),"Islam")</f>
        <v>Islam</v>
      </c>
      <c r="E351" s="52" t="str">
        <f>IFERROR(__xludf.DUMMYFUNCTION("""COMPUTED_VALUE"""),"CV. Adil Prima Perkasa")</f>
        <v>CV. Adil Prima Perkasa</v>
      </c>
      <c r="F351" s="52" t="str">
        <f>IFERROR(__xludf.DUMMYFUNCTION("""COMPUTED_VALUE"""),"CHECKER PRODUKSI")</f>
        <v>CHECKER PRODUKSI</v>
      </c>
      <c r="G351" s="52" t="str">
        <f>IFERROR(__xludf.DUMMYFUNCTION("""COMPUTED_VALUE"""),"PRODUKSI")</f>
        <v>PRODUKSI</v>
      </c>
      <c r="H351" s="52" t="str">
        <f>IFERROR(__xludf.DUMMYFUNCTION("""COMPUTED_VALUE"""),"[0102130003] PURNAWAN")</f>
        <v>[0102130003] PURNAWAN</v>
      </c>
      <c r="I351" s="52"/>
      <c r="J351" s="53" t="str">
        <f>IFERROR(__xludf.DUMMYFUNCTION("""COMPUTED_VALUE"""),"[210221697] NUR VERI FADLI")</f>
        <v>[210221697] NUR VERI FADLI</v>
      </c>
      <c r="K351" s="52"/>
      <c r="L351" s="52" t="str">
        <f t="shared" si="1"/>
        <v>#VALUE!</v>
      </c>
      <c r="M351" s="52"/>
      <c r="N351" s="52"/>
      <c r="O351" s="52"/>
      <c r="P351" s="52"/>
      <c r="Q351" s="52"/>
      <c r="R351" s="52"/>
      <c r="S351" s="52"/>
      <c r="T351" s="52"/>
      <c r="U351" s="52"/>
      <c r="V351" s="52"/>
      <c r="W351" s="52"/>
      <c r="X351" s="52"/>
      <c r="Y351" s="52"/>
      <c r="Z351" s="52"/>
    </row>
    <row r="352">
      <c r="A352" s="52">
        <f>IFERROR(__xludf.DUMMYFUNCTION("""COMPUTED_VALUE"""),1.1019109E8)</f>
        <v>110191090</v>
      </c>
      <c r="B352" s="52" t="str">
        <f>IFERROR(__xludf.DUMMYFUNCTION("""COMPUTED_VALUE"""),"NUR YASIN SIDENG")</f>
        <v>NUR YASIN SIDENG</v>
      </c>
      <c r="C352" s="52">
        <f>IFERROR(__xludf.DUMMYFUNCTION("""COMPUTED_VALUE"""),38.0)</f>
        <v>38</v>
      </c>
      <c r="D352" s="52" t="str">
        <f>IFERROR(__xludf.DUMMYFUNCTION("""COMPUTED_VALUE"""),"Islam")</f>
        <v>Islam</v>
      </c>
      <c r="E352" s="52" t="str">
        <f>IFERROR(__xludf.DUMMYFUNCTION("""COMPUTED_VALUE"""),"CV. SENTOSA ABADI")</f>
        <v>CV. SENTOSA ABADI</v>
      </c>
      <c r="F352" s="52" t="str">
        <f>IFERROR(__xludf.DUMMYFUNCTION("""COMPUTED_VALUE"""),"DRIVER DT H700ZY")</f>
        <v>DRIVER DT H700ZY</v>
      </c>
      <c r="G352" s="52" t="str">
        <f>IFERROR(__xludf.DUMMYFUNCTION("""COMPUTED_VALUE"""),"KENDARAAN &amp; UNIT SUPPORT")</f>
        <v>KENDARAAN &amp; UNIT SUPPORT</v>
      </c>
      <c r="H352" s="52" t="str">
        <f>IFERROR(__xludf.DUMMYFUNCTION("""COMPUTED_VALUE"""),"[0102150004] NAFTALI RARE'A, ST")</f>
        <v>[0102150004] NAFTALI RARE'A, ST</v>
      </c>
      <c r="I352" s="55">
        <f>IFERROR(__xludf.DUMMYFUNCTION("""COMPUTED_VALUE"""),35131.0)</f>
        <v>35131</v>
      </c>
      <c r="J352" s="53" t="str">
        <f>IFERROR(__xludf.DUMMYFUNCTION("""COMPUTED_VALUE"""),"[110191090] NUR YASIN SIDENG")</f>
        <v>[110191090] NUR YASIN SIDENG</v>
      </c>
      <c r="K352" s="52"/>
      <c r="L352" s="52" t="str">
        <f t="shared" si="1"/>
        <v>#VALUE!</v>
      </c>
      <c r="M352" s="52"/>
      <c r="N352" s="52"/>
      <c r="O352" s="52"/>
      <c r="P352" s="52"/>
      <c r="Q352" s="52"/>
      <c r="R352" s="52"/>
      <c r="S352" s="52"/>
      <c r="T352" s="52"/>
      <c r="U352" s="52"/>
      <c r="V352" s="52"/>
      <c r="W352" s="52"/>
      <c r="X352" s="52"/>
      <c r="Y352" s="52"/>
      <c r="Z352" s="52"/>
    </row>
    <row r="353">
      <c r="A353" s="52">
        <f>IFERROR(__xludf.DUMMYFUNCTION("""COMPUTED_VALUE"""),2.06241941E8)</f>
        <v>206241941</v>
      </c>
      <c r="B353" s="52" t="str">
        <f>IFERROR(__xludf.DUMMYFUNCTION("""COMPUTED_VALUE"""),"NURUDDIN FACHRIE")</f>
        <v>NURUDDIN FACHRIE</v>
      </c>
      <c r="C353" s="52">
        <f>IFERROR(__xludf.DUMMYFUNCTION("""COMPUTED_VALUE"""),25.0)</f>
        <v>25</v>
      </c>
      <c r="D353" s="52" t="str">
        <f>IFERROR(__xludf.DUMMYFUNCTION("""COMPUTED_VALUE"""),"Islam")</f>
        <v>Islam</v>
      </c>
      <c r="E353" s="52" t="str">
        <f>IFERROR(__xludf.DUMMYFUNCTION("""COMPUTED_VALUE"""),"CV. Adil Prima Perkasa")</f>
        <v>CV. Adil Prima Perkasa</v>
      </c>
      <c r="F353" s="52" t="str">
        <f>IFERROR(__xludf.DUMMYFUNCTION("""COMPUTED_VALUE"""),"SECURITY")</f>
        <v>SECURITY</v>
      </c>
      <c r="G353" s="52" t="str">
        <f>IFERROR(__xludf.DUMMYFUNCTION("""COMPUTED_VALUE"""),"HRD &amp; GA")</f>
        <v>HRD &amp; GA</v>
      </c>
      <c r="H353" s="52" t="str">
        <f>IFERROR(__xludf.DUMMYFUNCTION("""COMPUTED_VALUE"""),"[0108191037] ERNIE FRISLIA")</f>
        <v>[0108191037] ERNIE FRISLIA</v>
      </c>
      <c r="I353" s="52"/>
      <c r="J353" s="53" t="str">
        <f>IFERROR(__xludf.DUMMYFUNCTION("""COMPUTED_VALUE"""),"[206241941] NURUDDIN FACHRIE")</f>
        <v>[206241941] NURUDDIN FACHRIE</v>
      </c>
      <c r="K353" s="52"/>
      <c r="L353" s="52" t="str">
        <f t="shared" si="1"/>
        <v>#VALUE!</v>
      </c>
      <c r="M353" s="52"/>
      <c r="N353" s="52"/>
      <c r="O353" s="52"/>
      <c r="P353" s="52"/>
      <c r="Q353" s="52"/>
      <c r="R353" s="52"/>
      <c r="S353" s="52"/>
      <c r="T353" s="52"/>
      <c r="U353" s="52"/>
      <c r="V353" s="52"/>
      <c r="W353" s="52"/>
      <c r="X353" s="52"/>
      <c r="Y353" s="52"/>
      <c r="Z353" s="52"/>
    </row>
    <row r="354">
      <c r="A354" s="52">
        <f>IFERROR(__xludf.DUMMYFUNCTION("""COMPUTED_VALUE"""),1.10211499E8)</f>
        <v>110211499</v>
      </c>
      <c r="B354" s="52" t="str">
        <f>IFERROR(__xludf.DUMMYFUNCTION("""COMPUTED_VALUE"""),"OKTAVIANUS ANDRO USU")</f>
        <v>OKTAVIANUS ANDRO USU</v>
      </c>
      <c r="C354" s="52">
        <f>IFERROR(__xludf.DUMMYFUNCTION("""COMPUTED_VALUE"""),0.0)</f>
        <v>0</v>
      </c>
      <c r="D354" s="52" t="str">
        <f>IFERROR(__xludf.DUMMYFUNCTION("""COMPUTED_VALUE"""),"Kristen Khatolik")</f>
        <v>Kristen Khatolik</v>
      </c>
      <c r="E354" s="52" t="str">
        <f>IFERROR(__xludf.DUMMYFUNCTION("""COMPUTED_VALUE"""),"CV. SENTOSA ABADI")</f>
        <v>CV. SENTOSA ABADI</v>
      </c>
      <c r="F354" s="52" t="str">
        <f>IFERROR(__xludf.DUMMYFUNCTION("""COMPUTED_VALUE"""),"CHECKER PRODUKSI")</f>
        <v>CHECKER PRODUKSI</v>
      </c>
      <c r="G354" s="52" t="str">
        <f>IFERROR(__xludf.DUMMYFUNCTION("""COMPUTED_VALUE"""),"PRODUKSI")</f>
        <v>PRODUKSI</v>
      </c>
      <c r="H354" s="52" t="str">
        <f>IFERROR(__xludf.DUMMYFUNCTION("""COMPUTED_VALUE"""),"[0102130003] PURNAWAN")</f>
        <v>[0102130003] PURNAWAN</v>
      </c>
      <c r="I354" s="52"/>
      <c r="J354" s="53" t="str">
        <f>IFERROR(__xludf.DUMMYFUNCTION("""COMPUTED_VALUE"""),"[110211499] OKTAVIANUS ANDRO USU")</f>
        <v>[110211499] OKTAVIANUS ANDRO USU</v>
      </c>
      <c r="K354" s="52"/>
      <c r="L354" s="52" t="str">
        <f t="shared" si="1"/>
        <v>#VALUE!</v>
      </c>
      <c r="M354" s="52"/>
      <c r="N354" s="52"/>
      <c r="O354" s="52"/>
      <c r="P354" s="52"/>
      <c r="Q354" s="52"/>
      <c r="R354" s="52"/>
      <c r="S354" s="52"/>
      <c r="T354" s="52"/>
      <c r="U354" s="52"/>
      <c r="V354" s="52"/>
      <c r="W354" s="52"/>
      <c r="X354" s="52"/>
      <c r="Y354" s="52"/>
      <c r="Z354" s="52"/>
    </row>
    <row r="355">
      <c r="A355" s="52">
        <f>IFERROR(__xludf.DUMMYFUNCTION("""COMPUTED_VALUE"""),2.02231723E8)</f>
        <v>202231723</v>
      </c>
      <c r="B355" s="52" t="str">
        <f>IFERROR(__xludf.DUMMYFUNCTION("""COMPUTED_VALUE"""),"OKTAVIANUS MAAK")</f>
        <v>OKTAVIANUS MAAK</v>
      </c>
      <c r="C355" s="52">
        <f>IFERROR(__xludf.DUMMYFUNCTION("""COMPUTED_VALUE"""),26.0)</f>
        <v>26</v>
      </c>
      <c r="D355" s="52" t="str">
        <f>IFERROR(__xludf.DUMMYFUNCTION("""COMPUTED_VALUE"""),"Kristen Khatolik")</f>
        <v>Kristen Khatolik</v>
      </c>
      <c r="E355" s="52" t="str">
        <f>IFERROR(__xludf.DUMMYFUNCTION("""COMPUTED_VALUE"""),"CV. Adil Prima Perkasa")</f>
        <v>CV. Adil Prima Perkasa</v>
      </c>
      <c r="F355" s="52" t="str">
        <f>IFERROR(__xludf.DUMMYFUNCTION("""COMPUTED_VALUE"""),"CHECKER PRODUKSI")</f>
        <v>CHECKER PRODUKSI</v>
      </c>
      <c r="G355" s="52" t="str">
        <f>IFERROR(__xludf.DUMMYFUNCTION("""COMPUTED_VALUE"""),"PRODUKSI")</f>
        <v>PRODUKSI</v>
      </c>
      <c r="H355" s="52" t="str">
        <f>IFERROR(__xludf.DUMMYFUNCTION("""COMPUTED_VALUE"""),"[0102130003] PURNAWAN")</f>
        <v>[0102130003] PURNAWAN</v>
      </c>
      <c r="I355" s="52"/>
      <c r="J355" s="53" t="str">
        <f>IFERROR(__xludf.DUMMYFUNCTION("""COMPUTED_VALUE"""),"[202231723] OKTAVIANUS MAAK")</f>
        <v>[202231723] OKTAVIANUS MAAK</v>
      </c>
      <c r="K355" s="52"/>
      <c r="L355" s="52" t="str">
        <f t="shared" si="1"/>
        <v>#VALUE!</v>
      </c>
      <c r="M355" s="52"/>
      <c r="N355" s="52"/>
      <c r="O355" s="52"/>
      <c r="P355" s="52"/>
      <c r="Q355" s="52"/>
      <c r="R355" s="52"/>
      <c r="S355" s="52"/>
      <c r="T355" s="52"/>
      <c r="U355" s="52"/>
      <c r="V355" s="52"/>
      <c r="W355" s="52"/>
      <c r="X355" s="52"/>
      <c r="Y355" s="52"/>
      <c r="Z355" s="52"/>
    </row>
    <row r="356">
      <c r="A356" s="52">
        <f>IFERROR(__xludf.DUMMYFUNCTION("""COMPUTED_VALUE"""),3.06210074E8)</f>
        <v>306210074</v>
      </c>
      <c r="B356" s="52" t="str">
        <f>IFERROR(__xludf.DUMMYFUNCTION("""COMPUTED_VALUE"""),"OVERUS SEDA")</f>
        <v>OVERUS SEDA</v>
      </c>
      <c r="C356" s="52">
        <f>IFERROR(__xludf.DUMMYFUNCTION("""COMPUTED_VALUE"""),48.0)</f>
        <v>48</v>
      </c>
      <c r="D356" s="52" t="str">
        <f>IFERROR(__xludf.DUMMYFUNCTION("""COMPUTED_VALUE"""),"Kristen Protestan")</f>
        <v>Kristen Protestan</v>
      </c>
      <c r="E356" s="52" t="str">
        <f>IFERROR(__xludf.DUMMYFUNCTION("""COMPUTED_VALUE"""),"CV. Monalisa")</f>
        <v>CV. Monalisa</v>
      </c>
      <c r="F356" s="52" t="str">
        <f>IFERROR(__xludf.DUMMYFUNCTION("""COMPUTED_VALUE"""),"DRIVER DT")</f>
        <v>DRIVER DT</v>
      </c>
      <c r="G356" s="52" t="str">
        <f>IFERROR(__xludf.DUMMYFUNCTION("""COMPUTED_VALUE"""),"KENDARAAN &amp; UNIT SUPPORT")</f>
        <v>KENDARAAN &amp; UNIT SUPPORT</v>
      </c>
      <c r="H356" s="52" t="str">
        <f>IFERROR(__xludf.DUMMYFUNCTION("""COMPUTED_VALUE"""),"[0102150004] NAFTALI RARE'A, ST")</f>
        <v>[0102150004] NAFTALI RARE'A, ST</v>
      </c>
      <c r="I356" s="52"/>
      <c r="J356" s="53" t="str">
        <f>IFERROR(__xludf.DUMMYFUNCTION("""COMPUTED_VALUE"""),"[306210074] OVERUS SEDA")</f>
        <v>[306210074] OVERUS SEDA</v>
      </c>
      <c r="K356" s="52"/>
      <c r="L356" s="52" t="str">
        <f t="shared" si="1"/>
        <v>#VALUE!</v>
      </c>
      <c r="M356" s="52"/>
      <c r="N356" s="52"/>
      <c r="O356" s="52"/>
      <c r="P356" s="52"/>
      <c r="Q356" s="52"/>
      <c r="R356" s="52"/>
      <c r="S356" s="52"/>
      <c r="T356" s="52"/>
      <c r="U356" s="52"/>
      <c r="V356" s="52"/>
      <c r="W356" s="52"/>
      <c r="X356" s="52"/>
      <c r="Y356" s="52"/>
      <c r="Z356" s="52"/>
    </row>
    <row r="357">
      <c r="A357" s="52">
        <f>IFERROR(__xludf.DUMMYFUNCTION("""COMPUTED_VALUE"""),1.08201209E8)</f>
        <v>108201209</v>
      </c>
      <c r="B357" s="52" t="str">
        <f>IFERROR(__xludf.DUMMYFUNCTION("""COMPUTED_VALUE"""),"PAHARUDDIN DG NGALLE")</f>
        <v>PAHARUDDIN DG NGALLE</v>
      </c>
      <c r="C357" s="52">
        <f>IFERROR(__xludf.DUMMYFUNCTION("""COMPUTED_VALUE"""),42.0)</f>
        <v>42</v>
      </c>
      <c r="D357" s="52" t="str">
        <f>IFERROR(__xludf.DUMMYFUNCTION("""COMPUTED_VALUE"""),"Islam")</f>
        <v>Islam</v>
      </c>
      <c r="E357" s="52" t="str">
        <f>IFERROR(__xludf.DUMMYFUNCTION("""COMPUTED_VALUE"""),"CV. SENTOSA ABADI")</f>
        <v>CV. SENTOSA ABADI</v>
      </c>
      <c r="F357" s="52" t="str">
        <f>IFERROR(__xludf.DUMMYFUNCTION("""COMPUTED_VALUE"""),"DRIVER DT H700ZY")</f>
        <v>DRIVER DT H700ZY</v>
      </c>
      <c r="G357" s="52" t="str">
        <f>IFERROR(__xludf.DUMMYFUNCTION("""COMPUTED_VALUE"""),"KENDARAAN &amp; UNIT SUPPORT")</f>
        <v>KENDARAAN &amp; UNIT SUPPORT</v>
      </c>
      <c r="H357" s="52" t="str">
        <f>IFERROR(__xludf.DUMMYFUNCTION("""COMPUTED_VALUE"""),"[0102150004] NAFTALI RARE'A, ST")</f>
        <v>[0102150004] NAFTALI RARE'A, ST</v>
      </c>
      <c r="I357" s="55">
        <f>IFERROR(__xludf.DUMMYFUNCTION("""COMPUTED_VALUE"""),30463.0)</f>
        <v>30463</v>
      </c>
      <c r="J357" s="53" t="str">
        <f>IFERROR(__xludf.DUMMYFUNCTION("""COMPUTED_VALUE"""),"[108201209] PAHARUDDIN DG NGALLE")</f>
        <v>[108201209] PAHARUDDIN DG NGALLE</v>
      </c>
      <c r="K357" s="52"/>
      <c r="L357" s="52" t="str">
        <f t="shared" si="1"/>
        <v>#VALUE!</v>
      </c>
      <c r="M357" s="52"/>
      <c r="N357" s="52"/>
      <c r="O357" s="52"/>
      <c r="P357" s="52"/>
      <c r="Q357" s="52"/>
      <c r="R357" s="52"/>
      <c r="S357" s="52"/>
      <c r="T357" s="52"/>
      <c r="U357" s="52"/>
      <c r="V357" s="52"/>
      <c r="W357" s="52"/>
      <c r="X357" s="52"/>
      <c r="Y357" s="52"/>
      <c r="Z357" s="52"/>
    </row>
    <row r="358">
      <c r="A358" s="52">
        <f>IFERROR(__xludf.DUMMYFUNCTION("""COMPUTED_VALUE"""),2.1020125E8)</f>
        <v>210201250</v>
      </c>
      <c r="B358" s="52" t="str">
        <f>IFERROR(__xludf.DUMMYFUNCTION("""COMPUTED_VALUE"""),"PARAHAN")</f>
        <v>PARAHAN</v>
      </c>
      <c r="C358" s="52">
        <f>IFERROR(__xludf.DUMMYFUNCTION("""COMPUTED_VALUE"""),42.0)</f>
        <v>42</v>
      </c>
      <c r="D358" s="52" t="str">
        <f>IFERROR(__xludf.DUMMYFUNCTION("""COMPUTED_VALUE"""),"Islam")</f>
        <v>Islam</v>
      </c>
      <c r="E358" s="52" t="str">
        <f>IFERROR(__xludf.DUMMYFUNCTION("""COMPUTED_VALUE"""),"CV. Adil Prima Perkasa")</f>
        <v>CV. Adil Prima Perkasa</v>
      </c>
      <c r="F358" s="52" t="str">
        <f>IFERROR(__xludf.DUMMYFUNCTION("""COMPUTED_VALUE"""),"DRIVER DT H700ZY")</f>
        <v>DRIVER DT H700ZY</v>
      </c>
      <c r="G358" s="52" t="str">
        <f>IFERROR(__xludf.DUMMYFUNCTION("""COMPUTED_VALUE"""),"KENDARAAN &amp; UNIT SUPPORT")</f>
        <v>KENDARAAN &amp; UNIT SUPPORT</v>
      </c>
      <c r="H358" s="52" t="str">
        <f>IFERROR(__xludf.DUMMYFUNCTION("""COMPUTED_VALUE"""),"[0102150004] NAFTALI RARE'A, ST")</f>
        <v>[0102150004] NAFTALI RARE'A, ST</v>
      </c>
      <c r="I358" s="52"/>
      <c r="J358" s="53" t="str">
        <f>IFERROR(__xludf.DUMMYFUNCTION("""COMPUTED_VALUE"""),"[210201250] PARAHAN")</f>
        <v>[210201250] PARAHAN</v>
      </c>
      <c r="K358" s="52"/>
      <c r="L358" s="52" t="str">
        <f t="shared" si="1"/>
        <v>#VALUE!</v>
      </c>
      <c r="M358" s="52"/>
      <c r="N358" s="52"/>
      <c r="O358" s="52"/>
      <c r="P358" s="52"/>
      <c r="Q358" s="52"/>
      <c r="R358" s="52"/>
      <c r="S358" s="52"/>
      <c r="T358" s="52"/>
      <c r="U358" s="52"/>
      <c r="V358" s="52"/>
      <c r="W358" s="52"/>
      <c r="X358" s="52"/>
      <c r="Y358" s="52"/>
      <c r="Z358" s="52"/>
    </row>
    <row r="359">
      <c r="A359" s="52">
        <f>IFERROR(__xludf.DUMMYFUNCTION("""COMPUTED_VALUE"""),2.02241884E8)</f>
        <v>202241884</v>
      </c>
      <c r="B359" s="52" t="str">
        <f>IFERROR(__xludf.DUMMYFUNCTION("""COMPUTED_VALUE"""),"PASKALIS JUANCI OJO")</f>
        <v>PASKALIS JUANCI OJO</v>
      </c>
      <c r="C359" s="52">
        <f>IFERROR(__xludf.DUMMYFUNCTION("""COMPUTED_VALUE"""),0.0)</f>
        <v>0</v>
      </c>
      <c r="D359" s="52"/>
      <c r="E359" s="52" t="str">
        <f>IFERROR(__xludf.DUMMYFUNCTION("""COMPUTED_VALUE"""),"CV. Adil Prima Perkasa")</f>
        <v>CV. Adil Prima Perkasa</v>
      </c>
      <c r="F359" s="52" t="str">
        <f>IFERROR(__xludf.DUMMYFUNCTION("""COMPUTED_VALUE"""),"HELPER MECHANIC MAINTENANCE")</f>
        <v>HELPER MECHANIC MAINTENANCE</v>
      </c>
      <c r="G359" s="52" t="str">
        <f>IFERROR(__xludf.DUMMYFUNCTION("""COMPUTED_VALUE"""),"WORKSHOP")</f>
        <v>WORKSHOP</v>
      </c>
      <c r="H359" s="52" t="str">
        <f>IFERROR(__xludf.DUMMYFUNCTION("""COMPUTED_VALUE"""),"FALSE")</f>
        <v>FALSE</v>
      </c>
      <c r="I359" s="52"/>
      <c r="J359" s="53" t="str">
        <f>IFERROR(__xludf.DUMMYFUNCTION("""COMPUTED_VALUE"""),"[202241884] PASKALIS JUANCI OJO")</f>
        <v>[202241884] PASKALIS JUANCI OJO</v>
      </c>
      <c r="K359" s="52"/>
      <c r="L359" s="52" t="str">
        <f t="shared" si="1"/>
        <v>#VALUE!</v>
      </c>
      <c r="M359" s="52"/>
      <c r="N359" s="52"/>
      <c r="O359" s="52"/>
      <c r="P359" s="52"/>
      <c r="Q359" s="52"/>
      <c r="R359" s="52"/>
      <c r="S359" s="52"/>
      <c r="T359" s="52"/>
      <c r="U359" s="52"/>
      <c r="V359" s="52"/>
      <c r="W359" s="52"/>
      <c r="X359" s="52"/>
      <c r="Y359" s="52"/>
      <c r="Z359" s="52"/>
    </row>
    <row r="360">
      <c r="A360" s="52">
        <f>IFERROR(__xludf.DUMMYFUNCTION("""COMPUTED_VALUE"""),1.10201246E8)</f>
        <v>110201246</v>
      </c>
      <c r="B360" s="52" t="str">
        <f>IFERROR(__xludf.DUMMYFUNCTION("""COMPUTED_VALUE"""),"PAULUS LIKI")</f>
        <v>PAULUS LIKI</v>
      </c>
      <c r="C360" s="52">
        <f>IFERROR(__xludf.DUMMYFUNCTION("""COMPUTED_VALUE"""),46.0)</f>
        <v>46</v>
      </c>
      <c r="D360" s="52" t="str">
        <f>IFERROR(__xludf.DUMMYFUNCTION("""COMPUTED_VALUE"""),"Kristen Protestan")</f>
        <v>Kristen Protestan</v>
      </c>
      <c r="E360" s="52" t="str">
        <f>IFERROR(__xludf.DUMMYFUNCTION("""COMPUTED_VALUE"""),"CV. SENTOSA ABADI")</f>
        <v>CV. SENTOSA ABADI</v>
      </c>
      <c r="F360" s="52" t="str">
        <f>IFERROR(__xludf.DUMMYFUNCTION("""COMPUTED_VALUE"""),"FOREMAN PRODUKSI")</f>
        <v>FOREMAN PRODUKSI</v>
      </c>
      <c r="G360" s="52" t="str">
        <f>IFERROR(__xludf.DUMMYFUNCTION("""COMPUTED_VALUE"""),"PRODUKSI")</f>
        <v>PRODUKSI</v>
      </c>
      <c r="H360" s="52" t="str">
        <f>IFERROR(__xludf.DUMMYFUNCTION("""COMPUTED_VALUE"""),"[0102130003] PURNAWAN")</f>
        <v>[0102130003] PURNAWAN</v>
      </c>
      <c r="I360" s="52"/>
      <c r="J360" s="53" t="str">
        <f>IFERROR(__xludf.DUMMYFUNCTION("""COMPUTED_VALUE"""),"[110201246] PAULUS LIKI")</f>
        <v>[110201246] PAULUS LIKI</v>
      </c>
      <c r="K360" s="52"/>
      <c r="L360" s="52" t="str">
        <f t="shared" si="1"/>
        <v>#VALUE!</v>
      </c>
      <c r="M360" s="52"/>
      <c r="N360" s="52"/>
      <c r="O360" s="52"/>
      <c r="P360" s="52"/>
      <c r="Q360" s="52"/>
      <c r="R360" s="52"/>
      <c r="S360" s="52"/>
      <c r="T360" s="52"/>
      <c r="U360" s="52"/>
      <c r="V360" s="52"/>
      <c r="W360" s="52"/>
      <c r="X360" s="52"/>
      <c r="Y360" s="52"/>
      <c r="Z360" s="52"/>
    </row>
    <row r="361">
      <c r="A361" s="52">
        <f>IFERROR(__xludf.DUMMYFUNCTION("""COMPUTED_VALUE"""),1.0117009E8)</f>
        <v>101170090</v>
      </c>
      <c r="B361" s="52" t="str">
        <f>IFERROR(__xludf.DUMMYFUNCTION("""COMPUTED_VALUE"""),"PERDIANTO PALIU")</f>
        <v>PERDIANTO PALIU</v>
      </c>
      <c r="C361" s="52">
        <f>IFERROR(__xludf.DUMMYFUNCTION("""COMPUTED_VALUE"""),0.0)</f>
        <v>0</v>
      </c>
      <c r="D361" s="52"/>
      <c r="E361" s="52" t="str">
        <f>IFERROR(__xludf.DUMMYFUNCTION("""COMPUTED_VALUE"""),"CV. SENTOSA ABADI")</f>
        <v>CV. SENTOSA ABADI</v>
      </c>
      <c r="F361" s="52" t="str">
        <f>IFERROR(__xludf.DUMMYFUNCTION("""COMPUTED_VALUE"""),"HELPER ELECTRICIAN")</f>
        <v>HELPER ELECTRICIAN</v>
      </c>
      <c r="G361" s="52" t="str">
        <f>IFERROR(__xludf.DUMMYFUNCTION("""COMPUTED_VALUE"""),"WORKSHOP")</f>
        <v>WORKSHOP</v>
      </c>
      <c r="H361" s="52" t="str">
        <f>IFERROR(__xludf.DUMMYFUNCTION("""COMPUTED_VALUE"""),"FALSE")</f>
        <v>FALSE</v>
      </c>
      <c r="I361" s="52"/>
      <c r="J361" s="53" t="str">
        <f>IFERROR(__xludf.DUMMYFUNCTION("""COMPUTED_VALUE"""),"[101170090] PERDIANTO PALIU")</f>
        <v>[101170090] PERDIANTO PALIU</v>
      </c>
      <c r="K361" s="52"/>
      <c r="L361" s="52" t="str">
        <f t="shared" si="1"/>
        <v>#VALUE!</v>
      </c>
      <c r="M361" s="52"/>
      <c r="N361" s="52"/>
      <c r="O361" s="52"/>
      <c r="P361" s="52"/>
      <c r="Q361" s="52"/>
      <c r="R361" s="52"/>
      <c r="S361" s="52"/>
      <c r="T361" s="52"/>
      <c r="U361" s="52"/>
      <c r="V361" s="52"/>
      <c r="W361" s="52"/>
      <c r="X361" s="52"/>
      <c r="Y361" s="52"/>
      <c r="Z361" s="52"/>
    </row>
    <row r="362">
      <c r="A362" s="52">
        <f>IFERROR(__xludf.DUMMYFUNCTION("""COMPUTED_VALUE"""),2.04190819E8)</f>
        <v>204190819</v>
      </c>
      <c r="B362" s="52" t="str">
        <f>IFERROR(__xludf.DUMMYFUNCTION("""COMPUTED_VALUE"""),"PETRUS SULE")</f>
        <v>PETRUS SULE</v>
      </c>
      <c r="C362" s="52">
        <f>IFERROR(__xludf.DUMMYFUNCTION("""COMPUTED_VALUE"""),56.0)</f>
        <v>56</v>
      </c>
      <c r="D362" s="52" t="str">
        <f>IFERROR(__xludf.DUMMYFUNCTION("""COMPUTED_VALUE"""),"Kristen Protestan")</f>
        <v>Kristen Protestan</v>
      </c>
      <c r="E362" s="52" t="str">
        <f>IFERROR(__xludf.DUMMYFUNCTION("""COMPUTED_VALUE"""),"CV. Adil Prima Perkasa")</f>
        <v>CV. Adil Prima Perkasa</v>
      </c>
      <c r="F362" s="52" t="str">
        <f>IFERROR(__xludf.DUMMYFUNCTION("""COMPUTED_VALUE"""),"MEKANIK ALAT BERAT")</f>
        <v>MEKANIK ALAT BERAT</v>
      </c>
      <c r="G362" s="52" t="str">
        <f>IFERROR(__xludf.DUMMYFUNCTION("""COMPUTED_VALUE"""),"WORKSHOP")</f>
        <v>WORKSHOP</v>
      </c>
      <c r="H362" s="52" t="str">
        <f>IFERROR(__xludf.DUMMYFUNCTION("""COMPUTED_VALUE"""),"[0106190928] NATAN KONDO")</f>
        <v>[0106190928] NATAN KONDO</v>
      </c>
      <c r="I362" s="55">
        <f>IFERROR(__xludf.DUMMYFUNCTION("""COMPUTED_VALUE"""),27643.0)</f>
        <v>27643</v>
      </c>
      <c r="J362" s="53" t="str">
        <f>IFERROR(__xludf.DUMMYFUNCTION("""COMPUTED_VALUE"""),"[204190819] PETRUS SULE")</f>
        <v>[204190819] PETRUS SULE</v>
      </c>
      <c r="K362" s="52"/>
      <c r="L362" s="52" t="str">
        <f t="shared" si="1"/>
        <v>#VALUE!</v>
      </c>
      <c r="M362" s="52"/>
      <c r="N362" s="52"/>
      <c r="O362" s="52"/>
      <c r="P362" s="52"/>
      <c r="Q362" s="52"/>
      <c r="R362" s="52"/>
      <c r="S362" s="52"/>
      <c r="T362" s="52"/>
      <c r="U362" s="52"/>
      <c r="V362" s="52"/>
      <c r="W362" s="52"/>
      <c r="X362" s="52"/>
      <c r="Y362" s="52"/>
      <c r="Z362" s="52"/>
    </row>
    <row r="363">
      <c r="A363" s="52">
        <f>IFERROR(__xludf.DUMMYFUNCTION("""COMPUTED_VALUE"""),1.05241926E8)</f>
        <v>105241926</v>
      </c>
      <c r="B363" s="52" t="str">
        <f>IFERROR(__xludf.DUMMYFUNCTION("""COMPUTED_VALUE"""),"PRISILIA PESIK")</f>
        <v>PRISILIA PESIK</v>
      </c>
      <c r="C363" s="52">
        <f>IFERROR(__xludf.DUMMYFUNCTION("""COMPUTED_VALUE"""),0.0)</f>
        <v>0</v>
      </c>
      <c r="D363" s="52"/>
      <c r="E363" s="52" t="str">
        <f>IFERROR(__xludf.DUMMYFUNCTION("""COMPUTED_VALUE"""),"CV. SENTOSA ABADI")</f>
        <v>CV. SENTOSA ABADI</v>
      </c>
      <c r="F363" s="52" t="str">
        <f>IFERROR(__xludf.DUMMYFUNCTION("""COMPUTED_VALUE"""),"STOCKER")</f>
        <v>STOCKER</v>
      </c>
      <c r="G363" s="52" t="str">
        <f>IFERROR(__xludf.DUMMYFUNCTION("""COMPUTED_VALUE"""),"HRD &amp; GA")</f>
        <v>HRD &amp; GA</v>
      </c>
      <c r="H363" s="52" t="str">
        <f>IFERROR(__xludf.DUMMYFUNCTION("""COMPUTED_VALUE"""),"[0108191037] ERNIE FRISLIA")</f>
        <v>[0108191037] ERNIE FRISLIA</v>
      </c>
      <c r="I363" s="52"/>
      <c r="J363" s="53" t="str">
        <f>IFERROR(__xludf.DUMMYFUNCTION("""COMPUTED_VALUE"""),"[105241926] PRISILIA PESIK")</f>
        <v>[105241926] PRISILIA PESIK</v>
      </c>
      <c r="K363" s="52"/>
      <c r="L363" s="52" t="str">
        <f t="shared" si="1"/>
        <v>#VALUE!</v>
      </c>
      <c r="M363" s="52"/>
      <c r="N363" s="52"/>
      <c r="O363" s="52"/>
      <c r="P363" s="52"/>
      <c r="Q363" s="52"/>
      <c r="R363" s="52"/>
      <c r="S363" s="52"/>
      <c r="T363" s="52"/>
      <c r="U363" s="52"/>
      <c r="V363" s="52"/>
      <c r="W363" s="52"/>
      <c r="X363" s="52"/>
      <c r="Y363" s="52"/>
      <c r="Z363" s="52"/>
    </row>
    <row r="364">
      <c r="A364" s="52">
        <f>IFERROR(__xludf.DUMMYFUNCTION("""COMPUTED_VALUE"""),1.12231863E8)</f>
        <v>112231863</v>
      </c>
      <c r="B364" s="52" t="str">
        <f>IFERROR(__xludf.DUMMYFUNCTION("""COMPUTED_VALUE"""),"PRITS SIRODI")</f>
        <v>PRITS SIRODI</v>
      </c>
      <c r="C364" s="52">
        <f>IFERROR(__xludf.DUMMYFUNCTION("""COMPUTED_VALUE"""),0.0)</f>
        <v>0</v>
      </c>
      <c r="D364" s="52"/>
      <c r="E364" s="52" t="str">
        <f>IFERROR(__xludf.DUMMYFUNCTION("""COMPUTED_VALUE"""),"CV. SENTOSA ABADI")</f>
        <v>CV. SENTOSA ABADI</v>
      </c>
      <c r="F364" s="52" t="str">
        <f>IFERROR(__xludf.DUMMYFUNCTION("""COMPUTED_VALUE"""),"DRIVER DT H500")</f>
        <v>DRIVER DT H500</v>
      </c>
      <c r="G364" s="52" t="str">
        <f>IFERROR(__xludf.DUMMYFUNCTION("""COMPUTED_VALUE"""),"KENDARAAN &amp; UNIT SUPPORT")</f>
        <v>KENDARAAN &amp; UNIT SUPPORT</v>
      </c>
      <c r="H364" s="52" t="str">
        <f>IFERROR(__xludf.DUMMYFUNCTION("""COMPUTED_VALUE"""),"[0102150004] NAFTALI RARE'A, ST")</f>
        <v>[0102150004] NAFTALI RARE'A, ST</v>
      </c>
      <c r="I364" s="55">
        <f>IFERROR(__xludf.DUMMYFUNCTION("""COMPUTED_VALUE"""),37555.0)</f>
        <v>37555</v>
      </c>
      <c r="J364" s="53" t="str">
        <f>IFERROR(__xludf.DUMMYFUNCTION("""COMPUTED_VALUE"""),"[112231863] PRITS SIRODI")</f>
        <v>[112231863] PRITS SIRODI</v>
      </c>
      <c r="K364" s="52"/>
      <c r="L364" s="52" t="str">
        <f t="shared" si="1"/>
        <v>#VALUE!</v>
      </c>
      <c r="M364" s="52"/>
      <c r="N364" s="52"/>
      <c r="O364" s="52"/>
      <c r="P364" s="52"/>
      <c r="Q364" s="52"/>
      <c r="R364" s="52"/>
      <c r="S364" s="52"/>
      <c r="T364" s="52"/>
      <c r="U364" s="52"/>
      <c r="V364" s="52"/>
      <c r="W364" s="52"/>
      <c r="X364" s="52"/>
      <c r="Y364" s="52"/>
      <c r="Z364" s="52"/>
    </row>
    <row r="365">
      <c r="A365" s="52">
        <f>IFERROR(__xludf.DUMMYFUNCTION("""COMPUTED_VALUE"""),1.02130003E8)</f>
        <v>102130003</v>
      </c>
      <c r="B365" s="52" t="str">
        <f>IFERROR(__xludf.DUMMYFUNCTION("""COMPUTED_VALUE"""),"PURNAWAN")</f>
        <v>PURNAWAN</v>
      </c>
      <c r="C365" s="52">
        <f>IFERROR(__xludf.DUMMYFUNCTION("""COMPUTED_VALUE"""),36.0)</f>
        <v>36</v>
      </c>
      <c r="D365" s="52" t="str">
        <f>IFERROR(__xludf.DUMMYFUNCTION("""COMPUTED_VALUE"""),"Islam")</f>
        <v>Islam</v>
      </c>
      <c r="E365" s="52" t="str">
        <f>IFERROR(__xludf.DUMMYFUNCTION("""COMPUTED_VALUE"""),"CV. SENTOSA ABADI")</f>
        <v>CV. SENTOSA ABADI</v>
      </c>
      <c r="F365" s="52" t="str">
        <f>IFERROR(__xludf.DUMMYFUNCTION("""COMPUTED_VALUE"""),"HEAD OF PRODUCTION")</f>
        <v>HEAD OF PRODUCTION</v>
      </c>
      <c r="G365" s="52" t="str">
        <f>IFERROR(__xludf.DUMMYFUNCTION("""COMPUTED_VALUE"""),"PRODUKSI")</f>
        <v>PRODUKSI</v>
      </c>
      <c r="H365" s="52" t="str">
        <f>IFERROR(__xludf.DUMMYFUNCTION("""COMPUTED_VALUE"""),"FALSE")</f>
        <v>FALSE</v>
      </c>
      <c r="I365" s="52"/>
      <c r="J365" s="53" t="str">
        <f>IFERROR(__xludf.DUMMYFUNCTION("""COMPUTED_VALUE"""),"[102130003] PURNAWAN")</f>
        <v>[102130003] PURNAWAN</v>
      </c>
      <c r="K365" s="52"/>
      <c r="L365" s="52" t="str">
        <f t="shared" si="1"/>
        <v>#VALUE!</v>
      </c>
      <c r="M365" s="52"/>
      <c r="N365" s="52"/>
      <c r="O365" s="52"/>
      <c r="P365" s="52"/>
      <c r="Q365" s="52"/>
      <c r="R365" s="52"/>
      <c r="S365" s="52"/>
      <c r="T365" s="52"/>
      <c r="U365" s="52"/>
      <c r="V365" s="52"/>
      <c r="W365" s="52"/>
      <c r="X365" s="52"/>
      <c r="Y365" s="52"/>
      <c r="Z365" s="52"/>
    </row>
    <row r="366">
      <c r="A366" s="52">
        <f>IFERROR(__xludf.DUMMYFUNCTION("""COMPUTED_VALUE"""),2.0820118E8)</f>
        <v>208201180</v>
      </c>
      <c r="B366" s="52" t="str">
        <f>IFERROR(__xludf.DUMMYFUNCTION("""COMPUTED_VALUE"""),"PURNOMO")</f>
        <v>PURNOMO</v>
      </c>
      <c r="C366" s="52">
        <f>IFERROR(__xludf.DUMMYFUNCTION("""COMPUTED_VALUE"""),43.0)</f>
        <v>43</v>
      </c>
      <c r="D366" s="52" t="str">
        <f>IFERROR(__xludf.DUMMYFUNCTION("""COMPUTED_VALUE"""),"Islam")</f>
        <v>Islam</v>
      </c>
      <c r="E366" s="52" t="str">
        <f>IFERROR(__xludf.DUMMYFUNCTION("""COMPUTED_VALUE"""),"CV. Adil Prima Perkasa")</f>
        <v>CV. Adil Prima Perkasa</v>
      </c>
      <c r="F366" s="52" t="str">
        <f>IFERROR(__xludf.DUMMYFUNCTION("""COMPUTED_VALUE"""),"DRIVER DT H700ZY")</f>
        <v>DRIVER DT H700ZY</v>
      </c>
      <c r="G366" s="52" t="str">
        <f>IFERROR(__xludf.DUMMYFUNCTION("""COMPUTED_VALUE"""),"KENDARAAN &amp; UNIT SUPPORT")</f>
        <v>KENDARAAN &amp; UNIT SUPPORT</v>
      </c>
      <c r="H366" s="52" t="str">
        <f>IFERROR(__xludf.DUMMYFUNCTION("""COMPUTED_VALUE"""),"[0102150004] NAFTALI RARE'A, ST")</f>
        <v>[0102150004] NAFTALI RARE'A, ST</v>
      </c>
      <c r="I366" s="52"/>
      <c r="J366" s="53" t="str">
        <f>IFERROR(__xludf.DUMMYFUNCTION("""COMPUTED_VALUE"""),"[208201180] PURNOMO")</f>
        <v>[208201180] PURNOMO</v>
      </c>
      <c r="K366" s="52"/>
      <c r="L366" s="52" t="str">
        <f t="shared" si="1"/>
        <v>#VALUE!</v>
      </c>
      <c r="M366" s="52"/>
      <c r="N366" s="52"/>
      <c r="O366" s="52"/>
      <c r="P366" s="52"/>
      <c r="Q366" s="52"/>
      <c r="R366" s="52"/>
      <c r="S366" s="52"/>
      <c r="T366" s="52"/>
      <c r="U366" s="52"/>
      <c r="V366" s="52"/>
      <c r="W366" s="52"/>
      <c r="X366" s="52"/>
      <c r="Y366" s="52"/>
      <c r="Z366" s="52"/>
    </row>
    <row r="367">
      <c r="A367" s="52">
        <f>IFERROR(__xludf.DUMMYFUNCTION("""COMPUTED_VALUE"""),2.05241923E8)</f>
        <v>205241923</v>
      </c>
      <c r="B367" s="52" t="str">
        <f>IFERROR(__xludf.DUMMYFUNCTION("""COMPUTED_VALUE"""),"PUTRA FAISAL UGAKA")</f>
        <v>PUTRA FAISAL UGAKA</v>
      </c>
      <c r="C367" s="52">
        <f>IFERROR(__xludf.DUMMYFUNCTION("""COMPUTED_VALUE"""),21.0)</f>
        <v>21</v>
      </c>
      <c r="D367" s="52" t="str">
        <f>IFERROR(__xludf.DUMMYFUNCTION("""COMPUTED_VALUE"""),"Islam")</f>
        <v>Islam</v>
      </c>
      <c r="E367" s="52" t="str">
        <f>IFERROR(__xludf.DUMMYFUNCTION("""COMPUTED_VALUE"""),"CV. Adil Prima Perkasa")</f>
        <v>CV. Adil Prima Perkasa</v>
      </c>
      <c r="F367" s="52" t="str">
        <f>IFERROR(__xludf.DUMMYFUNCTION("""COMPUTED_VALUE"""),"HELPER MEKANIK LV")</f>
        <v>HELPER MEKANIK LV</v>
      </c>
      <c r="G367" s="52" t="str">
        <f>IFERROR(__xludf.DUMMYFUNCTION("""COMPUTED_VALUE"""),"WORKSHOP")</f>
        <v>WORKSHOP</v>
      </c>
      <c r="H367" s="52" t="str">
        <f>IFERROR(__xludf.DUMMYFUNCTION("""COMPUTED_VALUE"""),"[0106190928] NATAN KONDO")</f>
        <v>[0106190928] NATAN KONDO</v>
      </c>
      <c r="I367" s="52"/>
      <c r="J367" s="53" t="str">
        <f>IFERROR(__xludf.DUMMYFUNCTION("""COMPUTED_VALUE"""),"[205241923] PUTRA FAISAL UGAKA")</f>
        <v>[205241923] PUTRA FAISAL UGAKA</v>
      </c>
      <c r="K367" s="52"/>
      <c r="L367" s="52" t="str">
        <f t="shared" si="1"/>
        <v>#VALUE!</v>
      </c>
      <c r="M367" s="52"/>
      <c r="N367" s="52"/>
      <c r="O367" s="52"/>
      <c r="P367" s="52"/>
      <c r="Q367" s="52"/>
      <c r="R367" s="52"/>
      <c r="S367" s="52"/>
      <c r="T367" s="52"/>
      <c r="U367" s="52"/>
      <c r="V367" s="52"/>
      <c r="W367" s="52"/>
      <c r="X367" s="52"/>
      <c r="Y367" s="52"/>
      <c r="Z367" s="52"/>
    </row>
    <row r="368">
      <c r="A368" s="52">
        <f>IFERROR(__xludf.DUMMYFUNCTION("""COMPUTED_VALUE"""),2.07231808E8)</f>
        <v>207231808</v>
      </c>
      <c r="B368" s="52" t="str">
        <f>IFERROR(__xludf.DUMMYFUNCTION("""COMPUTED_VALUE"""),"PUTRAWAN PADJO")</f>
        <v>PUTRAWAN PADJO</v>
      </c>
      <c r="C368" s="52">
        <f>IFERROR(__xludf.DUMMYFUNCTION("""COMPUTED_VALUE"""),0.0)</f>
        <v>0</v>
      </c>
      <c r="D368" s="52"/>
      <c r="E368" s="52" t="str">
        <f>IFERROR(__xludf.DUMMYFUNCTION("""COMPUTED_VALUE"""),"CV. Adil Prima Perkasa")</f>
        <v>CV. Adil Prima Perkasa</v>
      </c>
      <c r="F368" s="52" t="str">
        <f>IFERROR(__xludf.DUMMYFUNCTION("""COMPUTED_VALUE"""),"HELPER MECHANIC MAINTENANCE")</f>
        <v>HELPER MECHANIC MAINTENANCE</v>
      </c>
      <c r="G368" s="52" t="str">
        <f>IFERROR(__xludf.DUMMYFUNCTION("""COMPUTED_VALUE"""),"WORKSHOP")</f>
        <v>WORKSHOP</v>
      </c>
      <c r="H368" s="52" t="str">
        <f>IFERROR(__xludf.DUMMYFUNCTION("""COMPUTED_VALUE"""),"[0106190928] NATAN KONDO")</f>
        <v>[0106190928] NATAN KONDO</v>
      </c>
      <c r="I368" s="52"/>
      <c r="J368" s="53" t="str">
        <f>IFERROR(__xludf.DUMMYFUNCTION("""COMPUTED_VALUE"""),"[207231808] PUTRAWAN PADJO")</f>
        <v>[207231808] PUTRAWAN PADJO</v>
      </c>
      <c r="K368" s="52"/>
      <c r="L368" s="52" t="str">
        <f t="shared" si="1"/>
        <v>#VALUE!</v>
      </c>
      <c r="M368" s="52"/>
      <c r="N368" s="52"/>
      <c r="O368" s="52"/>
      <c r="P368" s="52"/>
      <c r="Q368" s="52"/>
      <c r="R368" s="52"/>
      <c r="S368" s="52"/>
      <c r="T368" s="52"/>
      <c r="U368" s="52"/>
      <c r="V368" s="52"/>
      <c r="W368" s="52"/>
      <c r="X368" s="52"/>
      <c r="Y368" s="52"/>
      <c r="Z368" s="52"/>
    </row>
    <row r="369">
      <c r="A369" s="52">
        <f>IFERROR(__xludf.DUMMYFUNCTION("""COMPUTED_VALUE"""),1.09221674E8)</f>
        <v>109221674</v>
      </c>
      <c r="B369" s="52" t="str">
        <f>IFERROR(__xludf.DUMMYFUNCTION("""COMPUTED_VALUE"""),"PUTRI NOVITASARI LAGI")</f>
        <v>PUTRI NOVITASARI LAGI</v>
      </c>
      <c r="C369" s="52">
        <f>IFERROR(__xludf.DUMMYFUNCTION("""COMPUTED_VALUE"""),30.0)</f>
        <v>30</v>
      </c>
      <c r="D369" s="52" t="str">
        <f>IFERROR(__xludf.DUMMYFUNCTION("""COMPUTED_VALUE"""),"Kristen Protestan")</f>
        <v>Kristen Protestan</v>
      </c>
      <c r="E369" s="52" t="str">
        <f>IFERROR(__xludf.DUMMYFUNCTION("""COMPUTED_VALUE"""),"CV. SENTOSA ABADI")</f>
        <v>CV. SENTOSA ABADI</v>
      </c>
      <c r="F369" s="52" t="str">
        <f>IFERROR(__xludf.DUMMYFUNCTION("""COMPUTED_VALUE"""),"ADMIN MPE")</f>
        <v>ADMIN MPE</v>
      </c>
      <c r="G369" s="52" t="str">
        <f>IFERROR(__xludf.DUMMYFUNCTION("""COMPUTED_VALUE"""),"MPE")</f>
        <v>MPE</v>
      </c>
      <c r="H369" s="52" t="str">
        <f>IFERROR(__xludf.DUMMYFUNCTION("""COMPUTED_VALUE"""),"[0102150007] EKY SIDIK PRATAMA, ST")</f>
        <v>[0102150007] EKY SIDIK PRATAMA, ST</v>
      </c>
      <c r="I369" s="52"/>
      <c r="J369" s="53" t="str">
        <f>IFERROR(__xludf.DUMMYFUNCTION("""COMPUTED_VALUE"""),"[109221674] PUTRI NOVITASARI LAGI")</f>
        <v>[109221674] PUTRI NOVITASARI LAGI</v>
      </c>
      <c r="K369" s="52"/>
      <c r="L369" s="52" t="str">
        <f t="shared" si="1"/>
        <v>#VALUE!</v>
      </c>
      <c r="M369" s="52"/>
      <c r="N369" s="52"/>
      <c r="O369" s="52"/>
      <c r="P369" s="52"/>
      <c r="Q369" s="52"/>
      <c r="R369" s="52"/>
      <c r="S369" s="52"/>
      <c r="T369" s="52"/>
      <c r="U369" s="52"/>
      <c r="V369" s="52"/>
      <c r="W369" s="52"/>
      <c r="X369" s="52"/>
      <c r="Y369" s="52"/>
      <c r="Z369" s="52"/>
    </row>
    <row r="370">
      <c r="A370" s="52">
        <f>IFERROR(__xludf.DUMMYFUNCTION("""COMPUTED_VALUE"""),1.07211454E8)</f>
        <v>107211454</v>
      </c>
      <c r="B370" s="52" t="str">
        <f>IFERROR(__xludf.DUMMYFUNCTION("""COMPUTED_VALUE"""),"RAFLIN AHMAD")</f>
        <v>RAFLIN AHMAD</v>
      </c>
      <c r="C370" s="52">
        <f>IFERROR(__xludf.DUMMYFUNCTION("""COMPUTED_VALUE"""),44.0)</f>
        <v>44</v>
      </c>
      <c r="D370" s="52" t="str">
        <f>IFERROR(__xludf.DUMMYFUNCTION("""COMPUTED_VALUE"""),"Islam")</f>
        <v>Islam</v>
      </c>
      <c r="E370" s="52" t="str">
        <f>IFERROR(__xludf.DUMMYFUNCTION("""COMPUTED_VALUE"""),"CV. SENTOSA ABADI")</f>
        <v>CV. SENTOSA ABADI</v>
      </c>
      <c r="F370" s="52" t="str">
        <f>IFERROR(__xludf.DUMMYFUNCTION("""COMPUTED_VALUE"""),"DRIVER DT H700ZY")</f>
        <v>DRIVER DT H700ZY</v>
      </c>
      <c r="G370" s="52" t="str">
        <f>IFERROR(__xludf.DUMMYFUNCTION("""COMPUTED_VALUE"""),"KENDARAAN &amp; UNIT SUPPORT")</f>
        <v>KENDARAAN &amp; UNIT SUPPORT</v>
      </c>
      <c r="H370" s="52" t="str">
        <f>IFERROR(__xludf.DUMMYFUNCTION("""COMPUTED_VALUE"""),"[0102150004] NAFTALI RARE'A, ST")</f>
        <v>[0102150004] NAFTALI RARE'A, ST</v>
      </c>
      <c r="I370" s="55">
        <f>IFERROR(__xludf.DUMMYFUNCTION("""COMPUTED_VALUE"""),32103.0)</f>
        <v>32103</v>
      </c>
      <c r="J370" s="53" t="str">
        <f>IFERROR(__xludf.DUMMYFUNCTION("""COMPUTED_VALUE"""),"[107211454] RAFLIN AHMAD")</f>
        <v>[107211454] RAFLIN AHMAD</v>
      </c>
      <c r="K370" s="52"/>
      <c r="L370" s="52" t="str">
        <f t="shared" si="1"/>
        <v>#VALUE!</v>
      </c>
      <c r="M370" s="52"/>
      <c r="N370" s="52"/>
      <c r="O370" s="52"/>
      <c r="P370" s="52"/>
      <c r="Q370" s="52"/>
      <c r="R370" s="52"/>
      <c r="S370" s="52"/>
      <c r="T370" s="52"/>
      <c r="U370" s="52"/>
      <c r="V370" s="52"/>
      <c r="W370" s="52"/>
      <c r="X370" s="52"/>
      <c r="Y370" s="52"/>
      <c r="Z370" s="52"/>
    </row>
    <row r="371">
      <c r="A371" s="52">
        <f>IFERROR(__xludf.DUMMYFUNCTION("""COMPUTED_VALUE"""),1.03211357E8)</f>
        <v>103211357</v>
      </c>
      <c r="B371" s="52" t="str">
        <f>IFERROR(__xludf.DUMMYFUNCTION("""COMPUTED_VALUE"""),"RAHMAN SUKARDI")</f>
        <v>RAHMAN SUKARDI</v>
      </c>
      <c r="C371" s="52">
        <f>IFERROR(__xludf.DUMMYFUNCTION("""COMPUTED_VALUE"""),34.0)</f>
        <v>34</v>
      </c>
      <c r="D371" s="52" t="str">
        <f>IFERROR(__xludf.DUMMYFUNCTION("""COMPUTED_VALUE"""),"Islam")</f>
        <v>Islam</v>
      </c>
      <c r="E371" s="52" t="str">
        <f>IFERROR(__xludf.DUMMYFUNCTION("""COMPUTED_VALUE"""),"CV. SENTOSA ABADI")</f>
        <v>CV. SENTOSA ABADI</v>
      </c>
      <c r="F371" s="52" t="str">
        <f>IFERROR(__xludf.DUMMYFUNCTION("""COMPUTED_VALUE"""),"DRIVER FUEL MPE")</f>
        <v>DRIVER FUEL MPE</v>
      </c>
      <c r="G371" s="52" t="str">
        <f>IFERROR(__xludf.DUMMYFUNCTION("""COMPUTED_VALUE"""),"MPE")</f>
        <v>MPE</v>
      </c>
      <c r="H371" s="52" t="str">
        <f>IFERROR(__xludf.DUMMYFUNCTION("""COMPUTED_VALUE"""),"[0103110065] DOMINIKUS MITEN LARANTUKAN")</f>
        <v>[0103110065] DOMINIKUS MITEN LARANTUKAN</v>
      </c>
      <c r="I371" s="52"/>
      <c r="J371" s="53" t="str">
        <f>IFERROR(__xludf.DUMMYFUNCTION("""COMPUTED_VALUE"""),"[103211357] RAHMAN SUKARDI")</f>
        <v>[103211357] RAHMAN SUKARDI</v>
      </c>
      <c r="K371" s="52"/>
      <c r="L371" s="52" t="str">
        <f t="shared" si="1"/>
        <v>#VALUE!</v>
      </c>
      <c r="M371" s="52"/>
      <c r="N371" s="52"/>
      <c r="O371" s="52"/>
      <c r="P371" s="52"/>
      <c r="Q371" s="52"/>
      <c r="R371" s="52"/>
      <c r="S371" s="52"/>
      <c r="T371" s="52"/>
      <c r="U371" s="52"/>
      <c r="V371" s="52"/>
      <c r="W371" s="52"/>
      <c r="X371" s="52"/>
      <c r="Y371" s="52"/>
      <c r="Z371" s="52"/>
    </row>
    <row r="372">
      <c r="A372" s="52">
        <f>IFERROR(__xludf.DUMMYFUNCTION("""COMPUTED_VALUE"""),2.0923184E8)</f>
        <v>209231840</v>
      </c>
      <c r="B372" s="52" t="str">
        <f>IFERROR(__xludf.DUMMYFUNCTION("""COMPUTED_VALUE"""),"RAHMAT")</f>
        <v>RAHMAT</v>
      </c>
      <c r="C372" s="52">
        <f>IFERROR(__xludf.DUMMYFUNCTION("""COMPUTED_VALUE"""),0.0)</f>
        <v>0</v>
      </c>
      <c r="D372" s="52"/>
      <c r="E372" s="52" t="str">
        <f>IFERROR(__xludf.DUMMYFUNCTION("""COMPUTED_VALUE"""),"CV. Adil Prima Perkasa")</f>
        <v>CV. Adil Prima Perkasa</v>
      </c>
      <c r="F372" s="52" t="str">
        <f>IFERROR(__xludf.DUMMYFUNCTION("""COMPUTED_VALUE"""),"DRIVER DT H500")</f>
        <v>DRIVER DT H500</v>
      </c>
      <c r="G372" s="52" t="str">
        <f>IFERROR(__xludf.DUMMYFUNCTION("""COMPUTED_VALUE"""),"KENDARAAN &amp; UNIT SUPPORT")</f>
        <v>KENDARAAN &amp; UNIT SUPPORT</v>
      </c>
      <c r="H372" s="52" t="str">
        <f>IFERROR(__xludf.DUMMYFUNCTION("""COMPUTED_VALUE"""),"[0102150004] NAFTALI RARE'A, ST")</f>
        <v>[0102150004] NAFTALI RARE'A, ST</v>
      </c>
      <c r="I372" s="52"/>
      <c r="J372" s="53" t="str">
        <f>IFERROR(__xludf.DUMMYFUNCTION("""COMPUTED_VALUE"""),"[209231840] RAHMAT")</f>
        <v>[209231840] RAHMAT</v>
      </c>
      <c r="K372" s="52"/>
      <c r="L372" s="52" t="str">
        <f t="shared" si="1"/>
        <v>#VALUE!</v>
      </c>
      <c r="M372" s="52"/>
      <c r="N372" s="52"/>
      <c r="O372" s="52"/>
      <c r="P372" s="52"/>
      <c r="Q372" s="52"/>
      <c r="R372" s="52"/>
      <c r="S372" s="52"/>
      <c r="T372" s="52"/>
      <c r="U372" s="52"/>
      <c r="V372" s="52"/>
      <c r="W372" s="52"/>
      <c r="X372" s="52"/>
      <c r="Y372" s="52"/>
      <c r="Z372" s="52"/>
    </row>
    <row r="373">
      <c r="A373" s="52">
        <f>IFERROR(__xludf.DUMMYFUNCTION("""COMPUTED_VALUE"""),2.05241917E8)</f>
        <v>205241917</v>
      </c>
      <c r="B373" s="52" t="str">
        <f>IFERROR(__xludf.DUMMYFUNCTION("""COMPUTED_VALUE"""),"RAHMAT")</f>
        <v>RAHMAT</v>
      </c>
      <c r="C373" s="52">
        <f>IFERROR(__xludf.DUMMYFUNCTION("""COMPUTED_VALUE"""),0.0)</f>
        <v>0</v>
      </c>
      <c r="D373" s="52"/>
      <c r="E373" s="52" t="str">
        <f>IFERROR(__xludf.DUMMYFUNCTION("""COMPUTED_VALUE"""),"CV. Adil Prima Perkasa")</f>
        <v>CV. Adil Prima Perkasa</v>
      </c>
      <c r="F373" s="52" t="str">
        <f>IFERROR(__xludf.DUMMYFUNCTION("""COMPUTED_VALUE"""),"HELPER MECHANIC MAINTENANCE")</f>
        <v>HELPER MECHANIC MAINTENANCE</v>
      </c>
      <c r="G373" s="52" t="str">
        <f>IFERROR(__xludf.DUMMYFUNCTION("""COMPUTED_VALUE"""),"WORKSHOP")</f>
        <v>WORKSHOP</v>
      </c>
      <c r="H373" s="52" t="str">
        <f>IFERROR(__xludf.DUMMYFUNCTION("""COMPUTED_VALUE"""),"[0106190928] NATAN KONDO")</f>
        <v>[0106190928] NATAN KONDO</v>
      </c>
      <c r="I373" s="52"/>
      <c r="J373" s="53" t="str">
        <f>IFERROR(__xludf.DUMMYFUNCTION("""COMPUTED_VALUE"""),"[205241917] RAHMAT")</f>
        <v>[205241917] RAHMAT</v>
      </c>
      <c r="K373" s="52"/>
      <c r="L373" s="52" t="str">
        <f t="shared" si="1"/>
        <v>#VALUE!</v>
      </c>
      <c r="M373" s="52"/>
      <c r="N373" s="52"/>
      <c r="O373" s="52"/>
      <c r="P373" s="52"/>
      <c r="Q373" s="52"/>
      <c r="R373" s="52"/>
      <c r="S373" s="52"/>
      <c r="T373" s="52"/>
      <c r="U373" s="52"/>
      <c r="V373" s="52"/>
      <c r="W373" s="52"/>
      <c r="X373" s="52"/>
      <c r="Y373" s="52"/>
      <c r="Z373" s="52"/>
    </row>
    <row r="374">
      <c r="A374" s="52">
        <f>IFERROR(__xludf.DUMMYFUNCTION("""COMPUTED_VALUE"""),1.04211377E8)</f>
        <v>104211377</v>
      </c>
      <c r="B374" s="52" t="str">
        <f>IFERROR(__xludf.DUMMYFUNCTION("""COMPUTED_VALUE"""),"RAHMAT EVENDI")</f>
        <v>RAHMAT EVENDI</v>
      </c>
      <c r="C374" s="52">
        <f>IFERROR(__xludf.DUMMYFUNCTION("""COMPUTED_VALUE"""),22.0)</f>
        <v>22</v>
      </c>
      <c r="D374" s="52" t="str">
        <f>IFERROR(__xludf.DUMMYFUNCTION("""COMPUTED_VALUE"""),"Islam")</f>
        <v>Islam</v>
      </c>
      <c r="E374" s="52" t="str">
        <f>IFERROR(__xludf.DUMMYFUNCTION("""COMPUTED_VALUE"""),"CV. SENTOSA ABADI")</f>
        <v>CV. SENTOSA ABADI</v>
      </c>
      <c r="F374" s="52" t="str">
        <f>IFERROR(__xludf.DUMMYFUNCTION("""COMPUTED_VALUE"""),"HELPER TYRE")</f>
        <v>HELPER TYRE</v>
      </c>
      <c r="G374" s="52" t="str">
        <f>IFERROR(__xludf.DUMMYFUNCTION("""COMPUTED_VALUE"""),"WORKSHOP")</f>
        <v>WORKSHOP</v>
      </c>
      <c r="H374" s="52" t="str">
        <f>IFERROR(__xludf.DUMMYFUNCTION("""COMPUTED_VALUE"""),"[0106190928] NATAN KONDO")</f>
        <v>[0106190928] NATAN KONDO</v>
      </c>
      <c r="I374" s="52"/>
      <c r="J374" s="53" t="str">
        <f>IFERROR(__xludf.DUMMYFUNCTION("""COMPUTED_VALUE"""),"[104211377] RAHMAT EVENDI")</f>
        <v>[104211377] RAHMAT EVENDI</v>
      </c>
      <c r="K374" s="52"/>
      <c r="L374" s="52" t="str">
        <f t="shared" si="1"/>
        <v>#VALUE!</v>
      </c>
      <c r="M374" s="52"/>
      <c r="N374" s="52"/>
      <c r="O374" s="52"/>
      <c r="P374" s="52"/>
      <c r="Q374" s="52"/>
      <c r="R374" s="52"/>
      <c r="S374" s="52"/>
      <c r="T374" s="52"/>
      <c r="U374" s="52"/>
      <c r="V374" s="52"/>
      <c r="W374" s="52"/>
      <c r="X374" s="52"/>
      <c r="Y374" s="52"/>
      <c r="Z374" s="52"/>
    </row>
    <row r="375">
      <c r="A375" s="52">
        <f>IFERROR(__xludf.DUMMYFUNCTION("""COMPUTED_VALUE"""),1.12191124E8)</f>
        <v>112191124</v>
      </c>
      <c r="B375" s="52" t="str">
        <f>IFERROR(__xludf.DUMMYFUNCTION("""COMPUTED_VALUE"""),"RAOLINUS HENDRO HATU")</f>
        <v>RAOLINUS HENDRO HATU</v>
      </c>
      <c r="C375" s="52">
        <f>IFERROR(__xludf.DUMMYFUNCTION("""COMPUTED_VALUE"""),24.0)</f>
        <v>24</v>
      </c>
      <c r="D375" s="52" t="str">
        <f>IFERROR(__xludf.DUMMYFUNCTION("""COMPUTED_VALUE"""),"Kristen Khatolik")</f>
        <v>Kristen Khatolik</v>
      </c>
      <c r="E375" s="52" t="str">
        <f>IFERROR(__xludf.DUMMYFUNCTION("""COMPUTED_VALUE"""),"CV. SENTOSA ABADI")</f>
        <v>CV. SENTOSA ABADI</v>
      </c>
      <c r="F375" s="52" t="str">
        <f>IFERROR(__xludf.DUMMYFUNCTION("""COMPUTED_VALUE"""),"OPERATOR COMPACTOR")</f>
        <v>OPERATOR COMPACTOR</v>
      </c>
      <c r="G375" s="52" t="str">
        <f>IFERROR(__xludf.DUMMYFUNCTION("""COMPUTED_VALUE"""),"PRODUKSI")</f>
        <v>PRODUKSI</v>
      </c>
      <c r="H375" s="52" t="str">
        <f>IFERROR(__xludf.DUMMYFUNCTION("""COMPUTED_VALUE"""),"FALSE")</f>
        <v>FALSE</v>
      </c>
      <c r="I375" s="52"/>
      <c r="J375" s="53" t="str">
        <f>IFERROR(__xludf.DUMMYFUNCTION("""COMPUTED_VALUE"""),"[112191124] RAOLINUS HENDRO HATU")</f>
        <v>[112191124] RAOLINUS HENDRO HATU</v>
      </c>
      <c r="K375" s="52"/>
      <c r="L375" s="52" t="str">
        <f t="shared" si="1"/>
        <v>#VALUE!</v>
      </c>
      <c r="M375" s="52"/>
      <c r="N375" s="52"/>
      <c r="O375" s="52"/>
      <c r="P375" s="52"/>
      <c r="Q375" s="52"/>
      <c r="R375" s="52"/>
      <c r="S375" s="52"/>
      <c r="T375" s="52"/>
      <c r="U375" s="52"/>
      <c r="V375" s="52"/>
      <c r="W375" s="52"/>
      <c r="X375" s="52"/>
      <c r="Y375" s="52"/>
      <c r="Z375" s="52"/>
    </row>
    <row r="376">
      <c r="A376" s="52">
        <f>IFERROR(__xludf.DUMMYFUNCTION("""COMPUTED_VALUE"""),2.12231873E8)</f>
        <v>212231873</v>
      </c>
      <c r="B376" s="52" t="str">
        <f>IFERROR(__xludf.DUMMYFUNCTION("""COMPUTED_VALUE"""),"RASMAN")</f>
        <v>RASMAN</v>
      </c>
      <c r="C376" s="52">
        <f>IFERROR(__xludf.DUMMYFUNCTION("""COMPUTED_VALUE"""),0.0)</f>
        <v>0</v>
      </c>
      <c r="D376" s="52"/>
      <c r="E376" s="52" t="str">
        <f>IFERROR(__xludf.DUMMYFUNCTION("""COMPUTED_VALUE"""),"CV. Adil Prima Perkasa")</f>
        <v>CV. Adil Prima Perkasa</v>
      </c>
      <c r="F376" s="52" t="str">
        <f>IFERROR(__xludf.DUMMYFUNCTION("""COMPUTED_VALUE"""),"OPERATOR EXCAVATOR")</f>
        <v>OPERATOR EXCAVATOR</v>
      </c>
      <c r="G376" s="52" t="str">
        <f>IFERROR(__xludf.DUMMYFUNCTION("""COMPUTED_VALUE"""),"PRODUKSI")</f>
        <v>PRODUKSI</v>
      </c>
      <c r="H376" s="52" t="str">
        <f>IFERROR(__xludf.DUMMYFUNCTION("""COMPUTED_VALUE"""),"[0102130003] PURNAWAN")</f>
        <v>[0102130003] PURNAWAN</v>
      </c>
      <c r="I376" s="52"/>
      <c r="J376" s="53" t="str">
        <f>IFERROR(__xludf.DUMMYFUNCTION("""COMPUTED_VALUE"""),"[212231873] RASMAN")</f>
        <v>[212231873] RASMAN</v>
      </c>
      <c r="K376" s="52"/>
      <c r="L376" s="52" t="str">
        <f t="shared" si="1"/>
        <v>#VALUE!</v>
      </c>
      <c r="M376" s="52"/>
      <c r="N376" s="52"/>
      <c r="O376" s="52"/>
      <c r="P376" s="52"/>
      <c r="Q376" s="52"/>
      <c r="R376" s="52"/>
      <c r="S376" s="52"/>
      <c r="T376" s="52"/>
      <c r="U376" s="52"/>
      <c r="V376" s="52"/>
      <c r="W376" s="52"/>
      <c r="X376" s="52"/>
      <c r="Y376" s="52"/>
      <c r="Z376" s="52"/>
    </row>
    <row r="377">
      <c r="A377" s="52">
        <f>IFERROR(__xludf.DUMMYFUNCTION("""COMPUTED_VALUE"""),3.06200008E8)</f>
        <v>306200008</v>
      </c>
      <c r="B377" s="52" t="str">
        <f>IFERROR(__xludf.DUMMYFUNCTION("""COMPUTED_VALUE"""),"REGI ADITIA")</f>
        <v>REGI ADITIA</v>
      </c>
      <c r="C377" s="52">
        <f>IFERROR(__xludf.DUMMYFUNCTION("""COMPUTED_VALUE"""),23.0)</f>
        <v>23</v>
      </c>
      <c r="D377" s="52" t="str">
        <f>IFERROR(__xludf.DUMMYFUNCTION("""COMPUTED_VALUE"""),"Islam")</f>
        <v>Islam</v>
      </c>
      <c r="E377" s="52" t="str">
        <f>IFERROR(__xludf.DUMMYFUNCTION("""COMPUTED_VALUE"""),"CV. Monalisa")</f>
        <v>CV. Monalisa</v>
      </c>
      <c r="F377" s="52" t="str">
        <f>IFERROR(__xludf.DUMMYFUNCTION("""COMPUTED_VALUE"""),"CREW SURVEY")</f>
        <v>CREW SURVEY</v>
      </c>
      <c r="G377" s="52" t="str">
        <f>IFERROR(__xludf.DUMMYFUNCTION("""COMPUTED_VALUE"""),"MPE")</f>
        <v>MPE</v>
      </c>
      <c r="H377" s="52" t="str">
        <f>IFERROR(__xludf.DUMMYFUNCTION("""COMPUTED_VALUE"""),"FALSE")</f>
        <v>FALSE</v>
      </c>
      <c r="I377" s="52"/>
      <c r="J377" s="53" t="str">
        <f>IFERROR(__xludf.DUMMYFUNCTION("""COMPUTED_VALUE"""),"[306200008] REGI ADITIA")</f>
        <v>[306200008] REGI ADITIA</v>
      </c>
      <c r="K377" s="52"/>
      <c r="L377" s="52" t="str">
        <f t="shared" si="1"/>
        <v>#VALUE!</v>
      </c>
      <c r="M377" s="52"/>
      <c r="N377" s="52"/>
      <c r="O377" s="52"/>
      <c r="P377" s="52"/>
      <c r="Q377" s="52"/>
      <c r="R377" s="52"/>
      <c r="S377" s="52"/>
      <c r="T377" s="52"/>
      <c r="U377" s="52"/>
      <c r="V377" s="52"/>
      <c r="W377" s="52"/>
      <c r="X377" s="52"/>
      <c r="Y377" s="52"/>
      <c r="Z377" s="52"/>
    </row>
    <row r="378">
      <c r="A378" s="52">
        <f>IFERROR(__xludf.DUMMYFUNCTION("""COMPUTED_VALUE"""),2.02241887E8)</f>
        <v>202241887</v>
      </c>
      <c r="B378" s="52" t="str">
        <f>IFERROR(__xludf.DUMMYFUNCTION("""COMPUTED_VALUE"""),"REGIS SAMARA")</f>
        <v>REGIS SAMARA</v>
      </c>
      <c r="C378" s="52">
        <f>IFERROR(__xludf.DUMMYFUNCTION("""COMPUTED_VALUE"""),24.0)</f>
        <v>24</v>
      </c>
      <c r="D378" s="52" t="str">
        <f>IFERROR(__xludf.DUMMYFUNCTION("""COMPUTED_VALUE"""),"Kristen Protestan")</f>
        <v>Kristen Protestan</v>
      </c>
      <c r="E378" s="52" t="str">
        <f>IFERROR(__xludf.DUMMYFUNCTION("""COMPUTED_VALUE"""),"CV. Adil Prima Perkasa")</f>
        <v>CV. Adil Prima Perkasa</v>
      </c>
      <c r="F378" s="52" t="str">
        <f>IFERROR(__xludf.DUMMYFUNCTION("""COMPUTED_VALUE"""),"HELPER MEKANIK ALAT BERAT")</f>
        <v>HELPER MEKANIK ALAT BERAT</v>
      </c>
      <c r="G378" s="52" t="str">
        <f>IFERROR(__xludf.DUMMYFUNCTION("""COMPUTED_VALUE"""),"WORKSHOP")</f>
        <v>WORKSHOP</v>
      </c>
      <c r="H378" s="52" t="str">
        <f>IFERROR(__xludf.DUMMYFUNCTION("""COMPUTED_VALUE"""),"[0106190928] NATAN KONDO")</f>
        <v>[0106190928] NATAN KONDO</v>
      </c>
      <c r="I378" s="52"/>
      <c r="J378" s="53" t="str">
        <f>IFERROR(__xludf.DUMMYFUNCTION("""COMPUTED_VALUE"""),"[202241887] REGIS SAMARA")</f>
        <v>[202241887] REGIS SAMARA</v>
      </c>
      <c r="K378" s="52"/>
      <c r="L378" s="52" t="str">
        <f t="shared" si="1"/>
        <v>#VALUE!</v>
      </c>
      <c r="M378" s="52"/>
      <c r="N378" s="52"/>
      <c r="O378" s="52"/>
      <c r="P378" s="52"/>
      <c r="Q378" s="52"/>
      <c r="R378" s="52"/>
      <c r="S378" s="52"/>
      <c r="T378" s="52"/>
      <c r="U378" s="52"/>
      <c r="V378" s="52"/>
      <c r="W378" s="52"/>
      <c r="X378" s="52"/>
      <c r="Y378" s="52"/>
      <c r="Z378" s="52"/>
    </row>
    <row r="379">
      <c r="A379" s="52">
        <f>IFERROR(__xludf.DUMMYFUNCTION("""COMPUTED_VALUE"""),2.05241916E8)</f>
        <v>205241916</v>
      </c>
      <c r="B379" s="52" t="str">
        <f>IFERROR(__xludf.DUMMYFUNCTION("""COMPUTED_VALUE"""),"RENAL")</f>
        <v>RENAL</v>
      </c>
      <c r="C379" s="52">
        <f>IFERROR(__xludf.DUMMYFUNCTION("""COMPUTED_VALUE"""),0.0)</f>
        <v>0</v>
      </c>
      <c r="D379" s="52"/>
      <c r="E379" s="52" t="str">
        <f>IFERROR(__xludf.DUMMYFUNCTION("""COMPUTED_VALUE"""),"CV. Adil Prima Perkasa")</f>
        <v>CV. Adil Prima Perkasa</v>
      </c>
      <c r="F379" s="52" t="str">
        <f>IFERROR(__xludf.DUMMYFUNCTION("""COMPUTED_VALUE"""),"HELPER TYRE")</f>
        <v>HELPER TYRE</v>
      </c>
      <c r="G379" s="52" t="str">
        <f>IFERROR(__xludf.DUMMYFUNCTION("""COMPUTED_VALUE"""),"WORKSHOP")</f>
        <v>WORKSHOP</v>
      </c>
      <c r="H379" s="52" t="str">
        <f>IFERROR(__xludf.DUMMYFUNCTION("""COMPUTED_VALUE"""),"[0106190928] NATAN KONDO")</f>
        <v>[0106190928] NATAN KONDO</v>
      </c>
      <c r="I379" s="52"/>
      <c r="J379" s="53" t="str">
        <f>IFERROR(__xludf.DUMMYFUNCTION("""COMPUTED_VALUE"""),"[205241916] RENAL")</f>
        <v>[205241916] RENAL</v>
      </c>
      <c r="K379" s="52"/>
      <c r="L379" s="52" t="str">
        <f t="shared" si="1"/>
        <v>#VALUE!</v>
      </c>
      <c r="M379" s="52"/>
      <c r="N379" s="52"/>
      <c r="O379" s="52"/>
      <c r="P379" s="52"/>
      <c r="Q379" s="52"/>
      <c r="R379" s="52"/>
      <c r="S379" s="52"/>
      <c r="T379" s="52"/>
      <c r="U379" s="52"/>
      <c r="V379" s="52"/>
      <c r="W379" s="52"/>
      <c r="X379" s="52"/>
      <c r="Y379" s="52"/>
      <c r="Z379" s="52"/>
    </row>
    <row r="380">
      <c r="A380" s="52">
        <f>IFERROR(__xludf.DUMMYFUNCTION("""COMPUTED_VALUE"""),2.05231771E8)</f>
        <v>205231771</v>
      </c>
      <c r="B380" s="52" t="str">
        <f>IFERROR(__xludf.DUMMYFUNCTION("""COMPUTED_VALUE"""),"RENALDI")</f>
        <v>RENALDI</v>
      </c>
      <c r="C380" s="52">
        <f>IFERROR(__xludf.DUMMYFUNCTION("""COMPUTED_VALUE"""),23.0)</f>
        <v>23</v>
      </c>
      <c r="D380" s="52" t="str">
        <f>IFERROR(__xludf.DUMMYFUNCTION("""COMPUTED_VALUE"""),"Islam")</f>
        <v>Islam</v>
      </c>
      <c r="E380" s="52" t="str">
        <f>IFERROR(__xludf.DUMMYFUNCTION("""COMPUTED_VALUE"""),"CV. Adil Prima Perkasa")</f>
        <v>CV. Adil Prima Perkasa</v>
      </c>
      <c r="F380" s="52" t="str">
        <f>IFERROR(__xludf.DUMMYFUNCTION("""COMPUTED_VALUE"""),"SECURITY")</f>
        <v>SECURITY</v>
      </c>
      <c r="G380" s="52" t="str">
        <f>IFERROR(__xludf.DUMMYFUNCTION("""COMPUTED_VALUE"""),"HRD &amp; GA")</f>
        <v>HRD &amp; GA</v>
      </c>
      <c r="H380" s="52" t="str">
        <f>IFERROR(__xludf.DUMMYFUNCTION("""COMPUTED_VALUE"""),"[0108191037] ERNIE FRISLIA")</f>
        <v>[0108191037] ERNIE FRISLIA</v>
      </c>
      <c r="I380" s="52"/>
      <c r="J380" s="53" t="str">
        <f>IFERROR(__xludf.DUMMYFUNCTION("""COMPUTED_VALUE"""),"[205231771] RENALDI")</f>
        <v>[205231771] RENALDI</v>
      </c>
      <c r="K380" s="52"/>
      <c r="L380" s="52" t="str">
        <f t="shared" si="1"/>
        <v>#VALUE!</v>
      </c>
      <c r="M380" s="52"/>
      <c r="N380" s="52"/>
      <c r="O380" s="52"/>
      <c r="P380" s="52"/>
      <c r="Q380" s="52"/>
      <c r="R380" s="52"/>
      <c r="S380" s="52"/>
      <c r="T380" s="52"/>
      <c r="U380" s="52"/>
      <c r="V380" s="52"/>
      <c r="W380" s="52"/>
      <c r="X380" s="52"/>
      <c r="Y380" s="52"/>
      <c r="Z380" s="52"/>
    </row>
    <row r="381">
      <c r="A381" s="52">
        <f>IFERROR(__xludf.DUMMYFUNCTION("""COMPUTED_VALUE"""),1.07211445E8)</f>
        <v>107211445</v>
      </c>
      <c r="B381" s="52" t="str">
        <f>IFERROR(__xludf.DUMMYFUNCTION("""COMPUTED_VALUE"""),"RESKI BULELA")</f>
        <v>RESKI BULELA</v>
      </c>
      <c r="C381" s="52">
        <f>IFERROR(__xludf.DUMMYFUNCTION("""COMPUTED_VALUE"""),24.0)</f>
        <v>24</v>
      </c>
      <c r="D381" s="52" t="str">
        <f>IFERROR(__xludf.DUMMYFUNCTION("""COMPUTED_VALUE"""),"Kristen Protestan")</f>
        <v>Kristen Protestan</v>
      </c>
      <c r="E381" s="52" t="str">
        <f>IFERROR(__xludf.DUMMYFUNCTION("""COMPUTED_VALUE"""),"CV. SENTOSA ABADI")</f>
        <v>CV. SENTOSA ABADI</v>
      </c>
      <c r="F381" s="52" t="str">
        <f>IFERROR(__xludf.DUMMYFUNCTION("""COMPUTED_VALUE"""),"HELPER FUEL")</f>
        <v>HELPER FUEL</v>
      </c>
      <c r="G381" s="52" t="str">
        <f>IFERROR(__xludf.DUMMYFUNCTION("""COMPUTED_VALUE"""),"WORKSHOP")</f>
        <v>WORKSHOP</v>
      </c>
      <c r="H381" s="52" t="str">
        <f>IFERROR(__xludf.DUMMYFUNCTION("""COMPUTED_VALUE"""),"[0102150007] EKY SIDIK PRATAMA, ST")</f>
        <v>[0102150007] EKY SIDIK PRATAMA, ST</v>
      </c>
      <c r="I381" s="52"/>
      <c r="J381" s="53" t="str">
        <f>IFERROR(__xludf.DUMMYFUNCTION("""COMPUTED_VALUE"""),"[107211445] RESKI BULELA")</f>
        <v>[107211445] RESKI BULELA</v>
      </c>
      <c r="K381" s="52"/>
      <c r="L381" s="52" t="str">
        <f t="shared" si="1"/>
        <v>#VALUE!</v>
      </c>
      <c r="M381" s="52"/>
      <c r="N381" s="52"/>
      <c r="O381" s="52"/>
      <c r="P381" s="52"/>
      <c r="Q381" s="52"/>
      <c r="R381" s="52"/>
      <c r="S381" s="52"/>
      <c r="T381" s="52"/>
      <c r="U381" s="52"/>
      <c r="V381" s="52"/>
      <c r="W381" s="52"/>
      <c r="X381" s="52"/>
      <c r="Y381" s="52"/>
      <c r="Z381" s="52"/>
    </row>
    <row r="382">
      <c r="A382" s="52">
        <f>IFERROR(__xludf.DUMMYFUNCTION("""COMPUTED_VALUE"""),2.08180635E8)</f>
        <v>208180635</v>
      </c>
      <c r="B382" s="52" t="str">
        <f>IFERROR(__xludf.DUMMYFUNCTION("""COMPUTED_VALUE"""),"RESKIJAYANTI HAMDI, ST")</f>
        <v>RESKIJAYANTI HAMDI, ST</v>
      </c>
      <c r="C382" s="52">
        <f>IFERROR(__xludf.DUMMYFUNCTION("""COMPUTED_VALUE"""),31.0)</f>
        <v>31</v>
      </c>
      <c r="D382" s="52" t="str">
        <f>IFERROR(__xludf.DUMMYFUNCTION("""COMPUTED_VALUE"""),"Islam")</f>
        <v>Islam</v>
      </c>
      <c r="E382" s="52" t="str">
        <f>IFERROR(__xludf.DUMMYFUNCTION("""COMPUTED_VALUE"""),"CV. Adil Prima Perkasa")</f>
        <v>CV. Adil Prima Perkasa</v>
      </c>
      <c r="F382" s="52" t="str">
        <f>IFERROR(__xludf.DUMMYFUNCTION("""COMPUTED_VALUE"""),"ADMIN PRODUKSI")</f>
        <v>ADMIN PRODUKSI</v>
      </c>
      <c r="G382" s="52" t="str">
        <f>IFERROR(__xludf.DUMMYFUNCTION("""COMPUTED_VALUE"""),"PRODUKSI")</f>
        <v>PRODUKSI</v>
      </c>
      <c r="H382" s="52" t="str">
        <f>IFERROR(__xludf.DUMMYFUNCTION("""COMPUTED_VALUE"""),"[0102130003] PURNAWAN")</f>
        <v>[0102130003] PURNAWAN</v>
      </c>
      <c r="I382" s="55">
        <f>IFERROR(__xludf.DUMMYFUNCTION("""COMPUTED_VALUE"""),31255.0)</f>
        <v>31255</v>
      </c>
      <c r="J382" s="53" t="str">
        <f>IFERROR(__xludf.DUMMYFUNCTION("""COMPUTED_VALUE"""),"[208180635] RESKIJAYANTI HAMDI, ST")</f>
        <v>[208180635] RESKIJAYANTI HAMDI, ST</v>
      </c>
      <c r="K382" s="52"/>
      <c r="L382" s="52" t="str">
        <f t="shared" si="1"/>
        <v>#VALUE!</v>
      </c>
      <c r="M382" s="52"/>
      <c r="N382" s="52"/>
      <c r="O382" s="52"/>
      <c r="P382" s="52"/>
      <c r="Q382" s="52"/>
      <c r="R382" s="52"/>
      <c r="S382" s="52"/>
      <c r="T382" s="52"/>
      <c r="U382" s="52"/>
      <c r="V382" s="52"/>
      <c r="W382" s="52"/>
      <c r="X382" s="52"/>
      <c r="Y382" s="52"/>
      <c r="Z382" s="52"/>
    </row>
    <row r="383">
      <c r="A383" s="52">
        <f>IFERROR(__xludf.DUMMYFUNCTION("""COMPUTED_VALUE"""),2.07231807E8)</f>
        <v>207231807</v>
      </c>
      <c r="B383" s="52" t="str">
        <f>IFERROR(__xludf.DUMMYFUNCTION("""COMPUTED_VALUE"""),"RESKY")</f>
        <v>RESKY</v>
      </c>
      <c r="C383" s="52">
        <f>IFERROR(__xludf.DUMMYFUNCTION("""COMPUTED_VALUE"""),0.0)</f>
        <v>0</v>
      </c>
      <c r="D383" s="52"/>
      <c r="E383" s="52" t="str">
        <f>IFERROR(__xludf.DUMMYFUNCTION("""COMPUTED_VALUE"""),"CV. Adil Prima Perkasa")</f>
        <v>CV. Adil Prima Perkasa</v>
      </c>
      <c r="F383" s="52" t="str">
        <f>IFERROR(__xludf.DUMMYFUNCTION("""COMPUTED_VALUE"""),"HELPER TYRE")</f>
        <v>HELPER TYRE</v>
      </c>
      <c r="G383" s="52" t="str">
        <f>IFERROR(__xludf.DUMMYFUNCTION("""COMPUTED_VALUE"""),"WORKSHOP")</f>
        <v>WORKSHOP</v>
      </c>
      <c r="H383" s="52" t="str">
        <f>IFERROR(__xludf.DUMMYFUNCTION("""COMPUTED_VALUE"""),"[0106190928] NATAN KONDO")</f>
        <v>[0106190928] NATAN KONDO</v>
      </c>
      <c r="I383" s="52"/>
      <c r="J383" s="53" t="str">
        <f>IFERROR(__xludf.DUMMYFUNCTION("""COMPUTED_VALUE"""),"[207231807] RESKY")</f>
        <v>[207231807] RESKY</v>
      </c>
      <c r="K383" s="52"/>
      <c r="L383" s="52" t="str">
        <f t="shared" si="1"/>
        <v>#VALUE!</v>
      </c>
      <c r="M383" s="52"/>
      <c r="N383" s="52"/>
      <c r="O383" s="52"/>
      <c r="P383" s="52"/>
      <c r="Q383" s="52"/>
      <c r="R383" s="52"/>
      <c r="S383" s="52"/>
      <c r="T383" s="52"/>
      <c r="U383" s="52"/>
      <c r="V383" s="52"/>
      <c r="W383" s="52"/>
      <c r="X383" s="52"/>
      <c r="Y383" s="52"/>
      <c r="Z383" s="52"/>
    </row>
    <row r="384">
      <c r="A384" s="52">
        <f>IFERROR(__xludf.DUMMYFUNCTION("""COMPUTED_VALUE"""),2.04231754E8)</f>
        <v>204231754</v>
      </c>
      <c r="B384" s="52" t="str">
        <f>IFERROR(__xludf.DUMMYFUNCTION("""COMPUTED_VALUE"""),"REZKY TIKU PASANG")</f>
        <v>REZKY TIKU PASANG</v>
      </c>
      <c r="C384" s="52">
        <f>IFERROR(__xludf.DUMMYFUNCTION("""COMPUTED_VALUE"""),26.0)</f>
        <v>26</v>
      </c>
      <c r="D384" s="52" t="str">
        <f>IFERROR(__xludf.DUMMYFUNCTION("""COMPUTED_VALUE"""),"Islam")</f>
        <v>Islam</v>
      </c>
      <c r="E384" s="52" t="str">
        <f>IFERROR(__xludf.DUMMYFUNCTION("""COMPUTED_VALUE"""),"CV. Adil Prima Perkasa")</f>
        <v>CV. Adil Prima Perkasa</v>
      </c>
      <c r="F384" s="52" t="str">
        <f>IFERROR(__xludf.DUMMYFUNCTION("""COMPUTED_VALUE"""),"DRIVER DT H500")</f>
        <v>DRIVER DT H500</v>
      </c>
      <c r="G384" s="52" t="str">
        <f>IFERROR(__xludf.DUMMYFUNCTION("""COMPUTED_VALUE"""),"KENDARAAN &amp; UNIT SUPPORT")</f>
        <v>KENDARAAN &amp; UNIT SUPPORT</v>
      </c>
      <c r="H384" s="52" t="str">
        <f>IFERROR(__xludf.DUMMYFUNCTION("""COMPUTED_VALUE"""),"[0102150004] NAFTALI RARE'A, ST")</f>
        <v>[0102150004] NAFTALI RARE'A, ST</v>
      </c>
      <c r="I384" s="52"/>
      <c r="J384" s="53" t="str">
        <f>IFERROR(__xludf.DUMMYFUNCTION("""COMPUTED_VALUE"""),"[204231754] REZKY TIKU PASANG")</f>
        <v>[204231754] REZKY TIKU PASANG</v>
      </c>
      <c r="K384" s="52"/>
      <c r="L384" s="52" t="str">
        <f t="shared" si="1"/>
        <v>#VALUE!</v>
      </c>
      <c r="M384" s="52"/>
      <c r="N384" s="52"/>
      <c r="O384" s="52"/>
      <c r="P384" s="52"/>
      <c r="Q384" s="52"/>
      <c r="R384" s="52"/>
      <c r="S384" s="52"/>
      <c r="T384" s="52"/>
      <c r="U384" s="52"/>
      <c r="V384" s="52"/>
      <c r="W384" s="52"/>
      <c r="X384" s="52"/>
      <c r="Y384" s="52"/>
      <c r="Z384" s="52"/>
    </row>
    <row r="385">
      <c r="A385" s="52">
        <f>IFERROR(__xludf.DUMMYFUNCTION("""COMPUTED_VALUE"""),1.06241943E8)</f>
        <v>106241943</v>
      </c>
      <c r="B385" s="52" t="str">
        <f>IFERROR(__xludf.DUMMYFUNCTION("""COMPUTED_VALUE"""),"RIANI LOBO")</f>
        <v>RIANI LOBO</v>
      </c>
      <c r="C385" s="52">
        <f>IFERROR(__xludf.DUMMYFUNCTION("""COMPUTED_VALUE"""),21.0)</f>
        <v>21</v>
      </c>
      <c r="D385" s="52" t="str">
        <f>IFERROR(__xludf.DUMMYFUNCTION("""COMPUTED_VALUE"""),"Kristen Protestan")</f>
        <v>Kristen Protestan</v>
      </c>
      <c r="E385" s="52" t="str">
        <f>IFERROR(__xludf.DUMMYFUNCTION("""COMPUTED_VALUE"""),"CV. SENTOSA ABADI")</f>
        <v>CV. SENTOSA ABADI</v>
      </c>
      <c r="F385" s="52" t="str">
        <f>IFERROR(__xludf.DUMMYFUNCTION("""COMPUTED_VALUE"""),"STOCKER")</f>
        <v>STOCKER</v>
      </c>
      <c r="G385" s="52" t="str">
        <f>IFERROR(__xludf.DUMMYFUNCTION("""COMPUTED_VALUE"""),"HRD &amp; GA")</f>
        <v>HRD &amp; GA</v>
      </c>
      <c r="H385" s="52" t="str">
        <f>IFERROR(__xludf.DUMMYFUNCTION("""COMPUTED_VALUE"""),"[0108191037] ERNIE FRISLIA")</f>
        <v>[0108191037] ERNIE FRISLIA</v>
      </c>
      <c r="I385" s="52"/>
      <c r="J385" s="53" t="str">
        <f>IFERROR(__xludf.DUMMYFUNCTION("""COMPUTED_VALUE"""),"[106241943] RIANI LOBO")</f>
        <v>[106241943] RIANI LOBO</v>
      </c>
      <c r="K385" s="52"/>
      <c r="L385" s="52" t="str">
        <f t="shared" si="1"/>
        <v>#VALUE!</v>
      </c>
      <c r="M385" s="52"/>
      <c r="N385" s="52"/>
      <c r="O385" s="52"/>
      <c r="P385" s="52"/>
      <c r="Q385" s="52"/>
      <c r="R385" s="52"/>
      <c r="S385" s="52"/>
      <c r="T385" s="52"/>
      <c r="U385" s="52"/>
      <c r="V385" s="52"/>
      <c r="W385" s="52"/>
      <c r="X385" s="52"/>
      <c r="Y385" s="52"/>
      <c r="Z385" s="52"/>
    </row>
    <row r="386">
      <c r="A386" s="52">
        <f>IFERROR(__xludf.DUMMYFUNCTION("""COMPUTED_VALUE"""),2.05211392E8)</f>
        <v>205211392</v>
      </c>
      <c r="B386" s="52" t="str">
        <f>IFERROR(__xludf.DUMMYFUNCTION("""COMPUTED_VALUE"""),"RIANSYAH RETY")</f>
        <v>RIANSYAH RETY</v>
      </c>
      <c r="C386" s="52">
        <f>IFERROR(__xludf.DUMMYFUNCTION("""COMPUTED_VALUE"""),39.0)</f>
        <v>39</v>
      </c>
      <c r="D386" s="52" t="str">
        <f>IFERROR(__xludf.DUMMYFUNCTION("""COMPUTED_VALUE"""),"Islam")</f>
        <v>Islam</v>
      </c>
      <c r="E386" s="52" t="str">
        <f>IFERROR(__xludf.DUMMYFUNCTION("""COMPUTED_VALUE"""),"CV. Adil Prima Perkasa")</f>
        <v>CV. Adil Prima Perkasa</v>
      </c>
      <c r="F386" s="52" t="str">
        <f>IFERROR(__xludf.DUMMYFUNCTION("""COMPUTED_VALUE"""),"OPERATOR EXCAVATOR")</f>
        <v>OPERATOR EXCAVATOR</v>
      </c>
      <c r="G386" s="52" t="str">
        <f>IFERROR(__xludf.DUMMYFUNCTION("""COMPUTED_VALUE"""),"PRODUKSI")</f>
        <v>PRODUKSI</v>
      </c>
      <c r="H386" s="52" t="str">
        <f>IFERROR(__xludf.DUMMYFUNCTION("""COMPUTED_VALUE"""),"[0102130003] PURNAWAN")</f>
        <v>[0102130003] PURNAWAN</v>
      </c>
      <c r="I386" s="55">
        <f>IFERROR(__xludf.DUMMYFUNCTION("""COMPUTED_VALUE"""),31514.0)</f>
        <v>31514</v>
      </c>
      <c r="J386" s="53" t="str">
        <f>IFERROR(__xludf.DUMMYFUNCTION("""COMPUTED_VALUE"""),"[205211392] RIANSYAH RETY")</f>
        <v>[205211392] RIANSYAH RETY</v>
      </c>
      <c r="K386" s="52"/>
      <c r="L386" s="52" t="str">
        <f t="shared" si="1"/>
        <v>#VALUE!</v>
      </c>
      <c r="M386" s="52"/>
      <c r="N386" s="52"/>
      <c r="O386" s="52"/>
      <c r="P386" s="52"/>
      <c r="Q386" s="52"/>
      <c r="R386" s="52"/>
      <c r="S386" s="52"/>
      <c r="T386" s="52"/>
      <c r="U386" s="52"/>
      <c r="V386" s="52"/>
      <c r="W386" s="52"/>
      <c r="X386" s="52"/>
      <c r="Y386" s="52"/>
      <c r="Z386" s="52"/>
    </row>
    <row r="387">
      <c r="A387" s="52">
        <f>IFERROR(__xludf.DUMMYFUNCTION("""COMPUTED_VALUE"""),2.05231765E8)</f>
        <v>205231765</v>
      </c>
      <c r="B387" s="52" t="str">
        <f>IFERROR(__xludf.DUMMYFUNCTION("""COMPUTED_VALUE"""),"RICHARD VALDO SADURI")</f>
        <v>RICHARD VALDO SADURI</v>
      </c>
      <c r="C387" s="52">
        <f>IFERROR(__xludf.DUMMYFUNCTION("""COMPUTED_VALUE"""),33.0)</f>
        <v>33</v>
      </c>
      <c r="D387" s="52" t="str">
        <f>IFERROR(__xludf.DUMMYFUNCTION("""COMPUTED_VALUE"""),"Kristen Protestan")</f>
        <v>Kristen Protestan</v>
      </c>
      <c r="E387" s="52" t="str">
        <f>IFERROR(__xludf.DUMMYFUNCTION("""COMPUTED_VALUE"""),"CV. Adil Prima Perkasa")</f>
        <v>CV. Adil Prima Perkasa</v>
      </c>
      <c r="F387" s="52" t="str">
        <f>IFERROR(__xludf.DUMMYFUNCTION("""COMPUTED_VALUE"""),"DRIVER DT H700ZS")</f>
        <v>DRIVER DT H700ZS</v>
      </c>
      <c r="G387" s="52" t="str">
        <f>IFERROR(__xludf.DUMMYFUNCTION("""COMPUTED_VALUE"""),"KENDARAAN &amp; UNIT SUPPORT")</f>
        <v>KENDARAAN &amp; UNIT SUPPORT</v>
      </c>
      <c r="H387" s="52" t="str">
        <f>IFERROR(__xludf.DUMMYFUNCTION("""COMPUTED_VALUE"""),"[0102150004] NAFTALI RARE'A, ST")</f>
        <v>[0102150004] NAFTALI RARE'A, ST</v>
      </c>
      <c r="I387" s="52"/>
      <c r="J387" s="53" t="str">
        <f>IFERROR(__xludf.DUMMYFUNCTION("""COMPUTED_VALUE"""),"[205231765] RICHARD VALDO SADURI")</f>
        <v>[205231765] RICHARD VALDO SADURI</v>
      </c>
      <c r="K387" s="52"/>
      <c r="L387" s="52" t="str">
        <f t="shared" si="1"/>
        <v>#VALUE!</v>
      </c>
      <c r="M387" s="52"/>
      <c r="N387" s="52"/>
      <c r="O387" s="52"/>
      <c r="P387" s="52"/>
      <c r="Q387" s="52"/>
      <c r="R387" s="52"/>
      <c r="S387" s="52"/>
      <c r="T387" s="52"/>
      <c r="U387" s="52"/>
      <c r="V387" s="52"/>
      <c r="W387" s="52"/>
      <c r="X387" s="52"/>
      <c r="Y387" s="52"/>
      <c r="Z387" s="52"/>
    </row>
    <row r="388">
      <c r="A388" s="52">
        <f>IFERROR(__xludf.DUMMYFUNCTION("""COMPUTED_VALUE"""),2.06241937E8)</f>
        <v>206241937</v>
      </c>
      <c r="B388" s="52" t="str">
        <f>IFERROR(__xludf.DUMMYFUNCTION("""COMPUTED_VALUE"""),"RICKO KURNIAWAN TOII")</f>
        <v>RICKO KURNIAWAN TOII</v>
      </c>
      <c r="C388" s="52">
        <f>IFERROR(__xludf.DUMMYFUNCTION("""COMPUTED_VALUE"""),22.0)</f>
        <v>22</v>
      </c>
      <c r="D388" s="52" t="str">
        <f>IFERROR(__xludf.DUMMYFUNCTION("""COMPUTED_VALUE"""),"Kristen Protestan")</f>
        <v>Kristen Protestan</v>
      </c>
      <c r="E388" s="52" t="str">
        <f>IFERROR(__xludf.DUMMYFUNCTION("""COMPUTED_VALUE"""),"CV. Adil Prima Perkasa")</f>
        <v>CV. Adil Prima Perkasa</v>
      </c>
      <c r="F388" s="52" t="str">
        <f>IFERROR(__xludf.DUMMYFUNCTION("""COMPUTED_VALUE"""),"SECURITY")</f>
        <v>SECURITY</v>
      </c>
      <c r="G388" s="52" t="str">
        <f>IFERROR(__xludf.DUMMYFUNCTION("""COMPUTED_VALUE"""),"HRD &amp; GA")</f>
        <v>HRD &amp; GA</v>
      </c>
      <c r="H388" s="52" t="str">
        <f>IFERROR(__xludf.DUMMYFUNCTION("""COMPUTED_VALUE"""),"[0108191037] ERNIE FRISLIA")</f>
        <v>[0108191037] ERNIE FRISLIA</v>
      </c>
      <c r="I388" s="52"/>
      <c r="J388" s="53" t="str">
        <f>IFERROR(__xludf.DUMMYFUNCTION("""COMPUTED_VALUE"""),"[206241937] RICKO KURNIAWAN TOII")</f>
        <v>[206241937] RICKO KURNIAWAN TOII</v>
      </c>
      <c r="K388" s="52"/>
      <c r="L388" s="52" t="str">
        <f t="shared" si="1"/>
        <v>#VALUE!</v>
      </c>
      <c r="M388" s="52"/>
      <c r="N388" s="52"/>
      <c r="O388" s="52"/>
      <c r="P388" s="52"/>
      <c r="Q388" s="52"/>
      <c r="R388" s="52"/>
      <c r="S388" s="52"/>
      <c r="T388" s="52"/>
      <c r="U388" s="52"/>
      <c r="V388" s="52"/>
      <c r="W388" s="52"/>
      <c r="X388" s="52"/>
      <c r="Y388" s="52"/>
      <c r="Z388" s="52"/>
    </row>
    <row r="389">
      <c r="A389" s="52">
        <f>IFERROR(__xludf.DUMMYFUNCTION("""COMPUTED_VALUE"""),2.11211535E8)</f>
        <v>211211535</v>
      </c>
      <c r="B389" s="52" t="str">
        <f>IFERROR(__xludf.DUMMYFUNCTION("""COMPUTED_VALUE"""),"RIDWAN SITUJU")</f>
        <v>RIDWAN SITUJU</v>
      </c>
      <c r="C389" s="52">
        <f>IFERROR(__xludf.DUMMYFUNCTION("""COMPUTED_VALUE"""),51.0)</f>
        <v>51</v>
      </c>
      <c r="D389" s="52" t="str">
        <f>IFERROR(__xludf.DUMMYFUNCTION("""COMPUTED_VALUE"""),"Islam")</f>
        <v>Islam</v>
      </c>
      <c r="E389" s="52" t="str">
        <f>IFERROR(__xludf.DUMMYFUNCTION("""COMPUTED_VALUE"""),"CV. Adil Prima Perkasa")</f>
        <v>CV. Adil Prima Perkasa</v>
      </c>
      <c r="F389" s="52" t="str">
        <f>IFERROR(__xludf.DUMMYFUNCTION("""COMPUTED_VALUE"""),"OPERATOR ADT")</f>
        <v>OPERATOR ADT</v>
      </c>
      <c r="G389" s="52" t="str">
        <f>IFERROR(__xludf.DUMMYFUNCTION("""COMPUTED_VALUE"""),"PRODUKSI")</f>
        <v>PRODUKSI</v>
      </c>
      <c r="H389" s="52" t="str">
        <f>IFERROR(__xludf.DUMMYFUNCTION("""COMPUTED_VALUE"""),"[0102130003] PURNAWAN")</f>
        <v>[0102130003] PURNAWAN</v>
      </c>
      <c r="I389" s="55">
        <f>IFERROR(__xludf.DUMMYFUNCTION("""COMPUTED_VALUE"""),26436.0)</f>
        <v>26436</v>
      </c>
      <c r="J389" s="53" t="str">
        <f>IFERROR(__xludf.DUMMYFUNCTION("""COMPUTED_VALUE"""),"[211211535] RIDWAN SITUJU")</f>
        <v>[211211535] RIDWAN SITUJU</v>
      </c>
      <c r="K389" s="52"/>
      <c r="L389" s="52" t="str">
        <f t="shared" si="1"/>
        <v>#VALUE!</v>
      </c>
      <c r="M389" s="52"/>
      <c r="N389" s="52"/>
      <c r="O389" s="52"/>
      <c r="P389" s="52"/>
      <c r="Q389" s="52"/>
      <c r="R389" s="52"/>
      <c r="S389" s="52"/>
      <c r="T389" s="52"/>
      <c r="U389" s="52"/>
      <c r="V389" s="52"/>
      <c r="W389" s="52"/>
      <c r="X389" s="52"/>
      <c r="Y389" s="52"/>
      <c r="Z389" s="52"/>
    </row>
    <row r="390">
      <c r="A390" s="52">
        <f>IFERROR(__xludf.DUMMYFUNCTION("""COMPUTED_VALUE"""),1.09191073E8)</f>
        <v>109191073</v>
      </c>
      <c r="B390" s="52" t="str">
        <f>IFERROR(__xludf.DUMMYFUNCTION("""COMPUTED_VALUE"""),"RIFKI RUSMANTO LAPANDI")</f>
        <v>RIFKI RUSMANTO LAPANDI</v>
      </c>
      <c r="C390" s="52">
        <f>IFERROR(__xludf.DUMMYFUNCTION("""COMPUTED_VALUE"""),32.0)</f>
        <v>32</v>
      </c>
      <c r="D390" s="52" t="str">
        <f>IFERROR(__xludf.DUMMYFUNCTION("""COMPUTED_VALUE"""),"Kristen Protestan")</f>
        <v>Kristen Protestan</v>
      </c>
      <c r="E390" s="52" t="str">
        <f>IFERROR(__xludf.DUMMYFUNCTION("""COMPUTED_VALUE"""),"CV. SENTOSA ABADI")</f>
        <v>CV. SENTOSA ABADI</v>
      </c>
      <c r="F390" s="52" t="str">
        <f>IFERROR(__xludf.DUMMYFUNCTION("""COMPUTED_VALUE"""),"HELPER WELDER")</f>
        <v>HELPER WELDER</v>
      </c>
      <c r="G390" s="52" t="str">
        <f>IFERROR(__xludf.DUMMYFUNCTION("""COMPUTED_VALUE"""),"WORKSHOP")</f>
        <v>WORKSHOP</v>
      </c>
      <c r="H390" s="52" t="str">
        <f>IFERROR(__xludf.DUMMYFUNCTION("""COMPUTED_VALUE"""),"[0106190928] NATAN KONDO")</f>
        <v>[0106190928] NATAN KONDO</v>
      </c>
      <c r="I390" s="52"/>
      <c r="J390" s="53" t="str">
        <f>IFERROR(__xludf.DUMMYFUNCTION("""COMPUTED_VALUE"""),"[109191073] RIFKI RUSMANTO LAPANDI")</f>
        <v>[109191073] RIFKI RUSMANTO LAPANDI</v>
      </c>
      <c r="K390" s="52"/>
      <c r="L390" s="52" t="str">
        <f t="shared" si="1"/>
        <v>#VALUE!</v>
      </c>
      <c r="M390" s="52"/>
      <c r="N390" s="52"/>
      <c r="O390" s="52"/>
      <c r="P390" s="52"/>
      <c r="Q390" s="52"/>
      <c r="R390" s="52"/>
      <c r="S390" s="52"/>
      <c r="T390" s="52"/>
      <c r="U390" s="52"/>
      <c r="V390" s="52"/>
      <c r="W390" s="52"/>
      <c r="X390" s="52"/>
      <c r="Y390" s="52"/>
      <c r="Z390" s="52"/>
    </row>
    <row r="391">
      <c r="A391" s="52">
        <f>IFERROR(__xludf.DUMMYFUNCTION("""COMPUTED_VALUE"""),2.01231716E8)</f>
        <v>201231716</v>
      </c>
      <c r="B391" s="52" t="str">
        <f>IFERROR(__xludf.DUMMYFUNCTION("""COMPUTED_VALUE"""),"RIKARDUS NOGOR")</f>
        <v>RIKARDUS NOGOR</v>
      </c>
      <c r="C391" s="52">
        <f>IFERROR(__xludf.DUMMYFUNCTION("""COMPUTED_VALUE"""),39.0)</f>
        <v>39</v>
      </c>
      <c r="D391" s="52" t="str">
        <f>IFERROR(__xludf.DUMMYFUNCTION("""COMPUTED_VALUE"""),"Kristen Khatolik")</f>
        <v>Kristen Khatolik</v>
      </c>
      <c r="E391" s="52" t="str">
        <f>IFERROR(__xludf.DUMMYFUNCTION("""COMPUTED_VALUE"""),"CV. Adil Prima Perkasa")</f>
        <v>CV. Adil Prima Perkasa</v>
      </c>
      <c r="F391" s="52" t="str">
        <f>IFERROR(__xludf.DUMMYFUNCTION("""COMPUTED_VALUE"""),"ASISTEN FOREMAN KENDARAAN")</f>
        <v>ASISTEN FOREMAN KENDARAAN</v>
      </c>
      <c r="G391" s="52" t="str">
        <f>IFERROR(__xludf.DUMMYFUNCTION("""COMPUTED_VALUE"""),"KENDARAAN &amp; UNIT SUPPORT")</f>
        <v>KENDARAAN &amp; UNIT SUPPORT</v>
      </c>
      <c r="H391" s="52" t="str">
        <f>IFERROR(__xludf.DUMMYFUNCTION("""COMPUTED_VALUE"""),"[0102150004] NAFTALI RARE'A, ST")</f>
        <v>[0102150004] NAFTALI RARE'A, ST</v>
      </c>
      <c r="I391" s="55">
        <f>IFERROR(__xludf.DUMMYFUNCTION("""COMPUTED_VALUE"""),33028.0)</f>
        <v>33028</v>
      </c>
      <c r="J391" s="53" t="str">
        <f>IFERROR(__xludf.DUMMYFUNCTION("""COMPUTED_VALUE"""),"[201231716] RIKARDUS NOGOR")</f>
        <v>[201231716] RIKARDUS NOGOR</v>
      </c>
      <c r="K391" s="52"/>
      <c r="L391" s="52" t="str">
        <f t="shared" si="1"/>
        <v>#VALUE!</v>
      </c>
      <c r="M391" s="52"/>
      <c r="N391" s="52"/>
      <c r="O391" s="52"/>
      <c r="P391" s="52"/>
      <c r="Q391" s="52"/>
      <c r="R391" s="52"/>
      <c r="S391" s="52"/>
      <c r="T391" s="52"/>
      <c r="U391" s="52"/>
      <c r="V391" s="52"/>
      <c r="W391" s="52"/>
      <c r="X391" s="52"/>
      <c r="Y391" s="52"/>
      <c r="Z391" s="52"/>
    </row>
    <row r="392">
      <c r="A392" s="52">
        <f>IFERROR(__xludf.DUMMYFUNCTION("""COMPUTED_VALUE"""),2.03241892E8)</f>
        <v>203241892</v>
      </c>
      <c r="B392" s="52" t="str">
        <f>IFERROR(__xludf.DUMMYFUNCTION("""COMPUTED_VALUE"""),"RIKI ISMANTO")</f>
        <v>RIKI ISMANTO</v>
      </c>
      <c r="C392" s="52">
        <f>IFERROR(__xludf.DUMMYFUNCTION("""COMPUTED_VALUE"""),0.0)</f>
        <v>0</v>
      </c>
      <c r="D392" s="52"/>
      <c r="E392" s="52" t="str">
        <f>IFERROR(__xludf.DUMMYFUNCTION("""COMPUTED_VALUE"""),"CV. Adil Prima Perkasa")</f>
        <v>CV. Adil Prima Perkasa</v>
      </c>
      <c r="F392" s="52" t="str">
        <f>IFERROR(__xludf.DUMMYFUNCTION("""COMPUTED_VALUE"""),"DRIVER LV")</f>
        <v>DRIVER LV</v>
      </c>
      <c r="G392" s="52" t="str">
        <f>IFERROR(__xludf.DUMMYFUNCTION("""COMPUTED_VALUE"""),"KENDARAAN &amp; UNIT SUPPORT")</f>
        <v>KENDARAAN &amp; UNIT SUPPORT</v>
      </c>
      <c r="H392" s="52" t="str">
        <f>IFERROR(__xludf.DUMMYFUNCTION("""COMPUTED_VALUE"""),"[0102150004] NAFTALI RARE'A, ST")</f>
        <v>[0102150004] NAFTALI RARE'A, ST</v>
      </c>
      <c r="I392" s="52"/>
      <c r="J392" s="53" t="str">
        <f>IFERROR(__xludf.DUMMYFUNCTION("""COMPUTED_VALUE"""),"[203241892] RIKI ISMANTO")</f>
        <v>[203241892] RIKI ISMANTO</v>
      </c>
      <c r="K392" s="52"/>
      <c r="L392" s="52" t="str">
        <f t="shared" si="1"/>
        <v>#VALUE!</v>
      </c>
      <c r="M392" s="52"/>
      <c r="N392" s="52"/>
      <c r="O392" s="52"/>
      <c r="P392" s="52"/>
      <c r="Q392" s="52"/>
      <c r="R392" s="52"/>
      <c r="S392" s="52"/>
      <c r="T392" s="52"/>
      <c r="U392" s="52"/>
      <c r="V392" s="52"/>
      <c r="W392" s="52"/>
      <c r="X392" s="52"/>
      <c r="Y392" s="52"/>
      <c r="Z392" s="52"/>
    </row>
    <row r="393">
      <c r="A393" s="52">
        <f>IFERROR(__xludf.DUMMYFUNCTION("""COMPUTED_VALUE"""),1.0715001E8)</f>
        <v>107150010</v>
      </c>
      <c r="B393" s="52" t="str">
        <f>IFERROR(__xludf.DUMMYFUNCTION("""COMPUTED_VALUE"""),"RINI PALINGGI,ST")</f>
        <v>RINI PALINGGI,ST</v>
      </c>
      <c r="C393" s="52">
        <f>IFERROR(__xludf.DUMMYFUNCTION("""COMPUTED_VALUE"""),33.0)</f>
        <v>33</v>
      </c>
      <c r="D393" s="52" t="str">
        <f>IFERROR(__xludf.DUMMYFUNCTION("""COMPUTED_VALUE"""),"Kristen Protestan")</f>
        <v>Kristen Protestan</v>
      </c>
      <c r="E393" s="52" t="str">
        <f>IFERROR(__xludf.DUMMYFUNCTION("""COMPUTED_VALUE"""),"CV. SENTOSA ABADI")</f>
        <v>CV. SENTOSA ABADI</v>
      </c>
      <c r="F393" s="52" t="str">
        <f>IFERROR(__xludf.DUMMYFUNCTION("""COMPUTED_VALUE"""),"MAINTENANCE PLANNER")</f>
        <v>MAINTENANCE PLANNER</v>
      </c>
      <c r="G393" s="52" t="str">
        <f>IFERROR(__xludf.DUMMYFUNCTION("""COMPUTED_VALUE"""),"WORKSHOP")</f>
        <v>WORKSHOP</v>
      </c>
      <c r="H393" s="52" t="str">
        <f>IFERROR(__xludf.DUMMYFUNCTION("""COMPUTED_VALUE"""),"[0106190928] NATAN KONDO")</f>
        <v>[0106190928] NATAN KONDO</v>
      </c>
      <c r="I393" s="55">
        <f>IFERROR(__xludf.DUMMYFUNCTION("""COMPUTED_VALUE"""),32994.0)</f>
        <v>32994</v>
      </c>
      <c r="J393" s="53" t="str">
        <f>IFERROR(__xludf.DUMMYFUNCTION("""COMPUTED_VALUE"""),"[107150010] RINI PALINGGI,ST")</f>
        <v>[107150010] RINI PALINGGI,ST</v>
      </c>
      <c r="K393" s="52"/>
      <c r="L393" s="52" t="str">
        <f t="shared" si="1"/>
        <v>#VALUE!</v>
      </c>
      <c r="M393" s="52"/>
      <c r="N393" s="52"/>
      <c r="O393" s="52"/>
      <c r="P393" s="52"/>
      <c r="Q393" s="52"/>
      <c r="R393" s="52"/>
      <c r="S393" s="52"/>
      <c r="T393" s="52"/>
      <c r="U393" s="52"/>
      <c r="V393" s="52"/>
      <c r="W393" s="52"/>
      <c r="X393" s="52"/>
      <c r="Y393" s="52"/>
      <c r="Z393" s="52"/>
    </row>
    <row r="394">
      <c r="A394" s="52">
        <f>IFERROR(__xludf.DUMMYFUNCTION("""COMPUTED_VALUE"""),1.12231865E8)</f>
        <v>112231865</v>
      </c>
      <c r="B394" s="52" t="str">
        <f>IFERROR(__xludf.DUMMYFUNCTION("""COMPUTED_VALUE"""),"RINO OKTAFIANUS TIBE")</f>
        <v>RINO OKTAFIANUS TIBE</v>
      </c>
      <c r="C394" s="52">
        <f>IFERROR(__xludf.DUMMYFUNCTION("""COMPUTED_VALUE"""),0.0)</f>
        <v>0</v>
      </c>
      <c r="D394" s="52"/>
      <c r="E394" s="52" t="str">
        <f>IFERROR(__xludf.DUMMYFUNCTION("""COMPUTED_VALUE"""),"CV. SENTOSA ABADI")</f>
        <v>CV. SENTOSA ABADI</v>
      </c>
      <c r="F394" s="52" t="str">
        <f>IFERROR(__xludf.DUMMYFUNCTION("""COMPUTED_VALUE"""),"DRIVER DT H500")</f>
        <v>DRIVER DT H500</v>
      </c>
      <c r="G394" s="52" t="str">
        <f>IFERROR(__xludf.DUMMYFUNCTION("""COMPUTED_VALUE"""),"KENDARAAN &amp; UNIT SUPPORT")</f>
        <v>KENDARAAN &amp; UNIT SUPPORT</v>
      </c>
      <c r="H394" s="52" t="str">
        <f>IFERROR(__xludf.DUMMYFUNCTION("""COMPUTED_VALUE"""),"[0102150004] NAFTALI RARE'A, ST")</f>
        <v>[0102150004] NAFTALI RARE'A, ST</v>
      </c>
      <c r="I394" s="52"/>
      <c r="J394" s="53" t="str">
        <f>IFERROR(__xludf.DUMMYFUNCTION("""COMPUTED_VALUE"""),"[112231865] RINO OKTAFIANUS TIBE")</f>
        <v>[112231865] RINO OKTAFIANUS TIBE</v>
      </c>
      <c r="K394" s="52"/>
      <c r="L394" s="52" t="str">
        <f t="shared" si="1"/>
        <v>#VALUE!</v>
      </c>
      <c r="M394" s="52"/>
      <c r="N394" s="52"/>
      <c r="O394" s="52"/>
      <c r="P394" s="52"/>
      <c r="Q394" s="52"/>
      <c r="R394" s="52"/>
      <c r="S394" s="52"/>
      <c r="T394" s="52"/>
      <c r="U394" s="52"/>
      <c r="V394" s="52"/>
      <c r="W394" s="52"/>
      <c r="X394" s="52"/>
      <c r="Y394" s="52"/>
      <c r="Z394" s="52"/>
    </row>
    <row r="395">
      <c r="A395" s="52">
        <f>IFERROR(__xludf.DUMMYFUNCTION("""COMPUTED_VALUE"""),2.02231722E8)</f>
        <v>202231722</v>
      </c>
      <c r="B395" s="52" t="str">
        <f>IFERROR(__xludf.DUMMYFUNCTION("""COMPUTED_VALUE"""),"RISFAL")</f>
        <v>RISFAL</v>
      </c>
      <c r="C395" s="52">
        <f>IFERROR(__xludf.DUMMYFUNCTION("""COMPUTED_VALUE"""),36.0)</f>
        <v>36</v>
      </c>
      <c r="D395" s="52" t="str">
        <f>IFERROR(__xludf.DUMMYFUNCTION("""COMPUTED_VALUE"""),"Islam")</f>
        <v>Islam</v>
      </c>
      <c r="E395" s="52" t="str">
        <f>IFERROR(__xludf.DUMMYFUNCTION("""COMPUTED_VALUE"""),"CV. Adil Prima Perkasa")</f>
        <v>CV. Adil Prima Perkasa</v>
      </c>
      <c r="F395" s="52" t="str">
        <f>IFERROR(__xludf.DUMMYFUNCTION("""COMPUTED_VALUE"""),"DRIVER DT H700ZY")</f>
        <v>DRIVER DT H700ZY</v>
      </c>
      <c r="G395" s="52" t="str">
        <f>IFERROR(__xludf.DUMMYFUNCTION("""COMPUTED_VALUE"""),"KENDARAAN &amp; UNIT SUPPORT")</f>
        <v>KENDARAAN &amp; UNIT SUPPORT</v>
      </c>
      <c r="H395" s="52" t="str">
        <f>IFERROR(__xludf.DUMMYFUNCTION("""COMPUTED_VALUE"""),"[0102150004] NAFTALI RARE'A, ST")</f>
        <v>[0102150004] NAFTALI RARE'A, ST</v>
      </c>
      <c r="I395" s="55">
        <f>IFERROR(__xludf.DUMMYFUNCTION("""COMPUTED_VALUE"""),35635.0)</f>
        <v>35635</v>
      </c>
      <c r="J395" s="53" t="str">
        <f>IFERROR(__xludf.DUMMYFUNCTION("""COMPUTED_VALUE"""),"[202231722] RISFAL")</f>
        <v>[202231722] RISFAL</v>
      </c>
      <c r="K395" s="52"/>
      <c r="L395" s="52" t="str">
        <f t="shared" si="1"/>
        <v>#VALUE!</v>
      </c>
      <c r="M395" s="52"/>
      <c r="N395" s="52"/>
      <c r="O395" s="52"/>
      <c r="P395" s="52"/>
      <c r="Q395" s="52"/>
      <c r="R395" s="52"/>
      <c r="S395" s="52"/>
      <c r="T395" s="52"/>
      <c r="U395" s="52"/>
      <c r="V395" s="52"/>
      <c r="W395" s="52"/>
      <c r="X395" s="52"/>
      <c r="Y395" s="52"/>
      <c r="Z395" s="52"/>
    </row>
    <row r="396">
      <c r="A396" s="52">
        <f>IFERROR(__xludf.DUMMYFUNCTION("""COMPUTED_VALUE"""),3.02230108E8)</f>
        <v>302230108</v>
      </c>
      <c r="B396" s="52" t="str">
        <f>IFERROR(__xludf.DUMMYFUNCTION("""COMPUTED_VALUE"""),"RISKI S. RAJULAINI P.")</f>
        <v>RISKI S. RAJULAINI P.</v>
      </c>
      <c r="C396" s="52">
        <f>IFERROR(__xludf.DUMMYFUNCTION("""COMPUTED_VALUE"""),23.0)</f>
        <v>23</v>
      </c>
      <c r="D396" s="52" t="str">
        <f>IFERROR(__xludf.DUMMYFUNCTION("""COMPUTED_VALUE"""),"Islam")</f>
        <v>Islam</v>
      </c>
      <c r="E396" s="52" t="str">
        <f>IFERROR(__xludf.DUMMYFUNCTION("""COMPUTED_VALUE"""),"CV. Monalisa")</f>
        <v>CV. Monalisa</v>
      </c>
      <c r="F396" s="52" t="str">
        <f>IFERROR(__xludf.DUMMYFUNCTION("""COMPUTED_VALUE"""),"SECURITY")</f>
        <v>SECURITY</v>
      </c>
      <c r="G396" s="52" t="str">
        <f>IFERROR(__xludf.DUMMYFUNCTION("""COMPUTED_VALUE"""),"HRD &amp; GA")</f>
        <v>HRD &amp; GA</v>
      </c>
      <c r="H396" s="52" t="str">
        <f>IFERROR(__xludf.DUMMYFUNCTION("""COMPUTED_VALUE"""),"FALSE")</f>
        <v>FALSE</v>
      </c>
      <c r="I396" s="52"/>
      <c r="J396" s="53" t="str">
        <f>IFERROR(__xludf.DUMMYFUNCTION("""COMPUTED_VALUE"""),"[302230108] RISKI S. RAJULAINI P.")</f>
        <v>[302230108] RISKI S. RAJULAINI P.</v>
      </c>
      <c r="K396" s="52"/>
      <c r="L396" s="52" t="str">
        <f t="shared" si="1"/>
        <v>#VALUE!</v>
      </c>
      <c r="M396" s="52"/>
      <c r="N396" s="52"/>
      <c r="O396" s="52"/>
      <c r="P396" s="52"/>
      <c r="Q396" s="52"/>
      <c r="R396" s="52"/>
      <c r="S396" s="52"/>
      <c r="T396" s="52"/>
      <c r="U396" s="52"/>
      <c r="V396" s="52"/>
      <c r="W396" s="52"/>
      <c r="X396" s="52"/>
      <c r="Y396" s="52"/>
      <c r="Z396" s="52"/>
    </row>
    <row r="397">
      <c r="A397" s="52">
        <f>IFERROR(__xludf.DUMMYFUNCTION("""COMPUTED_VALUE"""),2.07231795E8)</f>
        <v>207231795</v>
      </c>
      <c r="B397" s="52" t="str">
        <f>IFERROR(__xludf.DUMMYFUNCTION("""COMPUTED_VALUE"""),"RIYAN")</f>
        <v>RIYAN</v>
      </c>
      <c r="C397" s="52">
        <f>IFERROR(__xludf.DUMMYFUNCTION("""COMPUTED_VALUE"""),26.0)</f>
        <v>26</v>
      </c>
      <c r="D397" s="52" t="str">
        <f>IFERROR(__xludf.DUMMYFUNCTION("""COMPUTED_VALUE"""),"Islam")</f>
        <v>Islam</v>
      </c>
      <c r="E397" s="52" t="str">
        <f>IFERROR(__xludf.DUMMYFUNCTION("""COMPUTED_VALUE"""),"CV. Adil Prima Perkasa")</f>
        <v>CV. Adil Prima Perkasa</v>
      </c>
      <c r="F397" s="52" t="str">
        <f>IFERROR(__xludf.DUMMYFUNCTION("""COMPUTED_VALUE"""),"OPERATOR LOADER")</f>
        <v>OPERATOR LOADER</v>
      </c>
      <c r="G397" s="52" t="str">
        <f>IFERROR(__xludf.DUMMYFUNCTION("""COMPUTED_VALUE"""),"PRODUKSI")</f>
        <v>PRODUKSI</v>
      </c>
      <c r="H397" s="52" t="str">
        <f>IFERROR(__xludf.DUMMYFUNCTION("""COMPUTED_VALUE"""),"[0102130003] PURNAWAN")</f>
        <v>[0102130003] PURNAWAN</v>
      </c>
      <c r="I397" s="55">
        <f>IFERROR(__xludf.DUMMYFUNCTION("""COMPUTED_VALUE"""),35677.0)</f>
        <v>35677</v>
      </c>
      <c r="J397" s="53" t="str">
        <f>IFERROR(__xludf.DUMMYFUNCTION("""COMPUTED_VALUE"""),"[207231795] RIYAN")</f>
        <v>[207231795] RIYAN</v>
      </c>
      <c r="K397" s="52"/>
      <c r="L397" s="52" t="str">
        <f t="shared" si="1"/>
        <v>#VALUE!</v>
      </c>
      <c r="M397" s="52"/>
      <c r="N397" s="52"/>
      <c r="O397" s="52"/>
      <c r="P397" s="52"/>
      <c r="Q397" s="52"/>
      <c r="R397" s="52"/>
      <c r="S397" s="52"/>
      <c r="T397" s="52"/>
      <c r="U397" s="52"/>
      <c r="V397" s="52"/>
      <c r="W397" s="52"/>
      <c r="X397" s="52"/>
      <c r="Y397" s="52"/>
      <c r="Z397" s="52"/>
    </row>
    <row r="398">
      <c r="A398" s="52">
        <f>IFERROR(__xludf.DUMMYFUNCTION("""COMPUTED_VALUE"""),2.12231871E8)</f>
        <v>212231871</v>
      </c>
      <c r="B398" s="52" t="str">
        <f>IFERROR(__xludf.DUMMYFUNCTION("""COMPUTED_VALUE"""),"RIZALDI")</f>
        <v>RIZALDI</v>
      </c>
      <c r="C398" s="52">
        <f>IFERROR(__xludf.DUMMYFUNCTION("""COMPUTED_VALUE"""),0.0)</f>
        <v>0</v>
      </c>
      <c r="D398" s="52"/>
      <c r="E398" s="52" t="str">
        <f>IFERROR(__xludf.DUMMYFUNCTION("""COMPUTED_VALUE"""),"CV. Adil Prima Perkasa")</f>
        <v>CV. Adil Prima Perkasa</v>
      </c>
      <c r="F398" s="52" t="str">
        <f>IFERROR(__xludf.DUMMYFUNCTION("""COMPUTED_VALUE"""),"DRIVER DT H500")</f>
        <v>DRIVER DT H500</v>
      </c>
      <c r="G398" s="52" t="str">
        <f>IFERROR(__xludf.DUMMYFUNCTION("""COMPUTED_VALUE"""),"KENDARAAN &amp; UNIT SUPPORT")</f>
        <v>KENDARAAN &amp; UNIT SUPPORT</v>
      </c>
      <c r="H398" s="52" t="str">
        <f>IFERROR(__xludf.DUMMYFUNCTION("""COMPUTED_VALUE"""),"[0102150004] NAFTALI RARE'A, ST")</f>
        <v>[0102150004] NAFTALI RARE'A, ST</v>
      </c>
      <c r="I398" s="52"/>
      <c r="J398" s="53" t="str">
        <f>IFERROR(__xludf.DUMMYFUNCTION("""COMPUTED_VALUE"""),"[212231871] RIZALDI")</f>
        <v>[212231871] RIZALDI</v>
      </c>
      <c r="K398" s="52"/>
      <c r="L398" s="52" t="str">
        <f t="shared" si="1"/>
        <v>#VALUE!</v>
      </c>
      <c r="M398" s="52"/>
      <c r="N398" s="52"/>
      <c r="O398" s="52"/>
      <c r="P398" s="52"/>
      <c r="Q398" s="52"/>
      <c r="R398" s="52"/>
      <c r="S398" s="52"/>
      <c r="T398" s="52"/>
      <c r="U398" s="52"/>
      <c r="V398" s="52"/>
      <c r="W398" s="52"/>
      <c r="X398" s="52"/>
      <c r="Y398" s="52"/>
      <c r="Z398" s="52"/>
    </row>
    <row r="399">
      <c r="A399" s="52">
        <f>IFERROR(__xludf.DUMMYFUNCTION("""COMPUTED_VALUE"""),2.08191035E8)</f>
        <v>208191035</v>
      </c>
      <c r="B399" s="52" t="str">
        <f>IFERROR(__xludf.DUMMYFUNCTION("""COMPUTED_VALUE"""),"ROBITUS NAMAT")</f>
        <v>ROBITUS NAMAT</v>
      </c>
      <c r="C399" s="52">
        <f>IFERROR(__xludf.DUMMYFUNCTION("""COMPUTED_VALUE"""),27.0)</f>
        <v>27</v>
      </c>
      <c r="D399" s="52" t="str">
        <f>IFERROR(__xludf.DUMMYFUNCTION("""COMPUTED_VALUE"""),"Kristen Khatolik")</f>
        <v>Kristen Khatolik</v>
      </c>
      <c r="E399" s="52" t="str">
        <f>IFERROR(__xludf.DUMMYFUNCTION("""COMPUTED_VALUE"""),"CV. Adil Prima Perkasa")</f>
        <v>CV. Adil Prima Perkasa</v>
      </c>
      <c r="F399" s="52" t="str">
        <f>IFERROR(__xludf.DUMMYFUNCTION("""COMPUTED_VALUE"""),"OPERATOR EXCAVATOR")</f>
        <v>OPERATOR EXCAVATOR</v>
      </c>
      <c r="G399" s="52" t="str">
        <f>IFERROR(__xludf.DUMMYFUNCTION("""COMPUTED_VALUE"""),"WORKSHOP")</f>
        <v>WORKSHOP</v>
      </c>
      <c r="H399" s="52" t="str">
        <f>IFERROR(__xludf.DUMMYFUNCTION("""COMPUTED_VALUE"""),"[0106190928] NATAN KONDO")</f>
        <v>[0106190928] NATAN KONDO</v>
      </c>
      <c r="I399" s="52"/>
      <c r="J399" s="53" t="str">
        <f>IFERROR(__xludf.DUMMYFUNCTION("""COMPUTED_VALUE"""),"[208191035] ROBITUS NAMAT")</f>
        <v>[208191035] ROBITUS NAMAT</v>
      </c>
      <c r="K399" s="52"/>
      <c r="L399" s="52" t="str">
        <f t="shared" si="1"/>
        <v>#VALUE!</v>
      </c>
      <c r="M399" s="52"/>
      <c r="N399" s="52"/>
      <c r="O399" s="52"/>
      <c r="P399" s="52"/>
      <c r="Q399" s="52"/>
      <c r="R399" s="52"/>
      <c r="S399" s="52"/>
      <c r="T399" s="52"/>
      <c r="U399" s="52"/>
      <c r="V399" s="52"/>
      <c r="W399" s="52"/>
      <c r="X399" s="52"/>
      <c r="Y399" s="52"/>
      <c r="Z399" s="52"/>
    </row>
    <row r="400">
      <c r="A400" s="52">
        <f>IFERROR(__xludf.DUMMYFUNCTION("""COMPUTED_VALUE"""),2.04231752E8)</f>
        <v>204231752</v>
      </c>
      <c r="B400" s="52" t="str">
        <f>IFERROR(__xludf.DUMMYFUNCTION("""COMPUTED_VALUE"""),"ROFIK")</f>
        <v>ROFIK</v>
      </c>
      <c r="C400" s="52">
        <f>IFERROR(__xludf.DUMMYFUNCTION("""COMPUTED_VALUE"""),39.0)</f>
        <v>39</v>
      </c>
      <c r="D400" s="52" t="str">
        <f>IFERROR(__xludf.DUMMYFUNCTION("""COMPUTED_VALUE"""),"Islam")</f>
        <v>Islam</v>
      </c>
      <c r="E400" s="52" t="str">
        <f>IFERROR(__xludf.DUMMYFUNCTION("""COMPUTED_VALUE"""),"CV. Adil Prima Perkasa")</f>
        <v>CV. Adil Prima Perkasa</v>
      </c>
      <c r="F400" s="52" t="str">
        <f>IFERROR(__xludf.DUMMYFUNCTION("""COMPUTED_VALUE"""),"DRIVER DT H700ZS")</f>
        <v>DRIVER DT H700ZS</v>
      </c>
      <c r="G400" s="52" t="str">
        <f>IFERROR(__xludf.DUMMYFUNCTION("""COMPUTED_VALUE"""),"KENDARAAN &amp; UNIT SUPPORT")</f>
        <v>KENDARAAN &amp; UNIT SUPPORT</v>
      </c>
      <c r="H400" s="52" t="str">
        <f>IFERROR(__xludf.DUMMYFUNCTION("""COMPUTED_VALUE"""),"[0102150004] NAFTALI RARE'A, ST")</f>
        <v>[0102150004] NAFTALI RARE'A, ST</v>
      </c>
      <c r="I400" s="52"/>
      <c r="J400" s="53" t="str">
        <f>IFERROR(__xludf.DUMMYFUNCTION("""COMPUTED_VALUE"""),"[204231752] ROFIK")</f>
        <v>[204231752] ROFIK</v>
      </c>
      <c r="K400" s="52"/>
      <c r="L400" s="52" t="str">
        <f t="shared" si="1"/>
        <v>#VALUE!</v>
      </c>
      <c r="M400" s="52"/>
      <c r="N400" s="52"/>
      <c r="O400" s="52"/>
      <c r="P400" s="52"/>
      <c r="Q400" s="52"/>
      <c r="R400" s="52"/>
      <c r="S400" s="52"/>
      <c r="T400" s="52"/>
      <c r="U400" s="52"/>
      <c r="V400" s="52"/>
      <c r="W400" s="52"/>
      <c r="X400" s="52"/>
      <c r="Y400" s="52"/>
      <c r="Z400" s="52"/>
    </row>
    <row r="401">
      <c r="A401" s="52">
        <f>IFERROR(__xludf.DUMMYFUNCTION("""COMPUTED_VALUE"""),1.09201238E8)</f>
        <v>109201238</v>
      </c>
      <c r="B401" s="52" t="str">
        <f>IFERROR(__xludf.DUMMYFUNCTION("""COMPUTED_VALUE"""),"ROFINUS")</f>
        <v>ROFINUS</v>
      </c>
      <c r="C401" s="52">
        <f>IFERROR(__xludf.DUMMYFUNCTION("""COMPUTED_VALUE"""),0.0)</f>
        <v>0</v>
      </c>
      <c r="D401" s="52"/>
      <c r="E401" s="52" t="str">
        <f>IFERROR(__xludf.DUMMYFUNCTION("""COMPUTED_VALUE"""),"CV. SENTOSA ABADI")</f>
        <v>CV. SENTOSA ABADI</v>
      </c>
      <c r="F401" s="52" t="str">
        <f>IFERROR(__xludf.DUMMYFUNCTION("""COMPUTED_VALUE"""),"OPERATOR ADT")</f>
        <v>OPERATOR ADT</v>
      </c>
      <c r="G401" s="52" t="str">
        <f>IFERROR(__xludf.DUMMYFUNCTION("""COMPUTED_VALUE"""),"PRODUKSI")</f>
        <v>PRODUKSI</v>
      </c>
      <c r="H401" s="52" t="str">
        <f>IFERROR(__xludf.DUMMYFUNCTION("""COMPUTED_VALUE"""),"[0102130003] PURNAWAN")</f>
        <v>[0102130003] PURNAWAN</v>
      </c>
      <c r="I401" s="52"/>
      <c r="J401" s="53" t="str">
        <f>IFERROR(__xludf.DUMMYFUNCTION("""COMPUTED_VALUE"""),"[109201238] ROFINUS")</f>
        <v>[109201238] ROFINUS</v>
      </c>
      <c r="K401" s="52"/>
      <c r="L401" s="52" t="str">
        <f t="shared" si="1"/>
        <v>#VALUE!</v>
      </c>
      <c r="M401" s="52"/>
      <c r="N401" s="52"/>
      <c r="O401" s="52"/>
      <c r="P401" s="52"/>
      <c r="Q401" s="52"/>
      <c r="R401" s="52"/>
      <c r="S401" s="52"/>
      <c r="T401" s="52"/>
      <c r="U401" s="52"/>
      <c r="V401" s="52"/>
      <c r="W401" s="52"/>
      <c r="X401" s="52"/>
      <c r="Y401" s="52"/>
      <c r="Z401" s="52"/>
    </row>
    <row r="402">
      <c r="A402" s="52">
        <f>IFERROR(__xludf.DUMMYFUNCTION("""COMPUTED_VALUE"""),2.08231819E8)</f>
        <v>208231819</v>
      </c>
      <c r="B402" s="52" t="str">
        <f>IFERROR(__xludf.DUMMYFUNCTION("""COMPUTED_VALUE"""),"ROGEL TEODRA")</f>
        <v>ROGEL TEODRA</v>
      </c>
      <c r="C402" s="52">
        <f>IFERROR(__xludf.DUMMYFUNCTION("""COMPUTED_VALUE"""),19.0)</f>
        <v>19</v>
      </c>
      <c r="D402" s="52" t="str">
        <f>IFERROR(__xludf.DUMMYFUNCTION("""COMPUTED_VALUE"""),"Kristen Protestan")</f>
        <v>Kristen Protestan</v>
      </c>
      <c r="E402" s="52" t="str">
        <f>IFERROR(__xludf.DUMMYFUNCTION("""COMPUTED_VALUE"""),"CV. Adil Prima Perkasa")</f>
        <v>CV. Adil Prima Perkasa</v>
      </c>
      <c r="F402" s="52" t="str">
        <f>IFERROR(__xludf.DUMMYFUNCTION("""COMPUTED_VALUE"""),"OFFICE BOY")</f>
        <v>OFFICE BOY</v>
      </c>
      <c r="G402" s="52" t="str">
        <f>IFERROR(__xludf.DUMMYFUNCTION("""COMPUTED_VALUE"""),"HRD &amp; GA")</f>
        <v>HRD &amp; GA</v>
      </c>
      <c r="H402" s="52" t="str">
        <f>IFERROR(__xludf.DUMMYFUNCTION("""COMPUTED_VALUE"""),"[0108191037] ERNIE FRISLIA")</f>
        <v>[0108191037] ERNIE FRISLIA</v>
      </c>
      <c r="I402" s="52"/>
      <c r="J402" s="53" t="str">
        <f>IFERROR(__xludf.DUMMYFUNCTION("""COMPUTED_VALUE"""),"[208231819] ROGEL TEODRA")</f>
        <v>[208231819] ROGEL TEODRA</v>
      </c>
      <c r="K402" s="52"/>
      <c r="L402" s="52" t="str">
        <f t="shared" si="1"/>
        <v>#VALUE!</v>
      </c>
      <c r="M402" s="52"/>
      <c r="N402" s="52"/>
      <c r="O402" s="52"/>
      <c r="P402" s="52"/>
      <c r="Q402" s="52"/>
      <c r="R402" s="52"/>
      <c r="S402" s="52"/>
      <c r="T402" s="52"/>
      <c r="U402" s="52"/>
      <c r="V402" s="52"/>
      <c r="W402" s="52"/>
      <c r="X402" s="52"/>
      <c r="Y402" s="52"/>
      <c r="Z402" s="52"/>
    </row>
    <row r="403">
      <c r="A403" s="52">
        <f>IFERROR(__xludf.DUMMYFUNCTION("""COMPUTED_VALUE"""),1.07190977E8)</f>
        <v>107190977</v>
      </c>
      <c r="B403" s="52" t="str">
        <f>IFERROR(__xludf.DUMMYFUNCTION("""COMPUTED_VALUE"""),"ROI MASSODE")</f>
        <v>ROI MASSODE</v>
      </c>
      <c r="C403" s="52">
        <f>IFERROR(__xludf.DUMMYFUNCTION("""COMPUTED_VALUE"""),35.0)</f>
        <v>35</v>
      </c>
      <c r="D403" s="52" t="str">
        <f>IFERROR(__xludf.DUMMYFUNCTION("""COMPUTED_VALUE"""),"Kristen Protestan")</f>
        <v>Kristen Protestan</v>
      </c>
      <c r="E403" s="52" t="str">
        <f>IFERROR(__xludf.DUMMYFUNCTION("""COMPUTED_VALUE"""),"CV. SENTOSA ABADI")</f>
        <v>CV. SENTOSA ABADI</v>
      </c>
      <c r="F403" s="52" t="str">
        <f>IFERROR(__xludf.DUMMYFUNCTION("""COMPUTED_VALUE"""),"HELPER MEKANIK ALAT BERAT")</f>
        <v>HELPER MEKANIK ALAT BERAT</v>
      </c>
      <c r="G403" s="52" t="str">
        <f>IFERROR(__xludf.DUMMYFUNCTION("""COMPUTED_VALUE"""),"WORKSHOP")</f>
        <v>WORKSHOP</v>
      </c>
      <c r="H403" s="52" t="str">
        <f>IFERROR(__xludf.DUMMYFUNCTION("""COMPUTED_VALUE"""),"[0106190928] NATAN KONDO")</f>
        <v>[0106190928] NATAN KONDO</v>
      </c>
      <c r="I403" s="52"/>
      <c r="J403" s="53" t="str">
        <f>IFERROR(__xludf.DUMMYFUNCTION("""COMPUTED_VALUE"""),"[107190977] ROI MASSODE")</f>
        <v>[107190977] ROI MASSODE</v>
      </c>
      <c r="K403" s="52"/>
      <c r="L403" s="52" t="str">
        <f t="shared" si="1"/>
        <v>#VALUE!</v>
      </c>
      <c r="M403" s="52"/>
      <c r="N403" s="52"/>
      <c r="O403" s="52"/>
      <c r="P403" s="52"/>
      <c r="Q403" s="52"/>
      <c r="R403" s="52"/>
      <c r="S403" s="52"/>
      <c r="T403" s="52"/>
      <c r="U403" s="52"/>
      <c r="V403" s="52"/>
      <c r="W403" s="52"/>
      <c r="X403" s="52"/>
      <c r="Y403" s="52"/>
      <c r="Z403" s="52"/>
    </row>
    <row r="404">
      <c r="A404" s="52">
        <f>IFERROR(__xludf.DUMMYFUNCTION("""COMPUTED_VALUE"""),1.04211371E8)</f>
        <v>104211371</v>
      </c>
      <c r="B404" s="52" t="str">
        <f>IFERROR(__xludf.DUMMYFUNCTION("""COMPUTED_VALUE"""),"ROMI RAHAMIS")</f>
        <v>ROMI RAHAMIS</v>
      </c>
      <c r="C404" s="52">
        <f>IFERROR(__xludf.DUMMYFUNCTION("""COMPUTED_VALUE"""),29.0)</f>
        <v>29</v>
      </c>
      <c r="D404" s="52" t="str">
        <f>IFERROR(__xludf.DUMMYFUNCTION("""COMPUTED_VALUE"""),"Kristen Protestan")</f>
        <v>Kristen Protestan</v>
      </c>
      <c r="E404" s="52" t="str">
        <f>IFERROR(__xludf.DUMMYFUNCTION("""COMPUTED_VALUE"""),"CV. SENTOSA ABADI")</f>
        <v>CV. SENTOSA ABADI</v>
      </c>
      <c r="F404" s="52" t="str">
        <f>IFERROR(__xludf.DUMMYFUNCTION("""COMPUTED_VALUE"""),"OPERATOR ADT")</f>
        <v>OPERATOR ADT</v>
      </c>
      <c r="G404" s="52" t="str">
        <f>IFERROR(__xludf.DUMMYFUNCTION("""COMPUTED_VALUE"""),"KENDARAAN &amp; UNIT SUPPORT")</f>
        <v>KENDARAAN &amp; UNIT SUPPORT</v>
      </c>
      <c r="H404" s="52" t="str">
        <f>IFERROR(__xludf.DUMMYFUNCTION("""COMPUTED_VALUE"""),"[0102150004] NAFTALI RARE'A, ST")</f>
        <v>[0102150004] NAFTALI RARE'A, ST</v>
      </c>
      <c r="I404" s="52"/>
      <c r="J404" s="53" t="str">
        <f>IFERROR(__xludf.DUMMYFUNCTION("""COMPUTED_VALUE"""),"[104211371] ROMI RAHAMIS")</f>
        <v>[104211371] ROMI RAHAMIS</v>
      </c>
      <c r="K404" s="52"/>
      <c r="L404" s="52" t="str">
        <f t="shared" si="1"/>
        <v>#VALUE!</v>
      </c>
      <c r="M404" s="52"/>
      <c r="N404" s="52"/>
      <c r="O404" s="52"/>
      <c r="P404" s="52"/>
      <c r="Q404" s="52"/>
      <c r="R404" s="52"/>
      <c r="S404" s="52"/>
      <c r="T404" s="52"/>
      <c r="U404" s="52"/>
      <c r="V404" s="52"/>
      <c r="W404" s="52"/>
      <c r="X404" s="52"/>
      <c r="Y404" s="52"/>
      <c r="Z404" s="52"/>
    </row>
    <row r="405">
      <c r="A405" s="52">
        <f>IFERROR(__xludf.DUMMYFUNCTION("""COMPUTED_VALUE"""),1.05211388E8)</f>
        <v>105211388</v>
      </c>
      <c r="B405" s="52" t="str">
        <f>IFERROR(__xludf.DUMMYFUNCTION("""COMPUTED_VALUE"""),"RONAL TODING")</f>
        <v>RONAL TODING</v>
      </c>
      <c r="C405" s="52">
        <f>IFERROR(__xludf.DUMMYFUNCTION("""COMPUTED_VALUE"""),46.0)</f>
        <v>46</v>
      </c>
      <c r="D405" s="52" t="str">
        <f>IFERROR(__xludf.DUMMYFUNCTION("""COMPUTED_VALUE"""),"Islam")</f>
        <v>Islam</v>
      </c>
      <c r="E405" s="52" t="str">
        <f>IFERROR(__xludf.DUMMYFUNCTION("""COMPUTED_VALUE"""),"CV. SENTOSA ABADI")</f>
        <v>CV. SENTOSA ABADI</v>
      </c>
      <c r="F405" s="52" t="str">
        <f>IFERROR(__xludf.DUMMYFUNCTION("""COMPUTED_VALUE"""),"DRIVER DT H700ZY")</f>
        <v>DRIVER DT H700ZY</v>
      </c>
      <c r="G405" s="52" t="str">
        <f>IFERROR(__xludf.DUMMYFUNCTION("""COMPUTED_VALUE"""),"KENDARAAN &amp; UNIT SUPPORT")</f>
        <v>KENDARAAN &amp; UNIT SUPPORT</v>
      </c>
      <c r="H405" s="52" t="str">
        <f>IFERROR(__xludf.DUMMYFUNCTION("""COMPUTED_VALUE"""),"[0102150004] NAFTALI RARE'A, ST")</f>
        <v>[0102150004] NAFTALI RARE'A, ST</v>
      </c>
      <c r="I405" s="52"/>
      <c r="J405" s="53" t="str">
        <f>IFERROR(__xludf.DUMMYFUNCTION("""COMPUTED_VALUE"""),"[105211388] RONAL TODING")</f>
        <v>[105211388] RONAL TODING</v>
      </c>
      <c r="K405" s="52"/>
      <c r="L405" s="52" t="str">
        <f t="shared" si="1"/>
        <v>#VALUE!</v>
      </c>
      <c r="M405" s="52"/>
      <c r="N405" s="52"/>
      <c r="O405" s="52"/>
      <c r="P405" s="52"/>
      <c r="Q405" s="52"/>
      <c r="R405" s="52"/>
      <c r="S405" s="52"/>
      <c r="T405" s="52"/>
      <c r="U405" s="52"/>
      <c r="V405" s="52"/>
      <c r="W405" s="52"/>
      <c r="X405" s="52"/>
      <c r="Y405" s="52"/>
      <c r="Z405" s="52"/>
    </row>
    <row r="406">
      <c r="A406" s="52">
        <f>IFERROR(__xludf.DUMMYFUNCTION("""COMPUTED_VALUE"""),2.06211416E8)</f>
        <v>206211416</v>
      </c>
      <c r="B406" s="52" t="str">
        <f>IFERROR(__xludf.DUMMYFUNCTION("""COMPUTED_VALUE"""),"RONALD STANLAY IMBING")</f>
        <v>RONALD STANLAY IMBING</v>
      </c>
      <c r="C406" s="52">
        <f>IFERROR(__xludf.DUMMYFUNCTION("""COMPUTED_VALUE"""),50.0)</f>
        <v>50</v>
      </c>
      <c r="D406" s="52" t="str">
        <f>IFERROR(__xludf.DUMMYFUNCTION("""COMPUTED_VALUE"""),"Kristen Protestan")</f>
        <v>Kristen Protestan</v>
      </c>
      <c r="E406" s="52" t="str">
        <f>IFERROR(__xludf.DUMMYFUNCTION("""COMPUTED_VALUE"""),"CV. Adil Prima Perkasa")</f>
        <v>CV. Adil Prima Perkasa</v>
      </c>
      <c r="F406" s="52" t="str">
        <f>IFERROR(__xludf.DUMMYFUNCTION("""COMPUTED_VALUE"""),"OPERATOR BULLDOZER")</f>
        <v>OPERATOR BULLDOZER</v>
      </c>
      <c r="G406" s="52" t="str">
        <f>IFERROR(__xludf.DUMMYFUNCTION("""COMPUTED_VALUE"""),"PRODUKSI")</f>
        <v>PRODUKSI</v>
      </c>
      <c r="H406" s="52" t="str">
        <f>IFERROR(__xludf.DUMMYFUNCTION("""COMPUTED_VALUE"""),"FALSE")</f>
        <v>FALSE</v>
      </c>
      <c r="I406" s="55">
        <f>IFERROR(__xludf.DUMMYFUNCTION("""COMPUTED_VALUE"""),30600.0)</f>
        <v>30600</v>
      </c>
      <c r="J406" s="53" t="str">
        <f>IFERROR(__xludf.DUMMYFUNCTION("""COMPUTED_VALUE"""),"[206211416] RONALD STANLAY IMBING")</f>
        <v>[206211416] RONALD STANLAY IMBING</v>
      </c>
      <c r="K406" s="52"/>
      <c r="L406" s="52" t="str">
        <f t="shared" si="1"/>
        <v>#VALUE!</v>
      </c>
      <c r="M406" s="52"/>
      <c r="N406" s="52"/>
      <c r="O406" s="52"/>
      <c r="P406" s="52"/>
      <c r="Q406" s="52"/>
      <c r="R406" s="52"/>
      <c r="S406" s="52"/>
      <c r="T406" s="52"/>
      <c r="U406" s="52"/>
      <c r="V406" s="52"/>
      <c r="W406" s="52"/>
      <c r="X406" s="52"/>
      <c r="Y406" s="52"/>
      <c r="Z406" s="52"/>
    </row>
    <row r="407">
      <c r="A407" s="52">
        <f>IFERROR(__xludf.DUMMYFUNCTION("""COMPUTED_VALUE"""),2.10211522E8)</f>
        <v>210211522</v>
      </c>
      <c r="B407" s="52" t="str">
        <f>IFERROR(__xludf.DUMMYFUNCTION("""COMPUTED_VALUE"""),"RONIUS FALLO")</f>
        <v>RONIUS FALLO</v>
      </c>
      <c r="C407" s="52">
        <f>IFERROR(__xludf.DUMMYFUNCTION("""COMPUTED_VALUE"""),42.0)</f>
        <v>42</v>
      </c>
      <c r="D407" s="52" t="str">
        <f>IFERROR(__xludf.DUMMYFUNCTION("""COMPUTED_VALUE"""),"Kristen Protestan")</f>
        <v>Kristen Protestan</v>
      </c>
      <c r="E407" s="52" t="str">
        <f>IFERROR(__xludf.DUMMYFUNCTION("""COMPUTED_VALUE"""),"CV. Adil Prima Perkasa")</f>
        <v>CV. Adil Prima Perkasa</v>
      </c>
      <c r="F407" s="52" t="str">
        <f>IFERROR(__xludf.DUMMYFUNCTION("""COMPUTED_VALUE"""),"OPERATOR COMPACTOR")</f>
        <v>OPERATOR COMPACTOR</v>
      </c>
      <c r="G407" s="52" t="str">
        <f>IFERROR(__xludf.DUMMYFUNCTION("""COMPUTED_VALUE"""),"PRODUKSI")</f>
        <v>PRODUKSI</v>
      </c>
      <c r="H407" s="52" t="str">
        <f>IFERROR(__xludf.DUMMYFUNCTION("""COMPUTED_VALUE"""),"FALSE")</f>
        <v>FALSE</v>
      </c>
      <c r="I407" s="52"/>
      <c r="J407" s="53" t="str">
        <f>IFERROR(__xludf.DUMMYFUNCTION("""COMPUTED_VALUE"""),"[210211522] RONIUS FALLO")</f>
        <v>[210211522] RONIUS FALLO</v>
      </c>
      <c r="K407" s="52"/>
      <c r="L407" s="52" t="str">
        <f t="shared" si="1"/>
        <v>#VALUE!</v>
      </c>
      <c r="M407" s="52"/>
      <c r="N407" s="52"/>
      <c r="O407" s="52"/>
      <c r="P407" s="52"/>
      <c r="Q407" s="52"/>
      <c r="R407" s="52"/>
      <c r="S407" s="52"/>
      <c r="T407" s="52"/>
      <c r="U407" s="52"/>
      <c r="V407" s="52"/>
      <c r="W407" s="52"/>
      <c r="X407" s="52"/>
      <c r="Y407" s="52"/>
      <c r="Z407" s="52"/>
    </row>
    <row r="408">
      <c r="A408" s="52">
        <f>IFERROR(__xludf.DUMMYFUNCTION("""COMPUTED_VALUE"""),2.03221599E8)</f>
        <v>203221599</v>
      </c>
      <c r="B408" s="52" t="str">
        <f>IFERROR(__xludf.DUMMYFUNCTION("""COMPUTED_VALUE"""),"ROSMAN SADAT")</f>
        <v>ROSMAN SADAT</v>
      </c>
      <c r="C408" s="52">
        <f>IFERROR(__xludf.DUMMYFUNCTION("""COMPUTED_VALUE"""),31.0)</f>
        <v>31</v>
      </c>
      <c r="D408" s="52" t="str">
        <f>IFERROR(__xludf.DUMMYFUNCTION("""COMPUTED_VALUE"""),"Islam")</f>
        <v>Islam</v>
      </c>
      <c r="E408" s="52" t="str">
        <f>IFERROR(__xludf.DUMMYFUNCTION("""COMPUTED_VALUE"""),"CV. Adil Prima Perkasa")</f>
        <v>CV. Adil Prima Perkasa</v>
      </c>
      <c r="F408" s="52" t="str">
        <f>IFERROR(__xludf.DUMMYFUNCTION("""COMPUTED_VALUE"""),"ADMIN WORKSHOP")</f>
        <v>ADMIN WORKSHOP</v>
      </c>
      <c r="G408" s="52" t="str">
        <f>IFERROR(__xludf.DUMMYFUNCTION("""COMPUTED_VALUE"""),"WORKSHOP")</f>
        <v>WORKSHOP</v>
      </c>
      <c r="H408" s="52" t="str">
        <f>IFERROR(__xludf.DUMMYFUNCTION("""COMPUTED_VALUE"""),"[0107150010] RINI PALINGGI,ST")</f>
        <v>[0107150010] RINI PALINGGI,ST</v>
      </c>
      <c r="I408" s="52"/>
      <c r="J408" s="53" t="str">
        <f>IFERROR(__xludf.DUMMYFUNCTION("""COMPUTED_VALUE"""),"[203221599] ROSMAN SADAT")</f>
        <v>[203221599] ROSMAN SADAT</v>
      </c>
      <c r="K408" s="52"/>
      <c r="L408" s="52" t="str">
        <f t="shared" si="1"/>
        <v>#VALUE!</v>
      </c>
      <c r="M408" s="52"/>
      <c r="N408" s="52"/>
      <c r="O408" s="52"/>
      <c r="P408" s="52"/>
      <c r="Q408" s="52"/>
      <c r="R408" s="52"/>
      <c r="S408" s="52"/>
      <c r="T408" s="52"/>
      <c r="U408" s="52"/>
      <c r="V408" s="52"/>
      <c r="W408" s="52"/>
      <c r="X408" s="52"/>
      <c r="Y408" s="52"/>
      <c r="Z408" s="52"/>
    </row>
    <row r="409">
      <c r="A409" s="52">
        <f>IFERROR(__xludf.DUMMYFUNCTION("""COMPUTED_VALUE"""),1.03170231E8)</f>
        <v>103170231</v>
      </c>
      <c r="B409" s="52" t="str">
        <f>IFERROR(__xludf.DUMMYFUNCTION("""COMPUTED_VALUE"""),"ROSNIATI")</f>
        <v>ROSNIATI</v>
      </c>
      <c r="C409" s="52">
        <f>IFERROR(__xludf.DUMMYFUNCTION("""COMPUTED_VALUE"""),49.0)</f>
        <v>49</v>
      </c>
      <c r="D409" s="52" t="str">
        <f>IFERROR(__xludf.DUMMYFUNCTION("""COMPUTED_VALUE"""),"Islam")</f>
        <v>Islam</v>
      </c>
      <c r="E409" s="52" t="str">
        <f>IFERROR(__xludf.DUMMYFUNCTION("""COMPUTED_VALUE"""),"CV. SENTOSA ABADI")</f>
        <v>CV. SENTOSA ABADI</v>
      </c>
      <c r="F409" s="52" t="str">
        <f>IFERROR(__xludf.DUMMYFUNCTION("""COMPUTED_VALUE"""),"STOCKER")</f>
        <v>STOCKER</v>
      </c>
      <c r="G409" s="52" t="str">
        <f>IFERROR(__xludf.DUMMYFUNCTION("""COMPUTED_VALUE"""),"HRD &amp; GA")</f>
        <v>HRD &amp; GA</v>
      </c>
      <c r="H409" s="52" t="str">
        <f>IFERROR(__xludf.DUMMYFUNCTION("""COMPUTED_VALUE"""),"[0103231738] MARYA SUSAN SIMBANGU")</f>
        <v>[0103231738] MARYA SUSAN SIMBANGU</v>
      </c>
      <c r="I409" s="52"/>
      <c r="J409" s="53" t="str">
        <f>IFERROR(__xludf.DUMMYFUNCTION("""COMPUTED_VALUE"""),"[103170231] ROSNIATI")</f>
        <v>[103170231] ROSNIATI</v>
      </c>
      <c r="K409" s="52"/>
      <c r="L409" s="52" t="str">
        <f t="shared" si="1"/>
        <v>#VALUE!</v>
      </c>
      <c r="M409" s="52"/>
      <c r="N409" s="52"/>
      <c r="O409" s="52"/>
      <c r="P409" s="52"/>
      <c r="Q409" s="52"/>
      <c r="R409" s="52"/>
      <c r="S409" s="52"/>
      <c r="T409" s="52"/>
      <c r="U409" s="52"/>
      <c r="V409" s="52"/>
      <c r="W409" s="52"/>
      <c r="X409" s="52"/>
      <c r="Y409" s="52"/>
      <c r="Z409" s="52"/>
    </row>
    <row r="410">
      <c r="A410" s="52">
        <f>IFERROR(__xludf.DUMMYFUNCTION("""COMPUTED_VALUE"""),2.03221603E8)</f>
        <v>203221603</v>
      </c>
      <c r="B410" s="52" t="str">
        <f>IFERROR(__xludf.DUMMYFUNCTION("""COMPUTED_VALUE"""),"ROY BARAU")</f>
        <v>ROY BARAU</v>
      </c>
      <c r="C410" s="52">
        <f>IFERROR(__xludf.DUMMYFUNCTION("""COMPUTED_VALUE"""),27.0)</f>
        <v>27</v>
      </c>
      <c r="D410" s="52" t="str">
        <f>IFERROR(__xludf.DUMMYFUNCTION("""COMPUTED_VALUE"""),"Kristen Protestan")</f>
        <v>Kristen Protestan</v>
      </c>
      <c r="E410" s="52" t="str">
        <f>IFERROR(__xludf.DUMMYFUNCTION("""COMPUTED_VALUE"""),"CV. Adil Prima Perkasa")</f>
        <v>CV. Adil Prima Perkasa</v>
      </c>
      <c r="F410" s="52" t="str">
        <f>IFERROR(__xludf.DUMMYFUNCTION("""COMPUTED_VALUE"""),"DRIVER DT H700ZY")</f>
        <v>DRIVER DT H700ZY</v>
      </c>
      <c r="G410" s="52" t="str">
        <f>IFERROR(__xludf.DUMMYFUNCTION("""COMPUTED_VALUE"""),"KENDARAAN &amp; UNIT SUPPORT")</f>
        <v>KENDARAAN &amp; UNIT SUPPORT</v>
      </c>
      <c r="H410" s="52" t="str">
        <f>IFERROR(__xludf.DUMMYFUNCTION("""COMPUTED_VALUE"""),"[0102150004] NAFTALI RARE'A, ST")</f>
        <v>[0102150004] NAFTALI RARE'A, ST</v>
      </c>
      <c r="I410" s="52"/>
      <c r="J410" s="53" t="str">
        <f>IFERROR(__xludf.DUMMYFUNCTION("""COMPUTED_VALUE"""),"[203221603] ROY BARAU")</f>
        <v>[203221603] ROY BARAU</v>
      </c>
      <c r="K410" s="52"/>
      <c r="L410" s="52" t="str">
        <f t="shared" si="1"/>
        <v>#VALUE!</v>
      </c>
      <c r="M410" s="52"/>
      <c r="N410" s="52"/>
      <c r="O410" s="52"/>
      <c r="P410" s="52"/>
      <c r="Q410" s="52"/>
      <c r="R410" s="52"/>
      <c r="S410" s="52"/>
      <c r="T410" s="52"/>
      <c r="U410" s="52"/>
      <c r="V410" s="52"/>
      <c r="W410" s="52"/>
      <c r="X410" s="52"/>
      <c r="Y410" s="52"/>
      <c r="Z410" s="52"/>
    </row>
    <row r="411">
      <c r="A411" s="52">
        <f>IFERROR(__xludf.DUMMYFUNCTION("""COMPUTED_VALUE"""),2.02201131E8)</f>
        <v>202201131</v>
      </c>
      <c r="B411" s="52" t="str">
        <f>IFERROR(__xludf.DUMMYFUNCTION("""COMPUTED_VALUE"""),"RUSDI")</f>
        <v>RUSDI</v>
      </c>
      <c r="C411" s="52">
        <f>IFERROR(__xludf.DUMMYFUNCTION("""COMPUTED_VALUE"""),47.0)</f>
        <v>47</v>
      </c>
      <c r="D411" s="52" t="str">
        <f>IFERROR(__xludf.DUMMYFUNCTION("""COMPUTED_VALUE"""),"Islam")</f>
        <v>Islam</v>
      </c>
      <c r="E411" s="52" t="str">
        <f>IFERROR(__xludf.DUMMYFUNCTION("""COMPUTED_VALUE"""),"CV. Adil Prima Perkasa")</f>
        <v>CV. Adil Prima Perkasa</v>
      </c>
      <c r="F411" s="52" t="str">
        <f>IFERROR(__xludf.DUMMYFUNCTION("""COMPUTED_VALUE"""),"OPERATOR ADT")</f>
        <v>OPERATOR ADT</v>
      </c>
      <c r="G411" s="52" t="str">
        <f>IFERROR(__xludf.DUMMYFUNCTION("""COMPUTED_VALUE"""),"PRODUKSI")</f>
        <v>PRODUKSI</v>
      </c>
      <c r="H411" s="52" t="str">
        <f>IFERROR(__xludf.DUMMYFUNCTION("""COMPUTED_VALUE"""),"FALSE")</f>
        <v>FALSE</v>
      </c>
      <c r="I411" s="55">
        <f>IFERROR(__xludf.DUMMYFUNCTION("""COMPUTED_VALUE"""),29316.0)</f>
        <v>29316</v>
      </c>
      <c r="J411" s="53" t="str">
        <f>IFERROR(__xludf.DUMMYFUNCTION("""COMPUTED_VALUE"""),"[202201131] RUSDI")</f>
        <v>[202201131] RUSDI</v>
      </c>
      <c r="K411" s="52"/>
      <c r="L411" s="52" t="str">
        <f t="shared" si="1"/>
        <v>#VALUE!</v>
      </c>
      <c r="M411" s="52"/>
      <c r="N411" s="52"/>
      <c r="O411" s="52"/>
      <c r="P411" s="52"/>
      <c r="Q411" s="52"/>
      <c r="R411" s="52"/>
      <c r="S411" s="52"/>
      <c r="T411" s="52"/>
      <c r="U411" s="52"/>
      <c r="V411" s="52"/>
      <c r="W411" s="52"/>
      <c r="X411" s="52"/>
      <c r="Y411" s="52"/>
      <c r="Z411" s="52"/>
    </row>
    <row r="412">
      <c r="A412" s="52">
        <f>IFERROR(__xludf.DUMMYFUNCTION("""COMPUTED_VALUE"""),2.06231775E8)</f>
        <v>206231775</v>
      </c>
      <c r="B412" s="52" t="str">
        <f>IFERROR(__xludf.DUMMYFUNCTION("""COMPUTED_VALUE"""),"RUSDIANTO ASKAR")</f>
        <v>RUSDIANTO ASKAR</v>
      </c>
      <c r="C412" s="52">
        <f>IFERROR(__xludf.DUMMYFUNCTION("""COMPUTED_VALUE"""),25.0)</f>
        <v>25</v>
      </c>
      <c r="D412" s="52" t="str">
        <f>IFERROR(__xludf.DUMMYFUNCTION("""COMPUTED_VALUE"""),"Islam")</f>
        <v>Islam</v>
      </c>
      <c r="E412" s="52" t="str">
        <f>IFERROR(__xludf.DUMMYFUNCTION("""COMPUTED_VALUE"""),"CV. Adil Prima Perkasa")</f>
        <v>CV. Adil Prima Perkasa</v>
      </c>
      <c r="F412" s="52" t="str">
        <f>IFERROR(__xludf.DUMMYFUNCTION("""COMPUTED_VALUE"""),"DRIVER LV")</f>
        <v>DRIVER LV</v>
      </c>
      <c r="G412" s="52" t="str">
        <f>IFERROR(__xludf.DUMMYFUNCTION("""COMPUTED_VALUE"""),"KENDARAAN &amp; UNIT SUPPORT")</f>
        <v>KENDARAAN &amp; UNIT SUPPORT</v>
      </c>
      <c r="H412" s="52" t="str">
        <f>IFERROR(__xludf.DUMMYFUNCTION("""COMPUTED_VALUE"""),"[0102150004] NAFTALI RARE'A, ST")</f>
        <v>[0102150004] NAFTALI RARE'A, ST</v>
      </c>
      <c r="I412" s="52"/>
      <c r="J412" s="53" t="str">
        <f>IFERROR(__xludf.DUMMYFUNCTION("""COMPUTED_VALUE"""),"[206231775] RUSDIANTO ASKAR")</f>
        <v>[206231775] RUSDIANTO ASKAR</v>
      </c>
      <c r="K412" s="52"/>
      <c r="L412" s="52" t="str">
        <f t="shared" si="1"/>
        <v>#VALUE!</v>
      </c>
      <c r="M412" s="52"/>
      <c r="N412" s="52"/>
      <c r="O412" s="52"/>
      <c r="P412" s="52"/>
      <c r="Q412" s="52"/>
      <c r="R412" s="52"/>
      <c r="S412" s="52"/>
      <c r="T412" s="52"/>
      <c r="U412" s="52"/>
      <c r="V412" s="52"/>
      <c r="W412" s="52"/>
      <c r="X412" s="52"/>
      <c r="Y412" s="52"/>
      <c r="Z412" s="52"/>
    </row>
    <row r="413">
      <c r="A413" s="52">
        <f>IFERROR(__xludf.DUMMYFUNCTION("""COMPUTED_VALUE"""),2.03221604E8)</f>
        <v>203221604</v>
      </c>
      <c r="B413" s="52" t="str">
        <f>IFERROR(__xludf.DUMMYFUNCTION("""COMPUTED_VALUE"""),"RUSLAN KALLA")</f>
        <v>RUSLAN KALLA</v>
      </c>
      <c r="C413" s="52">
        <f>IFERROR(__xludf.DUMMYFUNCTION("""COMPUTED_VALUE"""),46.0)</f>
        <v>46</v>
      </c>
      <c r="D413" s="52" t="str">
        <f>IFERROR(__xludf.DUMMYFUNCTION("""COMPUTED_VALUE"""),"Islam")</f>
        <v>Islam</v>
      </c>
      <c r="E413" s="52" t="str">
        <f>IFERROR(__xludf.DUMMYFUNCTION("""COMPUTED_VALUE"""),"CV. Adil Prima Perkasa")</f>
        <v>CV. Adil Prima Perkasa</v>
      </c>
      <c r="F413" s="52" t="str">
        <f>IFERROR(__xludf.DUMMYFUNCTION("""COMPUTED_VALUE"""),"DRIVER DT H700ZY")</f>
        <v>DRIVER DT H700ZY</v>
      </c>
      <c r="G413" s="52" t="str">
        <f>IFERROR(__xludf.DUMMYFUNCTION("""COMPUTED_VALUE"""),"KENDARAAN &amp; UNIT SUPPORT")</f>
        <v>KENDARAAN &amp; UNIT SUPPORT</v>
      </c>
      <c r="H413" s="52" t="str">
        <f>IFERROR(__xludf.DUMMYFUNCTION("""COMPUTED_VALUE"""),"[0102150004] NAFTALI RARE'A, ST")</f>
        <v>[0102150004] NAFTALI RARE'A, ST</v>
      </c>
      <c r="I413" s="55">
        <f>IFERROR(__xludf.DUMMYFUNCTION("""COMPUTED_VALUE"""),30427.0)</f>
        <v>30427</v>
      </c>
      <c r="J413" s="53" t="str">
        <f>IFERROR(__xludf.DUMMYFUNCTION("""COMPUTED_VALUE"""),"[203221604] RUSLAN KALLA")</f>
        <v>[203221604] RUSLAN KALLA</v>
      </c>
      <c r="K413" s="52"/>
      <c r="L413" s="52" t="str">
        <f t="shared" si="1"/>
        <v>#VALUE!</v>
      </c>
      <c r="M413" s="52"/>
      <c r="N413" s="52"/>
      <c r="O413" s="52"/>
      <c r="P413" s="52"/>
      <c r="Q413" s="52"/>
      <c r="R413" s="52"/>
      <c r="S413" s="52"/>
      <c r="T413" s="52"/>
      <c r="U413" s="52"/>
      <c r="V413" s="52"/>
      <c r="W413" s="52"/>
      <c r="X413" s="52"/>
      <c r="Y413" s="52"/>
      <c r="Z413" s="52"/>
    </row>
    <row r="414">
      <c r="A414" s="52">
        <f>IFERROR(__xludf.DUMMYFUNCTION("""COMPUTED_VALUE"""),1.08201192E8)</f>
        <v>108201192</v>
      </c>
      <c r="B414" s="52" t="str">
        <f>IFERROR(__xludf.DUMMYFUNCTION("""COMPUTED_VALUE"""),"RUSLI HULOPI")</f>
        <v>RUSLI HULOPI</v>
      </c>
      <c r="C414" s="52">
        <f>IFERROR(__xludf.DUMMYFUNCTION("""COMPUTED_VALUE"""),47.0)</f>
        <v>47</v>
      </c>
      <c r="D414" s="52" t="str">
        <f>IFERROR(__xludf.DUMMYFUNCTION("""COMPUTED_VALUE"""),"Islam")</f>
        <v>Islam</v>
      </c>
      <c r="E414" s="52" t="str">
        <f>IFERROR(__xludf.DUMMYFUNCTION("""COMPUTED_VALUE"""),"CV. SENTOSA ABADI")</f>
        <v>CV. SENTOSA ABADI</v>
      </c>
      <c r="F414" s="52" t="str">
        <f>IFERROR(__xludf.DUMMYFUNCTION("""COMPUTED_VALUE"""),"DRIVER DT H700ZY")</f>
        <v>DRIVER DT H700ZY</v>
      </c>
      <c r="G414" s="52" t="str">
        <f>IFERROR(__xludf.DUMMYFUNCTION("""COMPUTED_VALUE"""),"KENDARAAN &amp; UNIT SUPPORT")</f>
        <v>KENDARAAN &amp; UNIT SUPPORT</v>
      </c>
      <c r="H414" s="52" t="str">
        <f>IFERROR(__xludf.DUMMYFUNCTION("""COMPUTED_VALUE"""),"[0102150004] NAFTALI RARE'A, ST")</f>
        <v>[0102150004] NAFTALI RARE'A, ST</v>
      </c>
      <c r="I414" s="55">
        <f>IFERROR(__xludf.DUMMYFUNCTION("""COMPUTED_VALUE"""),28183.0)</f>
        <v>28183</v>
      </c>
      <c r="J414" s="53" t="str">
        <f>IFERROR(__xludf.DUMMYFUNCTION("""COMPUTED_VALUE"""),"[108201192] RUSLI HULOPI")</f>
        <v>[108201192] RUSLI HULOPI</v>
      </c>
      <c r="K414" s="52"/>
      <c r="L414" s="52" t="str">
        <f t="shared" si="1"/>
        <v>#VALUE!</v>
      </c>
      <c r="M414" s="52"/>
      <c r="N414" s="52"/>
      <c r="O414" s="52"/>
      <c r="P414" s="52"/>
      <c r="Q414" s="52"/>
      <c r="R414" s="52"/>
      <c r="S414" s="52"/>
      <c r="T414" s="52"/>
      <c r="U414" s="52"/>
      <c r="V414" s="52"/>
      <c r="W414" s="52"/>
      <c r="X414" s="52"/>
      <c r="Y414" s="52"/>
      <c r="Z414" s="52"/>
    </row>
    <row r="415">
      <c r="A415" s="52"/>
      <c r="B415" s="52" t="str">
        <f>IFERROR(__xludf.DUMMYFUNCTION("""COMPUTED_VALUE"""),"RUSNI TAHER")</f>
        <v>RUSNI TAHER</v>
      </c>
      <c r="C415" s="52">
        <f>IFERROR(__xludf.DUMMYFUNCTION("""COMPUTED_VALUE"""),0.0)</f>
        <v>0</v>
      </c>
      <c r="D415" s="52"/>
      <c r="E415" s="52" t="str">
        <f>IFERROR(__xludf.DUMMYFUNCTION("""COMPUTED_VALUE"""),"CV. SENTOSA ABADI")</f>
        <v>CV. SENTOSA ABADI</v>
      </c>
      <c r="F415" s="52" t="str">
        <f>IFERROR(__xludf.DUMMYFUNCTION("""COMPUTED_VALUE"""),"FALSE")</f>
        <v>FALSE</v>
      </c>
      <c r="G415" s="52" t="str">
        <f>IFERROR(__xludf.DUMMYFUNCTION("""COMPUTED_VALUE"""),"FALSE")</f>
        <v>FALSE</v>
      </c>
      <c r="H415" s="52" t="str">
        <f>IFERROR(__xludf.DUMMYFUNCTION("""COMPUTED_VALUE"""),"FALSE")</f>
        <v>FALSE</v>
      </c>
      <c r="I415" s="52"/>
      <c r="J415" s="53" t="str">
        <f>IFERROR(__xludf.DUMMYFUNCTION("""COMPUTED_VALUE"""),"[] RUSNI TAHER")</f>
        <v>[] RUSNI TAHER</v>
      </c>
      <c r="K415" s="52"/>
      <c r="L415" s="52" t="str">
        <f t="shared" si="1"/>
        <v>#VALUE!</v>
      </c>
      <c r="M415" s="52"/>
      <c r="N415" s="52"/>
      <c r="O415" s="52"/>
      <c r="P415" s="52"/>
      <c r="Q415" s="52"/>
      <c r="R415" s="52"/>
      <c r="S415" s="52"/>
      <c r="T415" s="52"/>
      <c r="U415" s="52"/>
      <c r="V415" s="52"/>
      <c r="W415" s="52"/>
      <c r="X415" s="52"/>
      <c r="Y415" s="52"/>
      <c r="Z415" s="52"/>
    </row>
    <row r="416">
      <c r="A416" s="52">
        <f>IFERROR(__xludf.DUMMYFUNCTION("""COMPUTED_VALUE"""),1.05241927E8)</f>
        <v>105241927</v>
      </c>
      <c r="B416" s="52" t="str">
        <f>IFERROR(__xludf.DUMMYFUNCTION("""COMPUTED_VALUE"""),"RUSNI TAHER")</f>
        <v>RUSNI TAHER</v>
      </c>
      <c r="C416" s="52">
        <f>IFERROR(__xludf.DUMMYFUNCTION("""COMPUTED_VALUE"""),0.0)</f>
        <v>0</v>
      </c>
      <c r="D416" s="52"/>
      <c r="E416" s="52" t="str">
        <f>IFERROR(__xludf.DUMMYFUNCTION("""COMPUTED_VALUE"""),"CV. SENTOSA ABADI")</f>
        <v>CV. SENTOSA ABADI</v>
      </c>
      <c r="F416" s="52" t="str">
        <f>IFERROR(__xludf.DUMMYFUNCTION("""COMPUTED_VALUE"""),"STOCKER")</f>
        <v>STOCKER</v>
      </c>
      <c r="G416" s="52" t="str">
        <f>IFERROR(__xludf.DUMMYFUNCTION("""COMPUTED_VALUE"""),"HRD &amp; GA")</f>
        <v>HRD &amp; GA</v>
      </c>
      <c r="H416" s="52" t="str">
        <f>IFERROR(__xludf.DUMMYFUNCTION("""COMPUTED_VALUE"""),"[0108191037] ERNIE FRISLIA")</f>
        <v>[0108191037] ERNIE FRISLIA</v>
      </c>
      <c r="I416" s="52"/>
      <c r="J416" s="53" t="str">
        <f>IFERROR(__xludf.DUMMYFUNCTION("""COMPUTED_VALUE"""),"[105241927] RUSNI TAHER")</f>
        <v>[105241927] RUSNI TAHER</v>
      </c>
      <c r="K416" s="52"/>
      <c r="L416" s="52" t="str">
        <f t="shared" si="1"/>
        <v>#VALUE!</v>
      </c>
      <c r="M416" s="52"/>
      <c r="N416" s="52"/>
      <c r="O416" s="52"/>
      <c r="P416" s="52"/>
      <c r="Q416" s="52"/>
      <c r="R416" s="52"/>
      <c r="S416" s="52"/>
      <c r="T416" s="52"/>
      <c r="U416" s="52"/>
      <c r="V416" s="52"/>
      <c r="W416" s="52"/>
      <c r="X416" s="52"/>
      <c r="Y416" s="52"/>
      <c r="Z416" s="52"/>
    </row>
    <row r="417">
      <c r="A417" s="52">
        <f>IFERROR(__xludf.DUMMYFUNCTION("""COMPUTED_VALUE"""),2.03241891E8)</f>
        <v>203241891</v>
      </c>
      <c r="B417" s="52" t="str">
        <f>IFERROR(__xludf.DUMMYFUNCTION("""COMPUTED_VALUE"""),"RUSTAM USULU")</f>
        <v>RUSTAM USULU</v>
      </c>
      <c r="C417" s="52">
        <f>IFERROR(__xludf.DUMMYFUNCTION("""COMPUTED_VALUE"""),46.0)</f>
        <v>46</v>
      </c>
      <c r="D417" s="52" t="str">
        <f>IFERROR(__xludf.DUMMYFUNCTION("""COMPUTED_VALUE"""),"Islam")</f>
        <v>Islam</v>
      </c>
      <c r="E417" s="52" t="str">
        <f>IFERROR(__xludf.DUMMYFUNCTION("""COMPUTED_VALUE"""),"CV. Adil Prima Perkasa")</f>
        <v>CV. Adil Prima Perkasa</v>
      </c>
      <c r="F417" s="52" t="str">
        <f>IFERROR(__xludf.DUMMYFUNCTION("""COMPUTED_VALUE"""),"HELPER TYRE")</f>
        <v>HELPER TYRE</v>
      </c>
      <c r="G417" s="52" t="str">
        <f>IFERROR(__xludf.DUMMYFUNCTION("""COMPUTED_VALUE"""),"WORKSHOP")</f>
        <v>WORKSHOP</v>
      </c>
      <c r="H417" s="52" t="str">
        <f>IFERROR(__xludf.DUMMYFUNCTION("""COMPUTED_VALUE"""),"[0106190928] NATAN KONDO")</f>
        <v>[0106190928] NATAN KONDO</v>
      </c>
      <c r="I417" s="55">
        <f>IFERROR(__xludf.DUMMYFUNCTION("""COMPUTED_VALUE"""),29707.0)</f>
        <v>29707</v>
      </c>
      <c r="J417" s="53" t="str">
        <f>IFERROR(__xludf.DUMMYFUNCTION("""COMPUTED_VALUE"""),"[203241891] RUSTAM USULU")</f>
        <v>[203241891] RUSTAM USULU</v>
      </c>
      <c r="K417" s="52"/>
      <c r="L417" s="52" t="str">
        <f t="shared" si="1"/>
        <v>#VALUE!</v>
      </c>
      <c r="M417" s="52"/>
      <c r="N417" s="52"/>
      <c r="O417" s="52"/>
      <c r="P417" s="52"/>
      <c r="Q417" s="52"/>
      <c r="R417" s="52"/>
      <c r="S417" s="52"/>
      <c r="T417" s="52"/>
      <c r="U417" s="52"/>
      <c r="V417" s="52"/>
      <c r="W417" s="52"/>
      <c r="X417" s="52"/>
      <c r="Y417" s="52"/>
      <c r="Z417" s="52"/>
    </row>
    <row r="418">
      <c r="A418" s="52">
        <f>IFERROR(__xludf.DUMMYFUNCTION("""COMPUTED_VALUE"""),1.01199002E8)</f>
        <v>101199002</v>
      </c>
      <c r="B418" s="52" t="str">
        <f>IFERROR(__xludf.DUMMYFUNCTION("""COMPUTED_VALUE"""),"Rieki Yulianto")</f>
        <v>Rieki Yulianto</v>
      </c>
      <c r="C418" s="52">
        <f>IFERROR(__xludf.DUMMYFUNCTION("""COMPUTED_VALUE"""),0.0)</f>
        <v>0</v>
      </c>
      <c r="D418" s="52"/>
      <c r="E418" s="52" t="str">
        <f>IFERROR(__xludf.DUMMYFUNCTION("""COMPUTED_VALUE"""),"CV. SENTOSA ABADI")</f>
        <v>CV. SENTOSA ABADI</v>
      </c>
      <c r="F418" s="52" t="str">
        <f>IFERROR(__xludf.DUMMYFUNCTION("""COMPUTED_VALUE"""),"FALSE")</f>
        <v>FALSE</v>
      </c>
      <c r="G418" s="52" t="str">
        <f>IFERROR(__xludf.DUMMYFUNCTION("""COMPUTED_VALUE"""),"FALSE")</f>
        <v>FALSE</v>
      </c>
      <c r="H418" s="52" t="str">
        <f>IFERROR(__xludf.DUMMYFUNCTION("""COMPUTED_VALUE"""),"FALSE")</f>
        <v>FALSE</v>
      </c>
      <c r="I418" s="52"/>
      <c r="J418" s="53" t="str">
        <f>IFERROR(__xludf.DUMMYFUNCTION("""COMPUTED_VALUE"""),"[101199002] Rieki Yulianto")</f>
        <v>[101199002] Rieki Yulianto</v>
      </c>
      <c r="K418" s="52"/>
      <c r="L418" s="52" t="str">
        <f t="shared" si="1"/>
        <v>#VALUE!</v>
      </c>
      <c r="M418" s="52"/>
      <c r="N418" s="52"/>
      <c r="O418" s="52"/>
      <c r="P418" s="52"/>
      <c r="Q418" s="52"/>
      <c r="R418" s="52"/>
      <c r="S418" s="52"/>
      <c r="T418" s="52"/>
      <c r="U418" s="52"/>
      <c r="V418" s="52"/>
      <c r="W418" s="52"/>
      <c r="X418" s="52"/>
      <c r="Y418" s="52"/>
      <c r="Z418" s="52"/>
    </row>
    <row r="419">
      <c r="A419" s="52">
        <f>IFERROR(__xludf.DUMMYFUNCTION("""COMPUTED_VALUE"""),2.06241939E8)</f>
        <v>206241939</v>
      </c>
      <c r="B419" s="52" t="str">
        <f>IFERROR(__xludf.DUMMYFUNCTION("""COMPUTED_VALUE"""),"SAHRUL")</f>
        <v>SAHRUL</v>
      </c>
      <c r="C419" s="52">
        <f>IFERROR(__xludf.DUMMYFUNCTION("""COMPUTED_VALUE"""),22.0)</f>
        <v>22</v>
      </c>
      <c r="D419" s="52" t="str">
        <f>IFERROR(__xludf.DUMMYFUNCTION("""COMPUTED_VALUE"""),"Islam")</f>
        <v>Islam</v>
      </c>
      <c r="E419" s="52" t="str">
        <f>IFERROR(__xludf.DUMMYFUNCTION("""COMPUTED_VALUE"""),"CV. Adil Prima Perkasa")</f>
        <v>CV. Adil Prima Perkasa</v>
      </c>
      <c r="F419" s="52" t="str">
        <f>IFERROR(__xludf.DUMMYFUNCTION("""COMPUTED_VALUE"""),"CREW SURVEY")</f>
        <v>CREW SURVEY</v>
      </c>
      <c r="G419" s="52" t="str">
        <f>IFERROR(__xludf.DUMMYFUNCTION("""COMPUTED_VALUE"""),"MPE")</f>
        <v>MPE</v>
      </c>
      <c r="H419" s="52" t="str">
        <f>IFERROR(__xludf.DUMMYFUNCTION("""COMPUTED_VALUE"""),"[0102150008] ERWIN SAPA")</f>
        <v>[0102150008] ERWIN SAPA</v>
      </c>
      <c r="I419" s="52"/>
      <c r="J419" s="53" t="str">
        <f>IFERROR(__xludf.DUMMYFUNCTION("""COMPUTED_VALUE"""),"[206241939] SAHRUL")</f>
        <v>[206241939] SAHRUL</v>
      </c>
      <c r="K419" s="52"/>
      <c r="L419" s="52" t="str">
        <f t="shared" si="1"/>
        <v>#VALUE!</v>
      </c>
      <c r="M419" s="52"/>
      <c r="N419" s="52"/>
      <c r="O419" s="52"/>
      <c r="P419" s="52"/>
      <c r="Q419" s="52"/>
      <c r="R419" s="52"/>
      <c r="S419" s="52"/>
      <c r="T419" s="52"/>
      <c r="U419" s="52"/>
      <c r="V419" s="52"/>
      <c r="W419" s="52"/>
      <c r="X419" s="52"/>
      <c r="Y419" s="52"/>
      <c r="Z419" s="52"/>
    </row>
    <row r="420">
      <c r="A420" s="52">
        <f>IFERROR(__xludf.DUMMYFUNCTION("""COMPUTED_VALUE"""),1.04211369E8)</f>
        <v>104211369</v>
      </c>
      <c r="B420" s="52" t="str">
        <f>IFERROR(__xludf.DUMMYFUNCTION("""COMPUTED_VALUE"""),"SAID PETAA")</f>
        <v>SAID PETAA</v>
      </c>
      <c r="C420" s="52">
        <f>IFERROR(__xludf.DUMMYFUNCTION("""COMPUTED_VALUE"""),59.0)</f>
        <v>59</v>
      </c>
      <c r="D420" s="52" t="str">
        <f>IFERROR(__xludf.DUMMYFUNCTION("""COMPUTED_VALUE"""),"Kristen Protestan")</f>
        <v>Kristen Protestan</v>
      </c>
      <c r="E420" s="52" t="str">
        <f>IFERROR(__xludf.DUMMYFUNCTION("""COMPUTED_VALUE"""),"CV. SENTOSA ABADI")</f>
        <v>CV. SENTOSA ABADI</v>
      </c>
      <c r="F420" s="52" t="str">
        <f>IFERROR(__xludf.DUMMYFUNCTION("""COMPUTED_VALUE"""),"DRIVER DT H700ZY")</f>
        <v>DRIVER DT H700ZY</v>
      </c>
      <c r="G420" s="52" t="str">
        <f>IFERROR(__xludf.DUMMYFUNCTION("""COMPUTED_VALUE"""),"KENDARAAN &amp; UNIT SUPPORT")</f>
        <v>KENDARAAN &amp; UNIT SUPPORT</v>
      </c>
      <c r="H420" s="52" t="str">
        <f>IFERROR(__xludf.DUMMYFUNCTION("""COMPUTED_VALUE"""),"[0102150004] NAFTALI RARE'A, ST")</f>
        <v>[0102150004] NAFTALI RARE'A, ST</v>
      </c>
      <c r="I420" s="52"/>
      <c r="J420" s="53" t="str">
        <f>IFERROR(__xludf.DUMMYFUNCTION("""COMPUTED_VALUE"""),"[104211369] SAID PETAA")</f>
        <v>[104211369] SAID PETAA</v>
      </c>
      <c r="K420" s="52"/>
      <c r="L420" s="52" t="str">
        <f t="shared" si="1"/>
        <v>#VALUE!</v>
      </c>
      <c r="M420" s="52"/>
      <c r="N420" s="52"/>
      <c r="O420" s="52"/>
      <c r="P420" s="52"/>
      <c r="Q420" s="52"/>
      <c r="R420" s="52"/>
      <c r="S420" s="52"/>
      <c r="T420" s="52"/>
      <c r="U420" s="52"/>
      <c r="V420" s="52"/>
      <c r="W420" s="52"/>
      <c r="X420" s="52"/>
      <c r="Y420" s="52"/>
      <c r="Z420" s="52"/>
    </row>
    <row r="421">
      <c r="A421" s="52">
        <f>IFERROR(__xludf.DUMMYFUNCTION("""COMPUTED_VALUE"""),1.1220132E8)</f>
        <v>112201320</v>
      </c>
      <c r="B421" s="52" t="str">
        <f>IFERROR(__xludf.DUMMYFUNCTION("""COMPUTED_VALUE"""),"SALDI")</f>
        <v>SALDI</v>
      </c>
      <c r="C421" s="52">
        <f>IFERROR(__xludf.DUMMYFUNCTION("""COMPUTED_VALUE"""),43.0)</f>
        <v>43</v>
      </c>
      <c r="D421" s="52" t="str">
        <f>IFERROR(__xludf.DUMMYFUNCTION("""COMPUTED_VALUE"""),"Islam")</f>
        <v>Islam</v>
      </c>
      <c r="E421" s="52" t="str">
        <f>IFERROR(__xludf.DUMMYFUNCTION("""COMPUTED_VALUE"""),"CV. SENTOSA ABADI")</f>
        <v>CV. SENTOSA ABADI</v>
      </c>
      <c r="F421" s="52" t="str">
        <f>IFERROR(__xludf.DUMMYFUNCTION("""COMPUTED_VALUE"""),"DRIVER DT H700ZY")</f>
        <v>DRIVER DT H700ZY</v>
      </c>
      <c r="G421" s="52" t="str">
        <f>IFERROR(__xludf.DUMMYFUNCTION("""COMPUTED_VALUE"""),"KENDARAAN &amp; UNIT SUPPORT")</f>
        <v>KENDARAAN &amp; UNIT SUPPORT</v>
      </c>
      <c r="H421" s="52" t="str">
        <f>IFERROR(__xludf.DUMMYFUNCTION("""COMPUTED_VALUE"""),"[0102150004] NAFTALI RARE'A, ST")</f>
        <v>[0102150004] NAFTALI RARE'A, ST</v>
      </c>
      <c r="I421" s="52"/>
      <c r="J421" s="53" t="str">
        <f>IFERROR(__xludf.DUMMYFUNCTION("""COMPUTED_VALUE"""),"[112201320] SALDI")</f>
        <v>[112201320] SALDI</v>
      </c>
      <c r="K421" s="52"/>
      <c r="L421" s="52" t="str">
        <f t="shared" si="1"/>
        <v>#VALUE!</v>
      </c>
      <c r="M421" s="52"/>
      <c r="N421" s="52"/>
      <c r="O421" s="52"/>
      <c r="P421" s="52"/>
      <c r="Q421" s="52"/>
      <c r="R421" s="52"/>
      <c r="S421" s="52"/>
      <c r="T421" s="52"/>
      <c r="U421" s="52"/>
      <c r="V421" s="52"/>
      <c r="W421" s="52"/>
      <c r="X421" s="52"/>
      <c r="Y421" s="52"/>
      <c r="Z421" s="52"/>
    </row>
    <row r="422">
      <c r="A422" s="52">
        <f>IFERROR(__xludf.DUMMYFUNCTION("""COMPUTED_VALUE"""),1.08191062E8)</f>
        <v>108191062</v>
      </c>
      <c r="B422" s="52" t="str">
        <f>IFERROR(__xludf.DUMMYFUNCTION("""COMPUTED_VALUE"""),"SAMUEL PAPA")</f>
        <v>SAMUEL PAPA</v>
      </c>
      <c r="C422" s="52">
        <f>IFERROR(__xludf.DUMMYFUNCTION("""COMPUTED_VALUE"""),22.0)</f>
        <v>22</v>
      </c>
      <c r="D422" s="52" t="str">
        <f>IFERROR(__xludf.DUMMYFUNCTION("""COMPUTED_VALUE"""),"Kristen Protestan")</f>
        <v>Kristen Protestan</v>
      </c>
      <c r="E422" s="52" t="str">
        <f>IFERROR(__xludf.DUMMYFUNCTION("""COMPUTED_VALUE"""),"CV. SENTOSA ABADI")</f>
        <v>CV. SENTOSA ABADI</v>
      </c>
      <c r="F422" s="52" t="str">
        <f>IFERROR(__xludf.DUMMYFUNCTION("""COMPUTED_VALUE"""),"HELPER MECHANIC DT OTR")</f>
        <v>HELPER MECHANIC DT OTR</v>
      </c>
      <c r="G422" s="52" t="str">
        <f>IFERROR(__xludf.DUMMYFUNCTION("""COMPUTED_VALUE"""),"WORKSHOP")</f>
        <v>WORKSHOP</v>
      </c>
      <c r="H422" s="52" t="str">
        <f>IFERROR(__xludf.DUMMYFUNCTION("""COMPUTED_VALUE"""),"[0104211387] MIRZAL")</f>
        <v>[0104211387] MIRZAL</v>
      </c>
      <c r="I422" s="52"/>
      <c r="J422" s="53" t="str">
        <f>IFERROR(__xludf.DUMMYFUNCTION("""COMPUTED_VALUE"""),"[108191062] SAMUEL PAPA")</f>
        <v>[108191062] SAMUEL PAPA</v>
      </c>
      <c r="K422" s="52"/>
      <c r="L422" s="52" t="str">
        <f t="shared" si="1"/>
        <v>#VALUE!</v>
      </c>
      <c r="M422" s="52"/>
      <c r="N422" s="52"/>
      <c r="O422" s="52"/>
      <c r="P422" s="52"/>
      <c r="Q422" s="52"/>
      <c r="R422" s="52"/>
      <c r="S422" s="52"/>
      <c r="T422" s="52"/>
      <c r="U422" s="52"/>
      <c r="V422" s="52"/>
      <c r="W422" s="52"/>
      <c r="X422" s="52"/>
      <c r="Y422" s="52"/>
      <c r="Z422" s="52"/>
    </row>
    <row r="423">
      <c r="A423" s="52">
        <f>IFERROR(__xludf.DUMMYFUNCTION("""COMPUTED_VALUE"""),2.11221702E8)</f>
        <v>211221702</v>
      </c>
      <c r="B423" s="52" t="str">
        <f>IFERROR(__xludf.DUMMYFUNCTION("""COMPUTED_VALUE"""),"SANDI")</f>
        <v>SANDI</v>
      </c>
      <c r="C423" s="52">
        <f>IFERROR(__xludf.DUMMYFUNCTION("""COMPUTED_VALUE"""),29.0)</f>
        <v>29</v>
      </c>
      <c r="D423" s="52" t="str">
        <f>IFERROR(__xludf.DUMMYFUNCTION("""COMPUTED_VALUE"""),"Islam")</f>
        <v>Islam</v>
      </c>
      <c r="E423" s="52" t="str">
        <f>IFERROR(__xludf.DUMMYFUNCTION("""COMPUTED_VALUE"""),"CV. Adil Prima Perkasa")</f>
        <v>CV. Adil Prima Perkasa</v>
      </c>
      <c r="F423" s="52" t="str">
        <f>IFERROR(__xludf.DUMMYFUNCTION("""COMPUTED_VALUE"""),"DRIVER DT H700ZS")</f>
        <v>DRIVER DT H700ZS</v>
      </c>
      <c r="G423" s="52" t="str">
        <f>IFERROR(__xludf.DUMMYFUNCTION("""COMPUTED_VALUE"""),"KENDARAAN &amp; UNIT SUPPORT")</f>
        <v>KENDARAAN &amp; UNIT SUPPORT</v>
      </c>
      <c r="H423" s="52" t="str">
        <f>IFERROR(__xludf.DUMMYFUNCTION("""COMPUTED_VALUE"""),"[0102150004] NAFTALI RARE'A, ST")</f>
        <v>[0102150004] NAFTALI RARE'A, ST</v>
      </c>
      <c r="I423" s="55">
        <f>IFERROR(__xludf.DUMMYFUNCTION("""COMPUTED_VALUE"""),35129.0)</f>
        <v>35129</v>
      </c>
      <c r="J423" s="53" t="str">
        <f>IFERROR(__xludf.DUMMYFUNCTION("""COMPUTED_VALUE"""),"[211221702] SANDI")</f>
        <v>[211221702] SANDI</v>
      </c>
      <c r="K423" s="52"/>
      <c r="L423" s="52" t="str">
        <f t="shared" si="1"/>
        <v>#VALUE!</v>
      </c>
      <c r="M423" s="52"/>
      <c r="N423" s="52"/>
      <c r="O423" s="52"/>
      <c r="P423" s="52"/>
      <c r="Q423" s="52"/>
      <c r="R423" s="52"/>
      <c r="S423" s="52"/>
      <c r="T423" s="52"/>
      <c r="U423" s="52"/>
      <c r="V423" s="52"/>
      <c r="W423" s="52"/>
      <c r="X423" s="52"/>
      <c r="Y423" s="52"/>
      <c r="Z423" s="52"/>
    </row>
    <row r="424">
      <c r="A424" s="52">
        <f>IFERROR(__xludf.DUMMYFUNCTION("""COMPUTED_VALUE"""),1.02190885E8)</f>
        <v>102190885</v>
      </c>
      <c r="B424" s="52" t="str">
        <f>IFERROR(__xludf.DUMMYFUNCTION("""COMPUTED_VALUE"""),"SANI")</f>
        <v>SANI</v>
      </c>
      <c r="C424" s="52">
        <f>IFERROR(__xludf.DUMMYFUNCTION("""COMPUTED_VALUE"""),53.0)</f>
        <v>53</v>
      </c>
      <c r="D424" s="52" t="str">
        <f>IFERROR(__xludf.DUMMYFUNCTION("""COMPUTED_VALUE"""),"Islam")</f>
        <v>Islam</v>
      </c>
      <c r="E424" s="52" t="str">
        <f>IFERROR(__xludf.DUMMYFUNCTION("""COMPUTED_VALUE"""),"CV. SENTOSA ABADI")</f>
        <v>CV. SENTOSA ABADI</v>
      </c>
      <c r="F424" s="52" t="str">
        <f>IFERROR(__xludf.DUMMYFUNCTION("""COMPUTED_VALUE"""),"STOCKER")</f>
        <v>STOCKER</v>
      </c>
      <c r="G424" s="52" t="str">
        <f>IFERROR(__xludf.DUMMYFUNCTION("""COMPUTED_VALUE"""),"HRD &amp; GA")</f>
        <v>HRD &amp; GA</v>
      </c>
      <c r="H424" s="52" t="str">
        <f>IFERROR(__xludf.DUMMYFUNCTION("""COMPUTED_VALUE"""),"[0103231738] MARYA SUSAN SIMBANGU")</f>
        <v>[0103231738] MARYA SUSAN SIMBANGU</v>
      </c>
      <c r="I424" s="52"/>
      <c r="J424" s="53" t="str">
        <f>IFERROR(__xludf.DUMMYFUNCTION("""COMPUTED_VALUE"""),"[102190885] SANI")</f>
        <v>[102190885] SANI</v>
      </c>
      <c r="K424" s="52"/>
      <c r="L424" s="52" t="str">
        <f t="shared" si="1"/>
        <v>#VALUE!</v>
      </c>
      <c r="M424" s="52"/>
      <c r="N424" s="52"/>
      <c r="O424" s="52"/>
      <c r="P424" s="52"/>
      <c r="Q424" s="52"/>
      <c r="R424" s="52"/>
      <c r="S424" s="52"/>
      <c r="T424" s="52"/>
      <c r="U424" s="52"/>
      <c r="V424" s="52"/>
      <c r="W424" s="52"/>
      <c r="X424" s="52"/>
      <c r="Y424" s="52"/>
      <c r="Z424" s="52"/>
    </row>
    <row r="425">
      <c r="A425" s="52">
        <f>IFERROR(__xludf.DUMMYFUNCTION("""COMPUTED_VALUE"""),1.06211437E8)</f>
        <v>106211437</v>
      </c>
      <c r="B425" s="52" t="str">
        <f>IFERROR(__xludf.DUMMYFUNCTION("""COMPUTED_VALUE"""),"SAPRIADI DG MALLI")</f>
        <v>SAPRIADI DG MALLI</v>
      </c>
      <c r="C425" s="52">
        <f>IFERROR(__xludf.DUMMYFUNCTION("""COMPUTED_VALUE"""),41.0)</f>
        <v>41</v>
      </c>
      <c r="D425" s="52" t="str">
        <f>IFERROR(__xludf.DUMMYFUNCTION("""COMPUTED_VALUE"""),"Islam")</f>
        <v>Islam</v>
      </c>
      <c r="E425" s="52" t="str">
        <f>IFERROR(__xludf.DUMMYFUNCTION("""COMPUTED_VALUE"""),"CV. SENTOSA ABADI")</f>
        <v>CV. SENTOSA ABADI</v>
      </c>
      <c r="F425" s="52" t="str">
        <f>IFERROR(__xludf.DUMMYFUNCTION("""COMPUTED_VALUE"""),"OPERATOR ADT")</f>
        <v>OPERATOR ADT</v>
      </c>
      <c r="G425" s="52" t="str">
        <f>IFERROR(__xludf.DUMMYFUNCTION("""COMPUTED_VALUE"""),"PRODUKSI")</f>
        <v>PRODUKSI</v>
      </c>
      <c r="H425" s="52" t="str">
        <f>IFERROR(__xludf.DUMMYFUNCTION("""COMPUTED_VALUE"""),"FALSE")</f>
        <v>FALSE</v>
      </c>
      <c r="I425" s="52"/>
      <c r="J425" s="53" t="str">
        <f>IFERROR(__xludf.DUMMYFUNCTION("""COMPUTED_VALUE"""),"[106211437] SAPRIADI DG MALLI")</f>
        <v>[106211437] SAPRIADI DG MALLI</v>
      </c>
      <c r="K425" s="52"/>
      <c r="L425" s="52" t="str">
        <f t="shared" si="1"/>
        <v>#VALUE!</v>
      </c>
      <c r="M425" s="52"/>
      <c r="N425" s="52"/>
      <c r="O425" s="52"/>
      <c r="P425" s="52"/>
      <c r="Q425" s="52"/>
      <c r="R425" s="52"/>
      <c r="S425" s="52"/>
      <c r="T425" s="52"/>
      <c r="U425" s="52"/>
      <c r="V425" s="52"/>
      <c r="W425" s="52"/>
      <c r="X425" s="52"/>
      <c r="Y425" s="52"/>
      <c r="Z425" s="52"/>
    </row>
    <row r="426">
      <c r="A426" s="52">
        <f>IFERROR(__xludf.DUMMYFUNCTION("""COMPUTED_VALUE"""),4.07230004E8)</f>
        <v>407230004</v>
      </c>
      <c r="B426" s="52" t="str">
        <f>IFERROR(__xludf.DUMMYFUNCTION("""COMPUTED_VALUE"""),"SARLIN")</f>
        <v>SARLIN</v>
      </c>
      <c r="C426" s="52">
        <f>IFERROR(__xludf.DUMMYFUNCTION("""COMPUTED_VALUE"""),0.0)</f>
        <v>0</v>
      </c>
      <c r="D426" s="52"/>
      <c r="E426" s="52" t="str">
        <f>IFERROR(__xludf.DUMMYFUNCTION("""COMPUTED_VALUE"""),"CV. SENTOSA ABADI")</f>
        <v>CV. SENTOSA ABADI</v>
      </c>
      <c r="F426" s="52" t="str">
        <f>IFERROR(__xludf.DUMMYFUNCTION("""COMPUTED_VALUE"""),"FOREMAN GRADE CONTROL")</f>
        <v>FOREMAN GRADE CONTROL</v>
      </c>
      <c r="G426" s="52" t="str">
        <f>IFERROR(__xludf.DUMMYFUNCTION("""COMPUTED_VALUE"""),"GRADE CONTROL")</f>
        <v>GRADE CONTROL</v>
      </c>
      <c r="H426" s="52" t="str">
        <f>IFERROR(__xludf.DUMMYFUNCTION("""COMPUTED_VALUE"""),"[0107201164] A.CHRISTI ARI WIBOWO")</f>
        <v>[0107201164] A.CHRISTI ARI WIBOWO</v>
      </c>
      <c r="I426" s="52"/>
      <c r="J426" s="53" t="str">
        <f>IFERROR(__xludf.DUMMYFUNCTION("""COMPUTED_VALUE"""),"[407230004] SARLIN")</f>
        <v>[407230004] SARLIN</v>
      </c>
      <c r="K426" s="52"/>
      <c r="L426" s="52" t="str">
        <f t="shared" si="1"/>
        <v>#VALUE!</v>
      </c>
      <c r="M426" s="52"/>
      <c r="N426" s="52"/>
      <c r="O426" s="52"/>
      <c r="P426" s="52"/>
      <c r="Q426" s="52"/>
      <c r="R426" s="52"/>
      <c r="S426" s="52"/>
      <c r="T426" s="52"/>
      <c r="U426" s="52"/>
      <c r="V426" s="52"/>
      <c r="W426" s="52"/>
      <c r="X426" s="52"/>
      <c r="Y426" s="52"/>
      <c r="Z426" s="52"/>
    </row>
    <row r="427">
      <c r="A427" s="52">
        <f>IFERROR(__xludf.DUMMYFUNCTION("""COMPUTED_VALUE"""),2.08231822E8)</f>
        <v>208231822</v>
      </c>
      <c r="B427" s="52" t="str">
        <f>IFERROR(__xludf.DUMMYFUNCTION("""COMPUTED_VALUE"""),"SARTI BARUNG")</f>
        <v>SARTI BARUNG</v>
      </c>
      <c r="C427" s="52">
        <f>IFERROR(__xludf.DUMMYFUNCTION("""COMPUTED_VALUE"""),27.0)</f>
        <v>27</v>
      </c>
      <c r="D427" s="52" t="str">
        <f>IFERROR(__xludf.DUMMYFUNCTION("""COMPUTED_VALUE"""),"Kristen Protestan")</f>
        <v>Kristen Protestan</v>
      </c>
      <c r="E427" s="52" t="str">
        <f>IFERROR(__xludf.DUMMYFUNCTION("""COMPUTED_VALUE"""),"CV. Adil Prima Perkasa")</f>
        <v>CV. Adil Prima Perkasa</v>
      </c>
      <c r="F427" s="52" t="str">
        <f>IFERROR(__xludf.DUMMYFUNCTION("""COMPUTED_VALUE"""),"STOCKER")</f>
        <v>STOCKER</v>
      </c>
      <c r="G427" s="52" t="str">
        <f>IFERROR(__xludf.DUMMYFUNCTION("""COMPUTED_VALUE"""),"HRD &amp; GA")</f>
        <v>HRD &amp; GA</v>
      </c>
      <c r="H427" s="52" t="str">
        <f>IFERROR(__xludf.DUMMYFUNCTION("""COMPUTED_VALUE"""),"[0108191037] ERNIE FRISLIA")</f>
        <v>[0108191037] ERNIE FRISLIA</v>
      </c>
      <c r="I427" s="52"/>
      <c r="J427" s="53" t="str">
        <f>IFERROR(__xludf.DUMMYFUNCTION("""COMPUTED_VALUE"""),"[208231822] SARTI BARUNG")</f>
        <v>[208231822] SARTI BARUNG</v>
      </c>
      <c r="K427" s="52"/>
      <c r="L427" s="52" t="str">
        <f t="shared" si="1"/>
        <v>#VALUE!</v>
      </c>
      <c r="M427" s="52"/>
      <c r="N427" s="52"/>
      <c r="O427" s="52"/>
      <c r="P427" s="52"/>
      <c r="Q427" s="52"/>
      <c r="R427" s="52"/>
      <c r="S427" s="52"/>
      <c r="T427" s="52"/>
      <c r="U427" s="52"/>
      <c r="V427" s="52"/>
      <c r="W427" s="52"/>
      <c r="X427" s="52"/>
      <c r="Y427" s="52"/>
      <c r="Z427" s="52"/>
    </row>
    <row r="428">
      <c r="A428" s="52">
        <f>IFERROR(__xludf.DUMMYFUNCTION("""COMPUTED_VALUE"""),2.11201268E8)</f>
        <v>211201268</v>
      </c>
      <c r="B428" s="52" t="str">
        <f>IFERROR(__xludf.DUMMYFUNCTION("""COMPUTED_VALUE"""),"SATRULLAH")</f>
        <v>SATRULLAH</v>
      </c>
      <c r="C428" s="52">
        <f>IFERROR(__xludf.DUMMYFUNCTION("""COMPUTED_VALUE"""),37.0)</f>
        <v>37</v>
      </c>
      <c r="D428" s="52" t="str">
        <f>IFERROR(__xludf.DUMMYFUNCTION("""COMPUTED_VALUE"""),"Kristen Protestan")</f>
        <v>Kristen Protestan</v>
      </c>
      <c r="E428" s="52" t="str">
        <f>IFERROR(__xludf.DUMMYFUNCTION("""COMPUTED_VALUE"""),"CV. Adil Prima Perkasa")</f>
        <v>CV. Adil Prima Perkasa</v>
      </c>
      <c r="F428" s="52" t="str">
        <f>IFERROR(__xludf.DUMMYFUNCTION("""COMPUTED_VALUE"""),"DRIVER DT H700ZY")</f>
        <v>DRIVER DT H700ZY</v>
      </c>
      <c r="G428" s="52" t="str">
        <f>IFERROR(__xludf.DUMMYFUNCTION("""COMPUTED_VALUE"""),"KENDARAAN &amp; UNIT SUPPORT")</f>
        <v>KENDARAAN &amp; UNIT SUPPORT</v>
      </c>
      <c r="H428" s="52" t="str">
        <f>IFERROR(__xludf.DUMMYFUNCTION("""COMPUTED_VALUE"""),"[0102150004] NAFTALI RARE'A, ST")</f>
        <v>[0102150004] NAFTALI RARE'A, ST</v>
      </c>
      <c r="I428" s="55">
        <f>IFERROR(__xludf.DUMMYFUNCTION("""COMPUTED_VALUE"""),33532.0)</f>
        <v>33532</v>
      </c>
      <c r="J428" s="53" t="str">
        <f>IFERROR(__xludf.DUMMYFUNCTION("""COMPUTED_VALUE"""),"[211201268] SATRULLAH")</f>
        <v>[211201268] SATRULLAH</v>
      </c>
      <c r="K428" s="52"/>
      <c r="L428" s="52" t="str">
        <f t="shared" si="1"/>
        <v>#VALUE!</v>
      </c>
      <c r="M428" s="52"/>
      <c r="N428" s="52"/>
      <c r="O428" s="52"/>
      <c r="P428" s="52"/>
      <c r="Q428" s="52"/>
      <c r="R428" s="52"/>
      <c r="S428" s="52"/>
      <c r="T428" s="52"/>
      <c r="U428" s="52"/>
      <c r="V428" s="52"/>
      <c r="W428" s="52"/>
      <c r="X428" s="52"/>
      <c r="Y428" s="52"/>
      <c r="Z428" s="52"/>
    </row>
    <row r="429">
      <c r="A429" s="52"/>
      <c r="B429" s="52" t="str">
        <f>IFERROR(__xludf.DUMMYFUNCTION("""COMPUTED_VALUE"""),"SELLY HANDOKO")</f>
        <v>SELLY HANDOKO</v>
      </c>
      <c r="C429" s="52">
        <f>IFERROR(__xludf.DUMMYFUNCTION("""COMPUTED_VALUE"""),0.0)</f>
        <v>0</v>
      </c>
      <c r="D429" s="52"/>
      <c r="E429" s="52" t="str">
        <f>IFERROR(__xludf.DUMMYFUNCTION("""COMPUTED_VALUE"""),"CV. SENTOSA ABADI")</f>
        <v>CV. SENTOSA ABADI</v>
      </c>
      <c r="F429" s="52" t="str">
        <f>IFERROR(__xludf.DUMMYFUNCTION("""COMPUTED_VALUE"""),"FALSE")</f>
        <v>FALSE</v>
      </c>
      <c r="G429" s="52" t="str">
        <f>IFERROR(__xludf.DUMMYFUNCTION("""COMPUTED_VALUE"""),"FALSE")</f>
        <v>FALSE</v>
      </c>
      <c r="H429" s="52" t="str">
        <f>IFERROR(__xludf.DUMMYFUNCTION("""COMPUTED_VALUE"""),"FALSE")</f>
        <v>FALSE</v>
      </c>
      <c r="I429" s="52"/>
      <c r="J429" s="53" t="str">
        <f>IFERROR(__xludf.DUMMYFUNCTION("""COMPUTED_VALUE"""),"[] SELLY HANDOKO")</f>
        <v>[] SELLY HANDOKO</v>
      </c>
      <c r="K429" s="52"/>
      <c r="L429" s="52" t="str">
        <f t="shared" si="1"/>
        <v>#VALUE!</v>
      </c>
      <c r="M429" s="52"/>
      <c r="N429" s="52"/>
      <c r="O429" s="52"/>
      <c r="P429" s="52"/>
      <c r="Q429" s="52"/>
      <c r="R429" s="52"/>
      <c r="S429" s="52"/>
      <c r="T429" s="52"/>
      <c r="U429" s="52"/>
      <c r="V429" s="52"/>
      <c r="W429" s="52"/>
      <c r="X429" s="52"/>
      <c r="Y429" s="52"/>
      <c r="Z429" s="52"/>
    </row>
    <row r="430">
      <c r="A430" s="52">
        <f>IFERROR(__xludf.DUMMYFUNCTION("""COMPUTED_VALUE"""),1.09201224E8)</f>
        <v>109201224</v>
      </c>
      <c r="B430" s="52" t="str">
        <f>IFERROR(__xludf.DUMMYFUNCTION("""COMPUTED_VALUE"""),"SEPNIM. E. BALEBU")</f>
        <v>SEPNIM. E. BALEBU</v>
      </c>
      <c r="C430" s="52">
        <f>IFERROR(__xludf.DUMMYFUNCTION("""COMPUTED_VALUE"""),42.0)</f>
        <v>42</v>
      </c>
      <c r="D430" s="52" t="str">
        <f>IFERROR(__xludf.DUMMYFUNCTION("""COMPUTED_VALUE"""),"Kristen Protestan")</f>
        <v>Kristen Protestan</v>
      </c>
      <c r="E430" s="52" t="str">
        <f>IFERROR(__xludf.DUMMYFUNCTION("""COMPUTED_VALUE"""),"CV. SENTOSA ABADI")</f>
        <v>CV. SENTOSA ABADI</v>
      </c>
      <c r="F430" s="52" t="str">
        <f>IFERROR(__xludf.DUMMYFUNCTION("""COMPUTED_VALUE"""),"OPERATOR COMPACTOR")</f>
        <v>OPERATOR COMPACTOR</v>
      </c>
      <c r="G430" s="52" t="str">
        <f>IFERROR(__xludf.DUMMYFUNCTION("""COMPUTED_VALUE"""),"PRODUKSI")</f>
        <v>PRODUKSI</v>
      </c>
      <c r="H430" s="52" t="str">
        <f>IFERROR(__xludf.DUMMYFUNCTION("""COMPUTED_VALUE"""),"[0102130003] PURNAWAN")</f>
        <v>[0102130003] PURNAWAN</v>
      </c>
      <c r="I430" s="55">
        <f>IFERROR(__xludf.DUMMYFUNCTION("""COMPUTED_VALUE"""),31877.0)</f>
        <v>31877</v>
      </c>
      <c r="J430" s="53" t="str">
        <f>IFERROR(__xludf.DUMMYFUNCTION("""COMPUTED_VALUE"""),"[109201224] SEPNIM. E. BALEBU")</f>
        <v>[109201224] SEPNIM. E. BALEBU</v>
      </c>
      <c r="K430" s="52"/>
      <c r="L430" s="52" t="str">
        <f t="shared" si="1"/>
        <v>#VALUE!</v>
      </c>
      <c r="M430" s="52"/>
      <c r="N430" s="52"/>
      <c r="O430" s="52"/>
      <c r="P430" s="52"/>
      <c r="Q430" s="52"/>
      <c r="R430" s="52"/>
      <c r="S430" s="52"/>
      <c r="T430" s="52"/>
      <c r="U430" s="52"/>
      <c r="V430" s="52"/>
      <c r="W430" s="52"/>
      <c r="X430" s="52"/>
      <c r="Y430" s="52"/>
      <c r="Z430" s="52"/>
    </row>
    <row r="431">
      <c r="A431" s="52">
        <f>IFERROR(__xludf.DUMMYFUNCTION("""COMPUTED_VALUE"""),2.06211441E8)</f>
        <v>206211441</v>
      </c>
      <c r="B431" s="52" t="str">
        <f>IFERROR(__xludf.DUMMYFUNCTION("""COMPUTED_VALUE"""),"SEPRI DAUD PAJULA")</f>
        <v>SEPRI DAUD PAJULA</v>
      </c>
      <c r="C431" s="52">
        <f>IFERROR(__xludf.DUMMYFUNCTION("""COMPUTED_VALUE"""),28.0)</f>
        <v>28</v>
      </c>
      <c r="D431" s="52" t="str">
        <f>IFERROR(__xludf.DUMMYFUNCTION("""COMPUTED_VALUE"""),"Kristen Protestan")</f>
        <v>Kristen Protestan</v>
      </c>
      <c r="E431" s="52" t="str">
        <f>IFERROR(__xludf.DUMMYFUNCTION("""COMPUTED_VALUE"""),"CV. Adil Prima Perkasa")</f>
        <v>CV. Adil Prima Perkasa</v>
      </c>
      <c r="F431" s="52" t="str">
        <f>IFERROR(__xludf.DUMMYFUNCTION("""COMPUTED_VALUE"""),"OPERATOR EXCAVATOR")</f>
        <v>OPERATOR EXCAVATOR</v>
      </c>
      <c r="G431" s="52" t="str">
        <f>IFERROR(__xludf.DUMMYFUNCTION("""COMPUTED_VALUE"""),"PRODUKSI")</f>
        <v>PRODUKSI</v>
      </c>
      <c r="H431" s="52" t="str">
        <f>IFERROR(__xludf.DUMMYFUNCTION("""COMPUTED_VALUE"""),"[0102130003] PURNAWAN")</f>
        <v>[0102130003] PURNAWAN</v>
      </c>
      <c r="I431" s="52"/>
      <c r="J431" s="53" t="str">
        <f>IFERROR(__xludf.DUMMYFUNCTION("""COMPUTED_VALUE"""),"[206211441] SEPRI DAUD PAJULA")</f>
        <v>[206211441] SEPRI DAUD PAJULA</v>
      </c>
      <c r="K431" s="52"/>
      <c r="L431" s="52" t="str">
        <f t="shared" si="1"/>
        <v>#VALUE!</v>
      </c>
      <c r="M431" s="52"/>
      <c r="N431" s="52"/>
      <c r="O431" s="52"/>
      <c r="P431" s="52"/>
      <c r="Q431" s="52"/>
      <c r="R431" s="52"/>
      <c r="S431" s="52"/>
      <c r="T431" s="52"/>
      <c r="U431" s="52"/>
      <c r="V431" s="52"/>
      <c r="W431" s="52"/>
      <c r="X431" s="52"/>
      <c r="Y431" s="52"/>
      <c r="Z431" s="52"/>
    </row>
    <row r="432">
      <c r="A432" s="52">
        <f>IFERROR(__xludf.DUMMYFUNCTION("""COMPUTED_VALUE"""),2.03241904E8)</f>
        <v>203241904</v>
      </c>
      <c r="B432" s="52" t="str">
        <f>IFERROR(__xludf.DUMMYFUNCTION("""COMPUTED_VALUE"""),"SERVUS GIANTO")</f>
        <v>SERVUS GIANTO</v>
      </c>
      <c r="C432" s="52">
        <f>IFERROR(__xludf.DUMMYFUNCTION("""COMPUTED_VALUE"""),0.0)</f>
        <v>0</v>
      </c>
      <c r="D432" s="52"/>
      <c r="E432" s="52" t="str">
        <f>IFERROR(__xludf.DUMMYFUNCTION("""COMPUTED_VALUE"""),"CV. Adil Prima Perkasa")</f>
        <v>CV. Adil Prima Perkasa</v>
      </c>
      <c r="F432" s="52" t="str">
        <f>IFERROR(__xludf.DUMMYFUNCTION("""COMPUTED_VALUE"""),"CREW SURVEY")</f>
        <v>CREW SURVEY</v>
      </c>
      <c r="G432" s="52" t="str">
        <f>IFERROR(__xludf.DUMMYFUNCTION("""COMPUTED_VALUE"""),"MPE")</f>
        <v>MPE</v>
      </c>
      <c r="H432" s="52" t="str">
        <f>IFERROR(__xludf.DUMMYFUNCTION("""COMPUTED_VALUE"""),"[0102150007] EKY SIDIK PRATAMA, ST")</f>
        <v>[0102150007] EKY SIDIK PRATAMA, ST</v>
      </c>
      <c r="I432" s="52"/>
      <c r="J432" s="53" t="str">
        <f>IFERROR(__xludf.DUMMYFUNCTION("""COMPUTED_VALUE"""),"[203241904] SERVUS GIANTO")</f>
        <v>[203241904] SERVUS GIANTO</v>
      </c>
      <c r="K432" s="52"/>
      <c r="L432" s="52" t="str">
        <f t="shared" si="1"/>
        <v>#VALUE!</v>
      </c>
      <c r="M432" s="52"/>
      <c r="N432" s="52"/>
      <c r="O432" s="52"/>
      <c r="P432" s="52"/>
      <c r="Q432" s="52"/>
      <c r="R432" s="52"/>
      <c r="S432" s="52"/>
      <c r="T432" s="52"/>
      <c r="U432" s="52"/>
      <c r="V432" s="52"/>
      <c r="W432" s="52"/>
      <c r="X432" s="52"/>
      <c r="Y432" s="52"/>
      <c r="Z432" s="52"/>
    </row>
    <row r="433">
      <c r="A433" s="52">
        <f>IFERROR(__xludf.DUMMYFUNCTION("""COMPUTED_VALUE"""),1.0521139E8)</f>
        <v>105211390</v>
      </c>
      <c r="B433" s="52" t="str">
        <f>IFERROR(__xludf.DUMMYFUNCTION("""COMPUTED_VALUE"""),"SESARIUS JAHUS")</f>
        <v>SESARIUS JAHUS</v>
      </c>
      <c r="C433" s="52">
        <f>IFERROR(__xludf.DUMMYFUNCTION("""COMPUTED_VALUE"""),29.0)</f>
        <v>29</v>
      </c>
      <c r="D433" s="52" t="str">
        <f>IFERROR(__xludf.DUMMYFUNCTION("""COMPUTED_VALUE"""),"Kristen Khatolik")</f>
        <v>Kristen Khatolik</v>
      </c>
      <c r="E433" s="52" t="str">
        <f>IFERROR(__xludf.DUMMYFUNCTION("""COMPUTED_VALUE"""),"CV. SENTOSA ABADI")</f>
        <v>CV. SENTOSA ABADI</v>
      </c>
      <c r="F433" s="52" t="str">
        <f>IFERROR(__xludf.DUMMYFUNCTION("""COMPUTED_VALUE"""),"OPERATOR EXCAVATOR")</f>
        <v>OPERATOR EXCAVATOR</v>
      </c>
      <c r="G433" s="52" t="str">
        <f>IFERROR(__xludf.DUMMYFUNCTION("""COMPUTED_VALUE"""),"PRODUKSI")</f>
        <v>PRODUKSI</v>
      </c>
      <c r="H433" s="52" t="str">
        <f>IFERROR(__xludf.DUMMYFUNCTION("""COMPUTED_VALUE"""),"FALSE")</f>
        <v>FALSE</v>
      </c>
      <c r="I433" s="52"/>
      <c r="J433" s="53" t="str">
        <f>IFERROR(__xludf.DUMMYFUNCTION("""COMPUTED_VALUE"""),"[105211390] SESARIUS JAHUS")</f>
        <v>[105211390] SESARIUS JAHUS</v>
      </c>
      <c r="K433" s="52"/>
      <c r="L433" s="52" t="str">
        <f t="shared" si="1"/>
        <v>#VALUE!</v>
      </c>
      <c r="M433" s="52"/>
      <c r="N433" s="52"/>
      <c r="O433" s="52"/>
      <c r="P433" s="52"/>
      <c r="Q433" s="52"/>
      <c r="R433" s="52"/>
      <c r="S433" s="52"/>
      <c r="T433" s="52"/>
      <c r="U433" s="52"/>
      <c r="V433" s="52"/>
      <c r="W433" s="52"/>
      <c r="X433" s="52"/>
      <c r="Y433" s="52"/>
      <c r="Z433" s="52"/>
    </row>
    <row r="434">
      <c r="A434" s="52">
        <f>IFERROR(__xludf.DUMMYFUNCTION("""COMPUTED_VALUE"""),1.12180618E8)</f>
        <v>112180618</v>
      </c>
      <c r="B434" s="52" t="str">
        <f>IFERROR(__xludf.DUMMYFUNCTION("""COMPUTED_VALUE"""),"SEWARDI")</f>
        <v>SEWARDI</v>
      </c>
      <c r="C434" s="52">
        <f>IFERROR(__xludf.DUMMYFUNCTION("""COMPUTED_VALUE"""),53.0)</f>
        <v>53</v>
      </c>
      <c r="D434" s="52" t="str">
        <f>IFERROR(__xludf.DUMMYFUNCTION("""COMPUTED_VALUE"""),"Islam")</f>
        <v>Islam</v>
      </c>
      <c r="E434" s="52" t="str">
        <f>IFERROR(__xludf.DUMMYFUNCTION("""COMPUTED_VALUE"""),"CV. SENTOSA ABADI")</f>
        <v>CV. SENTOSA ABADI</v>
      </c>
      <c r="F434" s="52" t="str">
        <f>IFERROR(__xludf.DUMMYFUNCTION("""COMPUTED_VALUE"""),"OPERATOR ADT")</f>
        <v>OPERATOR ADT</v>
      </c>
      <c r="G434" s="52" t="str">
        <f>IFERROR(__xludf.DUMMYFUNCTION("""COMPUTED_VALUE"""),"PRODUKSI")</f>
        <v>PRODUKSI</v>
      </c>
      <c r="H434" s="52" t="str">
        <f>IFERROR(__xludf.DUMMYFUNCTION("""COMPUTED_VALUE"""),"FALSE")</f>
        <v>FALSE</v>
      </c>
      <c r="I434" s="52"/>
      <c r="J434" s="53" t="str">
        <f>IFERROR(__xludf.DUMMYFUNCTION("""COMPUTED_VALUE"""),"[112180618] SEWARDI")</f>
        <v>[112180618] SEWARDI</v>
      </c>
      <c r="K434" s="52"/>
      <c r="L434" s="52" t="str">
        <f t="shared" si="1"/>
        <v>#VALUE!</v>
      </c>
      <c r="M434" s="52"/>
      <c r="N434" s="52"/>
      <c r="O434" s="52"/>
      <c r="P434" s="52"/>
      <c r="Q434" s="52"/>
      <c r="R434" s="52"/>
      <c r="S434" s="52"/>
      <c r="T434" s="52"/>
      <c r="U434" s="52"/>
      <c r="V434" s="52"/>
      <c r="W434" s="52"/>
      <c r="X434" s="52"/>
      <c r="Y434" s="52"/>
      <c r="Z434" s="52"/>
    </row>
    <row r="435">
      <c r="A435" s="52">
        <f>IFERROR(__xludf.DUMMYFUNCTION("""COMPUTED_VALUE"""),2.02231721E8)</f>
        <v>202231721</v>
      </c>
      <c r="B435" s="52" t="str">
        <f>IFERROR(__xludf.DUMMYFUNCTION("""COMPUTED_VALUE"""),"SIDANG")</f>
        <v>SIDANG</v>
      </c>
      <c r="C435" s="52">
        <f>IFERROR(__xludf.DUMMYFUNCTION("""COMPUTED_VALUE"""),26.0)</f>
        <v>26</v>
      </c>
      <c r="D435" s="52" t="str">
        <f>IFERROR(__xludf.DUMMYFUNCTION("""COMPUTED_VALUE"""),"Islam")</f>
        <v>Islam</v>
      </c>
      <c r="E435" s="52" t="str">
        <f>IFERROR(__xludf.DUMMYFUNCTION("""COMPUTED_VALUE"""),"CV. Adil Prima Perkasa")</f>
        <v>CV. Adil Prima Perkasa</v>
      </c>
      <c r="F435" s="52" t="str">
        <f>IFERROR(__xludf.DUMMYFUNCTION("""COMPUTED_VALUE"""),"DRIVER DT H700ZS")</f>
        <v>DRIVER DT H700ZS</v>
      </c>
      <c r="G435" s="52" t="str">
        <f>IFERROR(__xludf.DUMMYFUNCTION("""COMPUTED_VALUE"""),"KENDARAAN &amp; UNIT SUPPORT")</f>
        <v>KENDARAAN &amp; UNIT SUPPORT</v>
      </c>
      <c r="H435" s="52" t="str">
        <f>IFERROR(__xludf.DUMMYFUNCTION("""COMPUTED_VALUE"""),"[0102150004] NAFTALI RARE'A, ST")</f>
        <v>[0102150004] NAFTALI RARE'A, ST</v>
      </c>
      <c r="I435" s="55">
        <f>IFERROR(__xludf.DUMMYFUNCTION("""COMPUTED_VALUE"""),34167.0)</f>
        <v>34167</v>
      </c>
      <c r="J435" s="53" t="str">
        <f>IFERROR(__xludf.DUMMYFUNCTION("""COMPUTED_VALUE"""),"[202231721] SIDANG")</f>
        <v>[202231721] SIDANG</v>
      </c>
      <c r="K435" s="52"/>
      <c r="L435" s="52" t="str">
        <f t="shared" si="1"/>
        <v>#VALUE!</v>
      </c>
      <c r="M435" s="52"/>
      <c r="N435" s="52"/>
      <c r="O435" s="52"/>
      <c r="P435" s="52"/>
      <c r="Q435" s="52"/>
      <c r="R435" s="52"/>
      <c r="S435" s="52"/>
      <c r="T435" s="52"/>
      <c r="U435" s="52"/>
      <c r="V435" s="52"/>
      <c r="W435" s="52"/>
      <c r="X435" s="52"/>
      <c r="Y435" s="52"/>
      <c r="Z435" s="52"/>
    </row>
    <row r="436">
      <c r="A436" s="52">
        <f>IFERROR(__xludf.DUMMYFUNCTION("""COMPUTED_VALUE"""),2.07231798E8)</f>
        <v>207231798</v>
      </c>
      <c r="B436" s="52" t="str">
        <f>IFERROR(__xludf.DUMMYFUNCTION("""COMPUTED_VALUE"""),"SIMON")</f>
        <v>SIMON</v>
      </c>
      <c r="C436" s="52">
        <f>IFERROR(__xludf.DUMMYFUNCTION("""COMPUTED_VALUE"""),0.0)</f>
        <v>0</v>
      </c>
      <c r="D436" s="52"/>
      <c r="E436" s="52" t="str">
        <f>IFERROR(__xludf.DUMMYFUNCTION("""COMPUTED_VALUE"""),"CV. Adil Prima Perkasa")</f>
        <v>CV. Adil Prima Perkasa</v>
      </c>
      <c r="F436" s="52" t="str">
        <f>IFERROR(__xludf.DUMMYFUNCTION("""COMPUTED_VALUE"""),"HELPER MEKANIK ALAT BERAT")</f>
        <v>HELPER MEKANIK ALAT BERAT</v>
      </c>
      <c r="G436" s="52" t="str">
        <f>IFERROR(__xludf.DUMMYFUNCTION("""COMPUTED_VALUE"""),"WORKSHOP")</f>
        <v>WORKSHOP</v>
      </c>
      <c r="H436" s="52" t="str">
        <f>IFERROR(__xludf.DUMMYFUNCTION("""COMPUTED_VALUE"""),"[0106190928] NATAN KONDO")</f>
        <v>[0106190928] NATAN KONDO</v>
      </c>
      <c r="I436" s="52"/>
      <c r="J436" s="53" t="str">
        <f>IFERROR(__xludf.DUMMYFUNCTION("""COMPUTED_VALUE"""),"[207231798] SIMON")</f>
        <v>[207231798] SIMON</v>
      </c>
      <c r="K436" s="52"/>
      <c r="L436" s="52" t="str">
        <f t="shared" si="1"/>
        <v>#VALUE!</v>
      </c>
      <c r="M436" s="52"/>
      <c r="N436" s="52"/>
      <c r="O436" s="52"/>
      <c r="P436" s="52"/>
      <c r="Q436" s="52"/>
      <c r="R436" s="52"/>
      <c r="S436" s="52"/>
      <c r="T436" s="52"/>
      <c r="U436" s="52"/>
      <c r="V436" s="52"/>
      <c r="W436" s="52"/>
      <c r="X436" s="52"/>
      <c r="Y436" s="52"/>
      <c r="Z436" s="52"/>
    </row>
    <row r="437">
      <c r="A437" s="52">
        <f>IFERROR(__xludf.DUMMYFUNCTION("""COMPUTED_VALUE"""),1.08120252E8)</f>
        <v>108120252</v>
      </c>
      <c r="B437" s="52" t="str">
        <f>IFERROR(__xludf.DUMMYFUNCTION("""COMPUTED_VALUE"""),"SINYO NAYOAN")</f>
        <v>SINYO NAYOAN</v>
      </c>
      <c r="C437" s="52">
        <f>IFERROR(__xludf.DUMMYFUNCTION("""COMPUTED_VALUE"""),54.0)</f>
        <v>54</v>
      </c>
      <c r="D437" s="52" t="str">
        <f>IFERROR(__xludf.DUMMYFUNCTION("""COMPUTED_VALUE"""),"Kristen Protestan")</f>
        <v>Kristen Protestan</v>
      </c>
      <c r="E437" s="52" t="str">
        <f>IFERROR(__xludf.DUMMYFUNCTION("""COMPUTED_VALUE"""),"CV. SENTOSA ABADI")</f>
        <v>CV. SENTOSA ABADI</v>
      </c>
      <c r="F437" s="52" t="str">
        <f>IFERROR(__xludf.DUMMYFUNCTION("""COMPUTED_VALUE"""),"DRIVER DT H500")</f>
        <v>DRIVER DT H500</v>
      </c>
      <c r="G437" s="52" t="str">
        <f>IFERROR(__xludf.DUMMYFUNCTION("""COMPUTED_VALUE"""),"KENDARAAN &amp; UNIT SUPPORT")</f>
        <v>KENDARAAN &amp; UNIT SUPPORT</v>
      </c>
      <c r="H437" s="52" t="str">
        <f>IFERROR(__xludf.DUMMYFUNCTION("""COMPUTED_VALUE"""),"[0102150004] NAFTALI RARE'A, ST")</f>
        <v>[0102150004] NAFTALI RARE'A, ST</v>
      </c>
      <c r="I437" s="52"/>
      <c r="J437" s="53" t="str">
        <f>IFERROR(__xludf.DUMMYFUNCTION("""COMPUTED_VALUE"""),"[108120252] SINYO NAYOAN")</f>
        <v>[108120252] SINYO NAYOAN</v>
      </c>
      <c r="K437" s="52"/>
      <c r="L437" s="52" t="str">
        <f t="shared" si="1"/>
        <v>#VALUE!</v>
      </c>
      <c r="M437" s="52"/>
      <c r="N437" s="52"/>
      <c r="O437" s="52"/>
      <c r="P437" s="52"/>
      <c r="Q437" s="52"/>
      <c r="R437" s="52"/>
      <c r="S437" s="52"/>
      <c r="T437" s="52"/>
      <c r="U437" s="52"/>
      <c r="V437" s="52"/>
      <c r="W437" s="52"/>
      <c r="X437" s="52"/>
      <c r="Y437" s="52"/>
      <c r="Z437" s="52"/>
    </row>
    <row r="438">
      <c r="A438" s="52">
        <f>IFERROR(__xludf.DUMMYFUNCTION("""COMPUTED_VALUE"""),2.06211433E8)</f>
        <v>206211433</v>
      </c>
      <c r="B438" s="52" t="str">
        <f>IFERROR(__xludf.DUMMYFUNCTION("""COMPUTED_VALUE"""),"SIRAJUDDIN")</f>
        <v>SIRAJUDDIN</v>
      </c>
      <c r="C438" s="52">
        <f>IFERROR(__xludf.DUMMYFUNCTION("""COMPUTED_VALUE"""),49.0)</f>
        <v>49</v>
      </c>
      <c r="D438" s="52" t="str">
        <f>IFERROR(__xludf.DUMMYFUNCTION("""COMPUTED_VALUE"""),"Islam")</f>
        <v>Islam</v>
      </c>
      <c r="E438" s="52" t="str">
        <f>IFERROR(__xludf.DUMMYFUNCTION("""COMPUTED_VALUE"""),"CV. Adil Prima Perkasa")</f>
        <v>CV. Adil Prima Perkasa</v>
      </c>
      <c r="F438" s="52" t="str">
        <f>IFERROR(__xludf.DUMMYFUNCTION("""COMPUTED_VALUE"""),"OPERATOR BULLDOZER")</f>
        <v>OPERATOR BULLDOZER</v>
      </c>
      <c r="G438" s="52" t="str">
        <f>IFERROR(__xludf.DUMMYFUNCTION("""COMPUTED_VALUE"""),"PRODUKSI")</f>
        <v>PRODUKSI</v>
      </c>
      <c r="H438" s="52" t="str">
        <f>IFERROR(__xludf.DUMMYFUNCTION("""COMPUTED_VALUE"""),"FALSE")</f>
        <v>FALSE</v>
      </c>
      <c r="I438" s="52"/>
      <c r="J438" s="53" t="str">
        <f>IFERROR(__xludf.DUMMYFUNCTION("""COMPUTED_VALUE"""),"[206211433] SIRAJUDDIN")</f>
        <v>[206211433] SIRAJUDDIN</v>
      </c>
      <c r="K438" s="52"/>
      <c r="L438" s="52" t="str">
        <f t="shared" si="1"/>
        <v>#VALUE!</v>
      </c>
      <c r="M438" s="52"/>
      <c r="N438" s="52"/>
      <c r="O438" s="52"/>
      <c r="P438" s="52"/>
      <c r="Q438" s="52"/>
      <c r="R438" s="52"/>
      <c r="S438" s="52"/>
      <c r="T438" s="52"/>
      <c r="U438" s="52"/>
      <c r="V438" s="52"/>
      <c r="W438" s="52"/>
      <c r="X438" s="52"/>
      <c r="Y438" s="52"/>
      <c r="Z438" s="52"/>
    </row>
    <row r="439">
      <c r="A439" s="52">
        <f>IFERROR(__xludf.DUMMYFUNCTION("""COMPUTED_VALUE"""),1.02180376E8)</f>
        <v>102180376</v>
      </c>
      <c r="B439" s="52" t="str">
        <f>IFERROR(__xludf.DUMMYFUNCTION("""COMPUTED_VALUE"""),"SLAMET PURWADI")</f>
        <v>SLAMET PURWADI</v>
      </c>
      <c r="C439" s="52">
        <f>IFERROR(__xludf.DUMMYFUNCTION("""COMPUTED_VALUE"""),30.0)</f>
        <v>30</v>
      </c>
      <c r="D439" s="52" t="str">
        <f>IFERROR(__xludf.DUMMYFUNCTION("""COMPUTED_VALUE"""),"Islam")</f>
        <v>Islam</v>
      </c>
      <c r="E439" s="52" t="str">
        <f>IFERROR(__xludf.DUMMYFUNCTION("""COMPUTED_VALUE"""),"CV. SENTOSA ABADI")</f>
        <v>CV. SENTOSA ABADI</v>
      </c>
      <c r="F439" s="52" t="str">
        <f>IFERROR(__xludf.DUMMYFUNCTION("""COMPUTED_VALUE"""),"OPERATOR ADT")</f>
        <v>OPERATOR ADT</v>
      </c>
      <c r="G439" s="52" t="str">
        <f>IFERROR(__xludf.DUMMYFUNCTION("""COMPUTED_VALUE"""),"PRODUKSI")</f>
        <v>PRODUKSI</v>
      </c>
      <c r="H439" s="52" t="str">
        <f>IFERROR(__xludf.DUMMYFUNCTION("""COMPUTED_VALUE"""),"[0102130003] PURNAWAN")</f>
        <v>[0102130003] PURNAWAN</v>
      </c>
      <c r="I439" s="55">
        <f>IFERROR(__xludf.DUMMYFUNCTION("""COMPUTED_VALUE"""),34798.0)</f>
        <v>34798</v>
      </c>
      <c r="J439" s="53" t="str">
        <f>IFERROR(__xludf.DUMMYFUNCTION("""COMPUTED_VALUE"""),"[102180376] SLAMET PURWADI")</f>
        <v>[102180376] SLAMET PURWADI</v>
      </c>
      <c r="K439" s="52"/>
      <c r="L439" s="52" t="str">
        <f t="shared" si="1"/>
        <v>#VALUE!</v>
      </c>
      <c r="M439" s="52"/>
      <c r="N439" s="52"/>
      <c r="O439" s="52"/>
      <c r="P439" s="52"/>
      <c r="Q439" s="52"/>
      <c r="R439" s="52"/>
      <c r="S439" s="52"/>
      <c r="T439" s="52"/>
      <c r="U439" s="52"/>
      <c r="V439" s="52"/>
      <c r="W439" s="52"/>
      <c r="X439" s="52"/>
      <c r="Y439" s="52"/>
      <c r="Z439" s="52"/>
    </row>
    <row r="440">
      <c r="A440" s="52"/>
      <c r="B440" s="52" t="str">
        <f>IFERROR(__xludf.DUMMYFUNCTION("""COMPUTED_VALUE"""),"SOFIA A. RUSLI")</f>
        <v>SOFIA A. RUSLI</v>
      </c>
      <c r="C440" s="52">
        <f>IFERROR(__xludf.DUMMYFUNCTION("""COMPUTED_VALUE"""),27.0)</f>
        <v>27</v>
      </c>
      <c r="D440" s="52" t="str">
        <f>IFERROR(__xludf.DUMMYFUNCTION("""COMPUTED_VALUE"""),"Islam")</f>
        <v>Islam</v>
      </c>
      <c r="E440" s="52" t="str">
        <f>IFERROR(__xludf.DUMMYFUNCTION("""COMPUTED_VALUE"""),"CV. Monalisa")</f>
        <v>CV. Monalisa</v>
      </c>
      <c r="F440" s="52" t="str">
        <f>IFERROR(__xludf.DUMMYFUNCTION("""COMPUTED_VALUE"""),"ACCOUNTING")</f>
        <v>ACCOUNTING</v>
      </c>
      <c r="G440" s="52" t="str">
        <f>IFERROR(__xludf.DUMMYFUNCTION("""COMPUTED_VALUE"""),"FINANCE")</f>
        <v>FINANCE</v>
      </c>
      <c r="H440" s="52" t="str">
        <f>IFERROR(__xludf.DUMMYFUNCTION("""COMPUTED_VALUE"""),"[0206189004] ALFRETH ALVIAN TIAKI")</f>
        <v>[0206189004] ALFRETH ALVIAN TIAKI</v>
      </c>
      <c r="I440" s="52"/>
      <c r="J440" s="53" t="str">
        <f>IFERROR(__xludf.DUMMYFUNCTION("""COMPUTED_VALUE"""),"[] SOFIA A. RUSLI")</f>
        <v>[] SOFIA A. RUSLI</v>
      </c>
      <c r="K440" s="52"/>
      <c r="L440" s="52" t="str">
        <f t="shared" si="1"/>
        <v>#VALUE!</v>
      </c>
      <c r="M440" s="52"/>
      <c r="N440" s="52"/>
      <c r="O440" s="52"/>
      <c r="P440" s="52"/>
      <c r="Q440" s="52"/>
      <c r="R440" s="52"/>
      <c r="S440" s="52"/>
      <c r="T440" s="52"/>
      <c r="U440" s="52"/>
      <c r="V440" s="52"/>
      <c r="W440" s="52"/>
      <c r="X440" s="52"/>
      <c r="Y440" s="52"/>
      <c r="Z440" s="52"/>
    </row>
    <row r="441">
      <c r="A441" s="52">
        <f>IFERROR(__xludf.DUMMYFUNCTION("""COMPUTED_VALUE"""),1.11201302E8)</f>
        <v>111201302</v>
      </c>
      <c r="B441" s="52" t="str">
        <f>IFERROR(__xludf.DUMMYFUNCTION("""COMPUTED_VALUE"""),"SOFYAN MOTEE")</f>
        <v>SOFYAN MOTEE</v>
      </c>
      <c r="C441" s="52">
        <f>IFERROR(__xludf.DUMMYFUNCTION("""COMPUTED_VALUE"""),30.0)</f>
        <v>30</v>
      </c>
      <c r="D441" s="52" t="str">
        <f>IFERROR(__xludf.DUMMYFUNCTION("""COMPUTED_VALUE"""),"Kristen Protestan")</f>
        <v>Kristen Protestan</v>
      </c>
      <c r="E441" s="52" t="str">
        <f>IFERROR(__xludf.DUMMYFUNCTION("""COMPUTED_VALUE"""),"CV. SENTOSA ABADI")</f>
        <v>CV. SENTOSA ABADI</v>
      </c>
      <c r="F441" s="52" t="str">
        <f>IFERROR(__xludf.DUMMYFUNCTION("""COMPUTED_VALUE"""),"DRIVER FUEL MPE")</f>
        <v>DRIVER FUEL MPE</v>
      </c>
      <c r="G441" s="52" t="str">
        <f>IFERROR(__xludf.DUMMYFUNCTION("""COMPUTED_VALUE"""),"MPE")</f>
        <v>MPE</v>
      </c>
      <c r="H441" s="52" t="str">
        <f>IFERROR(__xludf.DUMMYFUNCTION("""COMPUTED_VALUE"""),"[0103110065] DOMINIKUS MITEN LARANTUKAN")</f>
        <v>[0103110065] DOMINIKUS MITEN LARANTUKAN</v>
      </c>
      <c r="I441" s="52"/>
      <c r="J441" s="53" t="str">
        <f>IFERROR(__xludf.DUMMYFUNCTION("""COMPUTED_VALUE"""),"[111201302] SOFYAN MOTEE")</f>
        <v>[111201302] SOFYAN MOTEE</v>
      </c>
      <c r="K441" s="52"/>
      <c r="L441" s="52" t="str">
        <f t="shared" si="1"/>
        <v>#VALUE!</v>
      </c>
      <c r="M441" s="52"/>
      <c r="N441" s="52"/>
      <c r="O441" s="52"/>
      <c r="P441" s="52"/>
      <c r="Q441" s="52"/>
      <c r="R441" s="52"/>
      <c r="S441" s="52"/>
      <c r="T441" s="52"/>
      <c r="U441" s="52"/>
      <c r="V441" s="52"/>
      <c r="W441" s="52"/>
      <c r="X441" s="52"/>
      <c r="Y441" s="52"/>
      <c r="Z441" s="52"/>
    </row>
    <row r="442">
      <c r="A442" s="52">
        <f>IFERROR(__xludf.DUMMYFUNCTION("""COMPUTED_VALUE"""),2.0719103E8)</f>
        <v>207191030</v>
      </c>
      <c r="B442" s="52" t="str">
        <f>IFERROR(__xludf.DUMMYFUNCTION("""COMPUTED_VALUE"""),"SOLEMAN LATONTJE TALAMOA")</f>
        <v>SOLEMAN LATONTJE TALAMOA</v>
      </c>
      <c r="C442" s="52">
        <f>IFERROR(__xludf.DUMMYFUNCTION("""COMPUTED_VALUE"""),73.0)</f>
        <v>73</v>
      </c>
      <c r="D442" s="52" t="str">
        <f>IFERROR(__xludf.DUMMYFUNCTION("""COMPUTED_VALUE"""),"Islam")</f>
        <v>Islam</v>
      </c>
      <c r="E442" s="52" t="str">
        <f>IFERROR(__xludf.DUMMYFUNCTION("""COMPUTED_VALUE"""),"CV. Adil Prima Perkasa")</f>
        <v>CV. Adil Prima Perkasa</v>
      </c>
      <c r="F442" s="52" t="str">
        <f>IFERROR(__xludf.DUMMYFUNCTION("""COMPUTED_VALUE"""),"DRIVER DT H500")</f>
        <v>DRIVER DT H500</v>
      </c>
      <c r="G442" s="52" t="str">
        <f>IFERROR(__xludf.DUMMYFUNCTION("""COMPUTED_VALUE"""),"KENDARAAN &amp; UNIT SUPPORT")</f>
        <v>KENDARAAN &amp; UNIT SUPPORT</v>
      </c>
      <c r="H442" s="52" t="str">
        <f>IFERROR(__xludf.DUMMYFUNCTION("""COMPUTED_VALUE"""),"[0102150004] NAFTALI RARE'A, ST")</f>
        <v>[0102150004] NAFTALI RARE'A, ST</v>
      </c>
      <c r="I442" s="55">
        <f>IFERROR(__xludf.DUMMYFUNCTION("""COMPUTED_VALUE"""),28040.0)</f>
        <v>28040</v>
      </c>
      <c r="J442" s="53" t="str">
        <f>IFERROR(__xludf.DUMMYFUNCTION("""COMPUTED_VALUE"""),"[207191030] SOLEMAN LATONTJE TALAMOA")</f>
        <v>[207191030] SOLEMAN LATONTJE TALAMOA</v>
      </c>
      <c r="K442" s="52"/>
      <c r="L442" s="52" t="str">
        <f t="shared" si="1"/>
        <v>#VALUE!</v>
      </c>
      <c r="M442" s="52"/>
      <c r="N442" s="52"/>
      <c r="O442" s="52"/>
      <c r="P442" s="52"/>
      <c r="Q442" s="52"/>
      <c r="R442" s="52"/>
      <c r="S442" s="52"/>
      <c r="T442" s="52"/>
      <c r="U442" s="52"/>
      <c r="V442" s="52"/>
      <c r="W442" s="52"/>
      <c r="X442" s="52"/>
      <c r="Y442" s="52"/>
      <c r="Z442" s="52"/>
    </row>
    <row r="443">
      <c r="A443" s="52">
        <f>IFERROR(__xludf.DUMMYFUNCTION("""COMPUTED_VALUE"""),1.03201149E8)</f>
        <v>103201149</v>
      </c>
      <c r="B443" s="52" t="str">
        <f>IFERROR(__xludf.DUMMYFUNCTION("""COMPUTED_VALUE"""),"SRIYANTI BUBEN")</f>
        <v>SRIYANTI BUBEN</v>
      </c>
      <c r="C443" s="52">
        <f>IFERROR(__xludf.DUMMYFUNCTION("""COMPUTED_VALUE"""),0.0)</f>
        <v>0</v>
      </c>
      <c r="D443" s="52"/>
      <c r="E443" s="52" t="str">
        <f>IFERROR(__xludf.DUMMYFUNCTION("""COMPUTED_VALUE"""),"CV. SENTOSA ABADI")</f>
        <v>CV. SENTOSA ABADI</v>
      </c>
      <c r="F443" s="52" t="str">
        <f>IFERROR(__xludf.DUMMYFUNCTION("""COMPUTED_VALUE"""),"ADMIN MAINTENANCE")</f>
        <v>ADMIN MAINTENANCE</v>
      </c>
      <c r="G443" s="52" t="str">
        <f>IFERROR(__xludf.DUMMYFUNCTION("""COMPUTED_VALUE"""),"WORKSHOP")</f>
        <v>WORKSHOP</v>
      </c>
      <c r="H443" s="52" t="str">
        <f>IFERROR(__xludf.DUMMYFUNCTION("""COMPUTED_VALUE"""),"[0107150010] RINI PALINGGI,ST")</f>
        <v>[0107150010] RINI PALINGGI,ST</v>
      </c>
      <c r="I443" s="52"/>
      <c r="J443" s="53" t="str">
        <f>IFERROR(__xludf.DUMMYFUNCTION("""COMPUTED_VALUE"""),"[103201149] SRIYANTI BUBEN")</f>
        <v>[103201149] SRIYANTI BUBEN</v>
      </c>
      <c r="K443" s="52"/>
      <c r="L443" s="52" t="str">
        <f t="shared" si="1"/>
        <v>#VALUE!</v>
      </c>
      <c r="M443" s="52"/>
      <c r="N443" s="52"/>
      <c r="O443" s="52"/>
      <c r="P443" s="52"/>
      <c r="Q443" s="52"/>
      <c r="R443" s="52"/>
      <c r="S443" s="52"/>
      <c r="T443" s="52"/>
      <c r="U443" s="52"/>
      <c r="V443" s="52"/>
      <c r="W443" s="52"/>
      <c r="X443" s="52"/>
      <c r="Y443" s="52"/>
      <c r="Z443" s="52"/>
    </row>
    <row r="444">
      <c r="A444" s="52">
        <f>IFERROR(__xludf.DUMMYFUNCTION("""COMPUTED_VALUE"""),2.04231748E8)</f>
        <v>204231748</v>
      </c>
      <c r="B444" s="52" t="str">
        <f>IFERROR(__xludf.DUMMYFUNCTION("""COMPUTED_VALUE"""),"STANISLAUS MILUS")</f>
        <v>STANISLAUS MILUS</v>
      </c>
      <c r="C444" s="52">
        <f>IFERROR(__xludf.DUMMYFUNCTION("""COMPUTED_VALUE"""),23.0)</f>
        <v>23</v>
      </c>
      <c r="D444" s="52" t="str">
        <f>IFERROR(__xludf.DUMMYFUNCTION("""COMPUTED_VALUE"""),"Kristen Khatolik")</f>
        <v>Kristen Khatolik</v>
      </c>
      <c r="E444" s="52" t="str">
        <f>IFERROR(__xludf.DUMMYFUNCTION("""COMPUTED_VALUE"""),"CV. Adil Prima Perkasa")</f>
        <v>CV. Adil Prima Perkasa</v>
      </c>
      <c r="F444" s="52" t="str">
        <f>IFERROR(__xludf.DUMMYFUNCTION("""COMPUTED_VALUE"""),"HELPER FUEL")</f>
        <v>HELPER FUEL</v>
      </c>
      <c r="G444" s="52" t="str">
        <f>IFERROR(__xludf.DUMMYFUNCTION("""COMPUTED_VALUE"""),"MPE")</f>
        <v>MPE</v>
      </c>
      <c r="H444" s="52" t="str">
        <f>IFERROR(__xludf.DUMMYFUNCTION("""COMPUTED_VALUE"""),"[0102150007] EKY SIDIK PRATAMA, ST")</f>
        <v>[0102150007] EKY SIDIK PRATAMA, ST</v>
      </c>
      <c r="I444" s="52"/>
      <c r="J444" s="53" t="str">
        <f>IFERROR(__xludf.DUMMYFUNCTION("""COMPUTED_VALUE"""),"[204231748] STANISLAUS MILUS")</f>
        <v>[204231748] STANISLAUS MILUS</v>
      </c>
      <c r="K444" s="52"/>
      <c r="L444" s="52" t="str">
        <f t="shared" si="1"/>
        <v>#VALUE!</v>
      </c>
      <c r="M444" s="52"/>
      <c r="N444" s="52"/>
      <c r="O444" s="52"/>
      <c r="P444" s="52"/>
      <c r="Q444" s="52"/>
      <c r="R444" s="52"/>
      <c r="S444" s="52"/>
      <c r="T444" s="52"/>
      <c r="U444" s="52"/>
      <c r="V444" s="52"/>
      <c r="W444" s="52"/>
      <c r="X444" s="52"/>
      <c r="Y444" s="52"/>
      <c r="Z444" s="52"/>
    </row>
    <row r="445">
      <c r="A445" s="52">
        <f>IFERROR(__xludf.DUMMYFUNCTION("""COMPUTED_VALUE"""),2.07231799E8)</f>
        <v>207231799</v>
      </c>
      <c r="B445" s="52" t="str">
        <f>IFERROR(__xludf.DUMMYFUNCTION("""COMPUTED_VALUE"""),"STEEFALDY JUNIOR TAPPANG")</f>
        <v>STEEFALDY JUNIOR TAPPANG</v>
      </c>
      <c r="C445" s="52">
        <f>IFERROR(__xludf.DUMMYFUNCTION("""COMPUTED_VALUE"""),23.0)</f>
        <v>23</v>
      </c>
      <c r="D445" s="52" t="str">
        <f>IFERROR(__xludf.DUMMYFUNCTION("""COMPUTED_VALUE"""),"Kristen Protestan")</f>
        <v>Kristen Protestan</v>
      </c>
      <c r="E445" s="52" t="str">
        <f>IFERROR(__xludf.DUMMYFUNCTION("""COMPUTED_VALUE"""),"CV. Adil Prima Perkasa")</f>
        <v>CV. Adil Prima Perkasa</v>
      </c>
      <c r="F445" s="52" t="str">
        <f>IFERROR(__xludf.DUMMYFUNCTION("""COMPUTED_VALUE"""),"CREW SURVEY")</f>
        <v>CREW SURVEY</v>
      </c>
      <c r="G445" s="52" t="str">
        <f>IFERROR(__xludf.DUMMYFUNCTION("""COMPUTED_VALUE"""),"MPE")</f>
        <v>MPE</v>
      </c>
      <c r="H445" s="52" t="str">
        <f>IFERROR(__xludf.DUMMYFUNCTION("""COMPUTED_VALUE"""),"[0102150007] EKY SIDIK PRATAMA, ST")</f>
        <v>[0102150007] EKY SIDIK PRATAMA, ST</v>
      </c>
      <c r="I445" s="52"/>
      <c r="J445" s="53" t="str">
        <f>IFERROR(__xludf.DUMMYFUNCTION("""COMPUTED_VALUE"""),"[207231799] STEEFALDY JUNIOR TAPPANG")</f>
        <v>[207231799] STEEFALDY JUNIOR TAPPANG</v>
      </c>
      <c r="K445" s="52"/>
      <c r="L445" s="52" t="str">
        <f t="shared" si="1"/>
        <v>#VALUE!</v>
      </c>
      <c r="M445" s="52"/>
      <c r="N445" s="52"/>
      <c r="O445" s="52"/>
      <c r="P445" s="52"/>
      <c r="Q445" s="52"/>
      <c r="R445" s="52"/>
      <c r="S445" s="52"/>
      <c r="T445" s="52"/>
      <c r="U445" s="52"/>
      <c r="V445" s="52"/>
      <c r="W445" s="52"/>
      <c r="X445" s="52"/>
      <c r="Y445" s="52"/>
      <c r="Z445" s="52"/>
    </row>
    <row r="446">
      <c r="A446" s="52">
        <f>IFERROR(__xludf.DUMMYFUNCTION("""COMPUTED_VALUE"""),1.09221681E8)</f>
        <v>109221681</v>
      </c>
      <c r="B446" s="52" t="str">
        <f>IFERROR(__xludf.DUMMYFUNCTION("""COMPUTED_VALUE"""),"STEFANUS EKFRIS BURINTI")</f>
        <v>STEFANUS EKFRIS BURINTI</v>
      </c>
      <c r="C446" s="52">
        <f>IFERROR(__xludf.DUMMYFUNCTION("""COMPUTED_VALUE"""),24.0)</f>
        <v>24</v>
      </c>
      <c r="D446" s="52" t="str">
        <f>IFERROR(__xludf.DUMMYFUNCTION("""COMPUTED_VALUE"""),"Kristen Protestan")</f>
        <v>Kristen Protestan</v>
      </c>
      <c r="E446" s="52" t="str">
        <f>IFERROR(__xludf.DUMMYFUNCTION("""COMPUTED_VALUE"""),"CV. SENTOSA ABADI")</f>
        <v>CV. SENTOSA ABADI</v>
      </c>
      <c r="F446" s="52" t="str">
        <f>IFERROR(__xludf.DUMMYFUNCTION("""COMPUTED_VALUE"""),"BAGIAN UMUM")</f>
        <v>BAGIAN UMUM</v>
      </c>
      <c r="G446" s="52" t="str">
        <f>IFERROR(__xludf.DUMMYFUNCTION("""COMPUTED_VALUE"""),"HRD &amp; GA")</f>
        <v>HRD &amp; GA</v>
      </c>
      <c r="H446" s="52" t="str">
        <f>IFERROR(__xludf.DUMMYFUNCTION("""COMPUTED_VALUE"""),"[0103231738] MARYA SUSAN SIMBANGU")</f>
        <v>[0103231738] MARYA SUSAN SIMBANGU</v>
      </c>
      <c r="I446" s="52"/>
      <c r="J446" s="53" t="str">
        <f>IFERROR(__xludf.DUMMYFUNCTION("""COMPUTED_VALUE"""),"[109221681] STEFANUS EKFRIS BURINTI")</f>
        <v>[109221681] STEFANUS EKFRIS BURINTI</v>
      </c>
      <c r="K446" s="52"/>
      <c r="L446" s="52" t="str">
        <f t="shared" si="1"/>
        <v>#VALUE!</v>
      </c>
      <c r="M446" s="52"/>
      <c r="N446" s="52"/>
      <c r="O446" s="52"/>
      <c r="P446" s="52"/>
      <c r="Q446" s="52"/>
      <c r="R446" s="52"/>
      <c r="S446" s="52"/>
      <c r="T446" s="52"/>
      <c r="U446" s="52"/>
      <c r="V446" s="52"/>
      <c r="W446" s="52"/>
      <c r="X446" s="52"/>
      <c r="Y446" s="52"/>
      <c r="Z446" s="52"/>
    </row>
    <row r="447">
      <c r="A447" s="52">
        <f>IFERROR(__xludf.DUMMYFUNCTION("""COMPUTED_VALUE"""),4.008219003)</f>
        <v>4.008219003</v>
      </c>
      <c r="B447" s="52" t="str">
        <f>IFERROR(__xludf.DUMMYFUNCTION("""COMPUTED_VALUE"""),"STEPHANIE SHANIA HERLAMBANG")</f>
        <v>STEPHANIE SHANIA HERLAMBANG</v>
      </c>
      <c r="C447" s="52">
        <f>IFERROR(__xludf.DUMMYFUNCTION("""COMPUTED_VALUE"""),0.0)</f>
        <v>0</v>
      </c>
      <c r="D447" s="52"/>
      <c r="E447" s="52" t="str">
        <f>IFERROR(__xludf.DUMMYFUNCTION("""COMPUTED_VALUE"""),"CV. Adil Prima Perkasa")</f>
        <v>CV. Adil Prima Perkasa</v>
      </c>
      <c r="F447" s="52" t="str">
        <f>IFERROR(__xludf.DUMMYFUNCTION("""COMPUTED_VALUE"""),"ACCOUNTING")</f>
        <v>ACCOUNTING</v>
      </c>
      <c r="G447" s="52" t="str">
        <f>IFERROR(__xludf.DUMMYFUNCTION("""COMPUTED_VALUE"""),"FINANCE")</f>
        <v>FINANCE</v>
      </c>
      <c r="H447" s="52" t="str">
        <f>IFERROR(__xludf.DUMMYFUNCTION("""COMPUTED_VALUE"""),"FALSE")</f>
        <v>FALSE</v>
      </c>
      <c r="I447" s="52"/>
      <c r="J447" s="53" t="str">
        <f>IFERROR(__xludf.DUMMYFUNCTION("""COMPUTED_VALUE"""),"[4.008219003] STEPHANIE SHANIA HERLAMBANG")</f>
        <v>[4.008219003] STEPHANIE SHANIA HERLAMBANG</v>
      </c>
      <c r="K447" s="52"/>
      <c r="L447" s="52" t="str">
        <f t="shared" si="1"/>
        <v>#VALUE!</v>
      </c>
      <c r="M447" s="52"/>
      <c r="N447" s="52"/>
      <c r="O447" s="52"/>
      <c r="P447" s="52"/>
      <c r="Q447" s="52"/>
      <c r="R447" s="52"/>
      <c r="S447" s="52"/>
      <c r="T447" s="52"/>
      <c r="U447" s="52"/>
      <c r="V447" s="52"/>
      <c r="W447" s="52"/>
      <c r="X447" s="52"/>
      <c r="Y447" s="52"/>
      <c r="Z447" s="52"/>
    </row>
    <row r="448">
      <c r="A448" s="52">
        <f>IFERROR(__xludf.DUMMYFUNCTION("""COMPUTED_VALUE"""),1.06190909E8)</f>
        <v>106190909</v>
      </c>
      <c r="B448" s="52" t="str">
        <f>IFERROR(__xludf.DUMMYFUNCTION("""COMPUTED_VALUE"""),"STEVANUS RAMEGAU")</f>
        <v>STEVANUS RAMEGAU</v>
      </c>
      <c r="C448" s="52">
        <f>IFERROR(__xludf.DUMMYFUNCTION("""COMPUTED_VALUE"""),0.0)</f>
        <v>0</v>
      </c>
      <c r="D448" s="52"/>
      <c r="E448" s="52" t="str">
        <f>IFERROR(__xludf.DUMMYFUNCTION("""COMPUTED_VALUE"""),"CV. SENTOSA ABADI")</f>
        <v>CV. SENTOSA ABADI</v>
      </c>
      <c r="F448" s="52" t="str">
        <f>IFERROR(__xludf.DUMMYFUNCTION("""COMPUTED_VALUE"""),"DRIVER DT H700ZY")</f>
        <v>DRIVER DT H700ZY</v>
      </c>
      <c r="G448" s="52" t="str">
        <f>IFERROR(__xludf.DUMMYFUNCTION("""COMPUTED_VALUE"""),"KENDARAAN &amp; UNIT SUPPORT")</f>
        <v>KENDARAAN &amp; UNIT SUPPORT</v>
      </c>
      <c r="H448" s="52" t="str">
        <f>IFERROR(__xludf.DUMMYFUNCTION("""COMPUTED_VALUE"""),"[0102150004] NAFTALI RARE'A, ST")</f>
        <v>[0102150004] NAFTALI RARE'A, ST</v>
      </c>
      <c r="I448" s="52"/>
      <c r="J448" s="53" t="str">
        <f>IFERROR(__xludf.DUMMYFUNCTION("""COMPUTED_VALUE"""),"[106190909] STEVANUS RAMEGAU")</f>
        <v>[106190909] STEVANUS RAMEGAU</v>
      </c>
      <c r="K448" s="52"/>
      <c r="L448" s="52" t="str">
        <f t="shared" si="1"/>
        <v>#VALUE!</v>
      </c>
      <c r="M448" s="52"/>
      <c r="N448" s="52"/>
      <c r="O448" s="52"/>
      <c r="P448" s="52"/>
      <c r="Q448" s="52"/>
      <c r="R448" s="52"/>
      <c r="S448" s="52"/>
      <c r="T448" s="52"/>
      <c r="U448" s="52"/>
      <c r="V448" s="52"/>
      <c r="W448" s="52"/>
      <c r="X448" s="52"/>
      <c r="Y448" s="52"/>
      <c r="Z448" s="52"/>
    </row>
    <row r="449">
      <c r="A449" s="52">
        <f>IFERROR(__xludf.DUMMYFUNCTION("""COMPUTED_VALUE"""),1.08211466E8)</f>
        <v>108211466</v>
      </c>
      <c r="B449" s="52" t="str">
        <f>IFERROR(__xludf.DUMMYFUNCTION("""COMPUTED_VALUE"""),"SUAIB MUNANDAR")</f>
        <v>SUAIB MUNANDAR</v>
      </c>
      <c r="C449" s="52">
        <f>IFERROR(__xludf.DUMMYFUNCTION("""COMPUTED_VALUE"""),1.0)</f>
        <v>1</v>
      </c>
      <c r="D449" s="52" t="str">
        <f>IFERROR(__xludf.DUMMYFUNCTION("""COMPUTED_VALUE"""),"Islam")</f>
        <v>Islam</v>
      </c>
      <c r="E449" s="52" t="str">
        <f>IFERROR(__xludf.DUMMYFUNCTION("""COMPUTED_VALUE"""),"CV. SENTOSA ABADI")</f>
        <v>CV. SENTOSA ABADI</v>
      </c>
      <c r="F449" s="52" t="str">
        <f>IFERROR(__xludf.DUMMYFUNCTION("""COMPUTED_VALUE"""),"HELPER TYRE")</f>
        <v>HELPER TYRE</v>
      </c>
      <c r="G449" s="52" t="str">
        <f>IFERROR(__xludf.DUMMYFUNCTION("""COMPUTED_VALUE"""),"WORKSHOP")</f>
        <v>WORKSHOP</v>
      </c>
      <c r="H449" s="52" t="str">
        <f>IFERROR(__xludf.DUMMYFUNCTION("""COMPUTED_VALUE"""),"[0102120144] JUFRY KOMALING")</f>
        <v>[0102120144] JUFRY KOMALING</v>
      </c>
      <c r="I449" s="52"/>
      <c r="J449" s="53" t="str">
        <f>IFERROR(__xludf.DUMMYFUNCTION("""COMPUTED_VALUE"""),"[108211466] SUAIB MUNANDAR")</f>
        <v>[108211466] SUAIB MUNANDAR</v>
      </c>
      <c r="K449" s="52"/>
      <c r="L449" s="52" t="str">
        <f t="shared" si="1"/>
        <v>#VALUE!</v>
      </c>
      <c r="M449" s="52"/>
      <c r="N449" s="52"/>
      <c r="O449" s="52"/>
      <c r="P449" s="52"/>
      <c r="Q449" s="52"/>
      <c r="R449" s="52"/>
      <c r="S449" s="52"/>
      <c r="T449" s="52"/>
      <c r="U449" s="52"/>
      <c r="V449" s="52"/>
      <c r="W449" s="52"/>
      <c r="X449" s="52"/>
      <c r="Y449" s="52"/>
      <c r="Z449" s="52"/>
    </row>
    <row r="450">
      <c r="A450" s="52">
        <f>IFERROR(__xludf.DUMMYFUNCTION("""COMPUTED_VALUE"""),1.04211379E8)</f>
        <v>104211379</v>
      </c>
      <c r="B450" s="52" t="str">
        <f>IFERROR(__xludf.DUMMYFUNCTION("""COMPUTED_VALUE"""),"SUBRI KURNIAWAN")</f>
        <v>SUBRI KURNIAWAN</v>
      </c>
      <c r="C450" s="52">
        <f>IFERROR(__xludf.DUMMYFUNCTION("""COMPUTED_VALUE"""),24.0)</f>
        <v>24</v>
      </c>
      <c r="D450" s="52" t="str">
        <f>IFERROR(__xludf.DUMMYFUNCTION("""COMPUTED_VALUE"""),"Kristen Protestan")</f>
        <v>Kristen Protestan</v>
      </c>
      <c r="E450" s="52" t="str">
        <f>IFERROR(__xludf.DUMMYFUNCTION("""COMPUTED_VALUE"""),"CV. SENTOSA ABADI")</f>
        <v>CV. SENTOSA ABADI</v>
      </c>
      <c r="F450" s="52" t="str">
        <f>IFERROR(__xludf.DUMMYFUNCTION("""COMPUTED_VALUE"""),"DRIVER DT H700ZY")</f>
        <v>DRIVER DT H700ZY</v>
      </c>
      <c r="G450" s="52" t="str">
        <f>IFERROR(__xludf.DUMMYFUNCTION("""COMPUTED_VALUE"""),"KENDARAAN &amp; UNIT SUPPORT")</f>
        <v>KENDARAAN &amp; UNIT SUPPORT</v>
      </c>
      <c r="H450" s="52" t="str">
        <f>IFERROR(__xludf.DUMMYFUNCTION("""COMPUTED_VALUE"""),"[0102150004] NAFTALI RARE'A, ST")</f>
        <v>[0102150004] NAFTALI RARE'A, ST</v>
      </c>
      <c r="I450" s="52"/>
      <c r="J450" s="53" t="str">
        <f>IFERROR(__xludf.DUMMYFUNCTION("""COMPUTED_VALUE"""),"[104211379] SUBRI KURNIAWAN")</f>
        <v>[104211379] SUBRI KURNIAWAN</v>
      </c>
      <c r="K450" s="52"/>
      <c r="L450" s="52" t="str">
        <f t="shared" si="1"/>
        <v>#VALUE!</v>
      </c>
      <c r="M450" s="52"/>
      <c r="N450" s="52"/>
      <c r="O450" s="52"/>
      <c r="P450" s="52"/>
      <c r="Q450" s="52"/>
      <c r="R450" s="52"/>
      <c r="S450" s="52"/>
      <c r="T450" s="52"/>
      <c r="U450" s="52"/>
      <c r="V450" s="52"/>
      <c r="W450" s="52"/>
      <c r="X450" s="52"/>
      <c r="Y450" s="52"/>
      <c r="Z450" s="52"/>
    </row>
    <row r="451">
      <c r="A451" s="52">
        <f>IFERROR(__xludf.DUMMYFUNCTION("""COMPUTED_VALUE"""),2.04150699E8)</f>
        <v>204150699</v>
      </c>
      <c r="B451" s="52" t="str">
        <f>IFERROR(__xludf.DUMMYFUNCTION("""COMPUTED_VALUE"""),"SULTAN")</f>
        <v>SULTAN</v>
      </c>
      <c r="C451" s="52">
        <f>IFERROR(__xludf.DUMMYFUNCTION("""COMPUTED_VALUE"""),63.0)</f>
        <v>63</v>
      </c>
      <c r="D451" s="52" t="str">
        <f>IFERROR(__xludf.DUMMYFUNCTION("""COMPUTED_VALUE"""),"Islam")</f>
        <v>Islam</v>
      </c>
      <c r="E451" s="52" t="str">
        <f>IFERROR(__xludf.DUMMYFUNCTION("""COMPUTED_VALUE"""),"CV. Adil Prima Perkasa")</f>
        <v>CV. Adil Prima Perkasa</v>
      </c>
      <c r="F451" s="52" t="str">
        <f>IFERROR(__xludf.DUMMYFUNCTION("""COMPUTED_VALUE"""),"DRIVER FUEL MPE")</f>
        <v>DRIVER FUEL MPE</v>
      </c>
      <c r="G451" s="52" t="str">
        <f>IFERROR(__xludf.DUMMYFUNCTION("""COMPUTED_VALUE"""),"MPE")</f>
        <v>MPE</v>
      </c>
      <c r="H451" s="52" t="str">
        <f>IFERROR(__xludf.DUMMYFUNCTION("""COMPUTED_VALUE"""),"[0103110065] DOMINIKUS MITEN LARANTUKAN")</f>
        <v>[0103110065] DOMINIKUS MITEN LARANTUKAN</v>
      </c>
      <c r="I451" s="55">
        <f>IFERROR(__xludf.DUMMYFUNCTION("""COMPUTED_VALUE"""),26015.0)</f>
        <v>26015</v>
      </c>
      <c r="J451" s="53" t="str">
        <f>IFERROR(__xludf.DUMMYFUNCTION("""COMPUTED_VALUE"""),"[204150699] SULTAN")</f>
        <v>[204150699] SULTAN</v>
      </c>
      <c r="K451" s="52"/>
      <c r="L451" s="52" t="str">
        <f t="shared" si="1"/>
        <v>#VALUE!</v>
      </c>
      <c r="M451" s="52"/>
      <c r="N451" s="52"/>
      <c r="O451" s="52"/>
      <c r="P451" s="52"/>
      <c r="Q451" s="52"/>
      <c r="R451" s="52"/>
      <c r="S451" s="52"/>
      <c r="T451" s="52"/>
      <c r="U451" s="52"/>
      <c r="V451" s="52"/>
      <c r="W451" s="52"/>
      <c r="X451" s="52"/>
      <c r="Y451" s="52"/>
      <c r="Z451" s="52"/>
    </row>
    <row r="452">
      <c r="A452" s="52">
        <f>IFERROR(__xludf.DUMMYFUNCTION("""COMPUTED_VALUE"""),2.01241875E8)</f>
        <v>201241875</v>
      </c>
      <c r="B452" s="52" t="str">
        <f>IFERROR(__xludf.DUMMYFUNCTION("""COMPUTED_VALUE"""),"SUPARDI")</f>
        <v>SUPARDI</v>
      </c>
      <c r="C452" s="52">
        <f>IFERROR(__xludf.DUMMYFUNCTION("""COMPUTED_VALUE"""),22.0)</f>
        <v>22</v>
      </c>
      <c r="D452" s="52" t="str">
        <f>IFERROR(__xludf.DUMMYFUNCTION("""COMPUTED_VALUE"""),"Islam")</f>
        <v>Islam</v>
      </c>
      <c r="E452" s="52" t="str">
        <f>IFERROR(__xludf.DUMMYFUNCTION("""COMPUTED_VALUE"""),"CV. Adil Prima Perkasa")</f>
        <v>CV. Adil Prima Perkasa</v>
      </c>
      <c r="F452" s="52" t="str">
        <f>IFERROR(__xludf.DUMMYFUNCTION("""COMPUTED_VALUE"""),"SECURITY")</f>
        <v>SECURITY</v>
      </c>
      <c r="G452" s="52" t="str">
        <f>IFERROR(__xludf.DUMMYFUNCTION("""COMPUTED_VALUE"""),"HRD &amp; GA")</f>
        <v>HRD &amp; GA</v>
      </c>
      <c r="H452" s="52" t="str">
        <f>IFERROR(__xludf.DUMMYFUNCTION("""COMPUTED_VALUE"""),"[0108191037] ERNIE FRISLIA")</f>
        <v>[0108191037] ERNIE FRISLIA</v>
      </c>
      <c r="I452" s="52"/>
      <c r="J452" s="53" t="str">
        <f>IFERROR(__xludf.DUMMYFUNCTION("""COMPUTED_VALUE"""),"[201241875] SUPARDI")</f>
        <v>[201241875] SUPARDI</v>
      </c>
      <c r="K452" s="52"/>
      <c r="L452" s="52" t="str">
        <f t="shared" si="1"/>
        <v>#VALUE!</v>
      </c>
      <c r="M452" s="52"/>
      <c r="N452" s="52"/>
      <c r="O452" s="52"/>
      <c r="P452" s="52"/>
      <c r="Q452" s="52"/>
      <c r="R452" s="52"/>
      <c r="S452" s="52"/>
      <c r="T452" s="52"/>
      <c r="U452" s="52"/>
      <c r="V452" s="52"/>
      <c r="W452" s="52"/>
      <c r="X452" s="52"/>
      <c r="Y452" s="52"/>
      <c r="Z452" s="52"/>
    </row>
    <row r="453">
      <c r="A453" s="52">
        <f>IFERROR(__xludf.DUMMYFUNCTION("""COMPUTED_VALUE"""),2.08231827E8)</f>
        <v>208231827</v>
      </c>
      <c r="B453" s="52" t="str">
        <f>IFERROR(__xludf.DUMMYFUNCTION("""COMPUTED_VALUE"""),"SUPARDIE")</f>
        <v>SUPARDIE</v>
      </c>
      <c r="C453" s="52">
        <f>IFERROR(__xludf.DUMMYFUNCTION("""COMPUTED_VALUE"""),33.0)</f>
        <v>33</v>
      </c>
      <c r="D453" s="52" t="str">
        <f>IFERROR(__xludf.DUMMYFUNCTION("""COMPUTED_VALUE"""),"Islam")</f>
        <v>Islam</v>
      </c>
      <c r="E453" s="52" t="str">
        <f>IFERROR(__xludf.DUMMYFUNCTION("""COMPUTED_VALUE"""),"CV. Adil Prima Perkasa")</f>
        <v>CV. Adil Prima Perkasa</v>
      </c>
      <c r="F453" s="52" t="str">
        <f>IFERROR(__xludf.DUMMYFUNCTION("""COMPUTED_VALUE"""),"OPERATOR EXCAVATOR")</f>
        <v>OPERATOR EXCAVATOR</v>
      </c>
      <c r="G453" s="52" t="str">
        <f>IFERROR(__xludf.DUMMYFUNCTION("""COMPUTED_VALUE"""),"PRODUKSI")</f>
        <v>PRODUKSI</v>
      </c>
      <c r="H453" s="52" t="str">
        <f>IFERROR(__xludf.DUMMYFUNCTION("""COMPUTED_VALUE"""),"[0102130003] PURNAWAN")</f>
        <v>[0102130003] PURNAWAN</v>
      </c>
      <c r="I453" s="52"/>
      <c r="J453" s="53" t="str">
        <f>IFERROR(__xludf.DUMMYFUNCTION("""COMPUTED_VALUE"""),"[208231827] SUPARDIE")</f>
        <v>[208231827] SUPARDIE</v>
      </c>
      <c r="K453" s="52"/>
      <c r="L453" s="52" t="str">
        <f t="shared" si="1"/>
        <v>#VALUE!</v>
      </c>
      <c r="M453" s="52"/>
      <c r="N453" s="52"/>
      <c r="O453" s="52"/>
      <c r="P453" s="52"/>
      <c r="Q453" s="52"/>
      <c r="R453" s="52"/>
      <c r="S453" s="52"/>
      <c r="T453" s="52"/>
      <c r="U453" s="52"/>
      <c r="V453" s="52"/>
      <c r="W453" s="52"/>
      <c r="X453" s="52"/>
      <c r="Y453" s="52"/>
      <c r="Z453" s="52"/>
    </row>
    <row r="454">
      <c r="A454" s="52">
        <f>IFERROR(__xludf.DUMMYFUNCTION("""COMPUTED_VALUE"""),2.12211557E8)</f>
        <v>212211557</v>
      </c>
      <c r="B454" s="52" t="str">
        <f>IFERROR(__xludf.DUMMYFUNCTION("""COMPUTED_VALUE"""),"SUPRIONO AMAL")</f>
        <v>SUPRIONO AMAL</v>
      </c>
      <c r="C454" s="52">
        <f>IFERROR(__xludf.DUMMYFUNCTION("""COMPUTED_VALUE"""),46.0)</f>
        <v>46</v>
      </c>
      <c r="D454" s="52" t="str">
        <f>IFERROR(__xludf.DUMMYFUNCTION("""COMPUTED_VALUE"""),"Islam")</f>
        <v>Islam</v>
      </c>
      <c r="E454" s="52" t="str">
        <f>IFERROR(__xludf.DUMMYFUNCTION("""COMPUTED_VALUE"""),"CV. Adil Prima Perkasa")</f>
        <v>CV. Adil Prima Perkasa</v>
      </c>
      <c r="F454" s="52" t="str">
        <f>IFERROR(__xludf.DUMMYFUNCTION("""COMPUTED_VALUE"""),"OPERATOR BULLDOZER")</f>
        <v>OPERATOR BULLDOZER</v>
      </c>
      <c r="G454" s="52" t="str">
        <f>IFERROR(__xludf.DUMMYFUNCTION("""COMPUTED_VALUE"""),"PRODUKSI")</f>
        <v>PRODUKSI</v>
      </c>
      <c r="H454" s="52" t="str">
        <f>IFERROR(__xludf.DUMMYFUNCTION("""COMPUTED_VALUE"""),"FALSE")</f>
        <v>FALSE</v>
      </c>
      <c r="I454" s="52"/>
      <c r="J454" s="53" t="str">
        <f>IFERROR(__xludf.DUMMYFUNCTION("""COMPUTED_VALUE"""),"[212211557] SUPRIONO AMAL")</f>
        <v>[212211557] SUPRIONO AMAL</v>
      </c>
      <c r="K454" s="52"/>
      <c r="L454" s="52" t="str">
        <f t="shared" si="1"/>
        <v>#VALUE!</v>
      </c>
      <c r="M454" s="52"/>
      <c r="N454" s="52"/>
      <c r="O454" s="52"/>
      <c r="P454" s="52"/>
      <c r="Q454" s="52"/>
      <c r="R454" s="52"/>
      <c r="S454" s="52"/>
      <c r="T454" s="52"/>
      <c r="U454" s="52"/>
      <c r="V454" s="52"/>
      <c r="W454" s="52"/>
      <c r="X454" s="52"/>
      <c r="Y454" s="52"/>
      <c r="Z454" s="52"/>
    </row>
    <row r="455">
      <c r="A455" s="52">
        <f>IFERROR(__xludf.DUMMYFUNCTION("""COMPUTED_VALUE"""),2.08201175E8)</f>
        <v>208201175</v>
      </c>
      <c r="B455" s="52" t="str">
        <f>IFERROR(__xludf.DUMMYFUNCTION("""COMPUTED_VALUE"""),"SUPRIYADI DG NAKKU")</f>
        <v>SUPRIYADI DG NAKKU</v>
      </c>
      <c r="C455" s="52">
        <f>IFERROR(__xludf.DUMMYFUNCTION("""COMPUTED_VALUE"""),48.0)</f>
        <v>48</v>
      </c>
      <c r="D455" s="52" t="str">
        <f>IFERROR(__xludf.DUMMYFUNCTION("""COMPUTED_VALUE"""),"Islam")</f>
        <v>Islam</v>
      </c>
      <c r="E455" s="52" t="str">
        <f>IFERROR(__xludf.DUMMYFUNCTION("""COMPUTED_VALUE"""),"CV. Adil Prima Perkasa")</f>
        <v>CV. Adil Prima Perkasa</v>
      </c>
      <c r="F455" s="52" t="str">
        <f>IFERROR(__xludf.DUMMYFUNCTION("""COMPUTED_VALUE"""),"DRIVER DT H700ZY")</f>
        <v>DRIVER DT H700ZY</v>
      </c>
      <c r="G455" s="52" t="str">
        <f>IFERROR(__xludf.DUMMYFUNCTION("""COMPUTED_VALUE"""),"KENDARAAN &amp; UNIT SUPPORT")</f>
        <v>KENDARAAN &amp; UNIT SUPPORT</v>
      </c>
      <c r="H455" s="52" t="str">
        <f>IFERROR(__xludf.DUMMYFUNCTION("""COMPUTED_VALUE"""),"[0102150004] NAFTALI RARE'A, ST")</f>
        <v>[0102150004] NAFTALI RARE'A, ST</v>
      </c>
      <c r="I455" s="55">
        <f>IFERROR(__xludf.DUMMYFUNCTION("""COMPUTED_VALUE"""),27433.0)</f>
        <v>27433</v>
      </c>
      <c r="J455" s="53" t="str">
        <f>IFERROR(__xludf.DUMMYFUNCTION("""COMPUTED_VALUE"""),"[208201175] SUPRIYADI DG NAKKU")</f>
        <v>[208201175] SUPRIYADI DG NAKKU</v>
      </c>
      <c r="K455" s="52"/>
      <c r="L455" s="52" t="str">
        <f t="shared" si="1"/>
        <v>#VALUE!</v>
      </c>
      <c r="M455" s="52"/>
      <c r="N455" s="52"/>
      <c r="O455" s="52"/>
      <c r="P455" s="52"/>
      <c r="Q455" s="52"/>
      <c r="R455" s="52"/>
      <c r="S455" s="52"/>
      <c r="T455" s="52"/>
      <c r="U455" s="52"/>
      <c r="V455" s="52"/>
      <c r="W455" s="52"/>
      <c r="X455" s="52"/>
      <c r="Y455" s="52"/>
      <c r="Z455" s="52"/>
    </row>
    <row r="456">
      <c r="A456" s="52">
        <f>IFERROR(__xludf.DUMMYFUNCTION("""COMPUTED_VALUE"""),2.01211333E8)</f>
        <v>201211333</v>
      </c>
      <c r="B456" s="52" t="str">
        <f>IFERROR(__xludf.DUMMYFUNCTION("""COMPUTED_VALUE"""),"SURIANTO")</f>
        <v>SURIANTO</v>
      </c>
      <c r="C456" s="52">
        <f>IFERROR(__xludf.DUMMYFUNCTION("""COMPUTED_VALUE"""),29.0)</f>
        <v>29</v>
      </c>
      <c r="D456" s="52" t="str">
        <f>IFERROR(__xludf.DUMMYFUNCTION("""COMPUTED_VALUE"""),"Kristen Protestan")</f>
        <v>Kristen Protestan</v>
      </c>
      <c r="E456" s="52" t="str">
        <f>IFERROR(__xludf.DUMMYFUNCTION("""COMPUTED_VALUE"""),"CV. Adil Prima Perkasa")</f>
        <v>CV. Adil Prima Perkasa</v>
      </c>
      <c r="F456" s="52" t="str">
        <f>IFERROR(__xludf.DUMMYFUNCTION("""COMPUTED_VALUE"""),"OPERATOR EXCAVATOR")</f>
        <v>OPERATOR EXCAVATOR</v>
      </c>
      <c r="G456" s="52" t="str">
        <f>IFERROR(__xludf.DUMMYFUNCTION("""COMPUTED_VALUE"""),"PRODUKSI")</f>
        <v>PRODUKSI</v>
      </c>
      <c r="H456" s="52" t="str">
        <f>IFERROR(__xludf.DUMMYFUNCTION("""COMPUTED_VALUE"""),"[0102130003] PURNAWAN")</f>
        <v>[0102130003] PURNAWAN</v>
      </c>
      <c r="I456" s="52"/>
      <c r="J456" s="53" t="str">
        <f>IFERROR(__xludf.DUMMYFUNCTION("""COMPUTED_VALUE"""),"[201211333] SURIANTO")</f>
        <v>[201211333] SURIANTO</v>
      </c>
      <c r="K456" s="52"/>
      <c r="L456" s="52" t="str">
        <f t="shared" si="1"/>
        <v>#VALUE!</v>
      </c>
      <c r="M456" s="52"/>
      <c r="N456" s="52"/>
      <c r="O456" s="52"/>
      <c r="P456" s="52"/>
      <c r="Q456" s="52"/>
      <c r="R456" s="52"/>
      <c r="S456" s="52"/>
      <c r="T456" s="52"/>
      <c r="U456" s="52"/>
      <c r="V456" s="52"/>
      <c r="W456" s="52"/>
      <c r="X456" s="52"/>
      <c r="Y456" s="52"/>
      <c r="Z456" s="52"/>
    </row>
    <row r="457">
      <c r="A457" s="52">
        <f>IFERROR(__xludf.DUMMYFUNCTION("""COMPUTED_VALUE"""),1.07211451E8)</f>
        <v>107211451</v>
      </c>
      <c r="B457" s="52" t="str">
        <f>IFERROR(__xludf.DUMMYFUNCTION("""COMPUTED_VALUE"""),"SURIANTO")</f>
        <v>SURIANTO</v>
      </c>
      <c r="C457" s="52">
        <f>IFERROR(__xludf.DUMMYFUNCTION("""COMPUTED_VALUE"""),48.0)</f>
        <v>48</v>
      </c>
      <c r="D457" s="52" t="str">
        <f>IFERROR(__xludf.DUMMYFUNCTION("""COMPUTED_VALUE"""),"Islam")</f>
        <v>Islam</v>
      </c>
      <c r="E457" s="52" t="str">
        <f>IFERROR(__xludf.DUMMYFUNCTION("""COMPUTED_VALUE"""),"CV. SENTOSA ABADI")</f>
        <v>CV. SENTOSA ABADI</v>
      </c>
      <c r="F457" s="52" t="str">
        <f>IFERROR(__xludf.DUMMYFUNCTION("""COMPUTED_VALUE"""),"DRIVER DT H700ZY")</f>
        <v>DRIVER DT H700ZY</v>
      </c>
      <c r="G457" s="52" t="str">
        <f>IFERROR(__xludf.DUMMYFUNCTION("""COMPUTED_VALUE"""),"KENDARAAN &amp; UNIT SUPPORT")</f>
        <v>KENDARAAN &amp; UNIT SUPPORT</v>
      </c>
      <c r="H457" s="52" t="str">
        <f>IFERROR(__xludf.DUMMYFUNCTION("""COMPUTED_VALUE"""),"[0102150004] NAFTALI RARE'A, ST")</f>
        <v>[0102150004] NAFTALI RARE'A, ST</v>
      </c>
      <c r="I457" s="52"/>
      <c r="J457" s="53" t="str">
        <f>IFERROR(__xludf.DUMMYFUNCTION("""COMPUTED_VALUE"""),"[107211451] SURIANTO")</f>
        <v>[107211451] SURIANTO</v>
      </c>
      <c r="K457" s="52"/>
      <c r="L457" s="52" t="str">
        <f t="shared" si="1"/>
        <v>#VALUE!</v>
      </c>
      <c r="M457" s="52"/>
      <c r="N457" s="52"/>
      <c r="O457" s="52"/>
      <c r="P457" s="52"/>
      <c r="Q457" s="52"/>
      <c r="R457" s="52"/>
      <c r="S457" s="52"/>
      <c r="T457" s="52"/>
      <c r="U457" s="52"/>
      <c r="V457" s="52"/>
      <c r="W457" s="52"/>
      <c r="X457" s="52"/>
      <c r="Y457" s="52"/>
      <c r="Z457" s="52"/>
    </row>
    <row r="458">
      <c r="A458" s="52">
        <f>IFERROR(__xludf.DUMMYFUNCTION("""COMPUTED_VALUE"""),1.08201196E8)</f>
        <v>108201196</v>
      </c>
      <c r="B458" s="52" t="str">
        <f>IFERROR(__xludf.DUMMYFUNCTION("""COMPUTED_VALUE"""),"SURIYADI")</f>
        <v>SURIYADI</v>
      </c>
      <c r="C458" s="52">
        <f>IFERROR(__xludf.DUMMYFUNCTION("""COMPUTED_VALUE"""),60.0)</f>
        <v>60</v>
      </c>
      <c r="D458" s="52" t="str">
        <f>IFERROR(__xludf.DUMMYFUNCTION("""COMPUTED_VALUE"""),"Islam")</f>
        <v>Islam</v>
      </c>
      <c r="E458" s="52" t="str">
        <f>IFERROR(__xludf.DUMMYFUNCTION("""COMPUTED_VALUE"""),"CV. SENTOSA ABADI")</f>
        <v>CV. SENTOSA ABADI</v>
      </c>
      <c r="F458" s="52" t="str">
        <f>IFERROR(__xludf.DUMMYFUNCTION("""COMPUTED_VALUE"""),"DRIVER DT H700ZY")</f>
        <v>DRIVER DT H700ZY</v>
      </c>
      <c r="G458" s="52" t="str">
        <f>IFERROR(__xludf.DUMMYFUNCTION("""COMPUTED_VALUE"""),"KENDARAAN &amp; UNIT SUPPORT")</f>
        <v>KENDARAAN &amp; UNIT SUPPORT</v>
      </c>
      <c r="H458" s="52" t="str">
        <f>IFERROR(__xludf.DUMMYFUNCTION("""COMPUTED_VALUE"""),"[0102150004] NAFTALI RARE'A, ST")</f>
        <v>[0102150004] NAFTALI RARE'A, ST</v>
      </c>
      <c r="I458" s="52"/>
      <c r="J458" s="53" t="str">
        <f>IFERROR(__xludf.DUMMYFUNCTION("""COMPUTED_VALUE"""),"[108201196] SURIYADI")</f>
        <v>[108201196] SURIYADI</v>
      </c>
      <c r="K458" s="52"/>
      <c r="L458" s="52" t="str">
        <f t="shared" si="1"/>
        <v>#VALUE!</v>
      </c>
      <c r="M458" s="52"/>
      <c r="N458" s="52"/>
      <c r="O458" s="52"/>
      <c r="P458" s="52"/>
      <c r="Q458" s="52"/>
      <c r="R458" s="52"/>
      <c r="S458" s="52"/>
      <c r="T458" s="52"/>
      <c r="U458" s="52"/>
      <c r="V458" s="52"/>
      <c r="W458" s="52"/>
      <c r="X458" s="52"/>
      <c r="Y458" s="52"/>
      <c r="Z458" s="52"/>
    </row>
    <row r="459">
      <c r="A459" s="52">
        <f>IFERROR(__xludf.DUMMYFUNCTION("""COMPUTED_VALUE"""),2.09201235E8)</f>
        <v>209201235</v>
      </c>
      <c r="B459" s="52" t="str">
        <f>IFERROR(__xludf.DUMMYFUNCTION("""COMPUTED_VALUE"""),"SURONO")</f>
        <v>SURONO</v>
      </c>
      <c r="C459" s="52">
        <f>IFERROR(__xludf.DUMMYFUNCTION("""COMPUTED_VALUE"""),0.0)</f>
        <v>0</v>
      </c>
      <c r="D459" s="52" t="str">
        <f>IFERROR(__xludf.DUMMYFUNCTION("""COMPUTED_VALUE"""),"Islam")</f>
        <v>Islam</v>
      </c>
      <c r="E459" s="52" t="str">
        <f>IFERROR(__xludf.DUMMYFUNCTION("""COMPUTED_VALUE"""),"CV. Adil Prima Perkasa")</f>
        <v>CV. Adil Prima Perkasa</v>
      </c>
      <c r="F459" s="52" t="str">
        <f>IFERROR(__xludf.DUMMYFUNCTION("""COMPUTED_VALUE"""),"OPERATOR GRADER")</f>
        <v>OPERATOR GRADER</v>
      </c>
      <c r="G459" s="52" t="str">
        <f>IFERROR(__xludf.DUMMYFUNCTION("""COMPUTED_VALUE"""),"PRODUKSI")</f>
        <v>PRODUKSI</v>
      </c>
      <c r="H459" s="52" t="str">
        <f>IFERROR(__xludf.DUMMYFUNCTION("""COMPUTED_VALUE"""),"FALSE")</f>
        <v>FALSE</v>
      </c>
      <c r="I459" s="55">
        <f>IFERROR(__xludf.DUMMYFUNCTION("""COMPUTED_VALUE"""),27466.0)</f>
        <v>27466</v>
      </c>
      <c r="J459" s="53" t="str">
        <f>IFERROR(__xludf.DUMMYFUNCTION("""COMPUTED_VALUE"""),"[209201235] SURONO")</f>
        <v>[209201235] SURONO</v>
      </c>
      <c r="K459" s="52"/>
      <c r="L459" s="52" t="str">
        <f t="shared" si="1"/>
        <v>#VALUE!</v>
      </c>
      <c r="M459" s="52"/>
      <c r="N459" s="52"/>
      <c r="O459" s="52"/>
      <c r="P459" s="52"/>
      <c r="Q459" s="52"/>
      <c r="R459" s="52"/>
      <c r="S459" s="52"/>
      <c r="T459" s="52"/>
      <c r="U459" s="52"/>
      <c r="V459" s="52"/>
      <c r="W459" s="52"/>
      <c r="X459" s="52"/>
      <c r="Y459" s="52"/>
      <c r="Z459" s="52"/>
    </row>
    <row r="460">
      <c r="A460" s="52">
        <f>IFERROR(__xludf.DUMMYFUNCTION("""COMPUTED_VALUE"""),2.11211543E8)</f>
        <v>211211543</v>
      </c>
      <c r="B460" s="52" t="str">
        <f>IFERROR(__xludf.DUMMYFUNCTION("""COMPUTED_VALUE"""),"SUSILO AFRIYANTO PETA'A")</f>
        <v>SUSILO AFRIYANTO PETA'A</v>
      </c>
      <c r="C460" s="52">
        <f>IFERROR(__xludf.DUMMYFUNCTION("""COMPUTED_VALUE"""),28.0)</f>
        <v>28</v>
      </c>
      <c r="D460" s="52" t="str">
        <f>IFERROR(__xludf.DUMMYFUNCTION("""COMPUTED_VALUE"""),"Kristen Protestan")</f>
        <v>Kristen Protestan</v>
      </c>
      <c r="E460" s="52" t="str">
        <f>IFERROR(__xludf.DUMMYFUNCTION("""COMPUTED_VALUE"""),"CV. Adil Prima Perkasa")</f>
        <v>CV. Adil Prima Perkasa</v>
      </c>
      <c r="F460" s="52" t="str">
        <f>IFERROR(__xludf.DUMMYFUNCTION("""COMPUTED_VALUE"""),"DRIVER DT H700ZY")</f>
        <v>DRIVER DT H700ZY</v>
      </c>
      <c r="G460" s="52" t="str">
        <f>IFERROR(__xludf.DUMMYFUNCTION("""COMPUTED_VALUE"""),"KENDARAAN &amp; UNIT SUPPORT")</f>
        <v>KENDARAAN &amp; UNIT SUPPORT</v>
      </c>
      <c r="H460" s="52" t="str">
        <f>IFERROR(__xludf.DUMMYFUNCTION("""COMPUTED_VALUE"""),"[0103180405] ALKHISER M. LUMIMPUO")</f>
        <v>[0103180405] ALKHISER M. LUMIMPUO</v>
      </c>
      <c r="I460" s="55">
        <f>IFERROR(__xludf.DUMMYFUNCTION("""COMPUTED_VALUE"""),34441.0)</f>
        <v>34441</v>
      </c>
      <c r="J460" s="53" t="str">
        <f>IFERROR(__xludf.DUMMYFUNCTION("""COMPUTED_VALUE"""),"[211211543] SUSILO AFRIYANTO PETA'A")</f>
        <v>[211211543] SUSILO AFRIYANTO PETA'A</v>
      </c>
      <c r="K460" s="52"/>
      <c r="L460" s="52" t="str">
        <f t="shared" si="1"/>
        <v>#VALUE!</v>
      </c>
      <c r="M460" s="52"/>
      <c r="N460" s="52"/>
      <c r="O460" s="52"/>
      <c r="P460" s="52"/>
      <c r="Q460" s="52"/>
      <c r="R460" s="52"/>
      <c r="S460" s="52"/>
      <c r="T460" s="52"/>
      <c r="U460" s="52"/>
      <c r="V460" s="52"/>
      <c r="W460" s="52"/>
      <c r="X460" s="52"/>
      <c r="Y460" s="52"/>
      <c r="Z460" s="52"/>
    </row>
    <row r="461">
      <c r="A461" s="52">
        <f>IFERROR(__xludf.DUMMYFUNCTION("""COMPUTED_VALUE"""),2.0122158E8)</f>
        <v>201221580</v>
      </c>
      <c r="B461" s="52" t="str">
        <f>IFERROR(__xludf.DUMMYFUNCTION("""COMPUTED_VALUE"""),"SUTRIYANTO ARMAN S.")</f>
        <v>SUTRIYANTO ARMAN S.</v>
      </c>
      <c r="C461" s="52">
        <f>IFERROR(__xludf.DUMMYFUNCTION("""COMPUTED_VALUE"""),30.0)</f>
        <v>30</v>
      </c>
      <c r="D461" s="52" t="str">
        <f>IFERROR(__xludf.DUMMYFUNCTION("""COMPUTED_VALUE"""),"Islam")</f>
        <v>Islam</v>
      </c>
      <c r="E461" s="52" t="str">
        <f>IFERROR(__xludf.DUMMYFUNCTION("""COMPUTED_VALUE"""),"CV. Adil Prima Perkasa")</f>
        <v>CV. Adil Prima Perkasa</v>
      </c>
      <c r="F461" s="52" t="str">
        <f>IFERROR(__xludf.DUMMYFUNCTION("""COMPUTED_VALUE"""),"DRIVER DT H700ZY")</f>
        <v>DRIVER DT H700ZY</v>
      </c>
      <c r="G461" s="52" t="str">
        <f>IFERROR(__xludf.DUMMYFUNCTION("""COMPUTED_VALUE"""),"KENDARAAN &amp; UNIT SUPPORT")</f>
        <v>KENDARAAN &amp; UNIT SUPPORT</v>
      </c>
      <c r="H461" s="52" t="str">
        <f>IFERROR(__xludf.DUMMYFUNCTION("""COMPUTED_VALUE"""),"[0102150004] NAFTALI RARE'A, ST")</f>
        <v>[0102150004] NAFTALI RARE'A, ST</v>
      </c>
      <c r="I461" s="55">
        <f>IFERROR(__xludf.DUMMYFUNCTION("""COMPUTED_VALUE"""),33154.0)</f>
        <v>33154</v>
      </c>
      <c r="J461" s="53" t="str">
        <f>IFERROR(__xludf.DUMMYFUNCTION("""COMPUTED_VALUE"""),"[201221580] SUTRIYANTO ARMAN S.")</f>
        <v>[201221580] SUTRIYANTO ARMAN S.</v>
      </c>
      <c r="K461" s="52"/>
      <c r="L461" s="52" t="str">
        <f t="shared" si="1"/>
        <v>#VALUE!</v>
      </c>
      <c r="M461" s="52"/>
      <c r="N461" s="52"/>
      <c r="O461" s="52"/>
      <c r="P461" s="52"/>
      <c r="Q461" s="52"/>
      <c r="R461" s="52"/>
      <c r="S461" s="52"/>
      <c r="T461" s="52"/>
      <c r="U461" s="52"/>
      <c r="V461" s="52"/>
      <c r="W461" s="52"/>
      <c r="X461" s="52"/>
      <c r="Y461" s="52"/>
      <c r="Z461" s="52"/>
    </row>
    <row r="462">
      <c r="A462" s="52">
        <f>IFERROR(__xludf.DUMMYFUNCTION("""COMPUTED_VALUE"""),2.12211558E8)</f>
        <v>212211558</v>
      </c>
      <c r="B462" s="52" t="str">
        <f>IFERROR(__xludf.DUMMYFUNCTION("""COMPUTED_VALUE"""),"SYABIR")</f>
        <v>SYABIR</v>
      </c>
      <c r="C462" s="52">
        <f>IFERROR(__xludf.DUMMYFUNCTION("""COMPUTED_VALUE"""),43.0)</f>
        <v>43</v>
      </c>
      <c r="D462" s="52" t="str">
        <f>IFERROR(__xludf.DUMMYFUNCTION("""COMPUTED_VALUE"""),"Islam")</f>
        <v>Islam</v>
      </c>
      <c r="E462" s="52" t="str">
        <f>IFERROR(__xludf.DUMMYFUNCTION("""COMPUTED_VALUE"""),"CV. Adil Prima Perkasa")</f>
        <v>CV. Adil Prima Perkasa</v>
      </c>
      <c r="F462" s="52" t="str">
        <f>IFERROR(__xludf.DUMMYFUNCTION("""COMPUTED_VALUE"""),"DRIVER DT H700ZY")</f>
        <v>DRIVER DT H700ZY</v>
      </c>
      <c r="G462" s="52" t="str">
        <f>IFERROR(__xludf.DUMMYFUNCTION("""COMPUTED_VALUE"""),"KENDARAAN &amp; UNIT SUPPORT")</f>
        <v>KENDARAAN &amp; UNIT SUPPORT</v>
      </c>
      <c r="H462" s="52" t="str">
        <f>IFERROR(__xludf.DUMMYFUNCTION("""COMPUTED_VALUE"""),"[0102150004] NAFTALI RARE'A, ST")</f>
        <v>[0102150004] NAFTALI RARE'A, ST</v>
      </c>
      <c r="I462" s="55">
        <f>IFERROR(__xludf.DUMMYFUNCTION("""COMPUTED_VALUE"""),30420.0)</f>
        <v>30420</v>
      </c>
      <c r="J462" s="53" t="str">
        <f>IFERROR(__xludf.DUMMYFUNCTION("""COMPUTED_VALUE"""),"[212211558] SYABIR")</f>
        <v>[212211558] SYABIR</v>
      </c>
      <c r="K462" s="52"/>
      <c r="L462" s="52" t="str">
        <f t="shared" si="1"/>
        <v>#VALUE!</v>
      </c>
      <c r="M462" s="52"/>
      <c r="N462" s="52"/>
      <c r="O462" s="52"/>
      <c r="P462" s="52"/>
      <c r="Q462" s="52"/>
      <c r="R462" s="52"/>
      <c r="S462" s="52"/>
      <c r="T462" s="52"/>
      <c r="U462" s="52"/>
      <c r="V462" s="52"/>
      <c r="W462" s="52"/>
      <c r="X462" s="52"/>
      <c r="Y462" s="52"/>
      <c r="Z462" s="52"/>
    </row>
    <row r="463">
      <c r="A463" s="52">
        <f>IFERROR(__xludf.DUMMYFUNCTION("""COMPUTED_VALUE"""),2.05241915E8)</f>
        <v>205241915</v>
      </c>
      <c r="B463" s="52" t="str">
        <f>IFERROR(__xludf.DUMMYFUNCTION("""COMPUTED_VALUE"""),"SYAHDANG KURNIAWAN")</f>
        <v>SYAHDANG KURNIAWAN</v>
      </c>
      <c r="C463" s="52">
        <f>IFERROR(__xludf.DUMMYFUNCTION("""COMPUTED_VALUE"""),0.0)</f>
        <v>0</v>
      </c>
      <c r="D463" s="52"/>
      <c r="E463" s="52" t="str">
        <f>IFERROR(__xludf.DUMMYFUNCTION("""COMPUTED_VALUE"""),"CV. Adil Prima Perkasa")</f>
        <v>CV. Adil Prima Perkasa</v>
      </c>
      <c r="F463" s="52" t="str">
        <f>IFERROR(__xludf.DUMMYFUNCTION("""COMPUTED_VALUE"""),"HELPER TYRE")</f>
        <v>HELPER TYRE</v>
      </c>
      <c r="G463" s="52" t="str">
        <f>IFERROR(__xludf.DUMMYFUNCTION("""COMPUTED_VALUE"""),"WORKSHOP")</f>
        <v>WORKSHOP</v>
      </c>
      <c r="H463" s="52" t="str">
        <f>IFERROR(__xludf.DUMMYFUNCTION("""COMPUTED_VALUE"""),"[0106190928] NATAN KONDO")</f>
        <v>[0106190928] NATAN KONDO</v>
      </c>
      <c r="I463" s="52"/>
      <c r="J463" s="53" t="str">
        <f>IFERROR(__xludf.DUMMYFUNCTION("""COMPUTED_VALUE"""),"[205241915] SYAHDANG KURNIAWAN")</f>
        <v>[205241915] SYAHDANG KURNIAWAN</v>
      </c>
      <c r="K463" s="52"/>
      <c r="L463" s="52" t="str">
        <f t="shared" si="1"/>
        <v>#VALUE!</v>
      </c>
      <c r="M463" s="52"/>
      <c r="N463" s="52"/>
      <c r="O463" s="52"/>
      <c r="P463" s="52"/>
      <c r="Q463" s="52"/>
      <c r="R463" s="52"/>
      <c r="S463" s="52"/>
      <c r="T463" s="52"/>
      <c r="U463" s="52"/>
      <c r="V463" s="52"/>
      <c r="W463" s="52"/>
      <c r="X463" s="52"/>
      <c r="Y463" s="52"/>
      <c r="Z463" s="52"/>
    </row>
    <row r="464">
      <c r="A464" s="52">
        <f>IFERROR(__xludf.DUMMYFUNCTION("""COMPUTED_VALUE"""),2.09211495E8)</f>
        <v>209211495</v>
      </c>
      <c r="B464" s="52" t="str">
        <f>IFERROR(__xludf.DUMMYFUNCTION("""COMPUTED_VALUE"""),"SYAMSIR")</f>
        <v>SYAMSIR</v>
      </c>
      <c r="C464" s="52">
        <f>IFERROR(__xludf.DUMMYFUNCTION("""COMPUTED_VALUE"""),36.0)</f>
        <v>36</v>
      </c>
      <c r="D464" s="52" t="str">
        <f>IFERROR(__xludf.DUMMYFUNCTION("""COMPUTED_VALUE"""),"Islam")</f>
        <v>Islam</v>
      </c>
      <c r="E464" s="52" t="str">
        <f>IFERROR(__xludf.DUMMYFUNCTION("""COMPUTED_VALUE"""),"CV. Adil Prima Perkasa")</f>
        <v>CV. Adil Prima Perkasa</v>
      </c>
      <c r="F464" s="52" t="str">
        <f>IFERROR(__xludf.DUMMYFUNCTION("""COMPUTED_VALUE"""),"OPERATOR EXCAVATOR")</f>
        <v>OPERATOR EXCAVATOR</v>
      </c>
      <c r="G464" s="52" t="str">
        <f>IFERROR(__xludf.DUMMYFUNCTION("""COMPUTED_VALUE"""),"PRODUKSI")</f>
        <v>PRODUKSI</v>
      </c>
      <c r="H464" s="52" t="str">
        <f>IFERROR(__xludf.DUMMYFUNCTION("""COMPUTED_VALUE"""),"FALSE")</f>
        <v>FALSE</v>
      </c>
      <c r="I464" s="55">
        <f>IFERROR(__xludf.DUMMYFUNCTION("""COMPUTED_VALUE"""),31967.0)</f>
        <v>31967</v>
      </c>
      <c r="J464" s="53" t="str">
        <f>IFERROR(__xludf.DUMMYFUNCTION("""COMPUTED_VALUE"""),"[209211495] SYAMSIR")</f>
        <v>[209211495] SYAMSIR</v>
      </c>
      <c r="K464" s="52"/>
      <c r="L464" s="52" t="str">
        <f t="shared" si="1"/>
        <v>#VALUE!</v>
      </c>
      <c r="M464" s="52"/>
      <c r="N464" s="52"/>
      <c r="O464" s="52"/>
      <c r="P464" s="52"/>
      <c r="Q464" s="52"/>
      <c r="R464" s="52"/>
      <c r="S464" s="52"/>
      <c r="T464" s="52"/>
      <c r="U464" s="52"/>
      <c r="V464" s="52"/>
      <c r="W464" s="52"/>
      <c r="X464" s="52"/>
      <c r="Y464" s="52"/>
      <c r="Z464" s="52"/>
    </row>
    <row r="465">
      <c r="A465" s="52">
        <f>IFERROR(__xludf.DUMMYFUNCTION("""COMPUTED_VALUE"""),1.08201195E8)</f>
        <v>108201195</v>
      </c>
      <c r="B465" s="52" t="str">
        <f>IFERROR(__xludf.DUMMYFUNCTION("""COMPUTED_VALUE"""),"SYAMSUL")</f>
        <v>SYAMSUL</v>
      </c>
      <c r="C465" s="52">
        <f>IFERROR(__xludf.DUMMYFUNCTION("""COMPUTED_VALUE"""),32.0)</f>
        <v>32</v>
      </c>
      <c r="D465" s="52" t="str">
        <f>IFERROR(__xludf.DUMMYFUNCTION("""COMPUTED_VALUE"""),"Islam")</f>
        <v>Islam</v>
      </c>
      <c r="E465" s="52" t="str">
        <f>IFERROR(__xludf.DUMMYFUNCTION("""COMPUTED_VALUE"""),"CV. SENTOSA ABADI")</f>
        <v>CV. SENTOSA ABADI</v>
      </c>
      <c r="F465" s="52" t="str">
        <f>IFERROR(__xludf.DUMMYFUNCTION("""COMPUTED_VALUE"""),"OPERATOR BULLDOZER")</f>
        <v>OPERATOR BULLDOZER</v>
      </c>
      <c r="G465" s="52" t="str">
        <f>IFERROR(__xludf.DUMMYFUNCTION("""COMPUTED_VALUE"""),"PRODUKSI")</f>
        <v>PRODUKSI</v>
      </c>
      <c r="H465" s="52" t="str">
        <f>IFERROR(__xludf.DUMMYFUNCTION("""COMPUTED_VALUE"""),"[0102130003] PURNAWAN")</f>
        <v>[0102130003] PURNAWAN</v>
      </c>
      <c r="I465" s="55">
        <f>IFERROR(__xludf.DUMMYFUNCTION("""COMPUTED_VALUE"""),31028.0)</f>
        <v>31028</v>
      </c>
      <c r="J465" s="53" t="str">
        <f>IFERROR(__xludf.DUMMYFUNCTION("""COMPUTED_VALUE"""),"[108201195] SYAMSUL")</f>
        <v>[108201195] SYAMSUL</v>
      </c>
      <c r="K465" s="52"/>
      <c r="L465" s="52" t="str">
        <f t="shared" si="1"/>
        <v>#VALUE!</v>
      </c>
      <c r="M465" s="52"/>
      <c r="N465" s="52"/>
      <c r="O465" s="52"/>
      <c r="P465" s="52"/>
      <c r="Q465" s="52"/>
      <c r="R465" s="52"/>
      <c r="S465" s="52"/>
      <c r="T465" s="52"/>
      <c r="U465" s="52"/>
      <c r="V465" s="52"/>
      <c r="W465" s="52"/>
      <c r="X465" s="52"/>
      <c r="Y465" s="52"/>
      <c r="Z465" s="52"/>
    </row>
    <row r="466">
      <c r="A466" s="52">
        <f>IFERROR(__xludf.DUMMYFUNCTION("""COMPUTED_VALUE"""),1.12201307E8)</f>
        <v>112201307</v>
      </c>
      <c r="B466" s="52" t="str">
        <f>IFERROR(__xludf.DUMMYFUNCTION("""COMPUTED_VALUE"""),"TANDU")</f>
        <v>TANDU</v>
      </c>
      <c r="C466" s="52">
        <f>IFERROR(__xludf.DUMMYFUNCTION("""COMPUTED_VALUE"""),49.0)</f>
        <v>49</v>
      </c>
      <c r="D466" s="52" t="str">
        <f>IFERROR(__xludf.DUMMYFUNCTION("""COMPUTED_VALUE"""),"Kristen Protestan")</f>
        <v>Kristen Protestan</v>
      </c>
      <c r="E466" s="52" t="str">
        <f>IFERROR(__xludf.DUMMYFUNCTION("""COMPUTED_VALUE"""),"CV. SENTOSA ABADI")</f>
        <v>CV. SENTOSA ABADI</v>
      </c>
      <c r="F466" s="52" t="str">
        <f>IFERROR(__xludf.DUMMYFUNCTION("""COMPUTED_VALUE"""),"OPERATOR BUBUT")</f>
        <v>OPERATOR BUBUT</v>
      </c>
      <c r="G466" s="52" t="str">
        <f>IFERROR(__xludf.DUMMYFUNCTION("""COMPUTED_VALUE"""),"WORKSHOP")</f>
        <v>WORKSHOP</v>
      </c>
      <c r="H466" s="52" t="str">
        <f>IFERROR(__xludf.DUMMYFUNCTION("""COMPUTED_VALUE"""),"[0106190928] NATAN KONDO")</f>
        <v>[0106190928] NATAN KONDO</v>
      </c>
      <c r="I466" s="55">
        <f>IFERROR(__xludf.DUMMYFUNCTION("""COMPUTED_VALUE"""),29987.0)</f>
        <v>29987</v>
      </c>
      <c r="J466" s="53" t="str">
        <f>IFERROR(__xludf.DUMMYFUNCTION("""COMPUTED_VALUE"""),"[112201307] TANDU")</f>
        <v>[112201307] TANDU</v>
      </c>
      <c r="K466" s="52"/>
      <c r="L466" s="52" t="str">
        <f t="shared" si="1"/>
        <v>#VALUE!</v>
      </c>
      <c r="M466" s="52"/>
      <c r="N466" s="52"/>
      <c r="O466" s="52"/>
      <c r="P466" s="52"/>
      <c r="Q466" s="52"/>
      <c r="R466" s="52"/>
      <c r="S466" s="52"/>
      <c r="T466" s="52"/>
      <c r="U466" s="52"/>
      <c r="V466" s="52"/>
      <c r="W466" s="52"/>
      <c r="X466" s="52"/>
      <c r="Y466" s="52"/>
      <c r="Z466" s="52"/>
    </row>
    <row r="467">
      <c r="A467" s="52">
        <f>IFERROR(__xludf.DUMMYFUNCTION("""COMPUTED_VALUE"""),2.06231779E8)</f>
        <v>206231779</v>
      </c>
      <c r="B467" s="52" t="str">
        <f>IFERROR(__xludf.DUMMYFUNCTION("""COMPUTED_VALUE"""),"TAUFIK MUSJINJA")</f>
        <v>TAUFIK MUSJINJA</v>
      </c>
      <c r="C467" s="52">
        <f>IFERROR(__xludf.DUMMYFUNCTION("""COMPUTED_VALUE"""),21.0)</f>
        <v>21</v>
      </c>
      <c r="D467" s="52" t="str">
        <f>IFERROR(__xludf.DUMMYFUNCTION("""COMPUTED_VALUE"""),"Islam")</f>
        <v>Islam</v>
      </c>
      <c r="E467" s="52" t="str">
        <f>IFERROR(__xludf.DUMMYFUNCTION("""COMPUTED_VALUE"""),"CV. Adil Prima Perkasa")</f>
        <v>CV. Adil Prima Perkasa</v>
      </c>
      <c r="F467" s="52" t="str">
        <f>IFERROR(__xludf.DUMMYFUNCTION("""COMPUTED_VALUE"""),"HELPER TYRE")</f>
        <v>HELPER TYRE</v>
      </c>
      <c r="G467" s="52" t="str">
        <f>IFERROR(__xludf.DUMMYFUNCTION("""COMPUTED_VALUE"""),"WORKSHOP")</f>
        <v>WORKSHOP</v>
      </c>
      <c r="H467" s="52" t="str">
        <f>IFERROR(__xludf.DUMMYFUNCTION("""COMPUTED_VALUE"""),"[0106190928] NATAN KONDO")</f>
        <v>[0106190928] NATAN KONDO</v>
      </c>
      <c r="I467" s="52"/>
      <c r="J467" s="53" t="str">
        <f>IFERROR(__xludf.DUMMYFUNCTION("""COMPUTED_VALUE"""),"[206231779] TAUFIK MUSJINJA")</f>
        <v>[206231779] TAUFIK MUSJINJA</v>
      </c>
      <c r="K467" s="52"/>
      <c r="L467" s="52" t="str">
        <f t="shared" si="1"/>
        <v>#VALUE!</v>
      </c>
      <c r="M467" s="52"/>
      <c r="N467" s="52"/>
      <c r="O467" s="52"/>
      <c r="P467" s="52"/>
      <c r="Q467" s="52"/>
      <c r="R467" s="52"/>
      <c r="S467" s="52"/>
      <c r="T467" s="52"/>
      <c r="U467" s="52"/>
      <c r="V467" s="52"/>
      <c r="W467" s="52"/>
      <c r="X467" s="52"/>
      <c r="Y467" s="52"/>
      <c r="Z467" s="52"/>
    </row>
    <row r="468">
      <c r="A468" s="52">
        <f>IFERROR(__xludf.DUMMYFUNCTION("""COMPUTED_VALUE"""),1.07190949E8)</f>
        <v>107190949</v>
      </c>
      <c r="B468" s="52" t="str">
        <f>IFERROR(__xludf.DUMMYFUNCTION("""COMPUTED_VALUE"""),"TAUFIQ HIDAYAT")</f>
        <v>TAUFIQ HIDAYAT</v>
      </c>
      <c r="C468" s="52">
        <f>IFERROR(__xludf.DUMMYFUNCTION("""COMPUTED_VALUE"""),24.0)</f>
        <v>24</v>
      </c>
      <c r="D468" s="52" t="str">
        <f>IFERROR(__xludf.DUMMYFUNCTION("""COMPUTED_VALUE"""),"Islam")</f>
        <v>Islam</v>
      </c>
      <c r="E468" s="52" t="str">
        <f>IFERROR(__xludf.DUMMYFUNCTION("""COMPUTED_VALUE"""),"CV. SENTOSA ABADI")</f>
        <v>CV. SENTOSA ABADI</v>
      </c>
      <c r="F468" s="52" t="str">
        <f>IFERROR(__xludf.DUMMYFUNCTION("""COMPUTED_VALUE"""),"DRIVER LV")</f>
        <v>DRIVER LV</v>
      </c>
      <c r="G468" s="52" t="str">
        <f>IFERROR(__xludf.DUMMYFUNCTION("""COMPUTED_VALUE"""),"KENDARAAN &amp; UNIT SUPPORT")</f>
        <v>KENDARAAN &amp; UNIT SUPPORT</v>
      </c>
      <c r="H468" s="52" t="str">
        <f>IFERROR(__xludf.DUMMYFUNCTION("""COMPUTED_VALUE"""),"[0102150004] NAFTALI RARE'A, ST")</f>
        <v>[0102150004] NAFTALI RARE'A, ST</v>
      </c>
      <c r="I468" s="52"/>
      <c r="J468" s="53" t="str">
        <f>IFERROR(__xludf.DUMMYFUNCTION("""COMPUTED_VALUE"""),"[107190949] TAUFIQ HIDAYAT")</f>
        <v>[107190949] TAUFIQ HIDAYAT</v>
      </c>
      <c r="K468" s="52"/>
      <c r="L468" s="52" t="str">
        <f t="shared" si="1"/>
        <v>#VALUE!</v>
      </c>
      <c r="M468" s="52"/>
      <c r="N468" s="52"/>
      <c r="O468" s="52"/>
      <c r="P468" s="52"/>
      <c r="Q468" s="52"/>
      <c r="R468" s="52"/>
      <c r="S468" s="52"/>
      <c r="T468" s="52"/>
      <c r="U468" s="52"/>
      <c r="V468" s="52"/>
      <c r="W468" s="52"/>
      <c r="X468" s="52"/>
      <c r="Y468" s="52"/>
      <c r="Z468" s="52"/>
    </row>
    <row r="469">
      <c r="A469" s="52">
        <f>IFERROR(__xludf.DUMMYFUNCTION("""COMPUTED_VALUE"""),1.04211382E8)</f>
        <v>104211382</v>
      </c>
      <c r="B469" s="52" t="str">
        <f>IFERROR(__xludf.DUMMYFUNCTION("""COMPUTED_VALUE"""),"THAMRIN LAIDA")</f>
        <v>THAMRIN LAIDA</v>
      </c>
      <c r="C469" s="52">
        <f>IFERROR(__xludf.DUMMYFUNCTION("""COMPUTED_VALUE"""),55.0)</f>
        <v>55</v>
      </c>
      <c r="D469" s="52" t="str">
        <f>IFERROR(__xludf.DUMMYFUNCTION("""COMPUTED_VALUE"""),"Kristen Protestan")</f>
        <v>Kristen Protestan</v>
      </c>
      <c r="E469" s="52" t="str">
        <f>IFERROR(__xludf.DUMMYFUNCTION("""COMPUTED_VALUE"""),"CV. SENTOSA ABADI")</f>
        <v>CV. SENTOSA ABADI</v>
      </c>
      <c r="F469" s="52" t="str">
        <f>IFERROR(__xludf.DUMMYFUNCTION("""COMPUTED_VALUE"""),"DRIVER DT H700ZY")</f>
        <v>DRIVER DT H700ZY</v>
      </c>
      <c r="G469" s="52" t="str">
        <f>IFERROR(__xludf.DUMMYFUNCTION("""COMPUTED_VALUE"""),"KENDARAAN &amp; UNIT SUPPORT")</f>
        <v>KENDARAAN &amp; UNIT SUPPORT</v>
      </c>
      <c r="H469" s="52" t="str">
        <f>IFERROR(__xludf.DUMMYFUNCTION("""COMPUTED_VALUE"""),"[0102150004] NAFTALI RARE'A, ST")</f>
        <v>[0102150004] NAFTALI RARE'A, ST</v>
      </c>
      <c r="I469" s="52"/>
      <c r="J469" s="53" t="str">
        <f>IFERROR(__xludf.DUMMYFUNCTION("""COMPUTED_VALUE"""),"[104211382] THAMRIN LAIDA")</f>
        <v>[104211382] THAMRIN LAIDA</v>
      </c>
      <c r="K469" s="52"/>
      <c r="L469" s="52" t="str">
        <f t="shared" si="1"/>
        <v>#VALUE!</v>
      </c>
      <c r="M469" s="52"/>
      <c r="N469" s="52"/>
      <c r="O469" s="52"/>
      <c r="P469" s="52"/>
      <c r="Q469" s="52"/>
      <c r="R469" s="52"/>
      <c r="S469" s="52"/>
      <c r="T469" s="52"/>
      <c r="U469" s="52"/>
      <c r="V469" s="52"/>
      <c r="W469" s="52"/>
      <c r="X469" s="52"/>
      <c r="Y469" s="52"/>
      <c r="Z469" s="52"/>
    </row>
    <row r="470">
      <c r="A470" s="52">
        <f>IFERROR(__xludf.DUMMYFUNCTION("""COMPUTED_VALUE"""),1.05211411E8)</f>
        <v>105211411</v>
      </c>
      <c r="B470" s="52" t="str">
        <f>IFERROR(__xludf.DUMMYFUNCTION("""COMPUTED_VALUE"""),"THEOFILUS KALENGKE")</f>
        <v>THEOFILUS KALENGKE</v>
      </c>
      <c r="C470" s="52">
        <f>IFERROR(__xludf.DUMMYFUNCTION("""COMPUTED_VALUE"""),25.0)</f>
        <v>25</v>
      </c>
      <c r="D470" s="52" t="str">
        <f>IFERROR(__xludf.DUMMYFUNCTION("""COMPUTED_VALUE"""),"Kristen Protestan")</f>
        <v>Kristen Protestan</v>
      </c>
      <c r="E470" s="52" t="str">
        <f>IFERROR(__xludf.DUMMYFUNCTION("""COMPUTED_VALUE"""),"CV. SENTOSA ABADI")</f>
        <v>CV. SENTOSA ABADI</v>
      </c>
      <c r="F470" s="52" t="str">
        <f>IFERROR(__xludf.DUMMYFUNCTION("""COMPUTED_VALUE"""),"HELPER MECHANIC MAINTENANCE")</f>
        <v>HELPER MECHANIC MAINTENANCE</v>
      </c>
      <c r="G470" s="52" t="str">
        <f>IFERROR(__xludf.DUMMYFUNCTION("""COMPUTED_VALUE"""),"WORKSHOP")</f>
        <v>WORKSHOP</v>
      </c>
      <c r="H470" s="52" t="str">
        <f>IFERROR(__xludf.DUMMYFUNCTION("""COMPUTED_VALUE"""),"FALSE")</f>
        <v>FALSE</v>
      </c>
      <c r="I470" s="52"/>
      <c r="J470" s="53" t="str">
        <f>IFERROR(__xludf.DUMMYFUNCTION("""COMPUTED_VALUE"""),"[105211411] THEOFILUS KALENGKE")</f>
        <v>[105211411] THEOFILUS KALENGKE</v>
      </c>
      <c r="K470" s="52"/>
      <c r="L470" s="52" t="str">
        <f t="shared" si="1"/>
        <v>#VALUE!</v>
      </c>
      <c r="M470" s="52"/>
      <c r="N470" s="52"/>
      <c r="O470" s="52"/>
      <c r="P470" s="52"/>
      <c r="Q470" s="52"/>
      <c r="R470" s="52"/>
      <c r="S470" s="52"/>
      <c r="T470" s="52"/>
      <c r="U470" s="52"/>
      <c r="V470" s="52"/>
      <c r="W470" s="52"/>
      <c r="X470" s="52"/>
      <c r="Y470" s="52"/>
      <c r="Z470" s="52"/>
    </row>
    <row r="471">
      <c r="A471" s="52">
        <f>IFERROR(__xludf.DUMMYFUNCTION("""COMPUTED_VALUE"""),2.07160685E8)</f>
        <v>207160685</v>
      </c>
      <c r="B471" s="52" t="str">
        <f>IFERROR(__xludf.DUMMYFUNCTION("""COMPUTED_VALUE"""),"THOMAS TARU")</f>
        <v>THOMAS TARU</v>
      </c>
      <c r="C471" s="52">
        <f>IFERROR(__xludf.DUMMYFUNCTION("""COMPUTED_VALUE"""),49.0)</f>
        <v>49</v>
      </c>
      <c r="D471" s="52" t="str">
        <f>IFERROR(__xludf.DUMMYFUNCTION("""COMPUTED_VALUE"""),"Kristen Khatolik")</f>
        <v>Kristen Khatolik</v>
      </c>
      <c r="E471" s="52" t="str">
        <f>IFERROR(__xludf.DUMMYFUNCTION("""COMPUTED_VALUE"""),"CV. Adil Prima Perkasa")</f>
        <v>CV. Adil Prima Perkasa</v>
      </c>
      <c r="F471" s="52" t="str">
        <f>IFERROR(__xludf.DUMMYFUNCTION("""COMPUTED_VALUE"""),"OPERATOR BULLDOZER")</f>
        <v>OPERATOR BULLDOZER</v>
      </c>
      <c r="G471" s="52" t="str">
        <f>IFERROR(__xludf.DUMMYFUNCTION("""COMPUTED_VALUE"""),"PRODUKSI")</f>
        <v>PRODUKSI</v>
      </c>
      <c r="H471" s="52" t="str">
        <f>IFERROR(__xludf.DUMMYFUNCTION("""COMPUTED_VALUE"""),"[0102130003] PURNAWAN")</f>
        <v>[0102130003] PURNAWAN</v>
      </c>
      <c r="I471" s="55">
        <f>IFERROR(__xludf.DUMMYFUNCTION("""COMPUTED_VALUE"""),28775.0)</f>
        <v>28775</v>
      </c>
      <c r="J471" s="53" t="str">
        <f>IFERROR(__xludf.DUMMYFUNCTION("""COMPUTED_VALUE"""),"[207160685] THOMAS TARU")</f>
        <v>[207160685] THOMAS TARU</v>
      </c>
      <c r="K471" s="52"/>
      <c r="L471" s="52" t="str">
        <f t="shared" si="1"/>
        <v>#VALUE!</v>
      </c>
      <c r="M471" s="52"/>
      <c r="N471" s="52"/>
      <c r="O471" s="52"/>
      <c r="P471" s="52"/>
      <c r="Q471" s="52"/>
      <c r="R471" s="52"/>
      <c r="S471" s="52"/>
      <c r="T471" s="52"/>
      <c r="U471" s="52"/>
      <c r="V471" s="52"/>
      <c r="W471" s="52"/>
      <c r="X471" s="52"/>
      <c r="Y471" s="52"/>
      <c r="Z471" s="52"/>
    </row>
    <row r="472">
      <c r="A472" s="52"/>
      <c r="B472" s="52" t="str">
        <f>IFERROR(__xludf.DUMMYFUNCTION("""COMPUTED_VALUE"""),"Tiara Maharani")</f>
        <v>Tiara Maharani</v>
      </c>
      <c r="C472" s="52">
        <f>IFERROR(__xludf.DUMMYFUNCTION("""COMPUTED_VALUE"""),23.0)</f>
        <v>23</v>
      </c>
      <c r="D472" s="52" t="str">
        <f>IFERROR(__xludf.DUMMYFUNCTION("""COMPUTED_VALUE"""),"Islam")</f>
        <v>Islam</v>
      </c>
      <c r="E472" s="52" t="str">
        <f>IFERROR(__xludf.DUMMYFUNCTION("""COMPUTED_VALUE"""),"CV. SENTOSA ABADI")</f>
        <v>CV. SENTOSA ABADI</v>
      </c>
      <c r="F472" s="52" t="str">
        <f>IFERROR(__xludf.DUMMYFUNCTION("""COMPUTED_VALUE"""),"FALSE")</f>
        <v>FALSE</v>
      </c>
      <c r="G472" s="52" t="str">
        <f>IFERROR(__xludf.DUMMYFUNCTION("""COMPUTED_VALUE"""),"FALSE")</f>
        <v>FALSE</v>
      </c>
      <c r="H472" s="52" t="str">
        <f>IFERROR(__xludf.DUMMYFUNCTION("""COMPUTED_VALUE"""),"FALSE")</f>
        <v>FALSE</v>
      </c>
      <c r="I472" s="52"/>
      <c r="J472" s="53" t="str">
        <f>IFERROR(__xludf.DUMMYFUNCTION("""COMPUTED_VALUE"""),"[] Tiara Maharani")</f>
        <v>[] Tiara Maharani</v>
      </c>
      <c r="K472" s="52"/>
      <c r="L472" s="52" t="str">
        <f t="shared" si="1"/>
        <v>#VALUE!</v>
      </c>
      <c r="M472" s="52"/>
      <c r="N472" s="52"/>
      <c r="O472" s="52"/>
      <c r="P472" s="52"/>
      <c r="Q472" s="52"/>
      <c r="R472" s="52"/>
      <c r="S472" s="52"/>
      <c r="T472" s="52"/>
      <c r="U472" s="52"/>
      <c r="V472" s="52"/>
      <c r="W472" s="52"/>
      <c r="X472" s="52"/>
      <c r="Y472" s="52"/>
      <c r="Z472" s="52"/>
    </row>
    <row r="473">
      <c r="A473" s="52">
        <f>IFERROR(__xludf.DUMMYFUNCTION("""COMPUTED_VALUE"""),2.06221653E8)</f>
        <v>206221653</v>
      </c>
      <c r="B473" s="52" t="str">
        <f>IFERROR(__xludf.DUMMYFUNCTION("""COMPUTED_VALUE"""),"UJANG SETIAWAN")</f>
        <v>UJANG SETIAWAN</v>
      </c>
      <c r="C473" s="52">
        <f>IFERROR(__xludf.DUMMYFUNCTION("""COMPUTED_VALUE"""),41.0)</f>
        <v>41</v>
      </c>
      <c r="D473" s="52" t="str">
        <f>IFERROR(__xludf.DUMMYFUNCTION("""COMPUTED_VALUE"""),"Kristen Protestan")</f>
        <v>Kristen Protestan</v>
      </c>
      <c r="E473" s="52" t="str">
        <f>IFERROR(__xludf.DUMMYFUNCTION("""COMPUTED_VALUE"""),"CV. Adil Prima Perkasa")</f>
        <v>CV. Adil Prima Perkasa</v>
      </c>
      <c r="F473" s="52" t="str">
        <f>IFERROR(__xludf.DUMMYFUNCTION("""COMPUTED_VALUE"""),"DRIVER DT H700ZY")</f>
        <v>DRIVER DT H700ZY</v>
      </c>
      <c r="G473" s="52" t="str">
        <f>IFERROR(__xludf.DUMMYFUNCTION("""COMPUTED_VALUE"""),"KENDARAAN &amp; UNIT SUPPORT")</f>
        <v>KENDARAAN &amp; UNIT SUPPORT</v>
      </c>
      <c r="H473" s="52" t="str">
        <f>IFERROR(__xludf.DUMMYFUNCTION("""COMPUTED_VALUE"""),"[0102150004] NAFTALI RARE'A, ST")</f>
        <v>[0102150004] NAFTALI RARE'A, ST</v>
      </c>
      <c r="I473" s="55">
        <f>IFERROR(__xludf.DUMMYFUNCTION("""COMPUTED_VALUE"""),32288.0)</f>
        <v>32288</v>
      </c>
      <c r="J473" s="53" t="str">
        <f>IFERROR(__xludf.DUMMYFUNCTION("""COMPUTED_VALUE"""),"[206221653] UJANG SETIAWAN")</f>
        <v>[206221653] UJANG SETIAWAN</v>
      </c>
      <c r="K473" s="52"/>
      <c r="L473" s="52" t="str">
        <f t="shared" si="1"/>
        <v>#VALUE!</v>
      </c>
      <c r="M473" s="52"/>
      <c r="N473" s="52"/>
      <c r="O473" s="52"/>
      <c r="P473" s="52"/>
      <c r="Q473" s="52"/>
      <c r="R473" s="52"/>
      <c r="S473" s="52"/>
      <c r="T473" s="52"/>
      <c r="U473" s="52"/>
      <c r="V473" s="52"/>
      <c r="W473" s="52"/>
      <c r="X473" s="52"/>
      <c r="Y473" s="52"/>
      <c r="Z473" s="52"/>
    </row>
    <row r="474">
      <c r="A474" s="52">
        <f>IFERROR(__xludf.DUMMYFUNCTION("""COMPUTED_VALUE"""),1.09211493E8)</f>
        <v>109211493</v>
      </c>
      <c r="B474" s="52" t="str">
        <f>IFERROR(__xludf.DUMMYFUNCTION("""COMPUTED_VALUE"""),"VENDLY TADJAMAWO")</f>
        <v>VENDLY TADJAMAWO</v>
      </c>
      <c r="C474" s="52">
        <f>IFERROR(__xludf.DUMMYFUNCTION("""COMPUTED_VALUE"""),32.0)</f>
        <v>32</v>
      </c>
      <c r="D474" s="52" t="str">
        <f>IFERROR(__xludf.DUMMYFUNCTION("""COMPUTED_VALUE"""),"Kristen Protestan")</f>
        <v>Kristen Protestan</v>
      </c>
      <c r="E474" s="52" t="str">
        <f>IFERROR(__xludf.DUMMYFUNCTION("""COMPUTED_VALUE"""),"CV. SENTOSA ABADI")</f>
        <v>CV. SENTOSA ABADI</v>
      </c>
      <c r="F474" s="52" t="str">
        <f>IFERROR(__xludf.DUMMYFUNCTION("""COMPUTED_VALUE"""),"HELPER TYRE")</f>
        <v>HELPER TYRE</v>
      </c>
      <c r="G474" s="52" t="str">
        <f>IFERROR(__xludf.DUMMYFUNCTION("""COMPUTED_VALUE"""),"WORKSHOP")</f>
        <v>WORKSHOP</v>
      </c>
      <c r="H474" s="52" t="str">
        <f>IFERROR(__xludf.DUMMYFUNCTION("""COMPUTED_VALUE"""),"[0102120144] JUFRY KOMALING")</f>
        <v>[0102120144] JUFRY KOMALING</v>
      </c>
      <c r="I474" s="52"/>
      <c r="J474" s="53" t="str">
        <f>IFERROR(__xludf.DUMMYFUNCTION("""COMPUTED_VALUE"""),"[109211493] VENDLY TADJAMAWO")</f>
        <v>[109211493] VENDLY TADJAMAWO</v>
      </c>
      <c r="K474" s="52"/>
      <c r="L474" s="52" t="str">
        <f t="shared" si="1"/>
        <v>#VALUE!</v>
      </c>
      <c r="M474" s="52"/>
      <c r="N474" s="52"/>
      <c r="O474" s="52"/>
      <c r="P474" s="52"/>
      <c r="Q474" s="52"/>
      <c r="R474" s="52"/>
      <c r="S474" s="52"/>
      <c r="T474" s="52"/>
      <c r="U474" s="52"/>
      <c r="V474" s="52"/>
      <c r="W474" s="52"/>
      <c r="X474" s="52"/>
      <c r="Y474" s="52"/>
      <c r="Z474" s="52"/>
    </row>
    <row r="475">
      <c r="A475" s="52">
        <f>IFERROR(__xludf.DUMMYFUNCTION("""COMPUTED_VALUE"""),1.06160285E8)</f>
        <v>106160285</v>
      </c>
      <c r="B475" s="52" t="str">
        <f>IFERROR(__xludf.DUMMYFUNCTION("""COMPUTED_VALUE"""),"VIKTOR RARE`A")</f>
        <v>VIKTOR RARE`A</v>
      </c>
      <c r="C475" s="52">
        <f>IFERROR(__xludf.DUMMYFUNCTION("""COMPUTED_VALUE"""),28.0)</f>
        <v>28</v>
      </c>
      <c r="D475" s="52" t="str">
        <f>IFERROR(__xludf.DUMMYFUNCTION("""COMPUTED_VALUE"""),"Kristen Protestan")</f>
        <v>Kristen Protestan</v>
      </c>
      <c r="E475" s="52" t="str">
        <f>IFERROR(__xludf.DUMMYFUNCTION("""COMPUTED_VALUE"""),"CV. SENTOSA ABADI")</f>
        <v>CV. SENTOSA ABADI</v>
      </c>
      <c r="F475" s="52" t="str">
        <f>IFERROR(__xludf.DUMMYFUNCTION("""COMPUTED_VALUE"""),"FOREMAN PRODUKSI")</f>
        <v>FOREMAN PRODUKSI</v>
      </c>
      <c r="G475" s="52" t="str">
        <f>IFERROR(__xludf.DUMMYFUNCTION("""COMPUTED_VALUE"""),"PRODUKSI")</f>
        <v>PRODUKSI</v>
      </c>
      <c r="H475" s="52" t="str">
        <f>IFERROR(__xludf.DUMMYFUNCTION("""COMPUTED_VALUE"""),"FALSE")</f>
        <v>FALSE</v>
      </c>
      <c r="I475" s="52"/>
      <c r="J475" s="53" t="str">
        <f>IFERROR(__xludf.DUMMYFUNCTION("""COMPUTED_VALUE"""),"[106160285] VIKTOR RARE`A")</f>
        <v>[106160285] VIKTOR RARE`A</v>
      </c>
      <c r="K475" s="52"/>
      <c r="L475" s="52" t="str">
        <f t="shared" si="1"/>
        <v>#VALUE!</v>
      </c>
      <c r="M475" s="52"/>
      <c r="N475" s="52"/>
      <c r="O475" s="52"/>
      <c r="P475" s="52"/>
      <c r="Q475" s="52"/>
      <c r="R475" s="52"/>
      <c r="S475" s="52"/>
      <c r="T475" s="52"/>
      <c r="U475" s="52"/>
      <c r="V475" s="52"/>
      <c r="W475" s="52"/>
      <c r="X475" s="52"/>
      <c r="Y475" s="52"/>
      <c r="Z475" s="52"/>
    </row>
    <row r="476">
      <c r="A476" s="52"/>
      <c r="B476" s="52" t="str">
        <f>IFERROR(__xludf.DUMMYFUNCTION("""COMPUTED_VALUE"""),"WAHYU")</f>
        <v>WAHYU</v>
      </c>
      <c r="C476" s="52">
        <f>IFERROR(__xludf.DUMMYFUNCTION("""COMPUTED_VALUE"""),0.0)</f>
        <v>0</v>
      </c>
      <c r="D476" s="52"/>
      <c r="E476" s="52" t="str">
        <f>IFERROR(__xludf.DUMMYFUNCTION("""COMPUTED_VALUE"""),"CV. Adil Prima Perkasa")</f>
        <v>CV. Adil Prima Perkasa</v>
      </c>
      <c r="F476" s="52" t="str">
        <f>IFERROR(__xludf.DUMMYFUNCTION("""COMPUTED_VALUE"""),"FALSE")</f>
        <v>FALSE</v>
      </c>
      <c r="G476" s="52" t="str">
        <f>IFERROR(__xludf.DUMMYFUNCTION("""COMPUTED_VALUE"""),"FALSE")</f>
        <v>FALSE</v>
      </c>
      <c r="H476" s="52" t="str">
        <f>IFERROR(__xludf.DUMMYFUNCTION("""COMPUTED_VALUE"""),"FALSE")</f>
        <v>FALSE</v>
      </c>
      <c r="I476" s="52"/>
      <c r="J476" s="53" t="str">
        <f>IFERROR(__xludf.DUMMYFUNCTION("""COMPUTED_VALUE"""),"[] WAHYU")</f>
        <v>[] WAHYU</v>
      </c>
      <c r="K476" s="52"/>
      <c r="L476" s="52" t="str">
        <f t="shared" si="1"/>
        <v>#VALUE!</v>
      </c>
      <c r="M476" s="52"/>
      <c r="N476" s="52"/>
      <c r="O476" s="52"/>
      <c r="P476" s="52"/>
      <c r="Q476" s="52"/>
      <c r="R476" s="52"/>
      <c r="S476" s="52"/>
      <c r="T476" s="52"/>
      <c r="U476" s="52"/>
      <c r="V476" s="52"/>
      <c r="W476" s="52"/>
      <c r="X476" s="52"/>
      <c r="Y476" s="52"/>
      <c r="Z476" s="52"/>
    </row>
    <row r="477">
      <c r="A477" s="52">
        <f>IFERROR(__xludf.DUMMYFUNCTION("""COMPUTED_VALUE"""),1.11231858E8)</f>
        <v>111231858</v>
      </c>
      <c r="B477" s="52" t="str">
        <f>IFERROR(__xludf.DUMMYFUNCTION("""COMPUTED_VALUE"""),"WAHYU HADI PURNOMO")</f>
        <v>WAHYU HADI PURNOMO</v>
      </c>
      <c r="C477" s="52">
        <f>IFERROR(__xludf.DUMMYFUNCTION("""COMPUTED_VALUE"""),0.0)</f>
        <v>0</v>
      </c>
      <c r="D477" s="52"/>
      <c r="E477" s="52" t="str">
        <f>IFERROR(__xludf.DUMMYFUNCTION("""COMPUTED_VALUE"""),"CV. SENTOSA ABADI")</f>
        <v>CV. SENTOSA ABADI</v>
      </c>
      <c r="F477" s="52" t="str">
        <f>IFERROR(__xludf.DUMMYFUNCTION("""COMPUTED_VALUE"""),"CREW SURVEY")</f>
        <v>CREW SURVEY</v>
      </c>
      <c r="G477" s="52" t="str">
        <f>IFERROR(__xludf.DUMMYFUNCTION("""COMPUTED_VALUE"""),"MPE")</f>
        <v>MPE</v>
      </c>
      <c r="H477" s="52" t="str">
        <f>IFERROR(__xludf.DUMMYFUNCTION("""COMPUTED_VALUE"""),"[0102150007] EKY SIDIK PRATAMA, ST")</f>
        <v>[0102150007] EKY SIDIK PRATAMA, ST</v>
      </c>
      <c r="I477" s="52"/>
      <c r="J477" s="53" t="str">
        <f>IFERROR(__xludf.DUMMYFUNCTION("""COMPUTED_VALUE"""),"[111231858] WAHYU HADI PURNOMO")</f>
        <v>[111231858] WAHYU HADI PURNOMO</v>
      </c>
      <c r="K477" s="52"/>
      <c r="L477" s="52" t="str">
        <f t="shared" si="1"/>
        <v>#VALUE!</v>
      </c>
      <c r="M477" s="52"/>
      <c r="N477" s="52"/>
      <c r="O477" s="52"/>
      <c r="P477" s="52"/>
      <c r="Q477" s="52"/>
      <c r="R477" s="52"/>
      <c r="S477" s="52"/>
      <c r="T477" s="52"/>
      <c r="U477" s="52"/>
      <c r="V477" s="52"/>
      <c r="W477" s="52"/>
      <c r="X477" s="52"/>
      <c r="Y477" s="52"/>
      <c r="Z477" s="52"/>
    </row>
    <row r="478">
      <c r="A478" s="52">
        <f>IFERROR(__xludf.DUMMYFUNCTION("""COMPUTED_VALUE"""),2.11180649E8)</f>
        <v>211180649</v>
      </c>
      <c r="B478" s="52" t="str">
        <f>IFERROR(__xludf.DUMMYFUNCTION("""COMPUTED_VALUE"""),"WAWAN IBRAHIM")</f>
        <v>WAWAN IBRAHIM</v>
      </c>
      <c r="C478" s="52">
        <f>IFERROR(__xludf.DUMMYFUNCTION("""COMPUTED_VALUE"""),30.0)</f>
        <v>30</v>
      </c>
      <c r="D478" s="52" t="str">
        <f>IFERROR(__xludf.DUMMYFUNCTION("""COMPUTED_VALUE"""),"Islam")</f>
        <v>Islam</v>
      </c>
      <c r="E478" s="52" t="str">
        <f>IFERROR(__xludf.DUMMYFUNCTION("""COMPUTED_VALUE"""),"CV. Adil Prima Perkasa")</f>
        <v>CV. Adil Prima Perkasa</v>
      </c>
      <c r="F478" s="52" t="str">
        <f>IFERROR(__xludf.DUMMYFUNCTION("""COMPUTED_VALUE"""),"ADMIN GRADE CONTROL")</f>
        <v>ADMIN GRADE CONTROL</v>
      </c>
      <c r="G478" s="52" t="str">
        <f>IFERROR(__xludf.DUMMYFUNCTION("""COMPUTED_VALUE"""),"GRADE CONTROL")</f>
        <v>GRADE CONTROL</v>
      </c>
      <c r="H478" s="52" t="str">
        <f>IFERROR(__xludf.DUMMYFUNCTION("""COMPUTED_VALUE"""),"[0107201164] A.CHRISTI ARI WIBOWO")</f>
        <v>[0107201164] A.CHRISTI ARI WIBOWO</v>
      </c>
      <c r="I478" s="52"/>
      <c r="J478" s="53" t="str">
        <f>IFERROR(__xludf.DUMMYFUNCTION("""COMPUTED_VALUE"""),"[211180649] WAWAN IBRAHIM")</f>
        <v>[211180649] WAWAN IBRAHIM</v>
      </c>
      <c r="K478" s="52"/>
      <c r="L478" s="52" t="str">
        <f t="shared" si="1"/>
        <v>#VALUE!</v>
      </c>
      <c r="M478" s="52"/>
      <c r="N478" s="52"/>
      <c r="O478" s="52"/>
      <c r="P478" s="52"/>
      <c r="Q478" s="52"/>
      <c r="R478" s="52"/>
      <c r="S478" s="52"/>
      <c r="T478" s="52"/>
      <c r="U478" s="52"/>
      <c r="V478" s="52"/>
      <c r="W478" s="52"/>
      <c r="X478" s="52"/>
      <c r="Y478" s="52"/>
      <c r="Z478" s="52"/>
    </row>
    <row r="479">
      <c r="A479" s="52">
        <f>IFERROR(__xludf.DUMMYFUNCTION("""COMPUTED_VALUE"""),2.09231833E8)</f>
        <v>209231833</v>
      </c>
      <c r="B479" s="52" t="str">
        <f>IFERROR(__xludf.DUMMYFUNCTION("""COMPUTED_VALUE"""),"WELYANTO POHU")</f>
        <v>WELYANTO POHU</v>
      </c>
      <c r="C479" s="52">
        <f>IFERROR(__xludf.DUMMYFUNCTION("""COMPUTED_VALUE"""),0.0)</f>
        <v>0</v>
      </c>
      <c r="D479" s="52" t="str">
        <f>IFERROR(__xludf.DUMMYFUNCTION("""COMPUTED_VALUE"""),"Kristen Protestan")</f>
        <v>Kristen Protestan</v>
      </c>
      <c r="E479" s="52" t="str">
        <f>IFERROR(__xludf.DUMMYFUNCTION("""COMPUTED_VALUE"""),"CV. Adil Prima Perkasa")</f>
        <v>CV. Adil Prima Perkasa</v>
      </c>
      <c r="F479" s="52" t="str">
        <f>IFERROR(__xludf.DUMMYFUNCTION("""COMPUTED_VALUE"""),"DRIVER LV")</f>
        <v>DRIVER LV</v>
      </c>
      <c r="G479" s="52" t="str">
        <f>IFERROR(__xludf.DUMMYFUNCTION("""COMPUTED_VALUE"""),"KENDARAAN &amp; UNIT SUPPORT")</f>
        <v>KENDARAAN &amp; UNIT SUPPORT</v>
      </c>
      <c r="H479" s="52" t="str">
        <f>IFERROR(__xludf.DUMMYFUNCTION("""COMPUTED_VALUE"""),"[0102150004] NAFTALI RARE'A, ST")</f>
        <v>[0102150004] NAFTALI RARE'A, ST</v>
      </c>
      <c r="I479" s="55">
        <f>IFERROR(__xludf.DUMMYFUNCTION("""COMPUTED_VALUE"""),30929.0)</f>
        <v>30929</v>
      </c>
      <c r="J479" s="53" t="str">
        <f>IFERROR(__xludf.DUMMYFUNCTION("""COMPUTED_VALUE"""),"[209231833] WELYANTO POHU")</f>
        <v>[209231833] WELYANTO POHU</v>
      </c>
      <c r="K479" s="52"/>
      <c r="L479" s="52" t="str">
        <f t="shared" si="1"/>
        <v>#VALUE!</v>
      </c>
      <c r="M479" s="52"/>
      <c r="N479" s="52"/>
      <c r="O479" s="52"/>
      <c r="P479" s="52"/>
      <c r="Q479" s="52"/>
      <c r="R479" s="52"/>
      <c r="S479" s="52"/>
      <c r="T479" s="52"/>
      <c r="U479" s="52"/>
      <c r="V479" s="52"/>
      <c r="W479" s="52"/>
      <c r="X479" s="52"/>
      <c r="Y479" s="52"/>
      <c r="Z479" s="52"/>
    </row>
    <row r="480">
      <c r="A480" s="52">
        <f>IFERROR(__xludf.DUMMYFUNCTION("""COMPUTED_VALUE"""),2.04190812E8)</f>
        <v>204190812</v>
      </c>
      <c r="B480" s="52" t="str">
        <f>IFERROR(__xludf.DUMMYFUNCTION("""COMPUTED_VALUE"""),"WENI PASAMBAKA")</f>
        <v>WENI PASAMBAKA</v>
      </c>
      <c r="C480" s="52">
        <f>IFERROR(__xludf.DUMMYFUNCTION("""COMPUTED_VALUE"""),55.0)</f>
        <v>55</v>
      </c>
      <c r="D480" s="52" t="str">
        <f>IFERROR(__xludf.DUMMYFUNCTION("""COMPUTED_VALUE"""),"Kristen Protestan")</f>
        <v>Kristen Protestan</v>
      </c>
      <c r="E480" s="52" t="str">
        <f>IFERROR(__xludf.DUMMYFUNCTION("""COMPUTED_VALUE"""),"CV. Adil Prima Perkasa")</f>
        <v>CV. Adil Prima Perkasa</v>
      </c>
      <c r="F480" s="52" t="str">
        <f>IFERROR(__xludf.DUMMYFUNCTION("""COMPUTED_VALUE"""),"DRIVER DT H700ZY")</f>
        <v>DRIVER DT H700ZY</v>
      </c>
      <c r="G480" s="52" t="str">
        <f>IFERROR(__xludf.DUMMYFUNCTION("""COMPUTED_VALUE"""),"KENDARAAN &amp; UNIT SUPPORT")</f>
        <v>KENDARAAN &amp; UNIT SUPPORT</v>
      </c>
      <c r="H480" s="52" t="str">
        <f>IFERROR(__xludf.DUMMYFUNCTION("""COMPUTED_VALUE"""),"[0102150004] NAFTALI RARE'A, ST")</f>
        <v>[0102150004] NAFTALI RARE'A, ST</v>
      </c>
      <c r="I480" s="55">
        <f>IFERROR(__xludf.DUMMYFUNCTION("""COMPUTED_VALUE"""),25127.0)</f>
        <v>25127</v>
      </c>
      <c r="J480" s="53" t="str">
        <f>IFERROR(__xludf.DUMMYFUNCTION("""COMPUTED_VALUE"""),"[204190812] WENI PASAMBAKA")</f>
        <v>[204190812] WENI PASAMBAKA</v>
      </c>
      <c r="K480" s="52"/>
      <c r="L480" s="52" t="str">
        <f t="shared" si="1"/>
        <v>#VALUE!</v>
      </c>
      <c r="M480" s="52"/>
      <c r="N480" s="52"/>
      <c r="O480" s="52"/>
      <c r="P480" s="52"/>
      <c r="Q480" s="52"/>
      <c r="R480" s="52"/>
      <c r="S480" s="52"/>
      <c r="T480" s="52"/>
      <c r="U480" s="52"/>
      <c r="V480" s="52"/>
      <c r="W480" s="52"/>
      <c r="X480" s="52"/>
      <c r="Y480" s="52"/>
      <c r="Z480" s="52"/>
    </row>
    <row r="481">
      <c r="A481" s="52">
        <f>IFERROR(__xludf.DUMMYFUNCTION("""COMPUTED_VALUE"""),2.10191092E8)</f>
        <v>210191092</v>
      </c>
      <c r="B481" s="52" t="str">
        <f>IFERROR(__xludf.DUMMYFUNCTION("""COMPUTED_VALUE"""),"WILHELMUS WAWO")</f>
        <v>WILHELMUS WAWO</v>
      </c>
      <c r="C481" s="52">
        <f>IFERROR(__xludf.DUMMYFUNCTION("""COMPUTED_VALUE"""),26.0)</f>
        <v>26</v>
      </c>
      <c r="D481" s="52" t="str">
        <f>IFERROR(__xludf.DUMMYFUNCTION("""COMPUTED_VALUE"""),"Kristen Protestan")</f>
        <v>Kristen Protestan</v>
      </c>
      <c r="E481" s="52" t="str">
        <f>IFERROR(__xludf.DUMMYFUNCTION("""COMPUTED_VALUE"""),"CV. Adil Prima Perkasa")</f>
        <v>CV. Adil Prima Perkasa</v>
      </c>
      <c r="F481" s="52" t="str">
        <f>IFERROR(__xludf.DUMMYFUNCTION("""COMPUTED_VALUE"""),"OPERATOR BULLDOZER")</f>
        <v>OPERATOR BULLDOZER</v>
      </c>
      <c r="G481" s="52" t="str">
        <f>IFERROR(__xludf.DUMMYFUNCTION("""COMPUTED_VALUE"""),"PRODUKSI")</f>
        <v>PRODUKSI</v>
      </c>
      <c r="H481" s="52" t="str">
        <f>IFERROR(__xludf.DUMMYFUNCTION("""COMPUTED_VALUE"""),"[0102130003] PURNAWAN")</f>
        <v>[0102130003] PURNAWAN</v>
      </c>
      <c r="I481" s="52"/>
      <c r="J481" s="53" t="str">
        <f>IFERROR(__xludf.DUMMYFUNCTION("""COMPUTED_VALUE"""),"[210191092] WILHELMUS WAWO")</f>
        <v>[210191092] WILHELMUS WAWO</v>
      </c>
      <c r="K481" s="52"/>
      <c r="L481" s="52" t="str">
        <f t="shared" si="1"/>
        <v>#VALUE!</v>
      </c>
      <c r="M481" s="52"/>
      <c r="N481" s="52"/>
      <c r="O481" s="52"/>
      <c r="P481" s="52"/>
      <c r="Q481" s="52"/>
      <c r="R481" s="52"/>
      <c r="S481" s="52"/>
      <c r="T481" s="52"/>
      <c r="U481" s="52"/>
      <c r="V481" s="52"/>
      <c r="W481" s="52"/>
      <c r="X481" s="52"/>
      <c r="Y481" s="52"/>
      <c r="Z481" s="52"/>
    </row>
    <row r="482">
      <c r="A482" s="52">
        <f>IFERROR(__xludf.DUMMYFUNCTION("""COMPUTED_VALUE"""),2.02221593E8)</f>
        <v>202221593</v>
      </c>
      <c r="B482" s="52" t="str">
        <f>IFERROR(__xludf.DUMMYFUNCTION("""COMPUTED_VALUE"""),"WILLIAM HANDRI O")</f>
        <v>WILLIAM HANDRI O</v>
      </c>
      <c r="C482" s="52">
        <f>IFERROR(__xludf.DUMMYFUNCTION("""COMPUTED_VALUE"""),25.0)</f>
        <v>25</v>
      </c>
      <c r="D482" s="52" t="str">
        <f>IFERROR(__xludf.DUMMYFUNCTION("""COMPUTED_VALUE"""),"Kristen Protestan")</f>
        <v>Kristen Protestan</v>
      </c>
      <c r="E482" s="52" t="str">
        <f>IFERROR(__xludf.DUMMYFUNCTION("""COMPUTED_VALUE"""),"CV. Adil Prima Perkasa")</f>
        <v>CV. Adil Prima Perkasa</v>
      </c>
      <c r="F482" s="52" t="str">
        <f>IFERROR(__xludf.DUMMYFUNCTION("""COMPUTED_VALUE"""),"DRIVER LV")</f>
        <v>DRIVER LV</v>
      </c>
      <c r="G482" s="52" t="str">
        <f>IFERROR(__xludf.DUMMYFUNCTION("""COMPUTED_VALUE"""),"KENDARAAN &amp; UNIT SUPPORT")</f>
        <v>KENDARAAN &amp; UNIT SUPPORT</v>
      </c>
      <c r="H482" s="52" t="str">
        <f>IFERROR(__xludf.DUMMYFUNCTION("""COMPUTED_VALUE"""),"[0102150004] NAFTALI RARE'A, ST")</f>
        <v>[0102150004] NAFTALI RARE'A, ST</v>
      </c>
      <c r="I482" s="52"/>
      <c r="J482" s="53" t="str">
        <f>IFERROR(__xludf.DUMMYFUNCTION("""COMPUTED_VALUE"""),"[202221593] WILLIAM HANDRI O")</f>
        <v>[202221593] WILLIAM HANDRI O</v>
      </c>
      <c r="K482" s="52"/>
      <c r="L482" s="52" t="str">
        <f t="shared" si="1"/>
        <v>#VALUE!</v>
      </c>
      <c r="M482" s="52"/>
      <c r="N482" s="52"/>
      <c r="O482" s="52"/>
      <c r="P482" s="52"/>
      <c r="Q482" s="52"/>
      <c r="R482" s="52"/>
      <c r="S482" s="52"/>
      <c r="T482" s="52"/>
      <c r="U482" s="52"/>
      <c r="V482" s="52"/>
      <c r="W482" s="52"/>
      <c r="X482" s="52"/>
      <c r="Y482" s="52"/>
      <c r="Z482" s="52"/>
    </row>
    <row r="483">
      <c r="A483" s="52">
        <f>IFERROR(__xludf.DUMMYFUNCTION("""COMPUTED_VALUE"""),2.10180648E8)</f>
        <v>210180648</v>
      </c>
      <c r="B483" s="52" t="str">
        <f>IFERROR(__xludf.DUMMYFUNCTION("""COMPUTED_VALUE"""),"WIWIN")</f>
        <v>WIWIN</v>
      </c>
      <c r="C483" s="52">
        <f>IFERROR(__xludf.DUMMYFUNCTION("""COMPUTED_VALUE"""),23.0)</f>
        <v>23</v>
      </c>
      <c r="D483" s="52" t="str">
        <f>IFERROR(__xludf.DUMMYFUNCTION("""COMPUTED_VALUE"""),"Kristen Protestan")</f>
        <v>Kristen Protestan</v>
      </c>
      <c r="E483" s="52" t="str">
        <f>IFERROR(__xludf.DUMMYFUNCTION("""COMPUTED_VALUE"""),"CV. Adil Prima Perkasa")</f>
        <v>CV. Adil Prima Perkasa</v>
      </c>
      <c r="F483" s="52" t="str">
        <f>IFERROR(__xludf.DUMMYFUNCTION("""COMPUTED_VALUE"""),"ASISTEN SURVEYOR")</f>
        <v>ASISTEN SURVEYOR</v>
      </c>
      <c r="G483" s="52" t="str">
        <f>IFERROR(__xludf.DUMMYFUNCTION("""COMPUTED_VALUE"""),"MPE")</f>
        <v>MPE</v>
      </c>
      <c r="H483" s="52" t="str">
        <f>IFERROR(__xludf.DUMMYFUNCTION("""COMPUTED_VALUE"""),"[0102150008] ERWIN SAPA")</f>
        <v>[0102150008] ERWIN SAPA</v>
      </c>
      <c r="I483" s="52"/>
      <c r="J483" s="53" t="str">
        <f>IFERROR(__xludf.DUMMYFUNCTION("""COMPUTED_VALUE"""),"[210180648] WIWIN")</f>
        <v>[210180648] WIWIN</v>
      </c>
      <c r="K483" s="52"/>
      <c r="L483" s="52" t="str">
        <f t="shared" si="1"/>
        <v>#VALUE!</v>
      </c>
      <c r="M483" s="52"/>
      <c r="N483" s="52"/>
      <c r="O483" s="52"/>
      <c r="P483" s="52"/>
      <c r="Q483" s="52"/>
      <c r="R483" s="52"/>
      <c r="S483" s="52"/>
      <c r="T483" s="52"/>
      <c r="U483" s="52"/>
      <c r="V483" s="52"/>
      <c r="W483" s="52"/>
      <c r="X483" s="52"/>
      <c r="Y483" s="52"/>
      <c r="Z483" s="52"/>
    </row>
    <row r="484">
      <c r="A484" s="52">
        <f>IFERROR(__xludf.DUMMYFUNCTION("""COMPUTED_VALUE"""),1.09191065E8)</f>
        <v>109191065</v>
      </c>
      <c r="B484" s="52" t="str">
        <f>IFERROR(__xludf.DUMMYFUNCTION("""COMPUTED_VALUE"""),"YAFET SUMBOUW")</f>
        <v>YAFET SUMBOUW</v>
      </c>
      <c r="C484" s="52">
        <f>IFERROR(__xludf.DUMMYFUNCTION("""COMPUTED_VALUE"""),35.0)</f>
        <v>35</v>
      </c>
      <c r="D484" s="52" t="str">
        <f>IFERROR(__xludf.DUMMYFUNCTION("""COMPUTED_VALUE"""),"Kristen Protestan")</f>
        <v>Kristen Protestan</v>
      </c>
      <c r="E484" s="52" t="str">
        <f>IFERROR(__xludf.DUMMYFUNCTION("""COMPUTED_VALUE"""),"CV. SENTOSA ABADI")</f>
        <v>CV. SENTOSA ABADI</v>
      </c>
      <c r="F484" s="52" t="str">
        <f>IFERROR(__xludf.DUMMYFUNCTION("""COMPUTED_VALUE"""),"OPERATOR EXCAVATOR")</f>
        <v>OPERATOR EXCAVATOR</v>
      </c>
      <c r="G484" s="52" t="str">
        <f>IFERROR(__xludf.DUMMYFUNCTION("""COMPUTED_VALUE"""),"PRODUKSI")</f>
        <v>PRODUKSI</v>
      </c>
      <c r="H484" s="52" t="str">
        <f>IFERROR(__xludf.DUMMYFUNCTION("""COMPUTED_VALUE"""),"FALSE")</f>
        <v>FALSE</v>
      </c>
      <c r="I484" s="52"/>
      <c r="J484" s="53" t="str">
        <f>IFERROR(__xludf.DUMMYFUNCTION("""COMPUTED_VALUE"""),"[109191065] YAFET SUMBOUW")</f>
        <v>[109191065] YAFET SUMBOUW</v>
      </c>
      <c r="K484" s="52"/>
      <c r="L484" s="52" t="str">
        <f t="shared" si="1"/>
        <v>#VALUE!</v>
      </c>
      <c r="M484" s="52"/>
      <c r="N484" s="52"/>
      <c r="O484" s="52"/>
      <c r="P484" s="52"/>
      <c r="Q484" s="52"/>
      <c r="R484" s="52"/>
      <c r="S484" s="52"/>
      <c r="T484" s="52"/>
      <c r="U484" s="52"/>
      <c r="V484" s="52"/>
      <c r="W484" s="52"/>
      <c r="X484" s="52"/>
      <c r="Y484" s="52"/>
      <c r="Z484" s="52"/>
    </row>
    <row r="485">
      <c r="A485" s="52">
        <f>IFERROR(__xludf.DUMMYFUNCTION("""COMPUTED_VALUE"""),2.12231874E8)</f>
        <v>212231874</v>
      </c>
      <c r="B485" s="52" t="str">
        <f>IFERROR(__xludf.DUMMYFUNCTION("""COMPUTED_VALUE"""),"YAKMAN SUMA")</f>
        <v>YAKMAN SUMA</v>
      </c>
      <c r="C485" s="52">
        <f>IFERROR(__xludf.DUMMYFUNCTION("""COMPUTED_VALUE"""),45.0)</f>
        <v>45</v>
      </c>
      <c r="D485" s="52" t="str">
        <f>IFERROR(__xludf.DUMMYFUNCTION("""COMPUTED_VALUE"""),"Islam")</f>
        <v>Islam</v>
      </c>
      <c r="E485" s="52" t="str">
        <f>IFERROR(__xludf.DUMMYFUNCTION("""COMPUTED_VALUE"""),"CV. Adil Prima Perkasa")</f>
        <v>CV. Adil Prima Perkasa</v>
      </c>
      <c r="F485" s="52" t="str">
        <f>IFERROR(__xludf.DUMMYFUNCTION("""COMPUTED_VALUE"""),"FOREMAN GRADE CONTROL")</f>
        <v>FOREMAN GRADE CONTROL</v>
      </c>
      <c r="G485" s="52" t="str">
        <f>IFERROR(__xludf.DUMMYFUNCTION("""COMPUTED_VALUE"""),"GRADE CONTROL")</f>
        <v>GRADE CONTROL</v>
      </c>
      <c r="H485" s="52" t="str">
        <f>IFERROR(__xludf.DUMMYFUNCTION("""COMPUTED_VALUE"""),"[0107201164] A.CHRISTI ARI WIBOWO")</f>
        <v>[0107201164] A.CHRISTI ARI WIBOWO</v>
      </c>
      <c r="I485" s="55">
        <f>IFERROR(__xludf.DUMMYFUNCTION("""COMPUTED_VALUE"""),32162.0)</f>
        <v>32162</v>
      </c>
      <c r="J485" s="53" t="str">
        <f>IFERROR(__xludf.DUMMYFUNCTION("""COMPUTED_VALUE"""),"[212231874] YAKMAN SUMA")</f>
        <v>[212231874] YAKMAN SUMA</v>
      </c>
      <c r="K485" s="52"/>
      <c r="L485" s="52" t="str">
        <f t="shared" si="1"/>
        <v>#VALUE!</v>
      </c>
      <c r="M485" s="52"/>
      <c r="N485" s="52"/>
      <c r="O485" s="52"/>
      <c r="P485" s="52"/>
      <c r="Q485" s="52"/>
      <c r="R485" s="52"/>
      <c r="S485" s="52"/>
      <c r="T485" s="52"/>
      <c r="U485" s="52"/>
      <c r="V485" s="52"/>
      <c r="W485" s="52"/>
      <c r="X485" s="52"/>
      <c r="Y485" s="52"/>
      <c r="Z485" s="52"/>
    </row>
    <row r="486">
      <c r="A486" s="52">
        <f>IFERROR(__xludf.DUMMYFUNCTION("""COMPUTED_VALUE"""),2.05241931E8)</f>
        <v>205241931</v>
      </c>
      <c r="B486" s="52" t="str">
        <f>IFERROR(__xludf.DUMMYFUNCTION("""COMPUTED_VALUE"""),"YAKUB")</f>
        <v>YAKUB</v>
      </c>
      <c r="C486" s="52">
        <f>IFERROR(__xludf.DUMMYFUNCTION("""COMPUTED_VALUE"""),0.0)</f>
        <v>0</v>
      </c>
      <c r="D486" s="52"/>
      <c r="E486" s="52" t="str">
        <f>IFERROR(__xludf.DUMMYFUNCTION("""COMPUTED_VALUE"""),"CV. Adil Prima Perkasa")</f>
        <v>CV. Adil Prima Perkasa</v>
      </c>
      <c r="F486" s="52" t="str">
        <f>IFERROR(__xludf.DUMMYFUNCTION("""COMPUTED_VALUE"""),"OPERATOR BULLDOZER")</f>
        <v>OPERATOR BULLDOZER</v>
      </c>
      <c r="G486" s="52" t="str">
        <f>IFERROR(__xludf.DUMMYFUNCTION("""COMPUTED_VALUE"""),"PRODUKSI")</f>
        <v>PRODUKSI</v>
      </c>
      <c r="H486" s="52" t="str">
        <f>IFERROR(__xludf.DUMMYFUNCTION("""COMPUTED_VALUE"""),"[0102130003] PURNAWAN")</f>
        <v>[0102130003] PURNAWAN</v>
      </c>
      <c r="I486" s="52"/>
      <c r="J486" s="53" t="str">
        <f>IFERROR(__xludf.DUMMYFUNCTION("""COMPUTED_VALUE"""),"[205241931] YAKUB")</f>
        <v>[205241931] YAKUB</v>
      </c>
      <c r="K486" s="52"/>
      <c r="L486" s="52" t="str">
        <f t="shared" si="1"/>
        <v>#VALUE!</v>
      </c>
      <c r="M486" s="52"/>
      <c r="N486" s="52"/>
      <c r="O486" s="52"/>
      <c r="P486" s="52"/>
      <c r="Q486" s="52"/>
      <c r="R486" s="52"/>
      <c r="S486" s="52"/>
      <c r="T486" s="52"/>
      <c r="U486" s="52"/>
      <c r="V486" s="52"/>
      <c r="W486" s="52"/>
      <c r="X486" s="52"/>
      <c r="Y486" s="52"/>
      <c r="Z486" s="52"/>
    </row>
    <row r="487">
      <c r="A487" s="52">
        <f>IFERROR(__xludf.DUMMYFUNCTION("""COMPUTED_VALUE"""),3.12200034E8)</f>
        <v>312200034</v>
      </c>
      <c r="B487" s="52" t="str">
        <f>IFERROR(__xludf.DUMMYFUNCTION("""COMPUTED_VALUE"""),"YAKUB")</f>
        <v>YAKUB</v>
      </c>
      <c r="C487" s="52">
        <f>IFERROR(__xludf.DUMMYFUNCTION("""COMPUTED_VALUE"""),37.0)</f>
        <v>37</v>
      </c>
      <c r="D487" s="52" t="str">
        <f>IFERROR(__xludf.DUMMYFUNCTION("""COMPUTED_VALUE"""),"Kristen Protestan")</f>
        <v>Kristen Protestan</v>
      </c>
      <c r="E487" s="52" t="str">
        <f>IFERROR(__xludf.DUMMYFUNCTION("""COMPUTED_VALUE"""),"CV. Monalisa")</f>
        <v>CV. Monalisa</v>
      </c>
      <c r="F487" s="52" t="str">
        <f>IFERROR(__xludf.DUMMYFUNCTION("""COMPUTED_VALUE"""),"OPERATOR BULLDOZER")</f>
        <v>OPERATOR BULLDOZER</v>
      </c>
      <c r="G487" s="52" t="str">
        <f>IFERROR(__xludf.DUMMYFUNCTION("""COMPUTED_VALUE"""),"PRODUKSI")</f>
        <v>PRODUKSI</v>
      </c>
      <c r="H487" s="52" t="str">
        <f>IFERROR(__xludf.DUMMYFUNCTION("""COMPUTED_VALUE"""),"FALSE")</f>
        <v>FALSE</v>
      </c>
      <c r="I487" s="52"/>
      <c r="J487" s="53" t="str">
        <f>IFERROR(__xludf.DUMMYFUNCTION("""COMPUTED_VALUE"""),"[312200034] YAKUB")</f>
        <v>[312200034] YAKUB</v>
      </c>
      <c r="K487" s="52"/>
      <c r="L487" s="52" t="str">
        <f t="shared" si="1"/>
        <v>#VALUE!</v>
      </c>
      <c r="M487" s="52"/>
      <c r="N487" s="52"/>
      <c r="O487" s="52"/>
      <c r="P487" s="52"/>
      <c r="Q487" s="52"/>
      <c r="R487" s="52"/>
      <c r="S487" s="52"/>
      <c r="T487" s="52"/>
      <c r="U487" s="52"/>
      <c r="V487" s="52"/>
      <c r="W487" s="52"/>
      <c r="X487" s="52"/>
      <c r="Y487" s="52"/>
      <c r="Z487" s="52"/>
    </row>
    <row r="488">
      <c r="A488" s="52">
        <f>IFERROR(__xludf.DUMMYFUNCTION("""COMPUTED_VALUE"""),2.10221685E8)</f>
        <v>210221685</v>
      </c>
      <c r="B488" s="52" t="str">
        <f>IFERROR(__xludf.DUMMYFUNCTION("""COMPUTED_VALUE"""),"YALDI MAULANA GUMELAR")</f>
        <v>YALDI MAULANA GUMELAR</v>
      </c>
      <c r="C488" s="52">
        <f>IFERROR(__xludf.DUMMYFUNCTION("""COMPUTED_VALUE"""),26.0)</f>
        <v>26</v>
      </c>
      <c r="D488" s="52" t="str">
        <f>IFERROR(__xludf.DUMMYFUNCTION("""COMPUTED_VALUE"""),"Islam")</f>
        <v>Islam</v>
      </c>
      <c r="E488" s="52" t="str">
        <f>IFERROR(__xludf.DUMMYFUNCTION("""COMPUTED_VALUE"""),"CV. Adil Prima Perkasa")</f>
        <v>CV. Adil Prima Perkasa</v>
      </c>
      <c r="F488" s="52" t="str">
        <f>IFERROR(__xludf.DUMMYFUNCTION("""COMPUTED_VALUE"""),"ASISTEN SURVEYOR")</f>
        <v>ASISTEN SURVEYOR</v>
      </c>
      <c r="G488" s="52" t="str">
        <f>IFERROR(__xludf.DUMMYFUNCTION("""COMPUTED_VALUE"""),"MPE")</f>
        <v>MPE</v>
      </c>
      <c r="H488" s="52" t="str">
        <f>IFERROR(__xludf.DUMMYFUNCTION("""COMPUTED_VALUE"""),"[0102150007] EKY SIDIK PRATAMA, ST")</f>
        <v>[0102150007] EKY SIDIK PRATAMA, ST</v>
      </c>
      <c r="I488" s="52"/>
      <c r="J488" s="53" t="str">
        <f>IFERROR(__xludf.DUMMYFUNCTION("""COMPUTED_VALUE"""),"[210221685] YALDI MAULANA GUMELAR")</f>
        <v>[210221685] YALDI MAULANA GUMELAR</v>
      </c>
      <c r="K488" s="52"/>
      <c r="L488" s="52" t="str">
        <f t="shared" si="1"/>
        <v>#VALUE!</v>
      </c>
      <c r="M488" s="52"/>
      <c r="N488" s="52"/>
      <c r="O488" s="52"/>
      <c r="P488" s="52"/>
      <c r="Q488" s="52"/>
      <c r="R488" s="52"/>
      <c r="S488" s="52"/>
      <c r="T488" s="52"/>
      <c r="U488" s="52"/>
      <c r="V488" s="52"/>
      <c r="W488" s="52"/>
      <c r="X488" s="52"/>
      <c r="Y488" s="52"/>
      <c r="Z488" s="52"/>
    </row>
    <row r="489">
      <c r="A489" s="52">
        <f>IFERROR(__xludf.DUMMYFUNCTION("""COMPUTED_VALUE"""),1.0619092E8)</f>
        <v>106190920</v>
      </c>
      <c r="B489" s="52" t="str">
        <f>IFERROR(__xludf.DUMMYFUNCTION("""COMPUTED_VALUE"""),"YAMIN")</f>
        <v>YAMIN</v>
      </c>
      <c r="C489" s="52">
        <f>IFERROR(__xludf.DUMMYFUNCTION("""COMPUTED_VALUE"""),29.0)</f>
        <v>29</v>
      </c>
      <c r="D489" s="52" t="str">
        <f>IFERROR(__xludf.DUMMYFUNCTION("""COMPUTED_VALUE"""),"Islam")</f>
        <v>Islam</v>
      </c>
      <c r="E489" s="52" t="str">
        <f>IFERROR(__xludf.DUMMYFUNCTION("""COMPUTED_VALUE"""),"CV. SENTOSA ABADI")</f>
        <v>CV. SENTOSA ABADI</v>
      </c>
      <c r="F489" s="52" t="str">
        <f>IFERROR(__xludf.DUMMYFUNCTION("""COMPUTED_VALUE"""),"OPERATOR EXCAVATOR")</f>
        <v>OPERATOR EXCAVATOR</v>
      </c>
      <c r="G489" s="52" t="str">
        <f>IFERROR(__xludf.DUMMYFUNCTION("""COMPUTED_VALUE"""),"PRODUKSI")</f>
        <v>PRODUKSI</v>
      </c>
      <c r="H489" s="52" t="str">
        <f>IFERROR(__xludf.DUMMYFUNCTION("""COMPUTED_VALUE"""),"FALSE")</f>
        <v>FALSE</v>
      </c>
      <c r="I489" s="55">
        <f>IFERROR(__xludf.DUMMYFUNCTION("""COMPUTED_VALUE"""),35554.0)</f>
        <v>35554</v>
      </c>
      <c r="J489" s="53" t="str">
        <f>IFERROR(__xludf.DUMMYFUNCTION("""COMPUTED_VALUE"""),"[106190920] YAMIN")</f>
        <v>[106190920] YAMIN</v>
      </c>
      <c r="K489" s="52"/>
      <c r="L489" s="52" t="str">
        <f t="shared" si="1"/>
        <v>#VALUE!</v>
      </c>
      <c r="M489" s="52"/>
      <c r="N489" s="52"/>
      <c r="O489" s="52"/>
      <c r="P489" s="52"/>
      <c r="Q489" s="52"/>
      <c r="R489" s="52"/>
      <c r="S489" s="52"/>
      <c r="T489" s="52"/>
      <c r="U489" s="52"/>
      <c r="V489" s="52"/>
      <c r="W489" s="52"/>
      <c r="X489" s="52"/>
      <c r="Y489" s="52"/>
      <c r="Z489" s="52"/>
    </row>
    <row r="490">
      <c r="A490" s="52">
        <f>IFERROR(__xludf.DUMMYFUNCTION("""COMPUTED_VALUE"""),2.0321135E8)</f>
        <v>203211350</v>
      </c>
      <c r="B490" s="52" t="str">
        <f>IFERROR(__xludf.DUMMYFUNCTION("""COMPUTED_VALUE"""),"YAMTAR R")</f>
        <v>YAMTAR R</v>
      </c>
      <c r="C490" s="52">
        <f>IFERROR(__xludf.DUMMYFUNCTION("""COMPUTED_VALUE"""),43.0)</f>
        <v>43</v>
      </c>
      <c r="D490" s="52" t="str">
        <f>IFERROR(__xludf.DUMMYFUNCTION("""COMPUTED_VALUE"""),"Islam")</f>
        <v>Islam</v>
      </c>
      <c r="E490" s="52" t="str">
        <f>IFERROR(__xludf.DUMMYFUNCTION("""COMPUTED_VALUE"""),"CV. Adil Prima Perkasa")</f>
        <v>CV. Adil Prima Perkasa</v>
      </c>
      <c r="F490" s="52" t="str">
        <f>IFERROR(__xludf.DUMMYFUNCTION("""COMPUTED_VALUE"""),"OPERATOR EXCAVATOR")</f>
        <v>OPERATOR EXCAVATOR</v>
      </c>
      <c r="G490" s="52" t="str">
        <f>IFERROR(__xludf.DUMMYFUNCTION("""COMPUTED_VALUE"""),"PRODUKSI")</f>
        <v>PRODUKSI</v>
      </c>
      <c r="H490" s="52" t="str">
        <f>IFERROR(__xludf.DUMMYFUNCTION("""COMPUTED_VALUE"""),"FALSE")</f>
        <v>FALSE</v>
      </c>
      <c r="I490" s="52"/>
      <c r="J490" s="53" t="str">
        <f>IFERROR(__xludf.DUMMYFUNCTION("""COMPUTED_VALUE"""),"[203211350] YAMTAR R")</f>
        <v>[203211350] YAMTAR R</v>
      </c>
      <c r="K490" s="52"/>
      <c r="L490" s="52" t="str">
        <f t="shared" si="1"/>
        <v>#VALUE!</v>
      </c>
      <c r="M490" s="52"/>
      <c r="N490" s="52"/>
      <c r="O490" s="52"/>
      <c r="P490" s="52"/>
      <c r="Q490" s="52"/>
      <c r="R490" s="52"/>
      <c r="S490" s="52"/>
      <c r="T490" s="52"/>
      <c r="U490" s="52"/>
      <c r="V490" s="52"/>
      <c r="W490" s="52"/>
      <c r="X490" s="52"/>
      <c r="Y490" s="52"/>
      <c r="Z490" s="52"/>
    </row>
    <row r="491">
      <c r="A491" s="52">
        <f>IFERROR(__xludf.DUMMYFUNCTION("""COMPUTED_VALUE"""),2.06231789E8)</f>
        <v>206231789</v>
      </c>
      <c r="B491" s="52" t="str">
        <f>IFERROR(__xludf.DUMMYFUNCTION("""COMPUTED_VALUE"""),"YANCE EFENDI SOLEMAN NUSA")</f>
        <v>YANCE EFENDI SOLEMAN NUSA</v>
      </c>
      <c r="C491" s="52">
        <f>IFERROR(__xludf.DUMMYFUNCTION("""COMPUTED_VALUE"""),40.0)</f>
        <v>40</v>
      </c>
      <c r="D491" s="52" t="str">
        <f>IFERROR(__xludf.DUMMYFUNCTION("""COMPUTED_VALUE"""),"Kristen Protestan")</f>
        <v>Kristen Protestan</v>
      </c>
      <c r="E491" s="52" t="str">
        <f>IFERROR(__xludf.DUMMYFUNCTION("""COMPUTED_VALUE"""),"CV. Adil Prima Perkasa")</f>
        <v>CV. Adil Prima Perkasa</v>
      </c>
      <c r="F491" s="52" t="str">
        <f>IFERROR(__xludf.DUMMYFUNCTION("""COMPUTED_VALUE"""),"OPERATOR EXCAVATOR")</f>
        <v>OPERATOR EXCAVATOR</v>
      </c>
      <c r="G491" s="52" t="str">
        <f>IFERROR(__xludf.DUMMYFUNCTION("""COMPUTED_VALUE"""),"PRODUKSI")</f>
        <v>PRODUKSI</v>
      </c>
      <c r="H491" s="52" t="str">
        <f>IFERROR(__xludf.DUMMYFUNCTION("""COMPUTED_VALUE"""),"[0102130003] PURNAWAN")</f>
        <v>[0102130003] PURNAWAN</v>
      </c>
      <c r="I491" s="55">
        <f>IFERROR(__xludf.DUMMYFUNCTION("""COMPUTED_VALUE"""),31397.0)</f>
        <v>31397</v>
      </c>
      <c r="J491" s="53" t="str">
        <f>IFERROR(__xludf.DUMMYFUNCTION("""COMPUTED_VALUE"""),"[206231789] YANCE EFENDI SOLEMAN NUSA")</f>
        <v>[206231789] YANCE EFENDI SOLEMAN NUSA</v>
      </c>
      <c r="K491" s="52"/>
      <c r="L491" s="52" t="str">
        <f t="shared" si="1"/>
        <v>#VALUE!</v>
      </c>
      <c r="M491" s="52"/>
      <c r="N491" s="52"/>
      <c r="O491" s="52"/>
      <c r="P491" s="52"/>
      <c r="Q491" s="52"/>
      <c r="R491" s="52"/>
      <c r="S491" s="52"/>
      <c r="T491" s="52"/>
      <c r="U491" s="52"/>
      <c r="V491" s="52"/>
      <c r="W491" s="52"/>
      <c r="X491" s="52"/>
      <c r="Y491" s="52"/>
      <c r="Z491" s="52"/>
    </row>
    <row r="492">
      <c r="A492" s="52">
        <f>IFERROR(__xludf.DUMMYFUNCTION("""COMPUTED_VALUE"""),1.11211529E8)</f>
        <v>111211529</v>
      </c>
      <c r="B492" s="52" t="str">
        <f>IFERROR(__xludf.DUMMYFUNCTION("""COMPUTED_VALUE"""),"YANIS OTOLUWA")</f>
        <v>YANIS OTOLUWA</v>
      </c>
      <c r="C492" s="52">
        <f>IFERROR(__xludf.DUMMYFUNCTION("""COMPUTED_VALUE"""),38.0)</f>
        <v>38</v>
      </c>
      <c r="D492" s="52" t="str">
        <f>IFERROR(__xludf.DUMMYFUNCTION("""COMPUTED_VALUE"""),"Islam")</f>
        <v>Islam</v>
      </c>
      <c r="E492" s="52" t="str">
        <f>IFERROR(__xludf.DUMMYFUNCTION("""COMPUTED_VALUE"""),"CV. SENTOSA ABADI")</f>
        <v>CV. SENTOSA ABADI</v>
      </c>
      <c r="F492" s="52" t="str">
        <f>IFERROR(__xludf.DUMMYFUNCTION("""COMPUTED_VALUE"""),"DRIVER DT H700ZS")</f>
        <v>DRIVER DT H700ZS</v>
      </c>
      <c r="G492" s="52" t="str">
        <f>IFERROR(__xludf.DUMMYFUNCTION("""COMPUTED_VALUE"""),"KENDARAAN &amp; UNIT SUPPORT")</f>
        <v>KENDARAAN &amp; UNIT SUPPORT</v>
      </c>
      <c r="H492" s="52" t="str">
        <f>IFERROR(__xludf.DUMMYFUNCTION("""COMPUTED_VALUE"""),"[0102150004] NAFTALI RARE'A, ST")</f>
        <v>[0102150004] NAFTALI RARE'A, ST</v>
      </c>
      <c r="I492" s="55">
        <f>IFERROR(__xludf.DUMMYFUNCTION("""COMPUTED_VALUE"""),31466.0)</f>
        <v>31466</v>
      </c>
      <c r="J492" s="53" t="str">
        <f>IFERROR(__xludf.DUMMYFUNCTION("""COMPUTED_VALUE"""),"[111211529] YANIS OTOLUWA")</f>
        <v>[111211529] YANIS OTOLUWA</v>
      </c>
      <c r="K492" s="52"/>
      <c r="L492" s="52" t="str">
        <f t="shared" si="1"/>
        <v>#VALUE!</v>
      </c>
      <c r="M492" s="52"/>
      <c r="N492" s="52"/>
      <c r="O492" s="52"/>
      <c r="P492" s="52"/>
      <c r="Q492" s="52"/>
      <c r="R492" s="52"/>
      <c r="S492" s="52"/>
      <c r="T492" s="52"/>
      <c r="U492" s="52"/>
      <c r="V492" s="52"/>
      <c r="W492" s="52"/>
      <c r="X492" s="52"/>
      <c r="Y492" s="52"/>
      <c r="Z492" s="52"/>
    </row>
    <row r="493">
      <c r="A493" s="52">
        <f>IFERROR(__xludf.DUMMYFUNCTION("""COMPUTED_VALUE"""),1.04190916E8)</f>
        <v>104190916</v>
      </c>
      <c r="B493" s="52" t="str">
        <f>IFERROR(__xludf.DUMMYFUNCTION("""COMPUTED_VALUE"""),"YASMIN AKUBA")</f>
        <v>YASMIN AKUBA</v>
      </c>
      <c r="C493" s="52">
        <f>IFERROR(__xludf.DUMMYFUNCTION("""COMPUTED_VALUE"""),49.0)</f>
        <v>49</v>
      </c>
      <c r="D493" s="52" t="str">
        <f>IFERROR(__xludf.DUMMYFUNCTION("""COMPUTED_VALUE"""),"Islam")</f>
        <v>Islam</v>
      </c>
      <c r="E493" s="52" t="str">
        <f>IFERROR(__xludf.DUMMYFUNCTION("""COMPUTED_VALUE"""),"CV. SENTOSA ABADI")</f>
        <v>CV. SENTOSA ABADI</v>
      </c>
      <c r="F493" s="52" t="str">
        <f>IFERROR(__xludf.DUMMYFUNCTION("""COMPUTED_VALUE"""),"MEKANIK")</f>
        <v>MEKANIK</v>
      </c>
      <c r="G493" s="52" t="str">
        <f>IFERROR(__xludf.DUMMYFUNCTION("""COMPUTED_VALUE"""),"WORKSHOP")</f>
        <v>WORKSHOP</v>
      </c>
      <c r="H493" s="52" t="str">
        <f>IFERROR(__xludf.DUMMYFUNCTION("""COMPUTED_VALUE"""),"FALSE")</f>
        <v>FALSE</v>
      </c>
      <c r="I493" s="55">
        <f>IFERROR(__xludf.DUMMYFUNCTION("""COMPUTED_VALUE"""),29407.0)</f>
        <v>29407</v>
      </c>
      <c r="J493" s="53" t="str">
        <f>IFERROR(__xludf.DUMMYFUNCTION("""COMPUTED_VALUE"""),"[104190916] YASMIN AKUBA")</f>
        <v>[104190916] YASMIN AKUBA</v>
      </c>
      <c r="K493" s="52"/>
      <c r="L493" s="52" t="str">
        <f t="shared" si="1"/>
        <v>#VALUE!</v>
      </c>
      <c r="M493" s="52"/>
      <c r="N493" s="52"/>
      <c r="O493" s="52"/>
      <c r="P493" s="52"/>
      <c r="Q493" s="52"/>
      <c r="R493" s="52"/>
      <c r="S493" s="52"/>
      <c r="T493" s="52"/>
      <c r="U493" s="52"/>
      <c r="V493" s="52"/>
      <c r="W493" s="52"/>
      <c r="X493" s="52"/>
      <c r="Y493" s="52"/>
      <c r="Z493" s="52"/>
    </row>
    <row r="494">
      <c r="A494" s="52">
        <f>IFERROR(__xludf.DUMMYFUNCTION("""COMPUTED_VALUE"""),1.01211334E8)</f>
        <v>101211334</v>
      </c>
      <c r="B494" s="52" t="str">
        <f>IFERROR(__xludf.DUMMYFUNCTION("""COMPUTED_VALUE"""),"YATMAN F PANGANDE")</f>
        <v>YATMAN F PANGANDE</v>
      </c>
      <c r="C494" s="52">
        <f>IFERROR(__xludf.DUMMYFUNCTION("""COMPUTED_VALUE"""),51.0)</f>
        <v>51</v>
      </c>
      <c r="D494" s="52" t="str">
        <f>IFERROR(__xludf.DUMMYFUNCTION("""COMPUTED_VALUE"""),"Kristen Khatolik")</f>
        <v>Kristen Khatolik</v>
      </c>
      <c r="E494" s="52" t="str">
        <f>IFERROR(__xludf.DUMMYFUNCTION("""COMPUTED_VALUE"""),"CV. SENTOSA ABADI")</f>
        <v>CV. SENTOSA ABADI</v>
      </c>
      <c r="F494" s="52" t="str">
        <f>IFERROR(__xludf.DUMMYFUNCTION("""COMPUTED_VALUE"""),"DRIVER DT H700ZY")</f>
        <v>DRIVER DT H700ZY</v>
      </c>
      <c r="G494" s="52" t="str">
        <f>IFERROR(__xludf.DUMMYFUNCTION("""COMPUTED_VALUE"""),"KENDARAAN &amp; UNIT SUPPORT")</f>
        <v>KENDARAAN &amp; UNIT SUPPORT</v>
      </c>
      <c r="H494" s="52" t="str">
        <f>IFERROR(__xludf.DUMMYFUNCTION("""COMPUTED_VALUE"""),"[0102150004] NAFTALI RARE'A, ST")</f>
        <v>[0102150004] NAFTALI RARE'A, ST</v>
      </c>
      <c r="I494" s="55">
        <f>IFERROR(__xludf.DUMMYFUNCTION("""COMPUTED_VALUE"""),27956.0)</f>
        <v>27956</v>
      </c>
      <c r="J494" s="53" t="str">
        <f>IFERROR(__xludf.DUMMYFUNCTION("""COMPUTED_VALUE"""),"[101211334] YATMAN F PANGANDE")</f>
        <v>[101211334] YATMAN F PANGANDE</v>
      </c>
      <c r="K494" s="52"/>
      <c r="L494" s="52" t="str">
        <f t="shared" si="1"/>
        <v>#VALUE!</v>
      </c>
      <c r="M494" s="52"/>
      <c r="N494" s="52"/>
      <c r="O494" s="52"/>
      <c r="P494" s="52"/>
      <c r="Q494" s="52"/>
      <c r="R494" s="52"/>
      <c r="S494" s="52"/>
      <c r="T494" s="52"/>
      <c r="U494" s="52"/>
      <c r="V494" s="52"/>
      <c r="W494" s="52"/>
      <c r="X494" s="52"/>
      <c r="Y494" s="52"/>
      <c r="Z494" s="52"/>
    </row>
    <row r="495">
      <c r="A495" s="52">
        <f>IFERROR(__xludf.DUMMYFUNCTION("""COMPUTED_VALUE"""),2.05241922E8)</f>
        <v>205241922</v>
      </c>
      <c r="B495" s="52" t="str">
        <f>IFERROR(__xludf.DUMMYFUNCTION("""COMPUTED_VALUE"""),"YAYAN DARMAWAN")</f>
        <v>YAYAN DARMAWAN</v>
      </c>
      <c r="C495" s="52">
        <f>IFERROR(__xludf.DUMMYFUNCTION("""COMPUTED_VALUE"""),0.0)</f>
        <v>0</v>
      </c>
      <c r="D495" s="52"/>
      <c r="E495" s="52" t="str">
        <f>IFERROR(__xludf.DUMMYFUNCTION("""COMPUTED_VALUE"""),"CV. Adil Prima Perkasa")</f>
        <v>CV. Adil Prima Perkasa</v>
      </c>
      <c r="F495" s="52" t="str">
        <f>IFERROR(__xludf.DUMMYFUNCTION("""COMPUTED_VALUE"""),"HELPER MECHANIC MAINTENANCE")</f>
        <v>HELPER MECHANIC MAINTENANCE</v>
      </c>
      <c r="G495" s="52" t="str">
        <f>IFERROR(__xludf.DUMMYFUNCTION("""COMPUTED_VALUE"""),"WORKSHOP")</f>
        <v>WORKSHOP</v>
      </c>
      <c r="H495" s="52" t="str">
        <f>IFERROR(__xludf.DUMMYFUNCTION("""COMPUTED_VALUE"""),"[0106190928] NATAN KONDO")</f>
        <v>[0106190928] NATAN KONDO</v>
      </c>
      <c r="I495" s="52"/>
      <c r="J495" s="53" t="str">
        <f>IFERROR(__xludf.DUMMYFUNCTION("""COMPUTED_VALUE"""),"[205241922] YAYAN DARMAWAN")</f>
        <v>[205241922] YAYAN DARMAWAN</v>
      </c>
      <c r="K495" s="52"/>
      <c r="L495" s="52" t="str">
        <f t="shared" si="1"/>
        <v>#VALUE!</v>
      </c>
      <c r="M495" s="52"/>
      <c r="N495" s="52"/>
      <c r="O495" s="52"/>
      <c r="P495" s="52"/>
      <c r="Q495" s="52"/>
      <c r="R495" s="52"/>
      <c r="S495" s="52"/>
      <c r="T495" s="52"/>
      <c r="U495" s="52"/>
      <c r="V495" s="52"/>
      <c r="W495" s="52"/>
      <c r="X495" s="52"/>
      <c r="Y495" s="52"/>
      <c r="Z495" s="52"/>
    </row>
    <row r="496">
      <c r="A496" s="52"/>
      <c r="B496" s="52" t="str">
        <f>IFERROR(__xludf.DUMMYFUNCTION("""COMPUTED_VALUE"""),"YAYAN SETIAWAN")</f>
        <v>YAYAN SETIAWAN</v>
      </c>
      <c r="C496" s="52">
        <f>IFERROR(__xludf.DUMMYFUNCTION("""COMPUTED_VALUE"""),0.0)</f>
        <v>0</v>
      </c>
      <c r="D496" s="52"/>
      <c r="E496" s="52" t="str">
        <f>IFERROR(__xludf.DUMMYFUNCTION("""COMPUTED_VALUE"""),"CV. SENTOSA ABADI")</f>
        <v>CV. SENTOSA ABADI</v>
      </c>
      <c r="F496" s="52" t="str">
        <f>IFERROR(__xludf.DUMMYFUNCTION("""COMPUTED_VALUE"""),"FALSE")</f>
        <v>FALSE</v>
      </c>
      <c r="G496" s="52" t="str">
        <f>IFERROR(__xludf.DUMMYFUNCTION("""COMPUTED_VALUE"""),"FALSE")</f>
        <v>FALSE</v>
      </c>
      <c r="H496" s="52" t="str">
        <f>IFERROR(__xludf.DUMMYFUNCTION("""COMPUTED_VALUE"""),"FALSE")</f>
        <v>FALSE</v>
      </c>
      <c r="I496" s="52"/>
      <c r="J496" s="53" t="str">
        <f>IFERROR(__xludf.DUMMYFUNCTION("""COMPUTED_VALUE"""),"[] YAYAN SETIAWAN")</f>
        <v>[] YAYAN SETIAWAN</v>
      </c>
      <c r="K496" s="52"/>
      <c r="L496" s="52" t="str">
        <f t="shared" si="1"/>
        <v>#VALUE!</v>
      </c>
      <c r="M496" s="52"/>
      <c r="N496" s="52"/>
      <c r="O496" s="52"/>
      <c r="P496" s="52"/>
      <c r="Q496" s="52"/>
      <c r="R496" s="52"/>
      <c r="S496" s="52"/>
      <c r="T496" s="52"/>
      <c r="U496" s="52"/>
      <c r="V496" s="52"/>
      <c r="W496" s="52"/>
      <c r="X496" s="52"/>
      <c r="Y496" s="52"/>
      <c r="Z496" s="52"/>
    </row>
    <row r="497">
      <c r="A497" s="52">
        <f>IFERROR(__xludf.DUMMYFUNCTION("""COMPUTED_VALUE"""),1.02211345E8)</f>
        <v>102211345</v>
      </c>
      <c r="B497" s="52" t="str">
        <f>IFERROR(__xludf.DUMMYFUNCTION("""COMPUTED_VALUE"""),"YETTI")</f>
        <v>YETTI</v>
      </c>
      <c r="C497" s="52">
        <f>IFERROR(__xludf.DUMMYFUNCTION("""COMPUTED_VALUE"""),60.0)</f>
        <v>60</v>
      </c>
      <c r="D497" s="52" t="str">
        <f>IFERROR(__xludf.DUMMYFUNCTION("""COMPUTED_VALUE"""),"Kristen Protestan")</f>
        <v>Kristen Protestan</v>
      </c>
      <c r="E497" s="52" t="str">
        <f>IFERROR(__xludf.DUMMYFUNCTION("""COMPUTED_VALUE"""),"CV. SENTOSA ABADI")</f>
        <v>CV. SENTOSA ABADI</v>
      </c>
      <c r="F497" s="52" t="str">
        <f>IFERROR(__xludf.DUMMYFUNCTION("""COMPUTED_VALUE"""),"STOCKER")</f>
        <v>STOCKER</v>
      </c>
      <c r="G497" s="52" t="str">
        <f>IFERROR(__xludf.DUMMYFUNCTION("""COMPUTED_VALUE"""),"HRD &amp; GA")</f>
        <v>HRD &amp; GA</v>
      </c>
      <c r="H497" s="52" t="str">
        <f>IFERROR(__xludf.DUMMYFUNCTION("""COMPUTED_VALUE"""),"[0103231738] MARYA SUSAN SIMBANGU")</f>
        <v>[0103231738] MARYA SUSAN SIMBANGU</v>
      </c>
      <c r="I497" s="55">
        <f>IFERROR(__xludf.DUMMYFUNCTION("""COMPUTED_VALUE"""),25569.0)</f>
        <v>25569</v>
      </c>
      <c r="J497" s="53" t="str">
        <f>IFERROR(__xludf.DUMMYFUNCTION("""COMPUTED_VALUE"""),"[102211345] YETTI")</f>
        <v>[102211345] YETTI</v>
      </c>
      <c r="K497" s="52"/>
      <c r="L497" s="52" t="str">
        <f t="shared" si="1"/>
        <v>#VALUE!</v>
      </c>
      <c r="M497" s="52"/>
      <c r="N497" s="52"/>
      <c r="O497" s="52"/>
      <c r="P497" s="52"/>
      <c r="Q497" s="52"/>
      <c r="R497" s="52"/>
      <c r="S497" s="52"/>
      <c r="T497" s="52"/>
      <c r="U497" s="52"/>
      <c r="V497" s="52"/>
      <c r="W497" s="52"/>
      <c r="X497" s="52"/>
      <c r="Y497" s="52"/>
      <c r="Z497" s="52"/>
    </row>
    <row r="498">
      <c r="A498" s="52">
        <f>IFERROR(__xludf.DUMMYFUNCTION("""COMPUTED_VALUE"""),1.0920124E8)</f>
        <v>109201240</v>
      </c>
      <c r="B498" s="52" t="str">
        <f>IFERROR(__xludf.DUMMYFUNCTION("""COMPUTED_VALUE"""),"YOEL MALAENY")</f>
        <v>YOEL MALAENY</v>
      </c>
      <c r="C498" s="52">
        <f>IFERROR(__xludf.DUMMYFUNCTION("""COMPUTED_VALUE"""),30.0)</f>
        <v>30</v>
      </c>
      <c r="D498" s="52" t="str">
        <f>IFERROR(__xludf.DUMMYFUNCTION("""COMPUTED_VALUE"""),"Kristen Protestan")</f>
        <v>Kristen Protestan</v>
      </c>
      <c r="E498" s="52" t="str">
        <f>IFERROR(__xludf.DUMMYFUNCTION("""COMPUTED_VALUE"""),"CV. SENTOSA ABADI")</f>
        <v>CV. SENTOSA ABADI</v>
      </c>
      <c r="F498" s="52" t="str">
        <f>IFERROR(__xludf.DUMMYFUNCTION("""COMPUTED_VALUE"""),"FOREMAN KENDARAAN")</f>
        <v>FOREMAN KENDARAAN</v>
      </c>
      <c r="G498" s="52" t="str">
        <f>IFERROR(__xludf.DUMMYFUNCTION("""COMPUTED_VALUE"""),"KENDARAAN &amp; UNIT SUPPORT")</f>
        <v>KENDARAAN &amp; UNIT SUPPORT</v>
      </c>
      <c r="H498" s="52" t="str">
        <f>IFERROR(__xludf.DUMMYFUNCTION("""COMPUTED_VALUE"""),"[0102150004] NAFTALI RARE'A, ST")</f>
        <v>[0102150004] NAFTALI RARE'A, ST</v>
      </c>
      <c r="I498" s="52"/>
      <c r="J498" s="53" t="str">
        <f>IFERROR(__xludf.DUMMYFUNCTION("""COMPUTED_VALUE"""),"[109201240] YOEL MALAENY")</f>
        <v>[109201240] YOEL MALAENY</v>
      </c>
      <c r="K498" s="52"/>
      <c r="L498" s="52" t="str">
        <f t="shared" si="1"/>
        <v>#VALUE!</v>
      </c>
      <c r="M498" s="52"/>
      <c r="N498" s="52"/>
      <c r="O498" s="52"/>
      <c r="P498" s="52"/>
      <c r="Q498" s="52"/>
      <c r="R498" s="52"/>
      <c r="S498" s="52"/>
      <c r="T498" s="52"/>
      <c r="U498" s="52"/>
      <c r="V498" s="52"/>
      <c r="W498" s="52"/>
      <c r="X498" s="52"/>
      <c r="Y498" s="52"/>
      <c r="Z498" s="52"/>
    </row>
    <row r="499">
      <c r="A499" s="52">
        <f>IFERROR(__xludf.DUMMYFUNCTION("""COMPUTED_VALUE"""),1.05211397E8)</f>
        <v>105211397</v>
      </c>
      <c r="B499" s="52" t="str">
        <f>IFERROR(__xludf.DUMMYFUNCTION("""COMPUTED_VALUE"""),"YOHAN MAKABA")</f>
        <v>YOHAN MAKABA</v>
      </c>
      <c r="C499" s="52">
        <f>IFERROR(__xludf.DUMMYFUNCTION("""COMPUTED_VALUE"""),35.0)</f>
        <v>35</v>
      </c>
      <c r="D499" s="52" t="str">
        <f>IFERROR(__xludf.DUMMYFUNCTION("""COMPUTED_VALUE"""),"Kristen Protestan")</f>
        <v>Kristen Protestan</v>
      </c>
      <c r="E499" s="52" t="str">
        <f>IFERROR(__xludf.DUMMYFUNCTION("""COMPUTED_VALUE"""),"CV. SENTOSA ABADI")</f>
        <v>CV. SENTOSA ABADI</v>
      </c>
      <c r="F499" s="52" t="str">
        <f>IFERROR(__xludf.DUMMYFUNCTION("""COMPUTED_VALUE"""),"HELPER MEKANIK ALAT BERAT")</f>
        <v>HELPER MEKANIK ALAT BERAT</v>
      </c>
      <c r="G499" s="52" t="str">
        <f>IFERROR(__xludf.DUMMYFUNCTION("""COMPUTED_VALUE"""),"WORKSHOP")</f>
        <v>WORKSHOP</v>
      </c>
      <c r="H499" s="52" t="str">
        <f>IFERROR(__xludf.DUMMYFUNCTION("""COMPUTED_VALUE"""),"[0106190928] NATAN KONDO")</f>
        <v>[0106190928] NATAN KONDO</v>
      </c>
      <c r="I499" s="55">
        <f>IFERROR(__xludf.DUMMYFUNCTION("""COMPUTED_VALUE"""),31820.0)</f>
        <v>31820</v>
      </c>
      <c r="J499" s="53" t="str">
        <f>IFERROR(__xludf.DUMMYFUNCTION("""COMPUTED_VALUE"""),"[105211397] YOHAN MAKABA")</f>
        <v>[105211397] YOHAN MAKABA</v>
      </c>
      <c r="K499" s="52"/>
      <c r="L499" s="52" t="str">
        <f t="shared" si="1"/>
        <v>#VALUE!</v>
      </c>
      <c r="M499" s="52"/>
      <c r="N499" s="52"/>
      <c r="O499" s="52"/>
      <c r="P499" s="52"/>
      <c r="Q499" s="52"/>
      <c r="R499" s="52"/>
      <c r="S499" s="52"/>
      <c r="T499" s="52"/>
      <c r="U499" s="52"/>
      <c r="V499" s="52"/>
      <c r="W499" s="52"/>
      <c r="X499" s="52"/>
      <c r="Y499" s="52"/>
      <c r="Z499" s="52"/>
    </row>
    <row r="500">
      <c r="A500" s="52">
        <f>IFERROR(__xludf.DUMMYFUNCTION("""COMPUTED_VALUE"""),1.10221688E8)</f>
        <v>110221688</v>
      </c>
      <c r="B500" s="52" t="str">
        <f>IFERROR(__xludf.DUMMYFUNCTION("""COMPUTED_VALUE"""),"YOHANES ARDINI EGOR")</f>
        <v>YOHANES ARDINI EGOR</v>
      </c>
      <c r="C500" s="52">
        <f>IFERROR(__xludf.DUMMYFUNCTION("""COMPUTED_VALUE"""),23.0)</f>
        <v>23</v>
      </c>
      <c r="D500" s="52" t="str">
        <f>IFERROR(__xludf.DUMMYFUNCTION("""COMPUTED_VALUE"""),"Kristen Khatolik")</f>
        <v>Kristen Khatolik</v>
      </c>
      <c r="E500" s="52" t="str">
        <f>IFERROR(__xludf.DUMMYFUNCTION("""COMPUTED_VALUE"""),"CV. SENTOSA ABADI")</f>
        <v>CV. SENTOSA ABADI</v>
      </c>
      <c r="F500" s="52" t="str">
        <f>IFERROR(__xludf.DUMMYFUNCTION("""COMPUTED_VALUE"""),"HELPER MECHANIC MAINTENANCE")</f>
        <v>HELPER MECHANIC MAINTENANCE</v>
      </c>
      <c r="G500" s="52" t="str">
        <f>IFERROR(__xludf.DUMMYFUNCTION("""COMPUTED_VALUE"""),"WORKSHOP")</f>
        <v>WORKSHOP</v>
      </c>
      <c r="H500" s="52" t="str">
        <f>IFERROR(__xludf.DUMMYFUNCTION("""COMPUTED_VALUE"""),"[0106190928] NATAN KONDO")</f>
        <v>[0106190928] NATAN KONDO</v>
      </c>
      <c r="I500" s="52"/>
      <c r="J500" s="53" t="str">
        <f>IFERROR(__xludf.DUMMYFUNCTION("""COMPUTED_VALUE"""),"[110221688] YOHANES ARDINI EGOR")</f>
        <v>[110221688] YOHANES ARDINI EGOR</v>
      </c>
      <c r="K500" s="52"/>
      <c r="L500" s="52" t="str">
        <f t="shared" si="1"/>
        <v>#VALUE!</v>
      </c>
      <c r="M500" s="52"/>
      <c r="N500" s="52"/>
      <c r="O500" s="52"/>
      <c r="P500" s="52"/>
      <c r="Q500" s="52"/>
      <c r="R500" s="52"/>
      <c r="S500" s="52"/>
      <c r="T500" s="52"/>
      <c r="U500" s="52"/>
      <c r="V500" s="52"/>
      <c r="W500" s="52"/>
      <c r="X500" s="52"/>
      <c r="Y500" s="52"/>
      <c r="Z500" s="52"/>
    </row>
    <row r="501">
      <c r="A501" s="52">
        <f>IFERROR(__xludf.DUMMYFUNCTION("""COMPUTED_VALUE"""),2.02221591E8)</f>
        <v>202221591</v>
      </c>
      <c r="B501" s="52" t="str">
        <f>IFERROR(__xludf.DUMMYFUNCTION("""COMPUTED_VALUE"""),"YOHANES BAHARI")</f>
        <v>YOHANES BAHARI</v>
      </c>
      <c r="C501" s="52">
        <f>IFERROR(__xludf.DUMMYFUNCTION("""COMPUTED_VALUE"""),36.0)</f>
        <v>36</v>
      </c>
      <c r="D501" s="52" t="str">
        <f>IFERROR(__xludf.DUMMYFUNCTION("""COMPUTED_VALUE"""),"Kristen Khatolik")</f>
        <v>Kristen Khatolik</v>
      </c>
      <c r="E501" s="52" t="str">
        <f>IFERROR(__xludf.DUMMYFUNCTION("""COMPUTED_VALUE"""),"CV. Adil Prima Perkasa")</f>
        <v>CV. Adil Prima Perkasa</v>
      </c>
      <c r="F501" s="52" t="str">
        <f>IFERROR(__xludf.DUMMYFUNCTION("""COMPUTED_VALUE"""),"DRIVER DT H700ZY")</f>
        <v>DRIVER DT H700ZY</v>
      </c>
      <c r="G501" s="52" t="str">
        <f>IFERROR(__xludf.DUMMYFUNCTION("""COMPUTED_VALUE"""),"KENDARAAN &amp; UNIT SUPPORT")</f>
        <v>KENDARAAN &amp; UNIT SUPPORT</v>
      </c>
      <c r="H501" s="52" t="str">
        <f>IFERROR(__xludf.DUMMYFUNCTION("""COMPUTED_VALUE"""),"[0102150004] NAFTALI RARE'A, ST")</f>
        <v>[0102150004] NAFTALI RARE'A, ST</v>
      </c>
      <c r="I501" s="52"/>
      <c r="J501" s="53" t="str">
        <f>IFERROR(__xludf.DUMMYFUNCTION("""COMPUTED_VALUE"""),"[202221591] YOHANES BAHARI")</f>
        <v>[202221591] YOHANES BAHARI</v>
      </c>
      <c r="K501" s="52"/>
      <c r="L501" s="52" t="str">
        <f t="shared" si="1"/>
        <v>#VALUE!</v>
      </c>
      <c r="M501" s="52"/>
      <c r="N501" s="52"/>
      <c r="O501" s="52"/>
      <c r="P501" s="52"/>
      <c r="Q501" s="52"/>
      <c r="R501" s="52"/>
      <c r="S501" s="52"/>
      <c r="T501" s="52"/>
      <c r="U501" s="52"/>
      <c r="V501" s="52"/>
      <c r="W501" s="52"/>
      <c r="X501" s="52"/>
      <c r="Y501" s="52"/>
      <c r="Z501" s="52"/>
    </row>
    <row r="502">
      <c r="A502" s="52">
        <f>IFERROR(__xludf.DUMMYFUNCTION("""COMPUTED_VALUE"""),2.06221646E8)</f>
        <v>206221646</v>
      </c>
      <c r="B502" s="52" t="str">
        <f>IFERROR(__xludf.DUMMYFUNCTION("""COMPUTED_VALUE"""),"YOHANES BONGGA")</f>
        <v>YOHANES BONGGA</v>
      </c>
      <c r="C502" s="52">
        <f>IFERROR(__xludf.DUMMYFUNCTION("""COMPUTED_VALUE"""),43.0)</f>
        <v>43</v>
      </c>
      <c r="D502" s="52" t="str">
        <f>IFERROR(__xludf.DUMMYFUNCTION("""COMPUTED_VALUE"""),"Kristen Protestan")</f>
        <v>Kristen Protestan</v>
      </c>
      <c r="E502" s="52" t="str">
        <f>IFERROR(__xludf.DUMMYFUNCTION("""COMPUTED_VALUE"""),"CV. Adil Prima Perkasa")</f>
        <v>CV. Adil Prima Perkasa</v>
      </c>
      <c r="F502" s="52" t="str">
        <f>IFERROR(__xludf.DUMMYFUNCTION("""COMPUTED_VALUE"""),"DRIVER DT H500")</f>
        <v>DRIVER DT H500</v>
      </c>
      <c r="G502" s="52" t="str">
        <f>IFERROR(__xludf.DUMMYFUNCTION("""COMPUTED_VALUE"""),"KENDARAAN &amp; UNIT SUPPORT")</f>
        <v>KENDARAAN &amp; UNIT SUPPORT</v>
      </c>
      <c r="H502" s="52" t="str">
        <f>IFERROR(__xludf.DUMMYFUNCTION("""COMPUTED_VALUE"""),"[0102150004] NAFTALI RARE'A, ST")</f>
        <v>[0102150004] NAFTALI RARE'A, ST</v>
      </c>
      <c r="I502" s="55">
        <f>IFERROR(__xludf.DUMMYFUNCTION("""COMPUTED_VALUE"""),30919.0)</f>
        <v>30919</v>
      </c>
      <c r="J502" s="53" t="str">
        <f>IFERROR(__xludf.DUMMYFUNCTION("""COMPUTED_VALUE"""),"[206221646] YOHANES BONGGA")</f>
        <v>[206221646] YOHANES BONGGA</v>
      </c>
      <c r="K502" s="52"/>
      <c r="L502" s="52" t="str">
        <f t="shared" si="1"/>
        <v>#VALUE!</v>
      </c>
      <c r="M502" s="52"/>
      <c r="N502" s="52"/>
      <c r="O502" s="52"/>
      <c r="P502" s="52"/>
      <c r="Q502" s="52"/>
      <c r="R502" s="52"/>
      <c r="S502" s="52"/>
      <c r="T502" s="52"/>
      <c r="U502" s="52"/>
      <c r="V502" s="52"/>
      <c r="W502" s="52"/>
      <c r="X502" s="52"/>
      <c r="Y502" s="52"/>
      <c r="Z502" s="52"/>
    </row>
    <row r="503">
      <c r="A503" s="52">
        <f>IFERROR(__xludf.DUMMYFUNCTION("""COMPUTED_VALUE"""),3.04230113E8)</f>
        <v>304230113</v>
      </c>
      <c r="B503" s="52" t="str">
        <f>IFERROR(__xludf.DUMMYFUNCTION("""COMPUTED_VALUE"""),"YOHANES JEREMIAS BEA RIA")</f>
        <v>YOHANES JEREMIAS BEA RIA</v>
      </c>
      <c r="C503" s="52">
        <f>IFERROR(__xludf.DUMMYFUNCTION("""COMPUTED_VALUE"""),20.0)</f>
        <v>20</v>
      </c>
      <c r="D503" s="52" t="str">
        <f>IFERROR(__xludf.DUMMYFUNCTION("""COMPUTED_VALUE"""),"Kristen Khatolik")</f>
        <v>Kristen Khatolik</v>
      </c>
      <c r="E503" s="52" t="str">
        <f>IFERROR(__xludf.DUMMYFUNCTION("""COMPUTED_VALUE"""),"CV. Monalisa")</f>
        <v>CV. Monalisa</v>
      </c>
      <c r="F503" s="52" t="str">
        <f>IFERROR(__xludf.DUMMYFUNCTION("""COMPUTED_VALUE"""),"FALSE")</f>
        <v>FALSE</v>
      </c>
      <c r="G503" s="52" t="str">
        <f>IFERROR(__xludf.DUMMYFUNCTION("""COMPUTED_VALUE"""),"INFRASTRUKTUR")</f>
        <v>INFRASTRUKTUR</v>
      </c>
      <c r="H503" s="52" t="str">
        <f>IFERROR(__xludf.DUMMYFUNCTION("""COMPUTED_VALUE"""),"FALSE")</f>
        <v>FALSE</v>
      </c>
      <c r="I503" s="52"/>
      <c r="J503" s="53" t="str">
        <f>IFERROR(__xludf.DUMMYFUNCTION("""COMPUTED_VALUE"""),"[304230113] YOHANES JEREMIAS BEA RIA")</f>
        <v>[304230113] YOHANES JEREMIAS BEA RIA</v>
      </c>
      <c r="K503" s="52"/>
      <c r="L503" s="52" t="str">
        <f t="shared" si="1"/>
        <v>#VALUE!</v>
      </c>
      <c r="M503" s="52"/>
      <c r="N503" s="52"/>
      <c r="O503" s="52"/>
      <c r="P503" s="52"/>
      <c r="Q503" s="52"/>
      <c r="R503" s="52"/>
      <c r="S503" s="52"/>
      <c r="T503" s="52"/>
      <c r="U503" s="52"/>
      <c r="V503" s="52"/>
      <c r="W503" s="52"/>
      <c r="X503" s="52"/>
      <c r="Y503" s="52"/>
      <c r="Z503" s="52"/>
    </row>
    <row r="504">
      <c r="A504" s="52">
        <f>IFERROR(__xludf.DUMMYFUNCTION("""COMPUTED_VALUE"""),2.11221701E8)</f>
        <v>211221701</v>
      </c>
      <c r="B504" s="52" t="str">
        <f>IFERROR(__xludf.DUMMYFUNCTION("""COMPUTED_VALUE"""),"YOHANIS PAMINNAKAN")</f>
        <v>YOHANIS PAMINNAKAN</v>
      </c>
      <c r="C504" s="52">
        <f>IFERROR(__xludf.DUMMYFUNCTION("""COMPUTED_VALUE"""),36.0)</f>
        <v>36</v>
      </c>
      <c r="D504" s="52" t="str">
        <f>IFERROR(__xludf.DUMMYFUNCTION("""COMPUTED_VALUE"""),"Kristen Khatolik")</f>
        <v>Kristen Khatolik</v>
      </c>
      <c r="E504" s="52" t="str">
        <f>IFERROR(__xludf.DUMMYFUNCTION("""COMPUTED_VALUE"""),"CV. Adil Prima Perkasa")</f>
        <v>CV. Adil Prima Perkasa</v>
      </c>
      <c r="F504" s="52" t="str">
        <f>IFERROR(__xludf.DUMMYFUNCTION("""COMPUTED_VALUE"""),"DRIVER DT H700ZS")</f>
        <v>DRIVER DT H700ZS</v>
      </c>
      <c r="G504" s="52" t="str">
        <f>IFERROR(__xludf.DUMMYFUNCTION("""COMPUTED_VALUE"""),"KENDARAAN &amp; UNIT SUPPORT")</f>
        <v>KENDARAAN &amp; UNIT SUPPORT</v>
      </c>
      <c r="H504" s="52" t="str">
        <f>IFERROR(__xludf.DUMMYFUNCTION("""COMPUTED_VALUE"""),"[0102150004] NAFTALI RARE'A, ST")</f>
        <v>[0102150004] NAFTALI RARE'A, ST</v>
      </c>
      <c r="I504" s="55">
        <f>IFERROR(__xludf.DUMMYFUNCTION("""COMPUTED_VALUE"""),35200.0)</f>
        <v>35200</v>
      </c>
      <c r="J504" s="53" t="str">
        <f>IFERROR(__xludf.DUMMYFUNCTION("""COMPUTED_VALUE"""),"[211221701] YOHANIS PAMINNAKAN")</f>
        <v>[211221701] YOHANIS PAMINNAKAN</v>
      </c>
      <c r="K504" s="52"/>
      <c r="L504" s="52" t="str">
        <f t="shared" si="1"/>
        <v>#VALUE!</v>
      </c>
      <c r="M504" s="52"/>
      <c r="N504" s="52"/>
      <c r="O504" s="52"/>
      <c r="P504" s="52"/>
      <c r="Q504" s="52"/>
      <c r="R504" s="52"/>
      <c r="S504" s="52"/>
      <c r="T504" s="52"/>
      <c r="U504" s="52"/>
      <c r="V504" s="52"/>
      <c r="W504" s="52"/>
      <c r="X504" s="52"/>
      <c r="Y504" s="52"/>
      <c r="Z504" s="52"/>
    </row>
    <row r="505">
      <c r="A505" s="52">
        <f>IFERROR(__xludf.DUMMYFUNCTION("""COMPUTED_VALUE"""),2.07211447E8)</f>
        <v>207211447</v>
      </c>
      <c r="B505" s="52" t="str">
        <f>IFERROR(__xludf.DUMMYFUNCTION("""COMPUTED_VALUE"""),"YOSNAR ALO")</f>
        <v>YOSNAR ALO</v>
      </c>
      <c r="C505" s="52">
        <f>IFERROR(__xludf.DUMMYFUNCTION("""COMPUTED_VALUE"""),28.0)</f>
        <v>28</v>
      </c>
      <c r="D505" s="52" t="str">
        <f>IFERROR(__xludf.DUMMYFUNCTION("""COMPUTED_VALUE"""),"Kristen Protestan")</f>
        <v>Kristen Protestan</v>
      </c>
      <c r="E505" s="52" t="str">
        <f>IFERROR(__xludf.DUMMYFUNCTION("""COMPUTED_VALUE"""),"CV. Adil Prima Perkasa")</f>
        <v>CV. Adil Prima Perkasa</v>
      </c>
      <c r="F505" s="52" t="str">
        <f>IFERROR(__xludf.DUMMYFUNCTION("""COMPUTED_VALUE"""),"OPERATOR EXCAVATOR")</f>
        <v>OPERATOR EXCAVATOR</v>
      </c>
      <c r="G505" s="52" t="str">
        <f>IFERROR(__xludf.DUMMYFUNCTION("""COMPUTED_VALUE"""),"PRODUKSI")</f>
        <v>PRODUKSI</v>
      </c>
      <c r="H505" s="52" t="str">
        <f>IFERROR(__xludf.DUMMYFUNCTION("""COMPUTED_VALUE"""),"[0102130003] PURNAWAN")</f>
        <v>[0102130003] PURNAWAN</v>
      </c>
      <c r="I505" s="52"/>
      <c r="J505" s="53" t="str">
        <f>IFERROR(__xludf.DUMMYFUNCTION("""COMPUTED_VALUE"""),"[207211447] YOSNAR ALO")</f>
        <v>[207211447] YOSNAR ALO</v>
      </c>
      <c r="K505" s="52"/>
      <c r="L505" s="52" t="str">
        <f t="shared" si="1"/>
        <v>#VALUE!</v>
      </c>
      <c r="M505" s="52"/>
      <c r="N505" s="52"/>
      <c r="O505" s="52"/>
      <c r="P505" s="52"/>
      <c r="Q505" s="52"/>
      <c r="R505" s="52"/>
      <c r="S505" s="52"/>
      <c r="T505" s="52"/>
      <c r="U505" s="52"/>
      <c r="V505" s="52"/>
      <c r="W505" s="52"/>
      <c r="X505" s="52"/>
      <c r="Y505" s="52"/>
      <c r="Z505" s="52"/>
    </row>
    <row r="506">
      <c r="A506" s="52">
        <f>IFERROR(__xludf.DUMMYFUNCTION("""COMPUTED_VALUE"""),2.07130696E8)</f>
        <v>207130696</v>
      </c>
      <c r="B506" s="52" t="str">
        <f>IFERROR(__xludf.DUMMYFUNCTION("""COMPUTED_VALUE"""),"YOSRI EFANDI NCAONG")</f>
        <v>YOSRI EFANDI NCAONG</v>
      </c>
      <c r="C506" s="52">
        <f>IFERROR(__xludf.DUMMYFUNCTION("""COMPUTED_VALUE"""),34.0)</f>
        <v>34</v>
      </c>
      <c r="D506" s="52" t="str">
        <f>IFERROR(__xludf.DUMMYFUNCTION("""COMPUTED_VALUE"""),"Kristen Khatolik")</f>
        <v>Kristen Khatolik</v>
      </c>
      <c r="E506" s="52" t="str">
        <f>IFERROR(__xludf.DUMMYFUNCTION("""COMPUTED_VALUE"""),"CV. Adil Prima Perkasa")</f>
        <v>CV. Adil Prima Perkasa</v>
      </c>
      <c r="F506" s="52" t="str">
        <f>IFERROR(__xludf.DUMMYFUNCTION("""COMPUTED_VALUE"""),"OPERATOR ADT")</f>
        <v>OPERATOR ADT</v>
      </c>
      <c r="G506" s="52" t="str">
        <f>IFERROR(__xludf.DUMMYFUNCTION("""COMPUTED_VALUE"""),"PRODUKSI")</f>
        <v>PRODUKSI</v>
      </c>
      <c r="H506" s="52" t="str">
        <f>IFERROR(__xludf.DUMMYFUNCTION("""COMPUTED_VALUE"""),"[0102130003] PURNAWAN")</f>
        <v>[0102130003] PURNAWAN</v>
      </c>
      <c r="I506" s="52"/>
      <c r="J506" s="53" t="str">
        <f>IFERROR(__xludf.DUMMYFUNCTION("""COMPUTED_VALUE"""),"[207130696] YOSRI EFANDI NCAONG")</f>
        <v>[207130696] YOSRI EFANDI NCAONG</v>
      </c>
      <c r="K506" s="52"/>
      <c r="L506" s="52" t="str">
        <f t="shared" si="1"/>
        <v>#VALUE!</v>
      </c>
      <c r="M506" s="52"/>
      <c r="N506" s="52"/>
      <c r="O506" s="52"/>
      <c r="P506" s="52"/>
      <c r="Q506" s="52"/>
      <c r="R506" s="52"/>
      <c r="S506" s="52"/>
      <c r="T506" s="52"/>
      <c r="U506" s="52"/>
      <c r="V506" s="52"/>
      <c r="W506" s="52"/>
      <c r="X506" s="52"/>
      <c r="Y506" s="52"/>
      <c r="Z506" s="52"/>
    </row>
    <row r="507">
      <c r="A507" s="52">
        <f>IFERROR(__xludf.DUMMYFUNCTION("""COMPUTED_VALUE"""),3.07200009E8)</f>
        <v>307200009</v>
      </c>
      <c r="B507" s="52" t="str">
        <f>IFERROR(__xludf.DUMMYFUNCTION("""COMPUTED_VALUE"""),"YUDAS BINDAU")</f>
        <v>YUDAS BINDAU</v>
      </c>
      <c r="C507" s="52">
        <f>IFERROR(__xludf.DUMMYFUNCTION("""COMPUTED_VALUE"""),49.0)</f>
        <v>49</v>
      </c>
      <c r="D507" s="52" t="str">
        <f>IFERROR(__xludf.DUMMYFUNCTION("""COMPUTED_VALUE"""),"Kristen Protestan")</f>
        <v>Kristen Protestan</v>
      </c>
      <c r="E507" s="52" t="str">
        <f>IFERROR(__xludf.DUMMYFUNCTION("""COMPUTED_VALUE"""),"CV. Monalisa")</f>
        <v>CV. Monalisa</v>
      </c>
      <c r="F507" s="52" t="str">
        <f>IFERROR(__xludf.DUMMYFUNCTION("""COMPUTED_VALUE"""),"STOCKER")</f>
        <v>STOCKER</v>
      </c>
      <c r="G507" s="52" t="str">
        <f>IFERROR(__xludf.DUMMYFUNCTION("""COMPUTED_VALUE"""),"HRD &amp; GA")</f>
        <v>HRD &amp; GA</v>
      </c>
      <c r="H507" s="52" t="str">
        <f>IFERROR(__xludf.DUMMYFUNCTION("""COMPUTED_VALUE"""),"[0103231738] MARYA SUSAN SIMBANGU")</f>
        <v>[0103231738] MARYA SUSAN SIMBANGU</v>
      </c>
      <c r="I507" s="52"/>
      <c r="J507" s="53" t="str">
        <f>IFERROR(__xludf.DUMMYFUNCTION("""COMPUTED_VALUE"""),"[307200009] YUDAS BINDAU")</f>
        <v>[307200009] YUDAS BINDAU</v>
      </c>
      <c r="K507" s="52"/>
      <c r="L507" s="52" t="str">
        <f t="shared" si="1"/>
        <v>#VALUE!</v>
      </c>
      <c r="M507" s="52"/>
      <c r="N507" s="52"/>
      <c r="O507" s="52"/>
      <c r="P507" s="52"/>
      <c r="Q507" s="52"/>
      <c r="R507" s="52"/>
      <c r="S507" s="52"/>
      <c r="T507" s="52"/>
      <c r="U507" s="52"/>
      <c r="V507" s="52"/>
      <c r="W507" s="52"/>
      <c r="X507" s="52"/>
      <c r="Y507" s="52"/>
      <c r="Z507" s="52"/>
    </row>
    <row r="508">
      <c r="A508" s="52">
        <f>IFERROR(__xludf.DUMMYFUNCTION("""COMPUTED_VALUE"""),1.08160304E8)</f>
        <v>108160304</v>
      </c>
      <c r="B508" s="52" t="str">
        <f>IFERROR(__xludf.DUMMYFUNCTION("""COMPUTED_VALUE"""),"YULIUS LAPU")</f>
        <v>YULIUS LAPU</v>
      </c>
      <c r="C508" s="52">
        <f>IFERROR(__xludf.DUMMYFUNCTION("""COMPUTED_VALUE"""),46.0)</f>
        <v>46</v>
      </c>
      <c r="D508" s="52" t="str">
        <f>IFERROR(__xludf.DUMMYFUNCTION("""COMPUTED_VALUE"""),"Kristen Khatolik")</f>
        <v>Kristen Khatolik</v>
      </c>
      <c r="E508" s="52" t="str">
        <f>IFERROR(__xludf.DUMMYFUNCTION("""COMPUTED_VALUE"""),"CV. SENTOSA ABADI")</f>
        <v>CV. SENTOSA ABADI</v>
      </c>
      <c r="F508" s="52" t="str">
        <f>IFERROR(__xludf.DUMMYFUNCTION("""COMPUTED_VALUE"""),"OPERATOR BULLDOZER")</f>
        <v>OPERATOR BULLDOZER</v>
      </c>
      <c r="G508" s="52" t="str">
        <f>IFERROR(__xludf.DUMMYFUNCTION("""COMPUTED_VALUE"""),"PRODUKSI")</f>
        <v>PRODUKSI</v>
      </c>
      <c r="H508" s="52" t="str">
        <f>IFERROR(__xludf.DUMMYFUNCTION("""COMPUTED_VALUE"""),"FALSE")</f>
        <v>FALSE</v>
      </c>
      <c r="I508" s="52"/>
      <c r="J508" s="53" t="str">
        <f>IFERROR(__xludf.DUMMYFUNCTION("""COMPUTED_VALUE"""),"[108160304] YULIUS LAPU")</f>
        <v>[108160304] YULIUS LAPU</v>
      </c>
      <c r="K508" s="52"/>
      <c r="L508" s="52" t="str">
        <f t="shared" si="1"/>
        <v>#VALUE!</v>
      </c>
      <c r="M508" s="52"/>
      <c r="N508" s="52"/>
      <c r="O508" s="52"/>
      <c r="P508" s="52"/>
      <c r="Q508" s="52"/>
      <c r="R508" s="52"/>
      <c r="S508" s="52"/>
      <c r="T508" s="52"/>
      <c r="U508" s="52"/>
      <c r="V508" s="52"/>
      <c r="W508" s="52"/>
      <c r="X508" s="52"/>
      <c r="Y508" s="52"/>
      <c r="Z508" s="52"/>
    </row>
    <row r="509">
      <c r="A509" s="52">
        <f>IFERROR(__xludf.DUMMYFUNCTION("""COMPUTED_VALUE"""),2.06190933E8)</f>
        <v>206190933</v>
      </c>
      <c r="B509" s="52" t="str">
        <f>IFERROR(__xludf.DUMMYFUNCTION("""COMPUTED_VALUE"""),"YULIUS WALEWANGKO")</f>
        <v>YULIUS WALEWANGKO</v>
      </c>
      <c r="C509" s="52">
        <f>IFERROR(__xludf.DUMMYFUNCTION("""COMPUTED_VALUE"""),59.0)</f>
        <v>59</v>
      </c>
      <c r="D509" s="52" t="str">
        <f>IFERROR(__xludf.DUMMYFUNCTION("""COMPUTED_VALUE"""),"Islam")</f>
        <v>Islam</v>
      </c>
      <c r="E509" s="52" t="str">
        <f>IFERROR(__xludf.DUMMYFUNCTION("""COMPUTED_VALUE"""),"CV. Adil Prima Perkasa")</f>
        <v>CV. Adil Prima Perkasa</v>
      </c>
      <c r="F509" s="52" t="str">
        <f>IFERROR(__xludf.DUMMYFUNCTION("""COMPUTED_VALUE"""),"OPERATOR BULLDOZER")</f>
        <v>OPERATOR BULLDOZER</v>
      </c>
      <c r="G509" s="52" t="str">
        <f>IFERROR(__xludf.DUMMYFUNCTION("""COMPUTED_VALUE"""),"PRODUKSI")</f>
        <v>PRODUKSI</v>
      </c>
      <c r="H509" s="52" t="str">
        <f>IFERROR(__xludf.DUMMYFUNCTION("""COMPUTED_VALUE"""),"[0102130003] PURNAWAN")</f>
        <v>[0102130003] PURNAWAN</v>
      </c>
      <c r="I509" s="55">
        <f>IFERROR(__xludf.DUMMYFUNCTION("""COMPUTED_VALUE"""),24134.0)</f>
        <v>24134</v>
      </c>
      <c r="J509" s="53" t="str">
        <f>IFERROR(__xludf.DUMMYFUNCTION("""COMPUTED_VALUE"""),"[206190933] YULIUS WALEWANGKO")</f>
        <v>[206190933] YULIUS WALEWANGKO</v>
      </c>
      <c r="K509" s="52"/>
      <c r="L509" s="52" t="str">
        <f t="shared" si="1"/>
        <v>#VALUE!</v>
      </c>
      <c r="M509" s="52"/>
      <c r="N509" s="52"/>
      <c r="O509" s="52"/>
      <c r="P509" s="52"/>
      <c r="Q509" s="52"/>
      <c r="R509" s="52"/>
      <c r="S509" s="52"/>
      <c r="T509" s="52"/>
      <c r="U509" s="52"/>
      <c r="V509" s="52"/>
      <c r="W509" s="52"/>
      <c r="X509" s="52"/>
      <c r="Y509" s="52"/>
      <c r="Z509" s="52"/>
    </row>
    <row r="510">
      <c r="A510" s="52">
        <f>IFERROR(__xludf.DUMMYFUNCTION("""COMPUTED_VALUE"""),1.10211502E8)</f>
        <v>110211502</v>
      </c>
      <c r="B510" s="52" t="str">
        <f>IFERROR(__xludf.DUMMYFUNCTION("""COMPUTED_VALUE"""),"YULTIN TENGASE")</f>
        <v>YULTIN TENGASE</v>
      </c>
      <c r="C510" s="52">
        <f>IFERROR(__xludf.DUMMYFUNCTION("""COMPUTED_VALUE"""),47.0)</f>
        <v>47</v>
      </c>
      <c r="D510" s="52" t="str">
        <f>IFERROR(__xludf.DUMMYFUNCTION("""COMPUTED_VALUE"""),"Kristen Protestan")</f>
        <v>Kristen Protestan</v>
      </c>
      <c r="E510" s="52" t="str">
        <f>IFERROR(__xludf.DUMMYFUNCTION("""COMPUTED_VALUE"""),"CV. SENTOSA ABADI")</f>
        <v>CV. SENTOSA ABADI</v>
      </c>
      <c r="F510" s="52" t="str">
        <f>IFERROR(__xludf.DUMMYFUNCTION("""COMPUTED_VALUE"""),"STOCKER")</f>
        <v>STOCKER</v>
      </c>
      <c r="G510" s="52" t="str">
        <f>IFERROR(__xludf.DUMMYFUNCTION("""COMPUTED_VALUE"""),"HRD &amp; GA")</f>
        <v>HRD &amp; GA</v>
      </c>
      <c r="H510" s="52" t="str">
        <f>IFERROR(__xludf.DUMMYFUNCTION("""COMPUTED_VALUE"""),"[0103231738] MARYA SUSAN SIMBANGU")</f>
        <v>[0103231738] MARYA SUSAN SIMBANGU</v>
      </c>
      <c r="I510" s="52"/>
      <c r="J510" s="53" t="str">
        <f>IFERROR(__xludf.DUMMYFUNCTION("""COMPUTED_VALUE"""),"[110211502] YULTIN TENGASE")</f>
        <v>[110211502] YULTIN TENGASE</v>
      </c>
      <c r="K510" s="52"/>
      <c r="L510" s="52" t="str">
        <f t="shared" si="1"/>
        <v>#VALUE!</v>
      </c>
      <c r="M510" s="52"/>
      <c r="N510" s="52"/>
      <c r="O510" s="52"/>
      <c r="P510" s="52"/>
      <c r="Q510" s="52"/>
      <c r="R510" s="52"/>
      <c r="S510" s="52"/>
      <c r="T510" s="52"/>
      <c r="U510" s="52"/>
      <c r="V510" s="52"/>
      <c r="W510" s="52"/>
      <c r="X510" s="52"/>
      <c r="Y510" s="52"/>
      <c r="Z510" s="52"/>
    </row>
    <row r="511">
      <c r="A511" s="52">
        <f>IFERROR(__xludf.DUMMYFUNCTION("""COMPUTED_VALUE"""),2.02231725E8)</f>
        <v>202231725</v>
      </c>
      <c r="B511" s="52" t="str">
        <f>IFERROR(__xludf.DUMMYFUNCTION("""COMPUTED_VALUE"""),"YUNUS")</f>
        <v>YUNUS</v>
      </c>
      <c r="C511" s="52">
        <f>IFERROR(__xludf.DUMMYFUNCTION("""COMPUTED_VALUE"""),29.0)</f>
        <v>29</v>
      </c>
      <c r="D511" s="52" t="str">
        <f>IFERROR(__xludf.DUMMYFUNCTION("""COMPUTED_VALUE"""),"Kristen Protestan")</f>
        <v>Kristen Protestan</v>
      </c>
      <c r="E511" s="52" t="str">
        <f>IFERROR(__xludf.DUMMYFUNCTION("""COMPUTED_VALUE"""),"CV. Adil Prima Perkasa")</f>
        <v>CV. Adil Prima Perkasa</v>
      </c>
      <c r="F511" s="52" t="str">
        <f>IFERROR(__xludf.DUMMYFUNCTION("""COMPUTED_VALUE"""),"HELPER BUBUT")</f>
        <v>HELPER BUBUT</v>
      </c>
      <c r="G511" s="52" t="str">
        <f>IFERROR(__xludf.DUMMYFUNCTION("""COMPUTED_VALUE"""),"WORKSHOP")</f>
        <v>WORKSHOP</v>
      </c>
      <c r="H511" s="52" t="str">
        <f>IFERROR(__xludf.DUMMYFUNCTION("""COMPUTED_VALUE"""),"[0106190928] NATAN KONDO")</f>
        <v>[0106190928] NATAN KONDO</v>
      </c>
      <c r="I511" s="52"/>
      <c r="J511" s="53" t="str">
        <f>IFERROR(__xludf.DUMMYFUNCTION("""COMPUTED_VALUE"""),"[202231725] YUNUS")</f>
        <v>[202231725] YUNUS</v>
      </c>
      <c r="K511" s="52"/>
      <c r="L511" s="52" t="str">
        <f t="shared" si="1"/>
        <v>#VALUE!</v>
      </c>
      <c r="M511" s="52"/>
      <c r="N511" s="52"/>
      <c r="O511" s="52"/>
      <c r="P511" s="52"/>
      <c r="Q511" s="52"/>
      <c r="R511" s="52"/>
      <c r="S511" s="52"/>
      <c r="T511" s="52"/>
      <c r="U511" s="52"/>
      <c r="V511" s="52"/>
      <c r="W511" s="52"/>
      <c r="X511" s="52"/>
      <c r="Y511" s="52"/>
      <c r="Z511" s="52"/>
    </row>
    <row r="512">
      <c r="A512" s="52">
        <f>IFERROR(__xludf.DUMMYFUNCTION("""COMPUTED_VALUE"""),1.11211526E8)</f>
        <v>111211526</v>
      </c>
      <c r="B512" s="52" t="str">
        <f>IFERROR(__xludf.DUMMYFUNCTION("""COMPUTED_VALUE"""),"YUSRIN")</f>
        <v>YUSRIN</v>
      </c>
      <c r="C512" s="52">
        <f>IFERROR(__xludf.DUMMYFUNCTION("""COMPUTED_VALUE"""),44.0)</f>
        <v>44</v>
      </c>
      <c r="D512" s="52" t="str">
        <f>IFERROR(__xludf.DUMMYFUNCTION("""COMPUTED_VALUE"""),"Islam")</f>
        <v>Islam</v>
      </c>
      <c r="E512" s="52" t="str">
        <f>IFERROR(__xludf.DUMMYFUNCTION("""COMPUTED_VALUE"""),"CV. SENTOSA ABADI")</f>
        <v>CV. SENTOSA ABADI</v>
      </c>
      <c r="F512" s="52" t="str">
        <f>IFERROR(__xludf.DUMMYFUNCTION("""COMPUTED_VALUE"""),"DRIVER DT")</f>
        <v>DRIVER DT</v>
      </c>
      <c r="G512" s="52" t="str">
        <f>IFERROR(__xludf.DUMMYFUNCTION("""COMPUTED_VALUE"""),"KENDARAAN &amp; UNIT SUPPORT")</f>
        <v>KENDARAAN &amp; UNIT SUPPORT</v>
      </c>
      <c r="H512" s="52" t="str">
        <f>IFERROR(__xludf.DUMMYFUNCTION("""COMPUTED_VALUE"""),"[0102150004] NAFTALI RARE'A, ST")</f>
        <v>[0102150004] NAFTALI RARE'A, ST</v>
      </c>
      <c r="I512" s="52"/>
      <c r="J512" s="53" t="str">
        <f>IFERROR(__xludf.DUMMYFUNCTION("""COMPUTED_VALUE"""),"[111211526] YUSRIN")</f>
        <v>[111211526] YUSRIN</v>
      </c>
      <c r="K512" s="52"/>
      <c r="L512" s="52" t="str">
        <f t="shared" si="1"/>
        <v>#VALUE!</v>
      </c>
      <c r="M512" s="52"/>
      <c r="N512" s="52"/>
      <c r="O512" s="52"/>
      <c r="P512" s="52"/>
      <c r="Q512" s="52"/>
      <c r="R512" s="52"/>
      <c r="S512" s="52"/>
      <c r="T512" s="52"/>
      <c r="U512" s="52"/>
      <c r="V512" s="52"/>
      <c r="W512" s="52"/>
      <c r="X512" s="52"/>
      <c r="Y512" s="52"/>
      <c r="Z512" s="52"/>
    </row>
    <row r="513">
      <c r="A513" s="52">
        <f>IFERROR(__xludf.DUMMYFUNCTION("""COMPUTED_VALUE"""),2.04241909E8)</f>
        <v>204241909</v>
      </c>
      <c r="B513" s="52" t="str">
        <f>IFERROR(__xludf.DUMMYFUNCTION("""COMPUTED_VALUE"""),"YUSTISIO YAYAN PRABOWO")</f>
        <v>YUSTISIO YAYAN PRABOWO</v>
      </c>
      <c r="C513" s="52">
        <f>IFERROR(__xludf.DUMMYFUNCTION("""COMPUTED_VALUE"""),0.0)</f>
        <v>0</v>
      </c>
      <c r="D513" s="52"/>
      <c r="E513" s="52" t="str">
        <f>IFERROR(__xludf.DUMMYFUNCTION("""COMPUTED_VALUE"""),"CV. Adil Prima Perkasa")</f>
        <v>CV. Adil Prima Perkasa</v>
      </c>
      <c r="F513" s="52" t="str">
        <f>IFERROR(__xludf.DUMMYFUNCTION("""COMPUTED_VALUE"""),"DRIVER LV")</f>
        <v>DRIVER LV</v>
      </c>
      <c r="G513" s="52" t="str">
        <f>IFERROR(__xludf.DUMMYFUNCTION("""COMPUTED_VALUE"""),"KENDARAAN &amp; UNIT SUPPORT")</f>
        <v>KENDARAAN &amp; UNIT SUPPORT</v>
      </c>
      <c r="H513" s="52" t="str">
        <f>IFERROR(__xludf.DUMMYFUNCTION("""COMPUTED_VALUE"""),"[0102150004] NAFTALI RARE'A, ST")</f>
        <v>[0102150004] NAFTALI RARE'A, ST</v>
      </c>
      <c r="I513" s="52"/>
      <c r="J513" s="53" t="str">
        <f>IFERROR(__xludf.DUMMYFUNCTION("""COMPUTED_VALUE"""),"[204241909] YUSTISIO YAYAN PRABOWO")</f>
        <v>[204241909] YUSTISIO YAYAN PRABOWO</v>
      </c>
      <c r="K513" s="52"/>
      <c r="L513" s="52" t="str">
        <f t="shared" si="1"/>
        <v>#VALUE!</v>
      </c>
      <c r="M513" s="52"/>
      <c r="N513" s="52"/>
      <c r="O513" s="52"/>
      <c r="P513" s="52"/>
      <c r="Q513" s="52"/>
      <c r="R513" s="52"/>
      <c r="S513" s="52"/>
      <c r="T513" s="52"/>
      <c r="U513" s="52"/>
      <c r="V513" s="52"/>
      <c r="W513" s="52"/>
      <c r="X513" s="52"/>
      <c r="Y513" s="52"/>
      <c r="Z513" s="52"/>
    </row>
    <row r="514">
      <c r="A514" s="52">
        <f>IFERROR(__xludf.DUMMYFUNCTION("""COMPUTED_VALUE"""),1.05190838E8)</f>
        <v>105190838</v>
      </c>
      <c r="B514" s="52" t="str">
        <f>IFERROR(__xludf.DUMMYFUNCTION("""COMPUTED_VALUE"""),"YUSUF")</f>
        <v>YUSUF</v>
      </c>
      <c r="C514" s="52">
        <f>IFERROR(__xludf.DUMMYFUNCTION("""COMPUTED_VALUE"""),24.0)</f>
        <v>24</v>
      </c>
      <c r="D514" s="52" t="str">
        <f>IFERROR(__xludf.DUMMYFUNCTION("""COMPUTED_VALUE"""),"Kristen Protestan")</f>
        <v>Kristen Protestan</v>
      </c>
      <c r="E514" s="52" t="str">
        <f>IFERROR(__xludf.DUMMYFUNCTION("""COMPUTED_VALUE"""),"CV. SENTOSA ABADI")</f>
        <v>CV. SENTOSA ABADI</v>
      </c>
      <c r="F514" s="52" t="str">
        <f>IFERROR(__xludf.DUMMYFUNCTION("""COMPUTED_VALUE"""),"ADMIN LOGISTIC")</f>
        <v>ADMIN LOGISTIC</v>
      </c>
      <c r="G514" s="52" t="str">
        <f>IFERROR(__xludf.DUMMYFUNCTION("""COMPUTED_VALUE"""),"LOGISTIC")</f>
        <v>LOGISTIC</v>
      </c>
      <c r="H514" s="52" t="str">
        <f>IFERROR(__xludf.DUMMYFUNCTION("""COMPUTED_VALUE"""),"[0109170014] JENES R. MANOPPO")</f>
        <v>[0109170014] JENES R. MANOPPO</v>
      </c>
      <c r="I514" s="52"/>
      <c r="J514" s="53" t="str">
        <f>IFERROR(__xludf.DUMMYFUNCTION("""COMPUTED_VALUE"""),"[105190838] YUSUF")</f>
        <v>[105190838] YUSUF</v>
      </c>
      <c r="K514" s="52"/>
      <c r="L514" s="52" t="str">
        <f t="shared" si="1"/>
        <v>#VALUE!</v>
      </c>
      <c r="M514" s="52"/>
      <c r="N514" s="52"/>
      <c r="O514" s="52"/>
      <c r="P514" s="52"/>
      <c r="Q514" s="52"/>
      <c r="R514" s="52"/>
      <c r="S514" s="52"/>
      <c r="T514" s="52"/>
      <c r="U514" s="52"/>
      <c r="V514" s="52"/>
      <c r="W514" s="52"/>
      <c r="X514" s="52"/>
      <c r="Y514" s="52"/>
      <c r="Z514" s="52"/>
    </row>
    <row r="515">
      <c r="A515" s="52">
        <f>IFERROR(__xludf.DUMMYFUNCTION("""COMPUTED_VALUE"""),2.02150673E8)</f>
        <v>202150673</v>
      </c>
      <c r="B515" s="52" t="str">
        <f>IFERROR(__xludf.DUMMYFUNCTION("""COMPUTED_VALUE"""),"YUSUF RENDY SOLONG")</f>
        <v>YUSUF RENDY SOLONG</v>
      </c>
      <c r="C515" s="52">
        <f>IFERROR(__xludf.DUMMYFUNCTION("""COMPUTED_VALUE"""),30.0)</f>
        <v>30</v>
      </c>
      <c r="D515" s="52" t="str">
        <f>IFERROR(__xludf.DUMMYFUNCTION("""COMPUTED_VALUE"""),"Kristen Protestan")</f>
        <v>Kristen Protestan</v>
      </c>
      <c r="E515" s="52" t="str">
        <f>IFERROR(__xludf.DUMMYFUNCTION("""COMPUTED_VALUE"""),"CV. Adil Prima Perkasa")</f>
        <v>CV. Adil Prima Perkasa</v>
      </c>
      <c r="F515" s="52" t="str">
        <f>IFERROR(__xludf.DUMMYFUNCTION("""COMPUTED_VALUE"""),"OPERATOR EXCAVATOR")</f>
        <v>OPERATOR EXCAVATOR</v>
      </c>
      <c r="G515" s="52" t="str">
        <f>IFERROR(__xludf.DUMMYFUNCTION("""COMPUTED_VALUE"""),"PRODUKSI")</f>
        <v>PRODUKSI</v>
      </c>
      <c r="H515" s="52" t="str">
        <f>IFERROR(__xludf.DUMMYFUNCTION("""COMPUTED_VALUE"""),"FALSE")</f>
        <v>FALSE</v>
      </c>
      <c r="I515" s="55">
        <f>IFERROR(__xludf.DUMMYFUNCTION("""COMPUTED_VALUE"""),30911.0)</f>
        <v>30911</v>
      </c>
      <c r="J515" s="53" t="str">
        <f>IFERROR(__xludf.DUMMYFUNCTION("""COMPUTED_VALUE"""),"[202150673] YUSUF RENDY SOLONG")</f>
        <v>[202150673] YUSUF RENDY SOLONG</v>
      </c>
      <c r="K515" s="52"/>
      <c r="L515" s="52" t="str">
        <f t="shared" si="1"/>
        <v>#VALUE!</v>
      </c>
      <c r="M515" s="52"/>
      <c r="N515" s="52"/>
      <c r="O515" s="52"/>
      <c r="P515" s="52"/>
      <c r="Q515" s="52"/>
      <c r="R515" s="52"/>
      <c r="S515" s="52"/>
      <c r="T515" s="52"/>
      <c r="U515" s="52"/>
      <c r="V515" s="52"/>
      <c r="W515" s="52"/>
      <c r="X515" s="52"/>
      <c r="Y515" s="52"/>
      <c r="Z515" s="52"/>
    </row>
    <row r="516">
      <c r="A516" s="52">
        <f>IFERROR(__xludf.DUMMYFUNCTION("""COMPUTED_VALUE"""),2.12231869E8)</f>
        <v>212231869</v>
      </c>
      <c r="B516" s="52" t="str">
        <f>IFERROR(__xludf.DUMMYFUNCTION("""COMPUTED_VALUE"""),"ZAINIR A. KOROMPOT")</f>
        <v>ZAINIR A. KOROMPOT</v>
      </c>
      <c r="C516" s="52">
        <f>IFERROR(__xludf.DUMMYFUNCTION("""COMPUTED_VALUE"""),0.0)</f>
        <v>0</v>
      </c>
      <c r="D516" s="52"/>
      <c r="E516" s="52" t="str">
        <f>IFERROR(__xludf.DUMMYFUNCTION("""COMPUTED_VALUE"""),"CV. Adil Prima Perkasa")</f>
        <v>CV. Adil Prima Perkasa</v>
      </c>
      <c r="F516" s="52" t="str">
        <f>IFERROR(__xludf.DUMMYFUNCTION("""COMPUTED_VALUE"""),"DRIVER DT H500")</f>
        <v>DRIVER DT H500</v>
      </c>
      <c r="G516" s="52" t="str">
        <f>IFERROR(__xludf.DUMMYFUNCTION("""COMPUTED_VALUE"""),"KENDARAAN &amp; UNIT SUPPORT")</f>
        <v>KENDARAAN &amp; UNIT SUPPORT</v>
      </c>
      <c r="H516" s="52" t="str">
        <f>IFERROR(__xludf.DUMMYFUNCTION("""COMPUTED_VALUE"""),"[0102150004] NAFTALI RARE'A, ST")</f>
        <v>[0102150004] NAFTALI RARE'A, ST</v>
      </c>
      <c r="I516" s="52"/>
      <c r="J516" s="53" t="str">
        <f>IFERROR(__xludf.DUMMYFUNCTION("""COMPUTED_VALUE"""),"[212231869] ZAINIR A. KOROMPOT")</f>
        <v>[212231869] ZAINIR A. KOROMPOT</v>
      </c>
      <c r="K516" s="52"/>
      <c r="L516" s="52" t="str">
        <f t="shared" si="1"/>
        <v>#VALUE!</v>
      </c>
      <c r="M516" s="52"/>
      <c r="N516" s="52"/>
      <c r="O516" s="52"/>
      <c r="P516" s="52"/>
      <c r="Q516" s="52"/>
      <c r="R516" s="52"/>
      <c r="S516" s="52"/>
      <c r="T516" s="52"/>
      <c r="U516" s="52"/>
      <c r="V516" s="52"/>
      <c r="W516" s="52"/>
      <c r="X516" s="52"/>
      <c r="Y516" s="52"/>
      <c r="Z516" s="52"/>
    </row>
    <row r="517">
      <c r="A517" s="52">
        <f>IFERROR(__xludf.DUMMYFUNCTION("""COMPUTED_VALUE"""),2.07231797E8)</f>
        <v>207231797</v>
      </c>
      <c r="B517" s="52" t="str">
        <f>IFERROR(__xludf.DUMMYFUNCTION("""COMPUTED_VALUE"""),"ZETH")</f>
        <v>ZETH</v>
      </c>
      <c r="C517" s="52">
        <f>IFERROR(__xludf.DUMMYFUNCTION("""COMPUTED_VALUE"""),22.0)</f>
        <v>22</v>
      </c>
      <c r="D517" s="52" t="str">
        <f>IFERROR(__xludf.DUMMYFUNCTION("""COMPUTED_VALUE"""),"Kristen Protestan")</f>
        <v>Kristen Protestan</v>
      </c>
      <c r="E517" s="52" t="str">
        <f>IFERROR(__xludf.DUMMYFUNCTION("""COMPUTED_VALUE"""),"CV. Adil Prima Perkasa")</f>
        <v>CV. Adil Prima Perkasa</v>
      </c>
      <c r="F517" s="52" t="str">
        <f>IFERROR(__xludf.DUMMYFUNCTION("""COMPUTED_VALUE"""),"HELPER MECHANIC DT OTR")</f>
        <v>HELPER MECHANIC DT OTR</v>
      </c>
      <c r="G517" s="52" t="str">
        <f>IFERROR(__xludf.DUMMYFUNCTION("""COMPUTED_VALUE"""),"WORKSHOP")</f>
        <v>WORKSHOP</v>
      </c>
      <c r="H517" s="52" t="str">
        <f>IFERROR(__xludf.DUMMYFUNCTION("""COMPUTED_VALUE"""),"[0106190928] NATAN KONDO")</f>
        <v>[0106190928] NATAN KONDO</v>
      </c>
      <c r="I517" s="52"/>
      <c r="J517" s="53" t="str">
        <f>IFERROR(__xludf.DUMMYFUNCTION("""COMPUTED_VALUE"""),"[207231797] ZETH")</f>
        <v>[207231797] ZETH</v>
      </c>
      <c r="K517" s="52"/>
      <c r="L517" s="52" t="str">
        <f t="shared" si="1"/>
        <v>#VALUE!</v>
      </c>
      <c r="M517" s="52"/>
      <c r="N517" s="52"/>
      <c r="O517" s="52"/>
      <c r="P517" s="52"/>
      <c r="Q517" s="52"/>
      <c r="R517" s="52"/>
      <c r="S517" s="52"/>
      <c r="T517" s="52"/>
      <c r="U517" s="52"/>
      <c r="V517" s="52"/>
      <c r="W517" s="52"/>
      <c r="X517" s="52"/>
      <c r="Y517" s="52"/>
      <c r="Z517" s="52"/>
    </row>
    <row r="518">
      <c r="A518" s="52">
        <f>IFERROR(__xludf.DUMMYFUNCTION("""COMPUTED_VALUE"""),1.08201194E8)</f>
        <v>108201194</v>
      </c>
      <c r="B518" s="52" t="str">
        <f>IFERROR(__xludf.DUMMYFUNCTION("""COMPUTED_VALUE"""),"ZULKIFLI")</f>
        <v>ZULKIFLI</v>
      </c>
      <c r="C518" s="52">
        <f>IFERROR(__xludf.DUMMYFUNCTION("""COMPUTED_VALUE"""),27.0)</f>
        <v>27</v>
      </c>
      <c r="D518" s="52" t="str">
        <f>IFERROR(__xludf.DUMMYFUNCTION("""COMPUTED_VALUE"""),"Islam")</f>
        <v>Islam</v>
      </c>
      <c r="E518" s="52" t="str">
        <f>IFERROR(__xludf.DUMMYFUNCTION("""COMPUTED_VALUE"""),"CV. SENTOSA ABADI")</f>
        <v>CV. SENTOSA ABADI</v>
      </c>
      <c r="F518" s="52" t="str">
        <f>IFERROR(__xludf.DUMMYFUNCTION("""COMPUTED_VALUE"""),"OPERATOR COMPACTOR")</f>
        <v>OPERATOR COMPACTOR</v>
      </c>
      <c r="G518" s="52" t="str">
        <f>IFERROR(__xludf.DUMMYFUNCTION("""COMPUTED_VALUE"""),"PRODUKSI")</f>
        <v>PRODUKSI</v>
      </c>
      <c r="H518" s="52" t="str">
        <f>IFERROR(__xludf.DUMMYFUNCTION("""COMPUTED_VALUE"""),"[0102130003] PURNAWAN")</f>
        <v>[0102130003] PURNAWAN</v>
      </c>
      <c r="I518" s="52"/>
      <c r="J518" s="53" t="str">
        <f>IFERROR(__xludf.DUMMYFUNCTION("""COMPUTED_VALUE"""),"[108201194] ZULKIFLI")</f>
        <v>[108201194] ZULKIFLI</v>
      </c>
      <c r="K518" s="52"/>
      <c r="L518" s="52" t="str">
        <f t="shared" si="1"/>
        <v>#VALUE!</v>
      </c>
      <c r="M518" s="52"/>
      <c r="N518" s="52"/>
      <c r="O518" s="52"/>
      <c r="P518" s="52"/>
      <c r="Q518" s="52"/>
      <c r="R518" s="52"/>
      <c r="S518" s="52"/>
      <c r="T518" s="52"/>
      <c r="U518" s="52"/>
      <c r="V518" s="52"/>
      <c r="W518" s="52"/>
      <c r="X518" s="52"/>
      <c r="Y518" s="52"/>
      <c r="Z518" s="52"/>
    </row>
    <row r="519">
      <c r="A519" s="52">
        <f>IFERROR(__xludf.DUMMYFUNCTION("""COMPUTED_VALUE"""),2.0624194E8)</f>
        <v>206241940</v>
      </c>
      <c r="B519" s="52" t="str">
        <f>IFERROR(__xludf.DUMMYFUNCTION("""COMPUTED_VALUE"""),"ZULKIPLI TAHERONG")</f>
        <v>ZULKIPLI TAHERONG</v>
      </c>
      <c r="C519" s="52">
        <f>IFERROR(__xludf.DUMMYFUNCTION("""COMPUTED_VALUE"""),28.0)</f>
        <v>28</v>
      </c>
      <c r="D519" s="52" t="str">
        <f>IFERROR(__xludf.DUMMYFUNCTION("""COMPUTED_VALUE"""),"Islam")</f>
        <v>Islam</v>
      </c>
      <c r="E519" s="52" t="str">
        <f>IFERROR(__xludf.DUMMYFUNCTION("""COMPUTED_VALUE"""),"CV. Adil Prima Perkasa")</f>
        <v>CV. Adil Prima Perkasa</v>
      </c>
      <c r="F519" s="52" t="str">
        <f>IFERROR(__xludf.DUMMYFUNCTION("""COMPUTED_VALUE"""),"CHECKER KENDARAAN")</f>
        <v>CHECKER KENDARAAN</v>
      </c>
      <c r="G519" s="52" t="str">
        <f>IFERROR(__xludf.DUMMYFUNCTION("""COMPUTED_VALUE"""),"KENDARAAN &amp; UNIT SUPPORT")</f>
        <v>KENDARAAN &amp; UNIT SUPPORT</v>
      </c>
      <c r="H519" s="52" t="str">
        <f>IFERROR(__xludf.DUMMYFUNCTION("""COMPUTED_VALUE"""),"[0102150004] NAFTALI RARE'A, ST")</f>
        <v>[0102150004] NAFTALI RARE'A, ST</v>
      </c>
      <c r="I519" s="52"/>
      <c r="J519" s="53" t="str">
        <f>IFERROR(__xludf.DUMMYFUNCTION("""COMPUTED_VALUE"""),"[206241940] ZULKIPLI TAHERONG")</f>
        <v>[206241940] ZULKIPLI TAHERONG</v>
      </c>
      <c r="K519" s="52"/>
      <c r="L519" s="52" t="str">
        <f t="shared" si="1"/>
        <v>#VALUE!</v>
      </c>
      <c r="M519" s="52"/>
      <c r="N519" s="52"/>
      <c r="O519" s="52"/>
      <c r="P519" s="52"/>
      <c r="Q519" s="52"/>
      <c r="R519" s="52"/>
      <c r="S519" s="52"/>
      <c r="T519" s="52"/>
      <c r="U519" s="52"/>
      <c r="V519" s="52"/>
      <c r="W519" s="52"/>
      <c r="X519" s="52"/>
      <c r="Y519" s="52"/>
      <c r="Z519" s="52"/>
    </row>
    <row r="520">
      <c r="A520" s="52"/>
      <c r="B520" s="52" t="str">
        <f>IFERROR(__xludf.DUMMYFUNCTION("""COMPUTED_VALUE"""),"[0206241946] AHMAD ATKONI - 3566/APP/HRD/PKWT/VI/2024")</f>
        <v>[0206241946] AHMAD ATKONI - 3566/APP/HRD/PKWT/VI/2024</v>
      </c>
      <c r="C520" s="52">
        <f>IFERROR(__xludf.DUMMYFUNCTION("""COMPUTED_VALUE"""),0.0)</f>
        <v>0</v>
      </c>
      <c r="D520" s="52"/>
      <c r="E520" s="52" t="str">
        <f>IFERROR(__xludf.DUMMYFUNCTION("""COMPUTED_VALUE"""),"CV. Adil Prima Perkasa")</f>
        <v>CV. Adil Prima Perkasa</v>
      </c>
      <c r="F520" s="52" t="str">
        <f>IFERROR(__xludf.DUMMYFUNCTION("""COMPUTED_VALUE"""),"FALSE")</f>
        <v>FALSE</v>
      </c>
      <c r="G520" s="52" t="str">
        <f>IFERROR(__xludf.DUMMYFUNCTION("""COMPUTED_VALUE"""),"FALSE")</f>
        <v>FALSE</v>
      </c>
      <c r="H520" s="52" t="str">
        <f>IFERROR(__xludf.DUMMYFUNCTION("""COMPUTED_VALUE"""),"FALSE")</f>
        <v>FALSE</v>
      </c>
      <c r="I520" s="52"/>
      <c r="J520" s="53" t="str">
        <f>IFERROR(__xludf.DUMMYFUNCTION("""COMPUTED_VALUE"""),"[] [0206241946] AHMAD ATKONI - 3566/APP/HRD/PKWT/VI/2024")</f>
        <v>[] [0206241946] AHMAD ATKONI - 3566/APP/HRD/PKWT/VI/2024</v>
      </c>
      <c r="K520" s="52"/>
      <c r="L520" s="52" t="str">
        <f t="shared" si="1"/>
        <v>#VALUE!</v>
      </c>
      <c r="M520" s="52"/>
      <c r="N520" s="52"/>
      <c r="O520" s="52"/>
      <c r="P520" s="52"/>
      <c r="Q520" s="52"/>
      <c r="R520" s="52"/>
      <c r="S520" s="52"/>
      <c r="T520" s="52"/>
      <c r="U520" s="52"/>
      <c r="V520" s="52"/>
      <c r="W520" s="52"/>
      <c r="X520" s="52"/>
      <c r="Y520" s="52"/>
      <c r="Z520" s="52"/>
    </row>
    <row r="521">
      <c r="A521" s="52"/>
      <c r="B521" s="52"/>
      <c r="C521" s="52"/>
      <c r="D521" s="52"/>
      <c r="E521" s="52"/>
      <c r="F521" s="52"/>
      <c r="G521" s="52"/>
      <c r="H521" s="52"/>
      <c r="I521" s="52"/>
      <c r="J521" s="53" t="str">
        <f>IFERROR(__xludf.DUMMYFUNCTION("""COMPUTED_VALUE"""),"")</f>
        <v/>
      </c>
      <c r="K521" s="52"/>
      <c r="L521" s="52" t="str">
        <f t="shared" si="1"/>
        <v/>
      </c>
      <c r="M521" s="52"/>
      <c r="N521" s="52"/>
      <c r="O521" s="52"/>
      <c r="P521" s="52"/>
      <c r="Q521" s="52"/>
      <c r="R521" s="52"/>
      <c r="S521" s="52"/>
      <c r="T521" s="52"/>
      <c r="U521" s="52"/>
      <c r="V521" s="52"/>
      <c r="W521" s="52"/>
      <c r="X521" s="52"/>
      <c r="Y521" s="52"/>
      <c r="Z521" s="52"/>
    </row>
    <row r="522">
      <c r="A522" s="52"/>
      <c r="B522" s="52"/>
      <c r="C522" s="52"/>
      <c r="D522" s="52"/>
      <c r="E522" s="52"/>
      <c r="F522" s="52"/>
      <c r="G522" s="52"/>
      <c r="H522" s="52"/>
      <c r="I522" s="52"/>
      <c r="J522" s="53" t="str">
        <f>IFERROR(__xludf.DUMMYFUNCTION("""COMPUTED_VALUE"""),"")</f>
        <v/>
      </c>
      <c r="K522" s="52"/>
      <c r="L522" s="52" t="str">
        <f t="shared" si="1"/>
        <v/>
      </c>
      <c r="M522" s="52"/>
      <c r="N522" s="52"/>
      <c r="O522" s="52"/>
      <c r="P522" s="52"/>
      <c r="Q522" s="52"/>
      <c r="R522" s="52"/>
      <c r="S522" s="52"/>
      <c r="T522" s="52"/>
      <c r="U522" s="52"/>
      <c r="V522" s="52"/>
      <c r="W522" s="52"/>
      <c r="X522" s="52"/>
      <c r="Y522" s="52"/>
      <c r="Z522" s="52"/>
    </row>
    <row r="523">
      <c r="A523" s="52"/>
      <c r="B523" s="52"/>
      <c r="C523" s="52"/>
      <c r="D523" s="52"/>
      <c r="E523" s="52"/>
      <c r="F523" s="52"/>
      <c r="G523" s="52"/>
      <c r="H523" s="52"/>
      <c r="I523" s="52"/>
      <c r="J523" s="53" t="str">
        <f>IFERROR(__xludf.DUMMYFUNCTION("""COMPUTED_VALUE"""),"")</f>
        <v/>
      </c>
      <c r="K523" s="52"/>
      <c r="L523" s="52" t="str">
        <f t="shared" si="1"/>
        <v/>
      </c>
      <c r="M523" s="52"/>
      <c r="N523" s="52"/>
      <c r="O523" s="52"/>
      <c r="P523" s="52"/>
      <c r="Q523" s="52"/>
      <c r="R523" s="52"/>
      <c r="S523" s="52"/>
      <c r="T523" s="52"/>
      <c r="U523" s="52"/>
      <c r="V523" s="52"/>
      <c r="W523" s="52"/>
      <c r="X523" s="52"/>
      <c r="Y523" s="52"/>
      <c r="Z523" s="52"/>
    </row>
    <row r="524">
      <c r="A524" s="52"/>
      <c r="B524" s="52"/>
      <c r="C524" s="52"/>
      <c r="D524" s="52"/>
      <c r="E524" s="52"/>
      <c r="F524" s="52"/>
      <c r="G524" s="52"/>
      <c r="H524" s="52"/>
      <c r="I524" s="52"/>
      <c r="J524" s="53" t="str">
        <f>IFERROR(__xludf.DUMMYFUNCTION("""COMPUTED_VALUE"""),"")</f>
        <v/>
      </c>
      <c r="K524" s="52"/>
      <c r="L524" s="52" t="str">
        <f t="shared" si="1"/>
        <v/>
      </c>
      <c r="M524" s="52"/>
      <c r="N524" s="52"/>
      <c r="O524" s="52"/>
      <c r="P524" s="52"/>
      <c r="Q524" s="52"/>
      <c r="R524" s="52"/>
      <c r="S524" s="52"/>
      <c r="T524" s="52"/>
      <c r="U524" s="52"/>
      <c r="V524" s="52"/>
      <c r="W524" s="52"/>
      <c r="X524" s="52"/>
      <c r="Y524" s="52"/>
      <c r="Z524" s="52"/>
    </row>
    <row r="525">
      <c r="A525" s="52"/>
      <c r="B525" s="52"/>
      <c r="C525" s="52"/>
      <c r="D525" s="52"/>
      <c r="E525" s="52"/>
      <c r="F525" s="52"/>
      <c r="G525" s="52"/>
      <c r="H525" s="52"/>
      <c r="I525" s="52"/>
      <c r="J525" s="53" t="str">
        <f>IFERROR(__xludf.DUMMYFUNCTION("""COMPUTED_VALUE"""),"")</f>
        <v/>
      </c>
      <c r="K525" s="52"/>
      <c r="L525" s="52" t="str">
        <f t="shared" si="1"/>
        <v/>
      </c>
      <c r="M525" s="52"/>
      <c r="N525" s="52"/>
      <c r="O525" s="52"/>
      <c r="P525" s="52"/>
      <c r="Q525" s="52"/>
      <c r="R525" s="52"/>
      <c r="S525" s="52"/>
      <c r="T525" s="52"/>
      <c r="U525" s="52"/>
      <c r="V525" s="52"/>
      <c r="W525" s="52"/>
      <c r="X525" s="52"/>
      <c r="Y525" s="52"/>
      <c r="Z525" s="52"/>
    </row>
    <row r="526">
      <c r="A526" s="52"/>
      <c r="B526" s="52"/>
      <c r="C526" s="52"/>
      <c r="D526" s="52"/>
      <c r="E526" s="52"/>
      <c r="F526" s="52"/>
      <c r="G526" s="52"/>
      <c r="H526" s="52"/>
      <c r="I526" s="52"/>
      <c r="J526" s="53" t="str">
        <f>IFERROR(__xludf.DUMMYFUNCTION("""COMPUTED_VALUE"""),"")</f>
        <v/>
      </c>
      <c r="K526" s="52"/>
      <c r="L526" s="52" t="str">
        <f t="shared" si="1"/>
        <v/>
      </c>
      <c r="M526" s="52"/>
      <c r="N526" s="52"/>
      <c r="O526" s="52"/>
      <c r="P526" s="52"/>
      <c r="Q526" s="52"/>
      <c r="R526" s="52"/>
      <c r="S526" s="52"/>
      <c r="T526" s="52"/>
      <c r="U526" s="52"/>
      <c r="V526" s="52"/>
      <c r="W526" s="52"/>
      <c r="X526" s="52"/>
      <c r="Y526" s="52"/>
      <c r="Z526" s="52"/>
    </row>
    <row r="527">
      <c r="A527" s="52"/>
      <c r="B527" s="52"/>
      <c r="C527" s="52"/>
      <c r="D527" s="52"/>
      <c r="E527" s="52"/>
      <c r="F527" s="52"/>
      <c r="G527" s="52"/>
      <c r="H527" s="52"/>
      <c r="I527" s="52"/>
      <c r="J527" s="53" t="str">
        <f>IFERROR(__xludf.DUMMYFUNCTION("""COMPUTED_VALUE"""),"")</f>
        <v/>
      </c>
      <c r="K527" s="52"/>
      <c r="L527" s="52" t="str">
        <f t="shared" si="1"/>
        <v/>
      </c>
      <c r="M527" s="52"/>
      <c r="N527" s="52"/>
      <c r="O527" s="52"/>
      <c r="P527" s="52"/>
      <c r="Q527" s="52"/>
      <c r="R527" s="52"/>
      <c r="S527" s="52"/>
      <c r="T527" s="52"/>
      <c r="U527" s="52"/>
      <c r="V527" s="52"/>
      <c r="W527" s="52"/>
      <c r="X527" s="52"/>
      <c r="Y527" s="52"/>
      <c r="Z527" s="52"/>
    </row>
    <row r="528">
      <c r="A528" s="52"/>
      <c r="B528" s="52"/>
      <c r="C528" s="52"/>
      <c r="D528" s="52"/>
      <c r="E528" s="52"/>
      <c r="F528" s="52"/>
      <c r="G528" s="52"/>
      <c r="H528" s="52"/>
      <c r="I528" s="52"/>
      <c r="J528" s="53" t="str">
        <f>IFERROR(__xludf.DUMMYFUNCTION("""COMPUTED_VALUE"""),"")</f>
        <v/>
      </c>
      <c r="K528" s="52"/>
      <c r="L528" s="52" t="str">
        <f t="shared" si="1"/>
        <v/>
      </c>
      <c r="M528" s="52"/>
      <c r="N528" s="52"/>
      <c r="O528" s="52"/>
      <c r="P528" s="52"/>
      <c r="Q528" s="52"/>
      <c r="R528" s="52"/>
      <c r="S528" s="52"/>
      <c r="T528" s="52"/>
      <c r="U528" s="52"/>
      <c r="V528" s="52"/>
      <c r="W528" s="52"/>
      <c r="X528" s="52"/>
      <c r="Y528" s="52"/>
      <c r="Z528" s="52"/>
    </row>
    <row r="529">
      <c r="A529" s="52"/>
      <c r="B529" s="52"/>
      <c r="C529" s="52"/>
      <c r="D529" s="52"/>
      <c r="E529" s="52"/>
      <c r="F529" s="52"/>
      <c r="G529" s="52"/>
      <c r="H529" s="52"/>
      <c r="I529" s="52"/>
      <c r="J529" s="53" t="str">
        <f>IFERROR(__xludf.DUMMYFUNCTION("""COMPUTED_VALUE"""),"")</f>
        <v/>
      </c>
      <c r="K529" s="52"/>
      <c r="L529" s="52" t="str">
        <f t="shared" si="1"/>
        <v/>
      </c>
      <c r="M529" s="52"/>
      <c r="N529" s="52"/>
      <c r="O529" s="52"/>
      <c r="P529" s="52"/>
      <c r="Q529" s="52"/>
      <c r="R529" s="52"/>
      <c r="S529" s="52"/>
      <c r="T529" s="52"/>
      <c r="U529" s="52"/>
      <c r="V529" s="52"/>
      <c r="W529" s="52"/>
      <c r="X529" s="52"/>
      <c r="Y529" s="52"/>
      <c r="Z529" s="52"/>
    </row>
    <row r="530">
      <c r="A530" s="52"/>
      <c r="B530" s="52"/>
      <c r="C530" s="52"/>
      <c r="D530" s="52"/>
      <c r="E530" s="52"/>
      <c r="F530" s="52"/>
      <c r="G530" s="52"/>
      <c r="H530" s="52"/>
      <c r="I530" s="52"/>
      <c r="J530" s="53" t="str">
        <f>IFERROR(__xludf.DUMMYFUNCTION("""COMPUTED_VALUE"""),"")</f>
        <v/>
      </c>
      <c r="K530" s="52"/>
      <c r="L530" s="52" t="str">
        <f t="shared" si="1"/>
        <v/>
      </c>
      <c r="M530" s="52"/>
      <c r="N530" s="52"/>
      <c r="O530" s="52"/>
      <c r="P530" s="52"/>
      <c r="Q530" s="52"/>
      <c r="R530" s="52"/>
      <c r="S530" s="52"/>
      <c r="T530" s="52"/>
      <c r="U530" s="52"/>
      <c r="V530" s="52"/>
      <c r="W530" s="52"/>
      <c r="X530" s="52"/>
      <c r="Y530" s="52"/>
      <c r="Z530" s="52"/>
    </row>
    <row r="531">
      <c r="A531" s="52"/>
      <c r="B531" s="52"/>
      <c r="C531" s="52"/>
      <c r="D531" s="52"/>
      <c r="E531" s="52"/>
      <c r="F531" s="52"/>
      <c r="G531" s="52"/>
      <c r="H531" s="52"/>
      <c r="I531" s="52"/>
      <c r="J531" s="53" t="str">
        <f>IFERROR(__xludf.DUMMYFUNCTION("""COMPUTED_VALUE"""),"")</f>
        <v/>
      </c>
      <c r="K531" s="52"/>
      <c r="L531" s="52" t="str">
        <f t="shared" si="1"/>
        <v/>
      </c>
      <c r="M531" s="52"/>
      <c r="N531" s="52"/>
      <c r="O531" s="52"/>
      <c r="P531" s="52"/>
      <c r="Q531" s="52"/>
      <c r="R531" s="52"/>
      <c r="S531" s="52"/>
      <c r="T531" s="52"/>
      <c r="U531" s="52"/>
      <c r="V531" s="52"/>
      <c r="W531" s="52"/>
      <c r="X531" s="52"/>
      <c r="Y531" s="52"/>
      <c r="Z531" s="52"/>
    </row>
    <row r="532">
      <c r="A532" s="52"/>
      <c r="B532" s="52"/>
      <c r="C532" s="52"/>
      <c r="D532" s="52"/>
      <c r="E532" s="52"/>
      <c r="F532" s="52"/>
      <c r="G532" s="52"/>
      <c r="H532" s="52"/>
      <c r="I532" s="52"/>
      <c r="J532" s="53" t="str">
        <f>IFERROR(__xludf.DUMMYFUNCTION("""COMPUTED_VALUE"""),"")</f>
        <v/>
      </c>
      <c r="K532" s="52"/>
      <c r="L532" s="52" t="str">
        <f t="shared" si="1"/>
        <v/>
      </c>
      <c r="M532" s="52"/>
      <c r="N532" s="52"/>
      <c r="O532" s="52"/>
      <c r="P532" s="52"/>
      <c r="Q532" s="52"/>
      <c r="R532" s="52"/>
      <c r="S532" s="52"/>
      <c r="T532" s="52"/>
      <c r="U532" s="52"/>
      <c r="V532" s="52"/>
      <c r="W532" s="52"/>
      <c r="X532" s="52"/>
      <c r="Y532" s="52"/>
      <c r="Z532" s="52"/>
    </row>
    <row r="533">
      <c r="A533" s="52"/>
      <c r="B533" s="52"/>
      <c r="C533" s="52"/>
      <c r="D533" s="52"/>
      <c r="E533" s="52"/>
      <c r="F533" s="52"/>
      <c r="G533" s="52"/>
      <c r="H533" s="52"/>
      <c r="I533" s="52"/>
      <c r="J533" s="53" t="str">
        <f>IFERROR(__xludf.DUMMYFUNCTION("""COMPUTED_VALUE"""),"")</f>
        <v/>
      </c>
      <c r="K533" s="52"/>
      <c r="L533" s="52" t="str">
        <f t="shared" si="1"/>
        <v/>
      </c>
      <c r="M533" s="52"/>
      <c r="N533" s="52"/>
      <c r="O533" s="52"/>
      <c r="P533" s="52"/>
      <c r="Q533" s="52"/>
      <c r="R533" s="52"/>
      <c r="S533" s="52"/>
      <c r="T533" s="52"/>
      <c r="U533" s="52"/>
      <c r="V533" s="52"/>
      <c r="W533" s="52"/>
      <c r="X533" s="52"/>
      <c r="Y533" s="52"/>
      <c r="Z533" s="52"/>
    </row>
    <row r="534">
      <c r="A534" s="52"/>
      <c r="B534" s="52"/>
      <c r="C534" s="52"/>
      <c r="D534" s="52"/>
      <c r="E534" s="52"/>
      <c r="F534" s="52"/>
      <c r="G534" s="52"/>
      <c r="H534" s="52"/>
      <c r="I534" s="52"/>
      <c r="J534" s="53" t="str">
        <f>IFERROR(__xludf.DUMMYFUNCTION("""COMPUTED_VALUE"""),"")</f>
        <v/>
      </c>
      <c r="K534" s="52"/>
      <c r="L534" s="52" t="str">
        <f t="shared" si="1"/>
        <v/>
      </c>
      <c r="M534" s="52"/>
      <c r="N534" s="52"/>
      <c r="O534" s="52"/>
      <c r="P534" s="52"/>
      <c r="Q534" s="52"/>
      <c r="R534" s="52"/>
      <c r="S534" s="52"/>
      <c r="T534" s="52"/>
      <c r="U534" s="52"/>
      <c r="V534" s="52"/>
      <c r="W534" s="52"/>
      <c r="X534" s="52"/>
      <c r="Y534" s="52"/>
      <c r="Z534" s="52"/>
    </row>
    <row r="535">
      <c r="A535" s="52"/>
      <c r="B535" s="52"/>
      <c r="C535" s="52"/>
      <c r="D535" s="52"/>
      <c r="E535" s="52"/>
      <c r="F535" s="52"/>
      <c r="G535" s="52"/>
      <c r="H535" s="52"/>
      <c r="I535" s="52"/>
      <c r="J535" s="53" t="str">
        <f>IFERROR(__xludf.DUMMYFUNCTION("""COMPUTED_VALUE"""),"")</f>
        <v/>
      </c>
      <c r="K535" s="52"/>
      <c r="L535" s="52" t="str">
        <f t="shared" si="1"/>
        <v/>
      </c>
      <c r="M535" s="52"/>
      <c r="N535" s="52"/>
      <c r="O535" s="52"/>
      <c r="P535" s="52"/>
      <c r="Q535" s="52"/>
      <c r="R535" s="52"/>
      <c r="S535" s="52"/>
      <c r="T535" s="52"/>
      <c r="U535" s="52"/>
      <c r="V535" s="52"/>
      <c r="W535" s="52"/>
      <c r="X535" s="52"/>
      <c r="Y535" s="52"/>
      <c r="Z535" s="52"/>
    </row>
    <row r="536">
      <c r="A536" s="52"/>
      <c r="B536" s="52"/>
      <c r="C536" s="52"/>
      <c r="D536" s="52"/>
      <c r="E536" s="52"/>
      <c r="F536" s="52"/>
      <c r="G536" s="52"/>
      <c r="H536" s="52"/>
      <c r="I536" s="52"/>
      <c r="J536" s="53" t="str">
        <f>IFERROR(__xludf.DUMMYFUNCTION("""COMPUTED_VALUE"""),"")</f>
        <v/>
      </c>
      <c r="K536" s="52"/>
      <c r="L536" s="52" t="str">
        <f t="shared" si="1"/>
        <v/>
      </c>
      <c r="M536" s="52"/>
      <c r="N536" s="52"/>
      <c r="O536" s="52"/>
      <c r="P536" s="52"/>
      <c r="Q536" s="52"/>
      <c r="R536" s="52"/>
      <c r="S536" s="52"/>
      <c r="T536" s="52"/>
      <c r="U536" s="52"/>
      <c r="V536" s="52"/>
      <c r="W536" s="52"/>
      <c r="X536" s="52"/>
      <c r="Y536" s="52"/>
      <c r="Z536" s="52"/>
    </row>
    <row r="537">
      <c r="A537" s="52"/>
      <c r="B537" s="52"/>
      <c r="C537" s="52"/>
      <c r="D537" s="52"/>
      <c r="E537" s="52"/>
      <c r="F537" s="52"/>
      <c r="G537" s="52"/>
      <c r="H537" s="52"/>
      <c r="I537" s="52"/>
      <c r="J537" s="53" t="str">
        <f>IFERROR(__xludf.DUMMYFUNCTION("""COMPUTED_VALUE"""),"")</f>
        <v/>
      </c>
      <c r="K537" s="52"/>
      <c r="L537" s="52" t="str">
        <f t="shared" si="1"/>
        <v/>
      </c>
      <c r="M537" s="52"/>
      <c r="N537" s="52"/>
      <c r="O537" s="52"/>
      <c r="P537" s="52"/>
      <c r="Q537" s="52"/>
      <c r="R537" s="52"/>
      <c r="S537" s="52"/>
      <c r="T537" s="52"/>
      <c r="U537" s="52"/>
      <c r="V537" s="52"/>
      <c r="W537" s="52"/>
      <c r="X537" s="52"/>
      <c r="Y537" s="52"/>
      <c r="Z537" s="52"/>
    </row>
    <row r="538">
      <c r="A538" s="52"/>
      <c r="B538" s="52"/>
      <c r="C538" s="52"/>
      <c r="D538" s="52"/>
      <c r="E538" s="52"/>
      <c r="F538" s="52"/>
      <c r="G538" s="52"/>
      <c r="H538" s="52"/>
      <c r="I538" s="52"/>
      <c r="J538" s="53" t="str">
        <f>IFERROR(__xludf.DUMMYFUNCTION("""COMPUTED_VALUE"""),"")</f>
        <v/>
      </c>
      <c r="K538" s="52"/>
      <c r="L538" s="52" t="str">
        <f t="shared" si="1"/>
        <v/>
      </c>
      <c r="M538" s="52"/>
      <c r="N538" s="52"/>
      <c r="O538" s="52"/>
      <c r="P538" s="52"/>
      <c r="Q538" s="52"/>
      <c r="R538" s="52"/>
      <c r="S538" s="52"/>
      <c r="T538" s="52"/>
      <c r="U538" s="52"/>
      <c r="V538" s="52"/>
      <c r="W538" s="52"/>
      <c r="X538" s="52"/>
      <c r="Y538" s="52"/>
      <c r="Z538" s="52"/>
    </row>
    <row r="539">
      <c r="A539" s="52"/>
      <c r="B539" s="52"/>
      <c r="C539" s="52"/>
      <c r="D539" s="52"/>
      <c r="E539" s="52"/>
      <c r="F539" s="52"/>
      <c r="G539" s="52"/>
      <c r="H539" s="52"/>
      <c r="I539" s="52"/>
      <c r="J539" s="53" t="str">
        <f>IFERROR(__xludf.DUMMYFUNCTION("""COMPUTED_VALUE"""),"")</f>
        <v/>
      </c>
      <c r="K539" s="52"/>
      <c r="L539" s="52" t="str">
        <f t="shared" si="1"/>
        <v/>
      </c>
      <c r="M539" s="52"/>
      <c r="N539" s="52"/>
      <c r="O539" s="52"/>
      <c r="P539" s="52"/>
      <c r="Q539" s="52"/>
      <c r="R539" s="52"/>
      <c r="S539" s="52"/>
      <c r="T539" s="52"/>
      <c r="U539" s="52"/>
      <c r="V539" s="52"/>
      <c r="W539" s="52"/>
      <c r="X539" s="52"/>
      <c r="Y539" s="52"/>
      <c r="Z539" s="52"/>
    </row>
    <row r="540">
      <c r="A540" s="52"/>
      <c r="B540" s="52"/>
      <c r="C540" s="52"/>
      <c r="D540" s="52"/>
      <c r="E540" s="52"/>
      <c r="F540" s="52"/>
      <c r="G540" s="52"/>
      <c r="H540" s="52"/>
      <c r="I540" s="52"/>
      <c r="J540" s="53" t="str">
        <f>IFERROR(__xludf.DUMMYFUNCTION("""COMPUTED_VALUE"""),"")</f>
        <v/>
      </c>
      <c r="K540" s="52"/>
      <c r="L540" s="52" t="str">
        <f t="shared" si="1"/>
        <v/>
      </c>
      <c r="M540" s="52"/>
      <c r="N540" s="52"/>
      <c r="O540" s="52"/>
      <c r="P540" s="52"/>
      <c r="Q540" s="52"/>
      <c r="R540" s="52"/>
      <c r="S540" s="52"/>
      <c r="T540" s="52"/>
      <c r="U540" s="52"/>
      <c r="V540" s="52"/>
      <c r="W540" s="52"/>
      <c r="X540" s="52"/>
      <c r="Y540" s="52"/>
      <c r="Z540" s="52"/>
    </row>
    <row r="541">
      <c r="A541" s="52"/>
      <c r="B541" s="52"/>
      <c r="C541" s="52"/>
      <c r="D541" s="52"/>
      <c r="E541" s="52"/>
      <c r="F541" s="52"/>
      <c r="G541" s="52"/>
      <c r="H541" s="52"/>
      <c r="I541" s="52"/>
      <c r="J541" s="53" t="str">
        <f>IFERROR(__xludf.DUMMYFUNCTION("""COMPUTED_VALUE"""),"")</f>
        <v/>
      </c>
      <c r="K541" s="52"/>
      <c r="L541" s="52" t="str">
        <f t="shared" si="1"/>
        <v/>
      </c>
      <c r="M541" s="52"/>
      <c r="N541" s="52"/>
      <c r="O541" s="52"/>
      <c r="P541" s="52"/>
      <c r="Q541" s="52"/>
      <c r="R541" s="52"/>
      <c r="S541" s="52"/>
      <c r="T541" s="52"/>
      <c r="U541" s="52"/>
      <c r="V541" s="52"/>
      <c r="W541" s="52"/>
      <c r="X541" s="52"/>
      <c r="Y541" s="52"/>
      <c r="Z541" s="52"/>
    </row>
    <row r="542">
      <c r="A542" s="52"/>
      <c r="B542" s="52"/>
      <c r="C542" s="52"/>
      <c r="D542" s="52"/>
      <c r="E542" s="52"/>
      <c r="F542" s="52"/>
      <c r="G542" s="52"/>
      <c r="H542" s="52"/>
      <c r="I542" s="52"/>
      <c r="J542" s="53" t="str">
        <f>IFERROR(__xludf.DUMMYFUNCTION("""COMPUTED_VALUE"""),"")</f>
        <v/>
      </c>
      <c r="K542" s="52"/>
      <c r="L542" s="52" t="str">
        <f t="shared" si="1"/>
        <v/>
      </c>
      <c r="M542" s="52"/>
      <c r="N542" s="52"/>
      <c r="O542" s="52"/>
      <c r="P542" s="52"/>
      <c r="Q542" s="52"/>
      <c r="R542" s="52"/>
      <c r="S542" s="52"/>
      <c r="T542" s="52"/>
      <c r="U542" s="52"/>
      <c r="V542" s="52"/>
      <c r="W542" s="52"/>
      <c r="X542" s="52"/>
      <c r="Y542" s="52"/>
      <c r="Z542" s="52"/>
    </row>
    <row r="543">
      <c r="A543" s="52"/>
      <c r="B543" s="52"/>
      <c r="C543" s="52"/>
      <c r="D543" s="52"/>
      <c r="E543" s="52"/>
      <c r="F543" s="52"/>
      <c r="G543" s="52"/>
      <c r="H543" s="52"/>
      <c r="I543" s="52"/>
      <c r="J543" s="53" t="str">
        <f>IFERROR(__xludf.DUMMYFUNCTION("""COMPUTED_VALUE"""),"")</f>
        <v/>
      </c>
      <c r="K543" s="52"/>
      <c r="L543" s="52" t="str">
        <f t="shared" si="1"/>
        <v/>
      </c>
      <c r="M543" s="52"/>
      <c r="N543" s="52"/>
      <c r="O543" s="52"/>
      <c r="P543" s="52"/>
      <c r="Q543" s="52"/>
      <c r="R543" s="52"/>
      <c r="S543" s="52"/>
      <c r="T543" s="52"/>
      <c r="U543" s="52"/>
      <c r="V543" s="52"/>
      <c r="W543" s="52"/>
      <c r="X543" s="52"/>
      <c r="Y543" s="52"/>
      <c r="Z543" s="52"/>
    </row>
    <row r="544">
      <c r="A544" s="52"/>
      <c r="B544" s="52"/>
      <c r="C544" s="52"/>
      <c r="D544" s="52"/>
      <c r="E544" s="52"/>
      <c r="F544" s="52"/>
      <c r="G544" s="52"/>
      <c r="H544" s="52"/>
      <c r="I544" s="52"/>
      <c r="J544" s="53" t="str">
        <f>IFERROR(__xludf.DUMMYFUNCTION("""COMPUTED_VALUE"""),"")</f>
        <v/>
      </c>
      <c r="K544" s="52"/>
      <c r="L544" s="52" t="str">
        <f t="shared" si="1"/>
        <v/>
      </c>
      <c r="M544" s="52"/>
      <c r="N544" s="52"/>
      <c r="O544" s="52"/>
      <c r="P544" s="52"/>
      <c r="Q544" s="52"/>
      <c r="R544" s="52"/>
      <c r="S544" s="52"/>
      <c r="T544" s="52"/>
      <c r="U544" s="52"/>
      <c r="V544" s="52"/>
      <c r="W544" s="52"/>
      <c r="X544" s="52"/>
      <c r="Y544" s="52"/>
      <c r="Z544" s="52"/>
    </row>
    <row r="545">
      <c r="A545" s="52"/>
      <c r="B545" s="52"/>
      <c r="C545" s="52"/>
      <c r="D545" s="52"/>
      <c r="E545" s="52"/>
      <c r="F545" s="52"/>
      <c r="G545" s="52"/>
      <c r="H545" s="52"/>
      <c r="I545" s="52"/>
      <c r="J545" s="53" t="str">
        <f>IFERROR(__xludf.DUMMYFUNCTION("""COMPUTED_VALUE"""),"")</f>
        <v/>
      </c>
      <c r="K545" s="52"/>
      <c r="L545" s="52" t="str">
        <f t="shared" si="1"/>
        <v/>
      </c>
      <c r="M545" s="52"/>
      <c r="N545" s="52"/>
      <c r="O545" s="52"/>
      <c r="P545" s="52"/>
      <c r="Q545" s="52"/>
      <c r="R545" s="52"/>
      <c r="S545" s="52"/>
      <c r="T545" s="52"/>
      <c r="U545" s="52"/>
      <c r="V545" s="52"/>
      <c r="W545" s="52"/>
      <c r="X545" s="52"/>
      <c r="Y545" s="52"/>
      <c r="Z545" s="52"/>
    </row>
    <row r="546">
      <c r="A546" s="52"/>
      <c r="B546" s="52"/>
      <c r="C546" s="52"/>
      <c r="D546" s="52"/>
      <c r="E546" s="52"/>
      <c r="F546" s="52"/>
      <c r="G546" s="52"/>
      <c r="H546" s="52"/>
      <c r="I546" s="52"/>
      <c r="J546" s="53" t="str">
        <f>IFERROR(__xludf.DUMMYFUNCTION("""COMPUTED_VALUE"""),"")</f>
        <v/>
      </c>
      <c r="K546" s="52"/>
      <c r="L546" s="52" t="str">
        <f t="shared" si="1"/>
        <v/>
      </c>
      <c r="M546" s="52"/>
      <c r="N546" s="52"/>
      <c r="O546" s="52"/>
      <c r="P546" s="52"/>
      <c r="Q546" s="52"/>
      <c r="R546" s="52"/>
      <c r="S546" s="52"/>
      <c r="T546" s="52"/>
      <c r="U546" s="52"/>
      <c r="V546" s="52"/>
      <c r="W546" s="52"/>
      <c r="X546" s="52"/>
      <c r="Y546" s="52"/>
      <c r="Z546" s="52"/>
    </row>
    <row r="547">
      <c r="A547" s="52"/>
      <c r="B547" s="52"/>
      <c r="C547" s="52"/>
      <c r="D547" s="52"/>
      <c r="E547" s="52"/>
      <c r="F547" s="52"/>
      <c r="G547" s="52"/>
      <c r="H547" s="52"/>
      <c r="I547" s="52"/>
      <c r="J547" s="53" t="str">
        <f>IFERROR(__xludf.DUMMYFUNCTION("""COMPUTED_VALUE"""),"")</f>
        <v/>
      </c>
      <c r="K547" s="52"/>
      <c r="L547" s="52" t="str">
        <f t="shared" si="1"/>
        <v/>
      </c>
      <c r="M547" s="52"/>
      <c r="N547" s="52"/>
      <c r="O547" s="52"/>
      <c r="P547" s="52"/>
      <c r="Q547" s="52"/>
      <c r="R547" s="52"/>
      <c r="S547" s="52"/>
      <c r="T547" s="52"/>
      <c r="U547" s="52"/>
      <c r="V547" s="52"/>
      <c r="W547" s="52"/>
      <c r="X547" s="52"/>
      <c r="Y547" s="52"/>
      <c r="Z547" s="52"/>
    </row>
    <row r="548">
      <c r="A548" s="52"/>
      <c r="B548" s="52"/>
      <c r="C548" s="52"/>
      <c r="D548" s="52"/>
      <c r="E548" s="52"/>
      <c r="F548" s="52"/>
      <c r="G548" s="52"/>
      <c r="H548" s="52"/>
      <c r="I548" s="52"/>
      <c r="J548" s="53" t="str">
        <f>IFERROR(__xludf.DUMMYFUNCTION("""COMPUTED_VALUE"""),"")</f>
        <v/>
      </c>
      <c r="K548" s="52"/>
      <c r="L548" s="52" t="str">
        <f t="shared" si="1"/>
        <v/>
      </c>
      <c r="M548" s="52"/>
      <c r="N548" s="52"/>
      <c r="O548" s="52"/>
      <c r="P548" s="52"/>
      <c r="Q548" s="52"/>
      <c r="R548" s="52"/>
      <c r="S548" s="52"/>
      <c r="T548" s="52"/>
      <c r="U548" s="52"/>
      <c r="V548" s="52"/>
      <c r="W548" s="52"/>
      <c r="X548" s="52"/>
      <c r="Y548" s="52"/>
      <c r="Z548" s="52"/>
    </row>
    <row r="549">
      <c r="A549" s="52"/>
      <c r="B549" s="52"/>
      <c r="C549" s="52"/>
      <c r="D549" s="52"/>
      <c r="E549" s="52"/>
      <c r="F549" s="52"/>
      <c r="G549" s="52"/>
      <c r="H549" s="52"/>
      <c r="I549" s="52"/>
      <c r="J549" s="53" t="str">
        <f>IFERROR(__xludf.DUMMYFUNCTION("""COMPUTED_VALUE"""),"")</f>
        <v/>
      </c>
      <c r="K549" s="52"/>
      <c r="L549" s="52" t="str">
        <f t="shared" si="1"/>
        <v/>
      </c>
      <c r="M549" s="52"/>
      <c r="N549" s="52"/>
      <c r="O549" s="52"/>
      <c r="P549" s="52"/>
      <c r="Q549" s="52"/>
      <c r="R549" s="52"/>
      <c r="S549" s="52"/>
      <c r="T549" s="52"/>
      <c r="U549" s="52"/>
      <c r="V549" s="52"/>
      <c r="W549" s="52"/>
      <c r="X549" s="52"/>
      <c r="Y549" s="52"/>
      <c r="Z549" s="52"/>
    </row>
    <row r="550">
      <c r="A550" s="52"/>
      <c r="B550" s="52"/>
      <c r="C550" s="52"/>
      <c r="D550" s="52"/>
      <c r="E550" s="52"/>
      <c r="F550" s="52"/>
      <c r="G550" s="52"/>
      <c r="H550" s="52"/>
      <c r="I550" s="52"/>
      <c r="J550" s="53" t="str">
        <f>IFERROR(__xludf.DUMMYFUNCTION("""COMPUTED_VALUE"""),"")</f>
        <v/>
      </c>
      <c r="K550" s="52"/>
      <c r="L550" s="52" t="str">
        <f t="shared" si="1"/>
        <v/>
      </c>
      <c r="M550" s="52"/>
      <c r="N550" s="52"/>
      <c r="O550" s="52"/>
      <c r="P550" s="52"/>
      <c r="Q550" s="52"/>
      <c r="R550" s="52"/>
      <c r="S550" s="52"/>
      <c r="T550" s="52"/>
      <c r="U550" s="52"/>
      <c r="V550" s="52"/>
      <c r="W550" s="52"/>
      <c r="X550" s="52"/>
      <c r="Y550" s="52"/>
      <c r="Z550" s="52"/>
    </row>
    <row r="551">
      <c r="A551" s="52"/>
      <c r="B551" s="52"/>
      <c r="C551" s="52"/>
      <c r="D551" s="52"/>
      <c r="E551" s="52"/>
      <c r="F551" s="52"/>
      <c r="G551" s="52"/>
      <c r="H551" s="52"/>
      <c r="I551" s="52"/>
      <c r="J551" s="53" t="str">
        <f>IFERROR(__xludf.DUMMYFUNCTION("""COMPUTED_VALUE"""),"")</f>
        <v/>
      </c>
      <c r="K551" s="52"/>
      <c r="L551" s="52" t="str">
        <f t="shared" si="1"/>
        <v/>
      </c>
      <c r="M551" s="52"/>
      <c r="N551" s="52"/>
      <c r="O551" s="52"/>
      <c r="P551" s="52"/>
      <c r="Q551" s="52"/>
      <c r="R551" s="52"/>
      <c r="S551" s="52"/>
      <c r="T551" s="52"/>
      <c r="U551" s="52"/>
      <c r="V551" s="52"/>
      <c r="W551" s="52"/>
      <c r="X551" s="52"/>
      <c r="Y551" s="52"/>
      <c r="Z551" s="52"/>
    </row>
    <row r="552">
      <c r="A552" s="52"/>
      <c r="B552" s="52"/>
      <c r="C552" s="52"/>
      <c r="D552" s="52"/>
      <c r="E552" s="52"/>
      <c r="F552" s="52"/>
      <c r="G552" s="52"/>
      <c r="H552" s="52"/>
      <c r="I552" s="52"/>
      <c r="J552" s="53" t="str">
        <f>IFERROR(__xludf.DUMMYFUNCTION("""COMPUTED_VALUE"""),"")</f>
        <v/>
      </c>
      <c r="K552" s="52"/>
      <c r="L552" s="52" t="str">
        <f t="shared" si="1"/>
        <v/>
      </c>
      <c r="M552" s="52"/>
      <c r="N552" s="52"/>
      <c r="O552" s="52"/>
      <c r="P552" s="52"/>
      <c r="Q552" s="52"/>
      <c r="R552" s="52"/>
      <c r="S552" s="52"/>
      <c r="T552" s="52"/>
      <c r="U552" s="52"/>
      <c r="V552" s="52"/>
      <c r="W552" s="52"/>
      <c r="X552" s="52"/>
      <c r="Y552" s="52"/>
      <c r="Z552" s="52"/>
    </row>
    <row r="553">
      <c r="A553" s="52"/>
      <c r="B553" s="52"/>
      <c r="C553" s="52"/>
      <c r="D553" s="52"/>
      <c r="E553" s="52"/>
      <c r="F553" s="52"/>
      <c r="G553" s="52"/>
      <c r="H553" s="52"/>
      <c r="I553" s="52"/>
      <c r="J553" s="53" t="str">
        <f>IFERROR(__xludf.DUMMYFUNCTION("""COMPUTED_VALUE"""),"")</f>
        <v/>
      </c>
      <c r="K553" s="52"/>
      <c r="L553" s="52" t="str">
        <f t="shared" si="1"/>
        <v/>
      </c>
      <c r="M553" s="52"/>
      <c r="N553" s="52"/>
      <c r="O553" s="52"/>
      <c r="P553" s="52"/>
      <c r="Q553" s="52"/>
      <c r="R553" s="52"/>
      <c r="S553" s="52"/>
      <c r="T553" s="52"/>
      <c r="U553" s="52"/>
      <c r="V553" s="52"/>
      <c r="W553" s="52"/>
      <c r="X553" s="52"/>
      <c r="Y553" s="52"/>
      <c r="Z553" s="52"/>
    </row>
    <row r="554">
      <c r="A554" s="52"/>
      <c r="B554" s="52"/>
      <c r="C554" s="52"/>
      <c r="D554" s="52"/>
      <c r="E554" s="52"/>
      <c r="F554" s="52"/>
      <c r="G554" s="52"/>
      <c r="H554" s="52"/>
      <c r="I554" s="52"/>
      <c r="J554" s="53" t="str">
        <f>IFERROR(__xludf.DUMMYFUNCTION("""COMPUTED_VALUE"""),"")</f>
        <v/>
      </c>
      <c r="K554" s="52"/>
      <c r="L554" s="52" t="str">
        <f t="shared" si="1"/>
        <v/>
      </c>
      <c r="M554" s="52"/>
      <c r="N554" s="52"/>
      <c r="O554" s="52"/>
      <c r="P554" s="52"/>
      <c r="Q554" s="52"/>
      <c r="R554" s="52"/>
      <c r="S554" s="52"/>
      <c r="T554" s="52"/>
      <c r="U554" s="52"/>
      <c r="V554" s="52"/>
      <c r="W554" s="52"/>
      <c r="X554" s="52"/>
      <c r="Y554" s="52"/>
      <c r="Z554" s="52"/>
    </row>
    <row r="555">
      <c r="A555" s="52"/>
      <c r="B555" s="52"/>
      <c r="C555" s="52"/>
      <c r="D555" s="52"/>
      <c r="E555" s="52"/>
      <c r="F555" s="52"/>
      <c r="G555" s="52"/>
      <c r="H555" s="52"/>
      <c r="I555" s="52"/>
      <c r="J555" s="53" t="str">
        <f>IFERROR(__xludf.DUMMYFUNCTION("""COMPUTED_VALUE"""),"")</f>
        <v/>
      </c>
      <c r="K555" s="52"/>
      <c r="L555" s="52" t="str">
        <f t="shared" si="1"/>
        <v/>
      </c>
      <c r="M555" s="52"/>
      <c r="N555" s="52"/>
      <c r="O555" s="52"/>
      <c r="P555" s="52"/>
      <c r="Q555" s="52"/>
      <c r="R555" s="52"/>
      <c r="S555" s="52"/>
      <c r="T555" s="52"/>
      <c r="U555" s="52"/>
      <c r="V555" s="52"/>
      <c r="W555" s="52"/>
      <c r="X555" s="52"/>
      <c r="Y555" s="52"/>
      <c r="Z555" s="52"/>
    </row>
    <row r="556">
      <c r="A556" s="52"/>
      <c r="B556" s="52"/>
      <c r="C556" s="52"/>
      <c r="D556" s="52"/>
      <c r="E556" s="52"/>
      <c r="F556" s="52"/>
      <c r="G556" s="52"/>
      <c r="H556" s="52"/>
      <c r="I556" s="52"/>
      <c r="J556" s="53" t="str">
        <f>IFERROR(__xludf.DUMMYFUNCTION("""COMPUTED_VALUE"""),"")</f>
        <v/>
      </c>
      <c r="K556" s="52"/>
      <c r="L556" s="52" t="str">
        <f t="shared" si="1"/>
        <v/>
      </c>
      <c r="M556" s="52"/>
      <c r="N556" s="52"/>
      <c r="O556" s="52"/>
      <c r="P556" s="52"/>
      <c r="Q556" s="52"/>
      <c r="R556" s="52"/>
      <c r="S556" s="52"/>
      <c r="T556" s="52"/>
      <c r="U556" s="52"/>
      <c r="V556" s="52"/>
      <c r="W556" s="52"/>
      <c r="X556" s="52"/>
      <c r="Y556" s="52"/>
      <c r="Z556" s="52"/>
    </row>
    <row r="557">
      <c r="A557" s="52"/>
      <c r="B557" s="52"/>
      <c r="C557" s="52"/>
      <c r="D557" s="52"/>
      <c r="E557" s="52"/>
      <c r="F557" s="52"/>
      <c r="G557" s="52"/>
      <c r="H557" s="52"/>
      <c r="I557" s="52"/>
      <c r="J557" s="53" t="str">
        <f>IFERROR(__xludf.DUMMYFUNCTION("""COMPUTED_VALUE"""),"")</f>
        <v/>
      </c>
      <c r="K557" s="52"/>
      <c r="L557" s="52" t="str">
        <f t="shared" si="1"/>
        <v/>
      </c>
      <c r="M557" s="52"/>
      <c r="N557" s="52"/>
      <c r="O557" s="52"/>
      <c r="P557" s="52"/>
      <c r="Q557" s="52"/>
      <c r="R557" s="52"/>
      <c r="S557" s="52"/>
      <c r="T557" s="52"/>
      <c r="U557" s="52"/>
      <c r="V557" s="52"/>
      <c r="W557" s="52"/>
      <c r="X557" s="52"/>
      <c r="Y557" s="52"/>
      <c r="Z557" s="52"/>
    </row>
    <row r="558">
      <c r="A558" s="52"/>
      <c r="B558" s="52"/>
      <c r="C558" s="52"/>
      <c r="D558" s="52"/>
      <c r="E558" s="52"/>
      <c r="F558" s="52"/>
      <c r="G558" s="52"/>
      <c r="H558" s="52"/>
      <c r="I558" s="52"/>
      <c r="J558" s="53" t="str">
        <f>IFERROR(__xludf.DUMMYFUNCTION("""COMPUTED_VALUE"""),"")</f>
        <v/>
      </c>
      <c r="K558" s="52"/>
      <c r="L558" s="52" t="str">
        <f t="shared" si="1"/>
        <v/>
      </c>
      <c r="M558" s="52"/>
      <c r="N558" s="52"/>
      <c r="O558" s="52"/>
      <c r="P558" s="52"/>
      <c r="Q558" s="52"/>
      <c r="R558" s="52"/>
      <c r="S558" s="52"/>
      <c r="T558" s="52"/>
      <c r="U558" s="52"/>
      <c r="V558" s="52"/>
      <c r="W558" s="52"/>
      <c r="X558" s="52"/>
      <c r="Y558" s="52"/>
      <c r="Z558" s="52"/>
    </row>
    <row r="559">
      <c r="A559" s="52"/>
      <c r="B559" s="52"/>
      <c r="C559" s="52"/>
      <c r="D559" s="52"/>
      <c r="E559" s="52"/>
      <c r="F559" s="52"/>
      <c r="G559" s="52"/>
      <c r="H559" s="52"/>
      <c r="I559" s="52"/>
      <c r="J559" s="53" t="str">
        <f>IFERROR(__xludf.DUMMYFUNCTION("""COMPUTED_VALUE"""),"")</f>
        <v/>
      </c>
      <c r="K559" s="52"/>
      <c r="L559" s="52" t="str">
        <f t="shared" si="1"/>
        <v/>
      </c>
      <c r="M559" s="52"/>
      <c r="N559" s="52"/>
      <c r="O559" s="52"/>
      <c r="P559" s="52"/>
      <c r="Q559" s="52"/>
      <c r="R559" s="52"/>
      <c r="S559" s="52"/>
      <c r="T559" s="52"/>
      <c r="U559" s="52"/>
      <c r="V559" s="52"/>
      <c r="W559" s="52"/>
      <c r="X559" s="52"/>
      <c r="Y559" s="52"/>
      <c r="Z559" s="52"/>
    </row>
    <row r="560">
      <c r="A560" s="52"/>
      <c r="B560" s="52"/>
      <c r="C560" s="52"/>
      <c r="D560" s="52"/>
      <c r="E560" s="52"/>
      <c r="F560" s="52"/>
      <c r="G560" s="52"/>
      <c r="H560" s="52"/>
      <c r="I560" s="52"/>
      <c r="J560" s="53" t="str">
        <f>IFERROR(__xludf.DUMMYFUNCTION("""COMPUTED_VALUE"""),"")</f>
        <v/>
      </c>
      <c r="K560" s="52"/>
      <c r="L560" s="52" t="str">
        <f t="shared" si="1"/>
        <v/>
      </c>
      <c r="M560" s="52"/>
      <c r="N560" s="52"/>
      <c r="O560" s="52"/>
      <c r="P560" s="52"/>
      <c r="Q560" s="52"/>
      <c r="R560" s="52"/>
      <c r="S560" s="52"/>
      <c r="T560" s="52"/>
      <c r="U560" s="52"/>
      <c r="V560" s="52"/>
      <c r="W560" s="52"/>
      <c r="X560" s="52"/>
      <c r="Y560" s="52"/>
      <c r="Z560" s="52"/>
    </row>
    <row r="561">
      <c r="A561" s="52"/>
      <c r="B561" s="52"/>
      <c r="C561" s="52"/>
      <c r="D561" s="52"/>
      <c r="E561" s="52"/>
      <c r="F561" s="52"/>
      <c r="G561" s="52"/>
      <c r="H561" s="52"/>
      <c r="I561" s="52"/>
      <c r="J561" s="53" t="str">
        <f>IFERROR(__xludf.DUMMYFUNCTION("""COMPUTED_VALUE"""),"")</f>
        <v/>
      </c>
      <c r="K561" s="52"/>
      <c r="L561" s="52" t="str">
        <f t="shared" si="1"/>
        <v/>
      </c>
      <c r="M561" s="52"/>
      <c r="N561" s="52"/>
      <c r="O561" s="52"/>
      <c r="P561" s="52"/>
      <c r="Q561" s="52"/>
      <c r="R561" s="52"/>
      <c r="S561" s="52"/>
      <c r="T561" s="52"/>
      <c r="U561" s="52"/>
      <c r="V561" s="52"/>
      <c r="W561" s="52"/>
      <c r="X561" s="52"/>
      <c r="Y561" s="52"/>
      <c r="Z561" s="52"/>
    </row>
    <row r="562">
      <c r="A562" s="52"/>
      <c r="B562" s="52"/>
      <c r="C562" s="52"/>
      <c r="D562" s="52"/>
      <c r="E562" s="52"/>
      <c r="F562" s="52"/>
      <c r="G562" s="52"/>
      <c r="H562" s="52"/>
      <c r="I562" s="52"/>
      <c r="J562" s="53" t="str">
        <f>IFERROR(__xludf.DUMMYFUNCTION("""COMPUTED_VALUE"""),"")</f>
        <v/>
      </c>
      <c r="K562" s="52"/>
      <c r="L562" s="52" t="str">
        <f t="shared" si="1"/>
        <v/>
      </c>
      <c r="M562" s="52"/>
      <c r="N562" s="52"/>
      <c r="O562" s="52"/>
      <c r="P562" s="52"/>
      <c r="Q562" s="52"/>
      <c r="R562" s="52"/>
      <c r="S562" s="52"/>
      <c r="T562" s="52"/>
      <c r="U562" s="52"/>
      <c r="V562" s="52"/>
      <c r="W562" s="52"/>
      <c r="X562" s="52"/>
      <c r="Y562" s="52"/>
      <c r="Z562" s="52"/>
    </row>
    <row r="563">
      <c r="A563" s="52"/>
      <c r="B563" s="52"/>
      <c r="C563" s="52"/>
      <c r="D563" s="52"/>
      <c r="E563" s="52"/>
      <c r="F563" s="52"/>
      <c r="G563" s="52"/>
      <c r="H563" s="52"/>
      <c r="I563" s="52"/>
      <c r="J563" s="53" t="str">
        <f>IFERROR(__xludf.DUMMYFUNCTION("""COMPUTED_VALUE"""),"")</f>
        <v/>
      </c>
      <c r="K563" s="52"/>
      <c r="L563" s="52" t="str">
        <f t="shared" si="1"/>
        <v/>
      </c>
      <c r="M563" s="52"/>
      <c r="N563" s="52"/>
      <c r="O563" s="52"/>
      <c r="P563" s="52"/>
      <c r="Q563" s="52"/>
      <c r="R563" s="52"/>
      <c r="S563" s="52"/>
      <c r="T563" s="52"/>
      <c r="U563" s="52"/>
      <c r="V563" s="52"/>
      <c r="W563" s="52"/>
      <c r="X563" s="52"/>
      <c r="Y563" s="52"/>
      <c r="Z563" s="52"/>
    </row>
    <row r="564">
      <c r="A564" s="52"/>
      <c r="B564" s="52"/>
      <c r="C564" s="52"/>
      <c r="D564" s="52"/>
      <c r="E564" s="52"/>
      <c r="F564" s="52"/>
      <c r="G564" s="52"/>
      <c r="H564" s="52"/>
      <c r="I564" s="52"/>
      <c r="J564" s="53" t="str">
        <f>IFERROR(__xludf.DUMMYFUNCTION("""COMPUTED_VALUE"""),"")</f>
        <v/>
      </c>
      <c r="K564" s="52"/>
      <c r="L564" s="52" t="str">
        <f t="shared" si="1"/>
        <v/>
      </c>
      <c r="M564" s="52"/>
      <c r="N564" s="52"/>
      <c r="O564" s="52"/>
      <c r="P564" s="52"/>
      <c r="Q564" s="52"/>
      <c r="R564" s="52"/>
      <c r="S564" s="52"/>
      <c r="T564" s="52"/>
      <c r="U564" s="52"/>
      <c r="V564" s="52"/>
      <c r="W564" s="52"/>
      <c r="X564" s="52"/>
      <c r="Y564" s="52"/>
      <c r="Z564" s="52"/>
    </row>
    <row r="565">
      <c r="A565" s="52"/>
      <c r="B565" s="52"/>
      <c r="C565" s="52"/>
      <c r="D565" s="52"/>
      <c r="E565" s="52"/>
      <c r="F565" s="52"/>
      <c r="G565" s="52"/>
      <c r="H565" s="52"/>
      <c r="I565" s="52"/>
      <c r="J565" s="53" t="str">
        <f>IFERROR(__xludf.DUMMYFUNCTION("""COMPUTED_VALUE"""),"")</f>
        <v/>
      </c>
      <c r="K565" s="52"/>
      <c r="L565" s="52" t="str">
        <f t="shared" si="1"/>
        <v/>
      </c>
      <c r="M565" s="52"/>
      <c r="N565" s="52"/>
      <c r="O565" s="52"/>
      <c r="P565" s="52"/>
      <c r="Q565" s="52"/>
      <c r="R565" s="52"/>
      <c r="S565" s="52"/>
      <c r="T565" s="52"/>
      <c r="U565" s="52"/>
      <c r="V565" s="52"/>
      <c r="W565" s="52"/>
      <c r="X565" s="52"/>
      <c r="Y565" s="52"/>
      <c r="Z565" s="52"/>
    </row>
    <row r="566">
      <c r="A566" s="52"/>
      <c r="B566" s="52"/>
      <c r="C566" s="52"/>
      <c r="D566" s="52"/>
      <c r="E566" s="52"/>
      <c r="F566" s="52"/>
      <c r="G566" s="52"/>
      <c r="H566" s="52"/>
      <c r="I566" s="52"/>
      <c r="J566" s="53" t="str">
        <f>IFERROR(__xludf.DUMMYFUNCTION("""COMPUTED_VALUE"""),"")</f>
        <v/>
      </c>
      <c r="K566" s="52"/>
      <c r="L566" s="52" t="str">
        <f t="shared" si="1"/>
        <v/>
      </c>
      <c r="M566" s="52"/>
      <c r="N566" s="52"/>
      <c r="O566" s="52"/>
      <c r="P566" s="52"/>
      <c r="Q566" s="52"/>
      <c r="R566" s="52"/>
      <c r="S566" s="52"/>
      <c r="T566" s="52"/>
      <c r="U566" s="52"/>
      <c r="V566" s="52"/>
      <c r="W566" s="52"/>
      <c r="X566" s="52"/>
      <c r="Y566" s="52"/>
      <c r="Z566" s="52"/>
    </row>
    <row r="567">
      <c r="A567" s="52"/>
      <c r="B567" s="52"/>
      <c r="C567" s="52"/>
      <c r="D567" s="52"/>
      <c r="E567" s="52"/>
      <c r="F567" s="52"/>
      <c r="G567" s="52"/>
      <c r="H567" s="52"/>
      <c r="I567" s="52"/>
      <c r="J567" s="53" t="str">
        <f>IFERROR(__xludf.DUMMYFUNCTION("""COMPUTED_VALUE"""),"")</f>
        <v/>
      </c>
      <c r="K567" s="52"/>
      <c r="L567" s="52" t="str">
        <f t="shared" si="1"/>
        <v/>
      </c>
      <c r="M567" s="52"/>
      <c r="N567" s="52"/>
      <c r="O567" s="52"/>
      <c r="P567" s="52"/>
      <c r="Q567" s="52"/>
      <c r="R567" s="52"/>
      <c r="S567" s="52"/>
      <c r="T567" s="52"/>
      <c r="U567" s="52"/>
      <c r="V567" s="52"/>
      <c r="W567" s="52"/>
      <c r="X567" s="52"/>
      <c r="Y567" s="52"/>
      <c r="Z567" s="52"/>
    </row>
    <row r="568">
      <c r="A568" s="52"/>
      <c r="B568" s="52"/>
      <c r="C568" s="52"/>
      <c r="D568" s="52"/>
      <c r="E568" s="52"/>
      <c r="F568" s="52"/>
      <c r="G568" s="52"/>
      <c r="H568" s="52"/>
      <c r="I568" s="52"/>
      <c r="J568" s="53" t="str">
        <f>IFERROR(__xludf.DUMMYFUNCTION("""COMPUTED_VALUE"""),"")</f>
        <v/>
      </c>
      <c r="K568" s="52"/>
      <c r="L568" s="52" t="str">
        <f t="shared" si="1"/>
        <v/>
      </c>
      <c r="M568" s="52"/>
      <c r="N568" s="52"/>
      <c r="O568" s="52"/>
      <c r="P568" s="52"/>
      <c r="Q568" s="52"/>
      <c r="R568" s="52"/>
      <c r="S568" s="52"/>
      <c r="T568" s="52"/>
      <c r="U568" s="52"/>
      <c r="V568" s="52"/>
      <c r="W568" s="52"/>
      <c r="X568" s="52"/>
      <c r="Y568" s="52"/>
      <c r="Z568" s="52"/>
    </row>
    <row r="569">
      <c r="A569" s="52"/>
      <c r="B569" s="52"/>
      <c r="C569" s="52"/>
      <c r="D569" s="52"/>
      <c r="E569" s="52"/>
      <c r="F569" s="52"/>
      <c r="G569" s="52"/>
      <c r="H569" s="52"/>
      <c r="I569" s="52"/>
      <c r="J569" s="53" t="str">
        <f>IFERROR(__xludf.DUMMYFUNCTION("""COMPUTED_VALUE"""),"")</f>
        <v/>
      </c>
      <c r="K569" s="52"/>
      <c r="L569" s="52" t="str">
        <f t="shared" si="1"/>
        <v/>
      </c>
      <c r="M569" s="52"/>
      <c r="N569" s="52"/>
      <c r="O569" s="52"/>
      <c r="P569" s="52"/>
      <c r="Q569" s="52"/>
      <c r="R569" s="52"/>
      <c r="S569" s="52"/>
      <c r="T569" s="52"/>
      <c r="U569" s="52"/>
      <c r="V569" s="52"/>
      <c r="W569" s="52"/>
      <c r="X569" s="52"/>
      <c r="Y569" s="52"/>
      <c r="Z569" s="52"/>
    </row>
    <row r="570">
      <c r="A570" s="52"/>
      <c r="B570" s="52"/>
      <c r="C570" s="52"/>
      <c r="D570" s="52"/>
      <c r="E570" s="52"/>
      <c r="F570" s="52"/>
      <c r="G570" s="52"/>
      <c r="H570" s="52"/>
      <c r="I570" s="52"/>
      <c r="J570" s="53" t="str">
        <f>IFERROR(__xludf.DUMMYFUNCTION("""COMPUTED_VALUE"""),"")</f>
        <v/>
      </c>
      <c r="K570" s="52"/>
      <c r="L570" s="52" t="str">
        <f t="shared" si="1"/>
        <v/>
      </c>
      <c r="M570" s="52"/>
      <c r="N570" s="52"/>
      <c r="O570" s="52"/>
      <c r="P570" s="52"/>
      <c r="Q570" s="52"/>
      <c r="R570" s="52"/>
      <c r="S570" s="52"/>
      <c r="T570" s="52"/>
      <c r="U570" s="52"/>
      <c r="V570" s="52"/>
      <c r="W570" s="52"/>
      <c r="X570" s="52"/>
      <c r="Y570" s="52"/>
      <c r="Z570" s="52"/>
    </row>
    <row r="571">
      <c r="A571" s="52"/>
      <c r="B571" s="52"/>
      <c r="C571" s="52"/>
      <c r="D571" s="52"/>
      <c r="E571" s="52"/>
      <c r="F571" s="52"/>
      <c r="G571" s="52"/>
      <c r="H571" s="52"/>
      <c r="I571" s="52"/>
      <c r="J571" s="53" t="str">
        <f>IFERROR(__xludf.DUMMYFUNCTION("""COMPUTED_VALUE"""),"")</f>
        <v/>
      </c>
      <c r="K571" s="52"/>
      <c r="L571" s="52" t="str">
        <f t="shared" si="1"/>
        <v/>
      </c>
      <c r="M571" s="52"/>
      <c r="N571" s="52"/>
      <c r="O571" s="52"/>
      <c r="P571" s="52"/>
      <c r="Q571" s="52"/>
      <c r="R571" s="52"/>
      <c r="S571" s="52"/>
      <c r="T571" s="52"/>
      <c r="U571" s="52"/>
      <c r="V571" s="52"/>
      <c r="W571" s="52"/>
      <c r="X571" s="52"/>
      <c r="Y571" s="52"/>
      <c r="Z571" s="52"/>
    </row>
    <row r="572">
      <c r="A572" s="52"/>
      <c r="B572" s="52"/>
      <c r="C572" s="52"/>
      <c r="D572" s="52"/>
      <c r="E572" s="52"/>
      <c r="F572" s="52"/>
      <c r="G572" s="52"/>
      <c r="H572" s="52"/>
      <c r="I572" s="52"/>
      <c r="J572" s="53" t="str">
        <f>IFERROR(__xludf.DUMMYFUNCTION("""COMPUTED_VALUE"""),"")</f>
        <v/>
      </c>
      <c r="K572" s="52"/>
      <c r="L572" s="52" t="str">
        <f t="shared" si="1"/>
        <v/>
      </c>
      <c r="M572" s="52"/>
      <c r="N572" s="52"/>
      <c r="O572" s="52"/>
      <c r="P572" s="52"/>
      <c r="Q572" s="52"/>
      <c r="R572" s="52"/>
      <c r="S572" s="52"/>
      <c r="T572" s="52"/>
      <c r="U572" s="52"/>
      <c r="V572" s="52"/>
      <c r="W572" s="52"/>
      <c r="X572" s="52"/>
      <c r="Y572" s="52"/>
      <c r="Z572" s="52"/>
    </row>
    <row r="573">
      <c r="A573" s="52"/>
      <c r="B573" s="52"/>
      <c r="C573" s="52"/>
      <c r="D573" s="52"/>
      <c r="E573" s="52"/>
      <c r="F573" s="52"/>
      <c r="G573" s="52"/>
      <c r="H573" s="52"/>
      <c r="I573" s="52"/>
      <c r="J573" s="53" t="str">
        <f>IFERROR(__xludf.DUMMYFUNCTION("""COMPUTED_VALUE"""),"")</f>
        <v/>
      </c>
      <c r="K573" s="52"/>
      <c r="L573" s="52" t="str">
        <f t="shared" si="1"/>
        <v/>
      </c>
      <c r="M573" s="52"/>
      <c r="N573" s="52"/>
      <c r="O573" s="52"/>
      <c r="P573" s="52"/>
      <c r="Q573" s="52"/>
      <c r="R573" s="52"/>
      <c r="S573" s="52"/>
      <c r="T573" s="52"/>
      <c r="U573" s="52"/>
      <c r="V573" s="52"/>
      <c r="W573" s="52"/>
      <c r="X573" s="52"/>
      <c r="Y573" s="52"/>
      <c r="Z573" s="52"/>
    </row>
    <row r="574">
      <c r="A574" s="52"/>
      <c r="B574" s="52"/>
      <c r="C574" s="52"/>
      <c r="D574" s="52"/>
      <c r="E574" s="52"/>
      <c r="F574" s="52"/>
      <c r="G574" s="52"/>
      <c r="H574" s="52"/>
      <c r="I574" s="52"/>
      <c r="J574" s="53" t="str">
        <f>IFERROR(__xludf.DUMMYFUNCTION("""COMPUTED_VALUE"""),"")</f>
        <v/>
      </c>
      <c r="K574" s="52"/>
      <c r="L574" s="52" t="str">
        <f t="shared" si="1"/>
        <v/>
      </c>
      <c r="M574" s="52"/>
      <c r="N574" s="52"/>
      <c r="O574" s="52"/>
      <c r="P574" s="52"/>
      <c r="Q574" s="52"/>
      <c r="R574" s="52"/>
      <c r="S574" s="52"/>
      <c r="T574" s="52"/>
      <c r="U574" s="52"/>
      <c r="V574" s="52"/>
      <c r="W574" s="52"/>
      <c r="X574" s="52"/>
      <c r="Y574" s="52"/>
      <c r="Z574" s="52"/>
    </row>
    <row r="575">
      <c r="A575" s="52"/>
      <c r="B575" s="52"/>
      <c r="C575" s="52"/>
      <c r="D575" s="52"/>
      <c r="E575" s="52"/>
      <c r="F575" s="52"/>
      <c r="G575" s="52"/>
      <c r="H575" s="52"/>
      <c r="I575" s="52"/>
      <c r="J575" s="53" t="str">
        <f>IFERROR(__xludf.DUMMYFUNCTION("""COMPUTED_VALUE"""),"")</f>
        <v/>
      </c>
      <c r="K575" s="52"/>
      <c r="L575" s="52" t="str">
        <f t="shared" si="1"/>
        <v/>
      </c>
      <c r="M575" s="52"/>
      <c r="N575" s="52"/>
      <c r="O575" s="52"/>
      <c r="P575" s="52"/>
      <c r="Q575" s="52"/>
      <c r="R575" s="52"/>
      <c r="S575" s="52"/>
      <c r="T575" s="52"/>
      <c r="U575" s="52"/>
      <c r="V575" s="52"/>
      <c r="W575" s="52"/>
      <c r="X575" s="52"/>
      <c r="Y575" s="52"/>
      <c r="Z575" s="52"/>
    </row>
    <row r="576">
      <c r="A576" s="52"/>
      <c r="B576" s="52"/>
      <c r="C576" s="52"/>
      <c r="D576" s="52"/>
      <c r="E576" s="52"/>
      <c r="F576" s="52"/>
      <c r="G576" s="52"/>
      <c r="H576" s="52"/>
      <c r="I576" s="52"/>
      <c r="J576" s="53" t="str">
        <f>IFERROR(__xludf.DUMMYFUNCTION("""COMPUTED_VALUE"""),"")</f>
        <v/>
      </c>
      <c r="K576" s="52"/>
      <c r="L576" s="52" t="str">
        <f t="shared" si="1"/>
        <v/>
      </c>
      <c r="M576" s="52"/>
      <c r="N576" s="52"/>
      <c r="O576" s="52"/>
      <c r="P576" s="52"/>
      <c r="Q576" s="52"/>
      <c r="R576" s="52"/>
      <c r="S576" s="52"/>
      <c r="T576" s="52"/>
      <c r="U576" s="52"/>
      <c r="V576" s="52"/>
      <c r="W576" s="52"/>
      <c r="X576" s="52"/>
      <c r="Y576" s="52"/>
      <c r="Z576" s="52"/>
    </row>
    <row r="577">
      <c r="A577" s="52"/>
      <c r="B577" s="52"/>
      <c r="C577" s="52"/>
      <c r="D577" s="52"/>
      <c r="E577" s="52"/>
      <c r="F577" s="52"/>
      <c r="G577" s="52"/>
      <c r="H577" s="52"/>
      <c r="I577" s="52"/>
      <c r="J577" s="53" t="str">
        <f>IFERROR(__xludf.DUMMYFUNCTION("""COMPUTED_VALUE"""),"")</f>
        <v/>
      </c>
      <c r="K577" s="52"/>
      <c r="L577" s="52" t="str">
        <f t="shared" si="1"/>
        <v/>
      </c>
      <c r="M577" s="52"/>
      <c r="N577" s="52"/>
      <c r="O577" s="52"/>
      <c r="P577" s="52"/>
      <c r="Q577" s="52"/>
      <c r="R577" s="52"/>
      <c r="S577" s="52"/>
      <c r="T577" s="52"/>
      <c r="U577" s="52"/>
      <c r="V577" s="52"/>
      <c r="W577" s="52"/>
      <c r="X577" s="52"/>
      <c r="Y577" s="52"/>
      <c r="Z577" s="52"/>
    </row>
    <row r="578">
      <c r="A578" s="52"/>
      <c r="B578" s="52"/>
      <c r="C578" s="52"/>
      <c r="D578" s="52"/>
      <c r="E578" s="52"/>
      <c r="F578" s="52"/>
      <c r="G578" s="52"/>
      <c r="H578" s="52"/>
      <c r="I578" s="52"/>
      <c r="J578" s="53" t="str">
        <f>IFERROR(__xludf.DUMMYFUNCTION("""COMPUTED_VALUE"""),"")</f>
        <v/>
      </c>
      <c r="K578" s="52"/>
      <c r="L578" s="52" t="str">
        <f t="shared" si="1"/>
        <v/>
      </c>
      <c r="M578" s="52"/>
      <c r="N578" s="52"/>
      <c r="O578" s="52"/>
      <c r="P578" s="52"/>
      <c r="Q578" s="52"/>
      <c r="R578" s="52"/>
      <c r="S578" s="52"/>
      <c r="T578" s="52"/>
      <c r="U578" s="52"/>
      <c r="V578" s="52"/>
      <c r="W578" s="52"/>
      <c r="X578" s="52"/>
      <c r="Y578" s="52"/>
      <c r="Z578" s="52"/>
    </row>
    <row r="579">
      <c r="A579" s="52"/>
      <c r="B579" s="52"/>
      <c r="C579" s="52"/>
      <c r="D579" s="52"/>
      <c r="E579" s="52"/>
      <c r="F579" s="52"/>
      <c r="G579" s="52"/>
      <c r="H579" s="52"/>
      <c r="I579" s="52"/>
      <c r="J579" s="53" t="str">
        <f>IFERROR(__xludf.DUMMYFUNCTION("""COMPUTED_VALUE"""),"")</f>
        <v/>
      </c>
      <c r="K579" s="52"/>
      <c r="L579" s="52" t="str">
        <f t="shared" si="1"/>
        <v/>
      </c>
      <c r="M579" s="52"/>
      <c r="N579" s="52"/>
      <c r="O579" s="52"/>
      <c r="P579" s="52"/>
      <c r="Q579" s="52"/>
      <c r="R579" s="52"/>
      <c r="S579" s="52"/>
      <c r="T579" s="52"/>
      <c r="U579" s="52"/>
      <c r="V579" s="52"/>
      <c r="W579" s="52"/>
      <c r="X579" s="52"/>
      <c r="Y579" s="52"/>
      <c r="Z579" s="52"/>
    </row>
    <row r="580">
      <c r="A580" s="52"/>
      <c r="B580" s="52"/>
      <c r="C580" s="52"/>
      <c r="D580" s="52"/>
      <c r="E580" s="52"/>
      <c r="F580" s="52"/>
      <c r="G580" s="52"/>
      <c r="H580" s="52"/>
      <c r="I580" s="52"/>
      <c r="J580" s="53" t="str">
        <f>IFERROR(__xludf.DUMMYFUNCTION("""COMPUTED_VALUE"""),"")</f>
        <v/>
      </c>
      <c r="K580" s="52"/>
      <c r="L580" s="52" t="str">
        <f t="shared" si="1"/>
        <v/>
      </c>
      <c r="M580" s="52"/>
      <c r="N580" s="52"/>
      <c r="O580" s="52"/>
      <c r="P580" s="52"/>
      <c r="Q580" s="52"/>
      <c r="R580" s="52"/>
      <c r="S580" s="52"/>
      <c r="T580" s="52"/>
      <c r="U580" s="52"/>
      <c r="V580" s="52"/>
      <c r="W580" s="52"/>
      <c r="X580" s="52"/>
      <c r="Y580" s="52"/>
      <c r="Z580" s="52"/>
    </row>
    <row r="581">
      <c r="A581" s="52"/>
      <c r="B581" s="52"/>
      <c r="C581" s="52"/>
      <c r="D581" s="52"/>
      <c r="E581" s="52"/>
      <c r="F581" s="52"/>
      <c r="G581" s="52"/>
      <c r="H581" s="52"/>
      <c r="I581" s="52"/>
      <c r="J581" s="53" t="str">
        <f>IFERROR(__xludf.DUMMYFUNCTION("""COMPUTED_VALUE"""),"")</f>
        <v/>
      </c>
      <c r="K581" s="52"/>
      <c r="L581" s="52" t="str">
        <f t="shared" si="1"/>
        <v/>
      </c>
      <c r="M581" s="52"/>
      <c r="N581" s="52"/>
      <c r="O581" s="52"/>
      <c r="P581" s="52"/>
      <c r="Q581" s="52"/>
      <c r="R581" s="52"/>
      <c r="S581" s="52"/>
      <c r="T581" s="52"/>
      <c r="U581" s="52"/>
      <c r="V581" s="52"/>
      <c r="W581" s="52"/>
      <c r="X581" s="52"/>
      <c r="Y581" s="52"/>
      <c r="Z581" s="52"/>
    </row>
    <row r="582">
      <c r="A582" s="52"/>
      <c r="B582" s="52"/>
      <c r="C582" s="52"/>
      <c r="D582" s="52"/>
      <c r="E582" s="52"/>
      <c r="F582" s="52"/>
      <c r="G582" s="52"/>
      <c r="H582" s="52"/>
      <c r="I582" s="52"/>
      <c r="J582" s="53" t="str">
        <f>IFERROR(__xludf.DUMMYFUNCTION("""COMPUTED_VALUE"""),"")</f>
        <v/>
      </c>
      <c r="K582" s="52"/>
      <c r="L582" s="52" t="str">
        <f t="shared" si="1"/>
        <v/>
      </c>
      <c r="M582" s="52"/>
      <c r="N582" s="52"/>
      <c r="O582" s="52"/>
      <c r="P582" s="52"/>
      <c r="Q582" s="52"/>
      <c r="R582" s="52"/>
      <c r="S582" s="52"/>
      <c r="T582" s="52"/>
      <c r="U582" s="52"/>
      <c r="V582" s="52"/>
      <c r="W582" s="52"/>
      <c r="X582" s="52"/>
      <c r="Y582" s="52"/>
      <c r="Z582" s="52"/>
    </row>
    <row r="583">
      <c r="A583" s="52"/>
      <c r="B583" s="52"/>
      <c r="C583" s="52"/>
      <c r="D583" s="52"/>
      <c r="E583" s="52"/>
      <c r="F583" s="52"/>
      <c r="G583" s="52"/>
      <c r="H583" s="52"/>
      <c r="I583" s="52"/>
      <c r="J583" s="53" t="str">
        <f>IFERROR(__xludf.DUMMYFUNCTION("""COMPUTED_VALUE"""),"")</f>
        <v/>
      </c>
      <c r="K583" s="52"/>
      <c r="L583" s="52" t="str">
        <f t="shared" si="1"/>
        <v/>
      </c>
      <c r="M583" s="52"/>
      <c r="N583" s="52"/>
      <c r="O583" s="52"/>
      <c r="P583" s="52"/>
      <c r="Q583" s="52"/>
      <c r="R583" s="52"/>
      <c r="S583" s="52"/>
      <c r="T583" s="52"/>
      <c r="U583" s="52"/>
      <c r="V583" s="52"/>
      <c r="W583" s="52"/>
      <c r="X583" s="52"/>
      <c r="Y583" s="52"/>
      <c r="Z583" s="52"/>
    </row>
    <row r="584">
      <c r="A584" s="52"/>
      <c r="B584" s="52"/>
      <c r="C584" s="52"/>
      <c r="D584" s="52"/>
      <c r="E584" s="52"/>
      <c r="F584" s="52"/>
      <c r="G584" s="52"/>
      <c r="H584" s="52"/>
      <c r="I584" s="52"/>
      <c r="J584" s="53" t="str">
        <f>IFERROR(__xludf.DUMMYFUNCTION("""COMPUTED_VALUE"""),"")</f>
        <v/>
      </c>
      <c r="K584" s="52"/>
      <c r="L584" s="52" t="str">
        <f t="shared" si="1"/>
        <v/>
      </c>
      <c r="M584" s="52"/>
      <c r="N584" s="52"/>
      <c r="O584" s="52"/>
      <c r="P584" s="52"/>
      <c r="Q584" s="52"/>
      <c r="R584" s="52"/>
      <c r="S584" s="52"/>
      <c r="T584" s="52"/>
      <c r="U584" s="52"/>
      <c r="V584" s="52"/>
      <c r="W584" s="52"/>
      <c r="X584" s="52"/>
      <c r="Y584" s="52"/>
      <c r="Z584" s="52"/>
    </row>
    <row r="585">
      <c r="A585" s="52"/>
      <c r="B585" s="52"/>
      <c r="C585" s="52"/>
      <c r="D585" s="52"/>
      <c r="E585" s="52"/>
      <c r="F585" s="52"/>
      <c r="G585" s="52"/>
      <c r="H585" s="52"/>
      <c r="I585" s="52"/>
      <c r="J585" s="53" t="str">
        <f>IFERROR(__xludf.DUMMYFUNCTION("""COMPUTED_VALUE"""),"")</f>
        <v/>
      </c>
      <c r="K585" s="52"/>
      <c r="L585" s="52" t="str">
        <f t="shared" si="1"/>
        <v/>
      </c>
      <c r="M585" s="52"/>
      <c r="N585" s="52"/>
      <c r="O585" s="52"/>
      <c r="P585" s="52"/>
      <c r="Q585" s="52"/>
      <c r="R585" s="52"/>
      <c r="S585" s="52"/>
      <c r="T585" s="52"/>
      <c r="U585" s="52"/>
      <c r="V585" s="52"/>
      <c r="W585" s="52"/>
      <c r="X585" s="52"/>
      <c r="Y585" s="52"/>
      <c r="Z585" s="52"/>
    </row>
    <row r="586">
      <c r="A586" s="52"/>
      <c r="B586" s="52"/>
      <c r="C586" s="52"/>
      <c r="D586" s="52"/>
      <c r="E586" s="52"/>
      <c r="F586" s="52"/>
      <c r="G586" s="52"/>
      <c r="H586" s="52"/>
      <c r="I586" s="52"/>
      <c r="J586" s="53" t="str">
        <f>IFERROR(__xludf.DUMMYFUNCTION("""COMPUTED_VALUE"""),"")</f>
        <v/>
      </c>
      <c r="K586" s="52"/>
      <c r="L586" s="52" t="str">
        <f t="shared" si="1"/>
        <v/>
      </c>
      <c r="M586" s="52"/>
      <c r="N586" s="52"/>
      <c r="O586" s="52"/>
      <c r="P586" s="52"/>
      <c r="Q586" s="52"/>
      <c r="R586" s="52"/>
      <c r="S586" s="52"/>
      <c r="T586" s="52"/>
      <c r="U586" s="52"/>
      <c r="V586" s="52"/>
      <c r="W586" s="52"/>
      <c r="X586" s="52"/>
      <c r="Y586" s="52"/>
      <c r="Z586" s="52"/>
    </row>
    <row r="587">
      <c r="A587" s="52"/>
      <c r="B587" s="52"/>
      <c r="C587" s="52"/>
      <c r="D587" s="52"/>
      <c r="E587" s="52"/>
      <c r="F587" s="52"/>
      <c r="G587" s="52"/>
      <c r="H587" s="52"/>
      <c r="I587" s="52"/>
      <c r="J587" s="53" t="str">
        <f>IFERROR(__xludf.DUMMYFUNCTION("""COMPUTED_VALUE"""),"")</f>
        <v/>
      </c>
      <c r="K587" s="52"/>
      <c r="L587" s="52" t="str">
        <f t="shared" si="1"/>
        <v/>
      </c>
      <c r="M587" s="52"/>
      <c r="N587" s="52"/>
      <c r="O587" s="52"/>
      <c r="P587" s="52"/>
      <c r="Q587" s="52"/>
      <c r="R587" s="52"/>
      <c r="S587" s="52"/>
      <c r="T587" s="52"/>
      <c r="U587" s="52"/>
      <c r="V587" s="52"/>
      <c r="W587" s="52"/>
      <c r="X587" s="52"/>
      <c r="Y587" s="52"/>
      <c r="Z587" s="52"/>
    </row>
    <row r="588">
      <c r="A588" s="52"/>
      <c r="B588" s="52"/>
      <c r="C588" s="52"/>
      <c r="D588" s="52"/>
      <c r="E588" s="52"/>
      <c r="F588" s="52"/>
      <c r="G588" s="52"/>
      <c r="H588" s="52"/>
      <c r="I588" s="52"/>
      <c r="J588" s="53" t="str">
        <f>IFERROR(__xludf.DUMMYFUNCTION("""COMPUTED_VALUE"""),"")</f>
        <v/>
      </c>
      <c r="K588" s="52"/>
      <c r="L588" s="52" t="str">
        <f t="shared" si="1"/>
        <v/>
      </c>
      <c r="M588" s="52"/>
      <c r="N588" s="52"/>
      <c r="O588" s="52"/>
      <c r="P588" s="52"/>
      <c r="Q588" s="52"/>
      <c r="R588" s="52"/>
      <c r="S588" s="52"/>
      <c r="T588" s="52"/>
      <c r="U588" s="52"/>
      <c r="V588" s="52"/>
      <c r="W588" s="52"/>
      <c r="X588" s="52"/>
      <c r="Y588" s="52"/>
      <c r="Z588" s="52"/>
    </row>
    <row r="589">
      <c r="A589" s="52"/>
      <c r="B589" s="52"/>
      <c r="C589" s="52"/>
      <c r="D589" s="52"/>
      <c r="E589" s="52"/>
      <c r="F589" s="52"/>
      <c r="G589" s="52"/>
      <c r="H589" s="52"/>
      <c r="I589" s="52"/>
      <c r="J589" s="53" t="str">
        <f>IFERROR(__xludf.DUMMYFUNCTION("""COMPUTED_VALUE"""),"")</f>
        <v/>
      </c>
      <c r="K589" s="52"/>
      <c r="L589" s="52" t="str">
        <f t="shared" si="1"/>
        <v/>
      </c>
      <c r="M589" s="52"/>
      <c r="N589" s="52"/>
      <c r="O589" s="52"/>
      <c r="P589" s="52"/>
      <c r="Q589" s="52"/>
      <c r="R589" s="52"/>
      <c r="S589" s="52"/>
      <c r="T589" s="52"/>
      <c r="U589" s="52"/>
      <c r="V589" s="52"/>
      <c r="W589" s="52"/>
      <c r="X589" s="52"/>
      <c r="Y589" s="52"/>
      <c r="Z589" s="52"/>
    </row>
    <row r="590">
      <c r="A590" s="52"/>
      <c r="B590" s="52"/>
      <c r="C590" s="52"/>
      <c r="D590" s="52"/>
      <c r="E590" s="52"/>
      <c r="F590" s="52"/>
      <c r="G590" s="52"/>
      <c r="H590" s="52"/>
      <c r="I590" s="52"/>
      <c r="J590" s="53" t="str">
        <f>IFERROR(__xludf.DUMMYFUNCTION("""COMPUTED_VALUE"""),"")</f>
        <v/>
      </c>
      <c r="K590" s="52"/>
      <c r="L590" s="52" t="str">
        <f t="shared" si="1"/>
        <v/>
      </c>
      <c r="M590" s="52"/>
      <c r="N590" s="52"/>
      <c r="O590" s="52"/>
      <c r="P590" s="52"/>
      <c r="Q590" s="52"/>
      <c r="R590" s="52"/>
      <c r="S590" s="52"/>
      <c r="T590" s="52"/>
      <c r="U590" s="52"/>
      <c r="V590" s="52"/>
      <c r="W590" s="52"/>
      <c r="X590" s="52"/>
      <c r="Y590" s="52"/>
      <c r="Z590" s="52"/>
    </row>
    <row r="591">
      <c r="A591" s="52"/>
      <c r="B591" s="52"/>
      <c r="C591" s="52"/>
      <c r="D591" s="52"/>
      <c r="E591" s="52"/>
      <c r="F591" s="52"/>
      <c r="G591" s="52"/>
      <c r="H591" s="52"/>
      <c r="I591" s="52"/>
      <c r="J591" s="53" t="str">
        <f>IFERROR(__xludf.DUMMYFUNCTION("""COMPUTED_VALUE"""),"")</f>
        <v/>
      </c>
      <c r="K591" s="52"/>
      <c r="L591" s="52" t="str">
        <f t="shared" si="1"/>
        <v/>
      </c>
      <c r="M591" s="52"/>
      <c r="N591" s="52"/>
      <c r="O591" s="52"/>
      <c r="P591" s="52"/>
      <c r="Q591" s="52"/>
      <c r="R591" s="52"/>
      <c r="S591" s="52"/>
      <c r="T591" s="52"/>
      <c r="U591" s="52"/>
      <c r="V591" s="52"/>
      <c r="W591" s="52"/>
      <c r="X591" s="52"/>
      <c r="Y591" s="52"/>
      <c r="Z591" s="52"/>
    </row>
    <row r="592">
      <c r="A592" s="52"/>
      <c r="B592" s="52"/>
      <c r="C592" s="52"/>
      <c r="D592" s="52"/>
      <c r="E592" s="52"/>
      <c r="F592" s="52"/>
      <c r="G592" s="52"/>
      <c r="H592" s="52"/>
      <c r="I592" s="52"/>
      <c r="J592" s="53" t="str">
        <f>IFERROR(__xludf.DUMMYFUNCTION("""COMPUTED_VALUE"""),"")</f>
        <v/>
      </c>
      <c r="K592" s="52"/>
      <c r="L592" s="52" t="str">
        <f t="shared" si="1"/>
        <v/>
      </c>
      <c r="M592" s="52"/>
      <c r="N592" s="52"/>
      <c r="O592" s="52"/>
      <c r="P592" s="52"/>
      <c r="Q592" s="52"/>
      <c r="R592" s="52"/>
      <c r="S592" s="52"/>
      <c r="T592" s="52"/>
      <c r="U592" s="52"/>
      <c r="V592" s="52"/>
      <c r="W592" s="52"/>
      <c r="X592" s="52"/>
      <c r="Y592" s="52"/>
      <c r="Z592" s="52"/>
    </row>
    <row r="593">
      <c r="A593" s="52"/>
      <c r="B593" s="52"/>
      <c r="C593" s="52"/>
      <c r="D593" s="52"/>
      <c r="E593" s="52"/>
      <c r="F593" s="52"/>
      <c r="G593" s="52"/>
      <c r="H593" s="52"/>
      <c r="I593" s="52"/>
      <c r="J593" s="53" t="str">
        <f>IFERROR(__xludf.DUMMYFUNCTION("""COMPUTED_VALUE"""),"")</f>
        <v/>
      </c>
      <c r="K593" s="52"/>
      <c r="L593" s="52" t="str">
        <f t="shared" si="1"/>
        <v/>
      </c>
      <c r="M593" s="52"/>
      <c r="N593" s="52"/>
      <c r="O593" s="52"/>
      <c r="P593" s="52"/>
      <c r="Q593" s="52"/>
      <c r="R593" s="52"/>
      <c r="S593" s="52"/>
      <c r="T593" s="52"/>
      <c r="U593" s="52"/>
      <c r="V593" s="52"/>
      <c r="W593" s="52"/>
      <c r="X593" s="52"/>
      <c r="Y593" s="52"/>
      <c r="Z593" s="52"/>
    </row>
    <row r="594">
      <c r="A594" s="52"/>
      <c r="B594" s="52"/>
      <c r="C594" s="52"/>
      <c r="D594" s="52"/>
      <c r="E594" s="52"/>
      <c r="F594" s="52"/>
      <c r="G594" s="52"/>
      <c r="H594" s="52"/>
      <c r="I594" s="52"/>
      <c r="J594" s="53" t="str">
        <f>IFERROR(__xludf.DUMMYFUNCTION("""COMPUTED_VALUE"""),"")</f>
        <v/>
      </c>
      <c r="K594" s="52"/>
      <c r="L594" s="52" t="str">
        <f t="shared" si="1"/>
        <v/>
      </c>
      <c r="M594" s="52"/>
      <c r="N594" s="52"/>
      <c r="O594" s="52"/>
      <c r="P594" s="52"/>
      <c r="Q594" s="52"/>
      <c r="R594" s="52"/>
      <c r="S594" s="52"/>
      <c r="T594" s="52"/>
      <c r="U594" s="52"/>
      <c r="V594" s="52"/>
      <c r="W594" s="52"/>
      <c r="X594" s="52"/>
      <c r="Y594" s="52"/>
      <c r="Z594" s="52"/>
    </row>
    <row r="595">
      <c r="A595" s="52"/>
      <c r="B595" s="52"/>
      <c r="C595" s="52"/>
      <c r="D595" s="52"/>
      <c r="E595" s="52"/>
      <c r="F595" s="52"/>
      <c r="G595" s="52"/>
      <c r="H595" s="52"/>
      <c r="I595" s="52"/>
      <c r="J595" s="53" t="str">
        <f>IFERROR(__xludf.DUMMYFUNCTION("""COMPUTED_VALUE"""),"")</f>
        <v/>
      </c>
      <c r="K595" s="52"/>
      <c r="L595" s="52" t="str">
        <f t="shared" si="1"/>
        <v/>
      </c>
      <c r="M595" s="52"/>
      <c r="N595" s="52"/>
      <c r="O595" s="52"/>
      <c r="P595" s="52"/>
      <c r="Q595" s="52"/>
      <c r="R595" s="52"/>
      <c r="S595" s="52"/>
      <c r="T595" s="52"/>
      <c r="U595" s="52"/>
      <c r="V595" s="52"/>
      <c r="W595" s="52"/>
      <c r="X595" s="52"/>
      <c r="Y595" s="52"/>
      <c r="Z595" s="52"/>
    </row>
    <row r="596">
      <c r="A596" s="52"/>
      <c r="B596" s="52"/>
      <c r="C596" s="52"/>
      <c r="D596" s="52"/>
      <c r="E596" s="52"/>
      <c r="F596" s="52"/>
      <c r="G596" s="52"/>
      <c r="H596" s="52"/>
      <c r="I596" s="52"/>
      <c r="J596" s="53" t="str">
        <f>IFERROR(__xludf.DUMMYFUNCTION("""COMPUTED_VALUE"""),"")</f>
        <v/>
      </c>
      <c r="K596" s="52"/>
      <c r="L596" s="52" t="str">
        <f t="shared" si="1"/>
        <v/>
      </c>
      <c r="M596" s="52"/>
      <c r="N596" s="52"/>
      <c r="O596" s="52"/>
      <c r="P596" s="52"/>
      <c r="Q596" s="52"/>
      <c r="R596" s="52"/>
      <c r="S596" s="52"/>
      <c r="T596" s="52"/>
      <c r="U596" s="52"/>
      <c r="V596" s="52"/>
      <c r="W596" s="52"/>
      <c r="X596" s="52"/>
      <c r="Y596" s="52"/>
      <c r="Z596" s="52"/>
    </row>
    <row r="597">
      <c r="A597" s="52"/>
      <c r="B597" s="52"/>
      <c r="C597" s="52"/>
      <c r="D597" s="52"/>
      <c r="E597" s="52"/>
      <c r="F597" s="52"/>
      <c r="G597" s="52"/>
      <c r="H597" s="52"/>
      <c r="I597" s="52"/>
      <c r="J597" s="53" t="str">
        <f>IFERROR(__xludf.DUMMYFUNCTION("""COMPUTED_VALUE"""),"")</f>
        <v/>
      </c>
      <c r="K597" s="52"/>
      <c r="L597" s="52" t="str">
        <f t="shared" si="1"/>
        <v/>
      </c>
      <c r="M597" s="52"/>
      <c r="N597" s="52"/>
      <c r="O597" s="52"/>
      <c r="P597" s="52"/>
      <c r="Q597" s="52"/>
      <c r="R597" s="52"/>
      <c r="S597" s="52"/>
      <c r="T597" s="52"/>
      <c r="U597" s="52"/>
      <c r="V597" s="52"/>
      <c r="W597" s="52"/>
      <c r="X597" s="52"/>
      <c r="Y597" s="52"/>
      <c r="Z597" s="52"/>
    </row>
    <row r="598">
      <c r="A598" s="52"/>
      <c r="B598" s="52"/>
      <c r="C598" s="52"/>
      <c r="D598" s="52"/>
      <c r="E598" s="52"/>
      <c r="F598" s="52"/>
      <c r="G598" s="52"/>
      <c r="H598" s="52"/>
      <c r="I598" s="52"/>
      <c r="J598" s="53" t="str">
        <f>IFERROR(__xludf.DUMMYFUNCTION("""COMPUTED_VALUE"""),"")</f>
        <v/>
      </c>
      <c r="K598" s="52"/>
      <c r="L598" s="52" t="str">
        <f t="shared" si="1"/>
        <v/>
      </c>
      <c r="M598" s="52"/>
      <c r="N598" s="52"/>
      <c r="O598" s="52"/>
      <c r="P598" s="52"/>
      <c r="Q598" s="52"/>
      <c r="R598" s="52"/>
      <c r="S598" s="52"/>
      <c r="T598" s="52"/>
      <c r="U598" s="52"/>
      <c r="V598" s="52"/>
      <c r="W598" s="52"/>
      <c r="X598" s="52"/>
      <c r="Y598" s="52"/>
      <c r="Z598" s="52"/>
    </row>
    <row r="599">
      <c r="A599" s="52"/>
      <c r="B599" s="52"/>
      <c r="C599" s="52"/>
      <c r="D599" s="52"/>
      <c r="E599" s="52"/>
      <c r="F599" s="52"/>
      <c r="G599" s="52"/>
      <c r="H599" s="52"/>
      <c r="I599" s="52"/>
      <c r="J599" s="53" t="str">
        <f>IFERROR(__xludf.DUMMYFUNCTION("""COMPUTED_VALUE"""),"")</f>
        <v/>
      </c>
      <c r="K599" s="52"/>
      <c r="L599" s="52" t="str">
        <f t="shared" si="1"/>
        <v/>
      </c>
      <c r="M599" s="52"/>
      <c r="N599" s="52"/>
      <c r="O599" s="52"/>
      <c r="P599" s="52"/>
      <c r="Q599" s="52"/>
      <c r="R599" s="52"/>
      <c r="S599" s="52"/>
      <c r="T599" s="52"/>
      <c r="U599" s="52"/>
      <c r="V599" s="52"/>
      <c r="W599" s="52"/>
      <c r="X599" s="52"/>
      <c r="Y599" s="52"/>
      <c r="Z599" s="52"/>
    </row>
    <row r="600">
      <c r="A600" s="52"/>
      <c r="B600" s="52"/>
      <c r="C600" s="52"/>
      <c r="D600" s="52"/>
      <c r="E600" s="52"/>
      <c r="F600" s="52"/>
      <c r="G600" s="52"/>
      <c r="H600" s="52"/>
      <c r="I600" s="52"/>
      <c r="J600" s="53" t="str">
        <f>IFERROR(__xludf.DUMMYFUNCTION("""COMPUTED_VALUE"""),"")</f>
        <v/>
      </c>
      <c r="K600" s="52"/>
      <c r="L600" s="52" t="str">
        <f t="shared" si="1"/>
        <v/>
      </c>
      <c r="M600" s="52"/>
      <c r="N600" s="52"/>
      <c r="O600" s="52"/>
      <c r="P600" s="52"/>
      <c r="Q600" s="52"/>
      <c r="R600" s="52"/>
      <c r="S600" s="52"/>
      <c r="T600" s="52"/>
      <c r="U600" s="52"/>
      <c r="V600" s="52"/>
      <c r="W600" s="52"/>
      <c r="X600" s="52"/>
      <c r="Y600" s="52"/>
      <c r="Z600" s="52"/>
    </row>
    <row r="601">
      <c r="A601" s="52"/>
      <c r="B601" s="52"/>
      <c r="C601" s="52"/>
      <c r="D601" s="52"/>
      <c r="E601" s="52"/>
      <c r="F601" s="52"/>
      <c r="G601" s="52"/>
      <c r="H601" s="52"/>
      <c r="I601" s="52"/>
      <c r="J601" s="53" t="str">
        <f>IFERROR(__xludf.DUMMYFUNCTION("""COMPUTED_VALUE"""),"")</f>
        <v/>
      </c>
      <c r="K601" s="52"/>
      <c r="L601" s="52" t="str">
        <f t="shared" si="1"/>
        <v/>
      </c>
      <c r="M601" s="52"/>
      <c r="N601" s="52"/>
      <c r="O601" s="52"/>
      <c r="P601" s="52"/>
      <c r="Q601" s="52"/>
      <c r="R601" s="52"/>
      <c r="S601" s="52"/>
      <c r="T601" s="52"/>
      <c r="U601" s="52"/>
      <c r="V601" s="52"/>
      <c r="W601" s="52"/>
      <c r="X601" s="52"/>
      <c r="Y601" s="52"/>
      <c r="Z601" s="52"/>
    </row>
    <row r="602">
      <c r="A602" s="52"/>
      <c r="B602" s="52"/>
      <c r="C602" s="52"/>
      <c r="D602" s="52"/>
      <c r="E602" s="52"/>
      <c r="F602" s="52"/>
      <c r="G602" s="52"/>
      <c r="H602" s="52"/>
      <c r="I602" s="52"/>
      <c r="J602" s="53" t="str">
        <f>IFERROR(__xludf.DUMMYFUNCTION("""COMPUTED_VALUE"""),"")</f>
        <v/>
      </c>
      <c r="K602" s="52"/>
      <c r="L602" s="52" t="str">
        <f t="shared" si="1"/>
        <v/>
      </c>
      <c r="M602" s="52"/>
      <c r="N602" s="52"/>
      <c r="O602" s="52"/>
      <c r="P602" s="52"/>
      <c r="Q602" s="52"/>
      <c r="R602" s="52"/>
      <c r="S602" s="52"/>
      <c r="T602" s="52"/>
      <c r="U602" s="52"/>
      <c r="V602" s="52"/>
      <c r="W602" s="52"/>
      <c r="X602" s="52"/>
      <c r="Y602" s="52"/>
      <c r="Z602" s="52"/>
    </row>
    <row r="603">
      <c r="A603" s="52"/>
      <c r="B603" s="52"/>
      <c r="C603" s="52"/>
      <c r="D603" s="52"/>
      <c r="E603" s="52"/>
      <c r="F603" s="52"/>
      <c r="G603" s="52"/>
      <c r="H603" s="52"/>
      <c r="I603" s="52"/>
      <c r="J603" s="53" t="str">
        <f>IFERROR(__xludf.DUMMYFUNCTION("""COMPUTED_VALUE"""),"")</f>
        <v/>
      </c>
      <c r="K603" s="52"/>
      <c r="L603" s="52" t="str">
        <f t="shared" si="1"/>
        <v/>
      </c>
      <c r="M603" s="52"/>
      <c r="N603" s="52"/>
      <c r="O603" s="52"/>
      <c r="P603" s="52"/>
      <c r="Q603" s="52"/>
      <c r="R603" s="52"/>
      <c r="S603" s="52"/>
      <c r="T603" s="52"/>
      <c r="U603" s="52"/>
      <c r="V603" s="52"/>
      <c r="W603" s="52"/>
      <c r="X603" s="52"/>
      <c r="Y603" s="52"/>
      <c r="Z603" s="52"/>
    </row>
    <row r="604">
      <c r="A604" s="52"/>
      <c r="B604" s="52"/>
      <c r="C604" s="52"/>
      <c r="D604" s="52"/>
      <c r="E604" s="52"/>
      <c r="F604" s="52"/>
      <c r="G604" s="52"/>
      <c r="H604" s="52"/>
      <c r="I604" s="52"/>
      <c r="J604" s="53" t="str">
        <f>IFERROR(__xludf.DUMMYFUNCTION("""COMPUTED_VALUE"""),"")</f>
        <v/>
      </c>
      <c r="K604" s="52"/>
      <c r="L604" s="52"/>
      <c r="M604" s="52"/>
      <c r="N604" s="52"/>
      <c r="O604" s="52"/>
      <c r="P604" s="52"/>
      <c r="Q604" s="52"/>
      <c r="R604" s="52"/>
      <c r="S604" s="52"/>
      <c r="T604" s="52"/>
      <c r="U604" s="52"/>
      <c r="V604" s="52"/>
      <c r="W604" s="52"/>
      <c r="X604" s="52"/>
      <c r="Y604" s="52"/>
      <c r="Z604" s="52"/>
    </row>
    <row r="605">
      <c r="A605" s="52"/>
      <c r="B605" s="52"/>
      <c r="C605" s="52"/>
      <c r="D605" s="52"/>
      <c r="E605" s="52"/>
      <c r="F605" s="52"/>
      <c r="G605" s="52"/>
      <c r="H605" s="52"/>
      <c r="I605" s="52"/>
      <c r="J605" s="53" t="str">
        <f>IFERROR(__xludf.DUMMYFUNCTION("""COMPUTED_VALUE"""),"")</f>
        <v/>
      </c>
      <c r="K605" s="52"/>
      <c r="L605" s="52"/>
      <c r="M605" s="52"/>
      <c r="N605" s="52"/>
      <c r="O605" s="52"/>
      <c r="P605" s="52"/>
      <c r="Q605" s="52"/>
      <c r="R605" s="52"/>
      <c r="S605" s="52"/>
      <c r="T605" s="52"/>
      <c r="U605" s="52"/>
      <c r="V605" s="52"/>
      <c r="W605" s="52"/>
      <c r="X605" s="52"/>
      <c r="Y605" s="52"/>
      <c r="Z605" s="52"/>
    </row>
    <row r="606">
      <c r="A606" s="52"/>
      <c r="B606" s="52"/>
      <c r="C606" s="52"/>
      <c r="D606" s="52"/>
      <c r="E606" s="52"/>
      <c r="F606" s="52"/>
      <c r="G606" s="52"/>
      <c r="H606" s="52"/>
      <c r="I606" s="52"/>
      <c r="J606" s="53" t="str">
        <f>IFERROR(__xludf.DUMMYFUNCTION("""COMPUTED_VALUE"""),"")</f>
        <v/>
      </c>
      <c r="K606" s="52"/>
      <c r="L606" s="52"/>
      <c r="M606" s="52"/>
      <c r="N606" s="52"/>
      <c r="O606" s="52"/>
      <c r="P606" s="52"/>
      <c r="Q606" s="52"/>
      <c r="R606" s="52"/>
      <c r="S606" s="52"/>
      <c r="T606" s="52"/>
      <c r="U606" s="52"/>
      <c r="V606" s="52"/>
      <c r="W606" s="52"/>
      <c r="X606" s="52"/>
      <c r="Y606" s="52"/>
      <c r="Z606" s="52"/>
    </row>
    <row r="607">
      <c r="A607" s="52"/>
      <c r="B607" s="52"/>
      <c r="C607" s="52"/>
      <c r="D607" s="52"/>
      <c r="E607" s="52"/>
      <c r="F607" s="52"/>
      <c r="G607" s="52"/>
      <c r="H607" s="52"/>
      <c r="I607" s="52"/>
      <c r="J607" s="53" t="str">
        <f>IFERROR(__xludf.DUMMYFUNCTION("""COMPUTED_VALUE"""),"")</f>
        <v/>
      </c>
      <c r="K607" s="52"/>
      <c r="L607" s="52"/>
      <c r="M607" s="52"/>
      <c r="N607" s="52"/>
      <c r="O607" s="52"/>
      <c r="P607" s="52"/>
      <c r="Q607" s="52"/>
      <c r="R607" s="52"/>
      <c r="S607" s="52"/>
      <c r="T607" s="52"/>
      <c r="U607" s="52"/>
      <c r="V607" s="52"/>
      <c r="W607" s="52"/>
      <c r="X607" s="52"/>
      <c r="Y607" s="52"/>
      <c r="Z607" s="52"/>
    </row>
    <row r="608">
      <c r="A608" s="52"/>
      <c r="B608" s="52"/>
      <c r="C608" s="52"/>
      <c r="D608" s="52"/>
      <c r="E608" s="52"/>
      <c r="F608" s="52"/>
      <c r="G608" s="52"/>
      <c r="H608" s="52"/>
      <c r="I608" s="52"/>
      <c r="J608" s="53" t="str">
        <f>IFERROR(__xludf.DUMMYFUNCTION("""COMPUTED_VALUE"""),"")</f>
        <v/>
      </c>
      <c r="K608" s="52"/>
      <c r="L608" s="52"/>
      <c r="M608" s="52"/>
      <c r="N608" s="52"/>
      <c r="O608" s="52"/>
      <c r="P608" s="52"/>
      <c r="Q608" s="52"/>
      <c r="R608" s="52"/>
      <c r="S608" s="52"/>
      <c r="T608" s="52"/>
      <c r="U608" s="52"/>
      <c r="V608" s="52"/>
      <c r="W608" s="52"/>
      <c r="X608" s="52"/>
      <c r="Y608" s="52"/>
      <c r="Z608" s="52"/>
    </row>
    <row r="609">
      <c r="A609" s="52"/>
      <c r="B609" s="52"/>
      <c r="C609" s="52"/>
      <c r="D609" s="52"/>
      <c r="E609" s="52"/>
      <c r="F609" s="52"/>
      <c r="G609" s="52"/>
      <c r="H609" s="52"/>
      <c r="I609" s="52"/>
      <c r="J609" s="53" t="str">
        <f>IFERROR(__xludf.DUMMYFUNCTION("""COMPUTED_VALUE"""),"")</f>
        <v/>
      </c>
      <c r="K609" s="52"/>
      <c r="L609" s="52"/>
      <c r="M609" s="52"/>
      <c r="N609" s="52"/>
      <c r="O609" s="52"/>
      <c r="P609" s="52"/>
      <c r="Q609" s="52"/>
      <c r="R609" s="52"/>
      <c r="S609" s="52"/>
      <c r="T609" s="52"/>
      <c r="U609" s="52"/>
      <c r="V609" s="52"/>
      <c r="W609" s="52"/>
      <c r="X609" s="52"/>
      <c r="Y609" s="52"/>
      <c r="Z609" s="52"/>
    </row>
    <row r="610">
      <c r="A610" s="52"/>
      <c r="B610" s="52"/>
      <c r="C610" s="52"/>
      <c r="D610" s="52"/>
      <c r="E610" s="52"/>
      <c r="F610" s="52"/>
      <c r="G610" s="52"/>
      <c r="H610" s="52"/>
      <c r="I610" s="52"/>
      <c r="J610" s="53" t="str">
        <f>IFERROR(__xludf.DUMMYFUNCTION("""COMPUTED_VALUE"""),"")</f>
        <v/>
      </c>
      <c r="K610" s="52"/>
      <c r="L610" s="52"/>
      <c r="M610" s="52"/>
      <c r="N610" s="52"/>
      <c r="O610" s="52"/>
      <c r="P610" s="52"/>
      <c r="Q610" s="52"/>
      <c r="R610" s="52"/>
      <c r="S610" s="52"/>
      <c r="T610" s="52"/>
      <c r="U610" s="52"/>
      <c r="V610" s="52"/>
      <c r="W610" s="52"/>
      <c r="X610" s="52"/>
      <c r="Y610" s="52"/>
      <c r="Z610" s="52"/>
    </row>
    <row r="611">
      <c r="A611" s="52"/>
      <c r="B611" s="52"/>
      <c r="C611" s="52"/>
      <c r="D611" s="52"/>
      <c r="E611" s="52"/>
      <c r="F611" s="52"/>
      <c r="G611" s="52"/>
      <c r="H611" s="52"/>
      <c r="I611" s="52"/>
      <c r="J611" s="53" t="str">
        <f>IFERROR(__xludf.DUMMYFUNCTION("""COMPUTED_VALUE"""),"")</f>
        <v/>
      </c>
      <c r="K611" s="52"/>
      <c r="L611" s="52"/>
      <c r="M611" s="52"/>
      <c r="N611" s="52"/>
      <c r="O611" s="52"/>
      <c r="P611" s="52"/>
      <c r="Q611" s="52"/>
      <c r="R611" s="52"/>
      <c r="S611" s="52"/>
      <c r="T611" s="52"/>
      <c r="U611" s="52"/>
      <c r="V611" s="52"/>
      <c r="W611" s="52"/>
      <c r="X611" s="52"/>
      <c r="Y611" s="52"/>
      <c r="Z611" s="52"/>
    </row>
    <row r="612">
      <c r="A612" s="52"/>
      <c r="B612" s="52"/>
      <c r="C612" s="52"/>
      <c r="D612" s="52"/>
      <c r="E612" s="52"/>
      <c r="F612" s="52"/>
      <c r="G612" s="52"/>
      <c r="H612" s="52"/>
      <c r="I612" s="52"/>
      <c r="J612" s="53" t="str">
        <f>IFERROR(__xludf.DUMMYFUNCTION("""COMPUTED_VALUE"""),"")</f>
        <v/>
      </c>
      <c r="K612" s="52"/>
      <c r="L612" s="52"/>
      <c r="M612" s="52"/>
      <c r="N612" s="52"/>
      <c r="O612" s="52"/>
      <c r="P612" s="52"/>
      <c r="Q612" s="52"/>
      <c r="R612" s="52"/>
      <c r="S612" s="52"/>
      <c r="T612" s="52"/>
      <c r="U612" s="52"/>
      <c r="V612" s="52"/>
      <c r="W612" s="52"/>
      <c r="X612" s="52"/>
      <c r="Y612" s="52"/>
      <c r="Z612" s="52"/>
    </row>
    <row r="613">
      <c r="A613" s="52"/>
      <c r="B613" s="52"/>
      <c r="C613" s="52"/>
      <c r="D613" s="52"/>
      <c r="E613" s="52"/>
      <c r="F613" s="52"/>
      <c r="G613" s="52"/>
      <c r="H613" s="52"/>
      <c r="I613" s="52"/>
      <c r="J613" s="53" t="str">
        <f>IFERROR(__xludf.DUMMYFUNCTION("""COMPUTED_VALUE"""),"")</f>
        <v/>
      </c>
      <c r="K613" s="52"/>
      <c r="L613" s="52"/>
      <c r="M613" s="52"/>
      <c r="N613" s="52"/>
      <c r="O613" s="52"/>
      <c r="P613" s="52"/>
      <c r="Q613" s="52"/>
      <c r="R613" s="52"/>
      <c r="S613" s="52"/>
      <c r="T613" s="52"/>
      <c r="U613" s="52"/>
      <c r="V613" s="52"/>
      <c r="W613" s="52"/>
      <c r="X613" s="52"/>
      <c r="Y613" s="52"/>
      <c r="Z613" s="52"/>
    </row>
    <row r="614">
      <c r="A614" s="52"/>
      <c r="B614" s="52"/>
      <c r="C614" s="52"/>
      <c r="D614" s="52"/>
      <c r="E614" s="52"/>
      <c r="F614" s="52"/>
      <c r="G614" s="52"/>
      <c r="H614" s="52"/>
      <c r="I614" s="52"/>
      <c r="J614" s="53" t="str">
        <f>IFERROR(__xludf.DUMMYFUNCTION("""COMPUTED_VALUE"""),"")</f>
        <v/>
      </c>
      <c r="K614" s="52"/>
      <c r="L614" s="52"/>
      <c r="M614" s="52"/>
      <c r="N614" s="52"/>
      <c r="O614" s="52"/>
      <c r="P614" s="52"/>
      <c r="Q614" s="52"/>
      <c r="R614" s="52"/>
      <c r="S614" s="52"/>
      <c r="T614" s="52"/>
      <c r="U614" s="52"/>
      <c r="V614" s="52"/>
      <c r="W614" s="52"/>
      <c r="X614" s="52"/>
      <c r="Y614" s="52"/>
      <c r="Z614" s="52"/>
    </row>
    <row r="615">
      <c r="A615" s="52"/>
      <c r="B615" s="52"/>
      <c r="C615" s="52"/>
      <c r="D615" s="52"/>
      <c r="E615" s="52"/>
      <c r="F615" s="52"/>
      <c r="G615" s="52"/>
      <c r="H615" s="52"/>
      <c r="I615" s="52"/>
      <c r="J615" s="53" t="str">
        <f>IFERROR(__xludf.DUMMYFUNCTION("""COMPUTED_VALUE"""),"")</f>
        <v/>
      </c>
      <c r="K615" s="52"/>
      <c r="L615" s="52"/>
      <c r="M615" s="52"/>
      <c r="N615" s="52"/>
      <c r="O615" s="52"/>
      <c r="P615" s="52"/>
      <c r="Q615" s="52"/>
      <c r="R615" s="52"/>
      <c r="S615" s="52"/>
      <c r="T615" s="52"/>
      <c r="U615" s="52"/>
      <c r="V615" s="52"/>
      <c r="W615" s="52"/>
      <c r="X615" s="52"/>
      <c r="Y615" s="52"/>
      <c r="Z615" s="52"/>
    </row>
    <row r="616">
      <c r="A616" s="52"/>
      <c r="B616" s="52"/>
      <c r="C616" s="52"/>
      <c r="D616" s="52"/>
      <c r="E616" s="52"/>
      <c r="F616" s="52"/>
      <c r="G616" s="52"/>
      <c r="H616" s="52"/>
      <c r="I616" s="52"/>
      <c r="J616" s="53" t="str">
        <f>IFERROR(__xludf.DUMMYFUNCTION("""COMPUTED_VALUE"""),"")</f>
        <v/>
      </c>
      <c r="K616" s="52"/>
      <c r="L616" s="52"/>
      <c r="M616" s="52"/>
      <c r="N616" s="52"/>
      <c r="O616" s="52"/>
      <c r="P616" s="52"/>
      <c r="Q616" s="52"/>
      <c r="R616" s="52"/>
      <c r="S616" s="52"/>
      <c r="T616" s="52"/>
      <c r="U616" s="52"/>
      <c r="V616" s="52"/>
      <c r="W616" s="52"/>
      <c r="X616" s="52"/>
      <c r="Y616" s="52"/>
      <c r="Z616" s="52"/>
    </row>
    <row r="617">
      <c r="A617" s="52"/>
      <c r="B617" s="52"/>
      <c r="C617" s="52"/>
      <c r="D617" s="52"/>
      <c r="E617" s="52"/>
      <c r="F617" s="52"/>
      <c r="G617" s="52"/>
      <c r="H617" s="52"/>
      <c r="I617" s="52"/>
      <c r="J617" s="53" t="str">
        <f>IFERROR(__xludf.DUMMYFUNCTION("""COMPUTED_VALUE"""),"")</f>
        <v/>
      </c>
      <c r="K617" s="52"/>
      <c r="L617" s="52"/>
      <c r="M617" s="52"/>
      <c r="N617" s="52"/>
      <c r="O617" s="52"/>
      <c r="P617" s="52"/>
      <c r="Q617" s="52"/>
      <c r="R617" s="52"/>
      <c r="S617" s="52"/>
      <c r="T617" s="52"/>
      <c r="U617" s="52"/>
      <c r="V617" s="52"/>
      <c r="W617" s="52"/>
      <c r="X617" s="52"/>
      <c r="Y617" s="52"/>
      <c r="Z617" s="52"/>
    </row>
    <row r="618">
      <c r="A618" s="52"/>
      <c r="B618" s="52"/>
      <c r="C618" s="52"/>
      <c r="D618" s="52"/>
      <c r="E618" s="52"/>
      <c r="F618" s="52"/>
      <c r="G618" s="52"/>
      <c r="H618" s="52"/>
      <c r="I618" s="52"/>
      <c r="J618" s="53" t="str">
        <f>IFERROR(__xludf.DUMMYFUNCTION("""COMPUTED_VALUE"""),"")</f>
        <v/>
      </c>
      <c r="K618" s="52"/>
      <c r="L618" s="52"/>
      <c r="M618" s="52"/>
      <c r="N618" s="52"/>
      <c r="O618" s="52"/>
      <c r="P618" s="52"/>
      <c r="Q618" s="52"/>
      <c r="R618" s="52"/>
      <c r="S618" s="52"/>
      <c r="T618" s="52"/>
      <c r="U618" s="52"/>
      <c r="V618" s="52"/>
      <c r="W618" s="52"/>
      <c r="X618" s="52"/>
      <c r="Y618" s="52"/>
      <c r="Z618" s="52"/>
    </row>
    <row r="619">
      <c r="A619" s="52"/>
      <c r="B619" s="52"/>
      <c r="C619" s="52"/>
      <c r="D619" s="52"/>
      <c r="E619" s="52"/>
      <c r="F619" s="52"/>
      <c r="G619" s="52"/>
      <c r="H619" s="52"/>
      <c r="I619" s="52"/>
      <c r="J619" s="53" t="str">
        <f>IFERROR(__xludf.DUMMYFUNCTION("""COMPUTED_VALUE"""),"")</f>
        <v/>
      </c>
      <c r="K619" s="52"/>
      <c r="L619" s="52"/>
      <c r="M619" s="52"/>
      <c r="N619" s="52"/>
      <c r="O619" s="52"/>
      <c r="P619" s="52"/>
      <c r="Q619" s="52"/>
      <c r="R619" s="52"/>
      <c r="S619" s="52"/>
      <c r="T619" s="52"/>
      <c r="U619" s="52"/>
      <c r="V619" s="52"/>
      <c r="W619" s="52"/>
      <c r="X619" s="52"/>
      <c r="Y619" s="52"/>
      <c r="Z619" s="52"/>
    </row>
    <row r="620">
      <c r="A620" s="52"/>
      <c r="B620" s="52"/>
      <c r="C620" s="52"/>
      <c r="D620" s="52"/>
      <c r="E620" s="52"/>
      <c r="F620" s="52"/>
      <c r="G620" s="52"/>
      <c r="H620" s="52"/>
      <c r="I620" s="52"/>
      <c r="J620" s="53" t="str">
        <f>IFERROR(__xludf.DUMMYFUNCTION("""COMPUTED_VALUE"""),"")</f>
        <v/>
      </c>
      <c r="K620" s="52"/>
      <c r="L620" s="52"/>
      <c r="M620" s="52"/>
      <c r="N620" s="52"/>
      <c r="O620" s="52"/>
      <c r="P620" s="52"/>
      <c r="Q620" s="52"/>
      <c r="R620" s="52"/>
      <c r="S620" s="52"/>
      <c r="T620" s="52"/>
      <c r="U620" s="52"/>
      <c r="V620" s="52"/>
      <c r="W620" s="52"/>
      <c r="X620" s="52"/>
      <c r="Y620" s="52"/>
      <c r="Z620" s="52"/>
    </row>
    <row r="621">
      <c r="A621" s="52"/>
      <c r="B621" s="52"/>
      <c r="C621" s="52"/>
      <c r="D621" s="52"/>
      <c r="E621" s="52"/>
      <c r="F621" s="52"/>
      <c r="G621" s="52"/>
      <c r="H621" s="52"/>
      <c r="I621" s="52"/>
      <c r="J621" s="53" t="str">
        <f>IFERROR(__xludf.DUMMYFUNCTION("""COMPUTED_VALUE"""),"")</f>
        <v/>
      </c>
      <c r="K621" s="52"/>
      <c r="L621" s="52"/>
      <c r="M621" s="52"/>
      <c r="N621" s="52"/>
      <c r="O621" s="52"/>
      <c r="P621" s="52"/>
      <c r="Q621" s="52"/>
      <c r="R621" s="52"/>
      <c r="S621" s="52"/>
      <c r="T621" s="52"/>
      <c r="U621" s="52"/>
      <c r="V621" s="52"/>
      <c r="W621" s="52"/>
      <c r="X621" s="52"/>
      <c r="Y621" s="52"/>
      <c r="Z621" s="52"/>
    </row>
    <row r="622">
      <c r="A622" s="52"/>
      <c r="B622" s="52"/>
      <c r="C622" s="52"/>
      <c r="D622" s="52"/>
      <c r="E622" s="52"/>
      <c r="F622" s="52"/>
      <c r="G622" s="52"/>
      <c r="H622" s="52"/>
      <c r="I622" s="52"/>
      <c r="J622" s="53" t="str">
        <f>IFERROR(__xludf.DUMMYFUNCTION("""COMPUTED_VALUE"""),"")</f>
        <v/>
      </c>
      <c r="K622" s="52"/>
      <c r="L622" s="52"/>
      <c r="M622" s="52"/>
      <c r="N622" s="52"/>
      <c r="O622" s="52"/>
      <c r="P622" s="52"/>
      <c r="Q622" s="52"/>
      <c r="R622" s="52"/>
      <c r="S622" s="52"/>
      <c r="T622" s="52"/>
      <c r="U622" s="52"/>
      <c r="V622" s="52"/>
      <c r="W622" s="52"/>
      <c r="X622" s="52"/>
      <c r="Y622" s="52"/>
      <c r="Z622" s="52"/>
    </row>
    <row r="623">
      <c r="A623" s="52"/>
      <c r="B623" s="52"/>
      <c r="C623" s="52"/>
      <c r="D623" s="52"/>
      <c r="E623" s="52"/>
      <c r="F623" s="52"/>
      <c r="G623" s="52"/>
      <c r="H623" s="52"/>
      <c r="I623" s="52"/>
      <c r="J623" s="53" t="str">
        <f>IFERROR(__xludf.DUMMYFUNCTION("""COMPUTED_VALUE"""),"")</f>
        <v/>
      </c>
      <c r="K623" s="52"/>
      <c r="L623" s="52"/>
      <c r="M623" s="52"/>
      <c r="N623" s="52"/>
      <c r="O623" s="52"/>
      <c r="P623" s="52"/>
      <c r="Q623" s="52"/>
      <c r="R623" s="52"/>
      <c r="S623" s="52"/>
      <c r="T623" s="52"/>
      <c r="U623" s="52"/>
      <c r="V623" s="52"/>
      <c r="W623" s="52"/>
      <c r="X623" s="52"/>
      <c r="Y623" s="52"/>
      <c r="Z623" s="52"/>
    </row>
    <row r="624">
      <c r="A624" s="52"/>
      <c r="B624" s="52"/>
      <c r="C624" s="52"/>
      <c r="D624" s="52"/>
      <c r="E624" s="52"/>
      <c r="F624" s="52"/>
      <c r="G624" s="52"/>
      <c r="H624" s="52"/>
      <c r="I624" s="52"/>
      <c r="J624" s="53" t="str">
        <f>IFERROR(__xludf.DUMMYFUNCTION("""COMPUTED_VALUE"""),"")</f>
        <v/>
      </c>
      <c r="K624" s="52"/>
      <c r="L624" s="52"/>
      <c r="M624" s="52"/>
      <c r="N624" s="52"/>
      <c r="O624" s="52"/>
      <c r="P624" s="52"/>
      <c r="Q624" s="52"/>
      <c r="R624" s="52"/>
      <c r="S624" s="52"/>
      <c r="T624" s="52"/>
      <c r="U624" s="52"/>
      <c r="V624" s="52"/>
      <c r="W624" s="52"/>
      <c r="X624" s="52"/>
      <c r="Y624" s="52"/>
      <c r="Z624" s="52"/>
    </row>
    <row r="625">
      <c r="A625" s="52"/>
      <c r="B625" s="52"/>
      <c r="C625" s="52"/>
      <c r="D625" s="52"/>
      <c r="E625" s="52"/>
      <c r="F625" s="52"/>
      <c r="G625" s="52"/>
      <c r="H625" s="52"/>
      <c r="I625" s="52"/>
      <c r="J625" s="53" t="str">
        <f>IFERROR(__xludf.DUMMYFUNCTION("""COMPUTED_VALUE"""),"")</f>
        <v/>
      </c>
      <c r="K625" s="52"/>
      <c r="L625" s="52"/>
      <c r="M625" s="52"/>
      <c r="N625" s="52"/>
      <c r="O625" s="52"/>
      <c r="P625" s="52"/>
      <c r="Q625" s="52"/>
      <c r="R625" s="52"/>
      <c r="S625" s="52"/>
      <c r="T625" s="52"/>
      <c r="U625" s="52"/>
      <c r="V625" s="52"/>
      <c r="W625" s="52"/>
      <c r="X625" s="52"/>
      <c r="Y625" s="52"/>
      <c r="Z625" s="52"/>
    </row>
    <row r="626">
      <c r="A626" s="52"/>
      <c r="B626" s="52"/>
      <c r="C626" s="52"/>
      <c r="D626" s="52"/>
      <c r="E626" s="52"/>
      <c r="F626" s="52"/>
      <c r="G626" s="52"/>
      <c r="H626" s="52"/>
      <c r="I626" s="52"/>
      <c r="J626" s="53" t="str">
        <f>IFERROR(__xludf.DUMMYFUNCTION("""COMPUTED_VALUE"""),"")</f>
        <v/>
      </c>
      <c r="K626" s="52"/>
      <c r="L626" s="52"/>
      <c r="M626" s="52"/>
      <c r="N626" s="52"/>
      <c r="O626" s="52"/>
      <c r="P626" s="52"/>
      <c r="Q626" s="52"/>
      <c r="R626" s="52"/>
      <c r="S626" s="52"/>
      <c r="T626" s="52"/>
      <c r="U626" s="52"/>
      <c r="V626" s="52"/>
      <c r="W626" s="52"/>
      <c r="X626" s="52"/>
      <c r="Y626" s="52"/>
      <c r="Z626" s="52"/>
    </row>
    <row r="627">
      <c r="A627" s="52"/>
      <c r="B627" s="52"/>
      <c r="C627" s="52"/>
      <c r="D627" s="52"/>
      <c r="E627" s="52"/>
      <c r="F627" s="52"/>
      <c r="G627" s="52"/>
      <c r="H627" s="52"/>
      <c r="I627" s="52"/>
      <c r="J627" s="53" t="str">
        <f>IFERROR(__xludf.DUMMYFUNCTION("""COMPUTED_VALUE"""),"")</f>
        <v/>
      </c>
      <c r="K627" s="52"/>
      <c r="L627" s="52"/>
      <c r="M627" s="52"/>
      <c r="N627" s="52"/>
      <c r="O627" s="52"/>
      <c r="P627" s="52"/>
      <c r="Q627" s="52"/>
      <c r="R627" s="52"/>
      <c r="S627" s="52"/>
      <c r="T627" s="52"/>
      <c r="U627" s="52"/>
      <c r="V627" s="52"/>
      <c r="W627" s="52"/>
      <c r="X627" s="52"/>
      <c r="Y627" s="52"/>
      <c r="Z627" s="52"/>
    </row>
    <row r="628">
      <c r="A628" s="52"/>
      <c r="B628" s="52"/>
      <c r="C628" s="52"/>
      <c r="D628" s="52"/>
      <c r="E628" s="52"/>
      <c r="F628" s="52"/>
      <c r="G628" s="52"/>
      <c r="H628" s="52"/>
      <c r="I628" s="52"/>
      <c r="J628" s="53" t="str">
        <f>IFERROR(__xludf.DUMMYFUNCTION("""COMPUTED_VALUE"""),"")</f>
        <v/>
      </c>
      <c r="K628" s="52"/>
      <c r="L628" s="52"/>
      <c r="M628" s="52"/>
      <c r="N628" s="52"/>
      <c r="O628" s="52"/>
      <c r="P628" s="52"/>
      <c r="Q628" s="52"/>
      <c r="R628" s="52"/>
      <c r="S628" s="52"/>
      <c r="T628" s="52"/>
      <c r="U628" s="52"/>
      <c r="V628" s="52"/>
      <c r="W628" s="52"/>
      <c r="X628" s="52"/>
      <c r="Y628" s="52"/>
      <c r="Z628" s="52"/>
    </row>
    <row r="629">
      <c r="A629" s="52"/>
      <c r="B629" s="52"/>
      <c r="C629" s="52"/>
      <c r="D629" s="52"/>
      <c r="E629" s="52"/>
      <c r="F629" s="52"/>
      <c r="G629" s="52"/>
      <c r="H629" s="52"/>
      <c r="I629" s="52"/>
      <c r="J629" s="53" t="str">
        <f>IFERROR(__xludf.DUMMYFUNCTION("""COMPUTED_VALUE"""),"")</f>
        <v/>
      </c>
      <c r="K629" s="52"/>
      <c r="L629" s="52"/>
      <c r="M629" s="52"/>
      <c r="N629" s="52"/>
      <c r="O629" s="52"/>
      <c r="P629" s="52"/>
      <c r="Q629" s="52"/>
      <c r="R629" s="52"/>
      <c r="S629" s="52"/>
      <c r="T629" s="52"/>
      <c r="U629" s="52"/>
      <c r="V629" s="52"/>
      <c r="W629" s="52"/>
      <c r="X629" s="52"/>
      <c r="Y629" s="52"/>
      <c r="Z629" s="52"/>
    </row>
    <row r="630">
      <c r="A630" s="52"/>
      <c r="B630" s="52"/>
      <c r="C630" s="52"/>
      <c r="D630" s="52"/>
      <c r="E630" s="52"/>
      <c r="F630" s="52"/>
      <c r="G630" s="52"/>
      <c r="H630" s="52"/>
      <c r="I630" s="52"/>
      <c r="J630" s="53" t="str">
        <f>IFERROR(__xludf.DUMMYFUNCTION("""COMPUTED_VALUE"""),"")</f>
        <v/>
      </c>
      <c r="K630" s="52"/>
      <c r="L630" s="52"/>
      <c r="M630" s="52"/>
      <c r="N630" s="52"/>
      <c r="O630" s="52"/>
      <c r="P630" s="52"/>
      <c r="Q630" s="52"/>
      <c r="R630" s="52"/>
      <c r="S630" s="52"/>
      <c r="T630" s="52"/>
      <c r="U630" s="52"/>
      <c r="V630" s="52"/>
      <c r="W630" s="52"/>
      <c r="X630" s="52"/>
      <c r="Y630" s="52"/>
      <c r="Z630" s="52"/>
    </row>
    <row r="631">
      <c r="A631" s="52"/>
      <c r="B631" s="52"/>
      <c r="C631" s="52"/>
      <c r="D631" s="52"/>
      <c r="E631" s="52"/>
      <c r="F631" s="52"/>
      <c r="G631" s="52"/>
      <c r="H631" s="52"/>
      <c r="I631" s="52"/>
      <c r="J631" s="53" t="str">
        <f>IFERROR(__xludf.DUMMYFUNCTION("""COMPUTED_VALUE"""),"")</f>
        <v/>
      </c>
      <c r="K631" s="52"/>
      <c r="L631" s="52"/>
      <c r="M631" s="52"/>
      <c r="N631" s="52"/>
      <c r="O631" s="52"/>
      <c r="P631" s="52"/>
      <c r="Q631" s="52"/>
      <c r="R631" s="52"/>
      <c r="S631" s="52"/>
      <c r="T631" s="52"/>
      <c r="U631" s="52"/>
      <c r="V631" s="52"/>
      <c r="W631" s="52"/>
      <c r="X631" s="52"/>
      <c r="Y631" s="52"/>
      <c r="Z631" s="52"/>
    </row>
    <row r="632">
      <c r="A632" s="52"/>
      <c r="B632" s="52"/>
      <c r="C632" s="52"/>
      <c r="D632" s="52"/>
      <c r="E632" s="52"/>
      <c r="F632" s="52"/>
      <c r="G632" s="52"/>
      <c r="H632" s="52"/>
      <c r="I632" s="52"/>
      <c r="J632" s="53" t="str">
        <f>IFERROR(__xludf.DUMMYFUNCTION("""COMPUTED_VALUE"""),"")</f>
        <v/>
      </c>
      <c r="K632" s="52"/>
      <c r="L632" s="52"/>
      <c r="M632" s="52"/>
      <c r="N632" s="52"/>
      <c r="O632" s="52"/>
      <c r="P632" s="52"/>
      <c r="Q632" s="52"/>
      <c r="R632" s="52"/>
      <c r="S632" s="52"/>
      <c r="T632" s="52"/>
      <c r="U632" s="52"/>
      <c r="V632" s="52"/>
      <c r="W632" s="52"/>
      <c r="X632" s="52"/>
      <c r="Y632" s="52"/>
      <c r="Z632" s="52"/>
    </row>
    <row r="633">
      <c r="A633" s="52"/>
      <c r="B633" s="52"/>
      <c r="C633" s="52"/>
      <c r="D633" s="52"/>
      <c r="E633" s="52"/>
      <c r="F633" s="52"/>
      <c r="G633" s="52"/>
      <c r="H633" s="52"/>
      <c r="I633" s="52"/>
      <c r="J633" s="53" t="str">
        <f>IFERROR(__xludf.DUMMYFUNCTION("""COMPUTED_VALUE"""),"")</f>
        <v/>
      </c>
      <c r="K633" s="52"/>
      <c r="L633" s="52"/>
      <c r="M633" s="52"/>
      <c r="N633" s="52"/>
      <c r="O633" s="52"/>
      <c r="P633" s="52"/>
      <c r="Q633" s="52"/>
      <c r="R633" s="52"/>
      <c r="S633" s="52"/>
      <c r="T633" s="52"/>
      <c r="U633" s="52"/>
      <c r="V633" s="52"/>
      <c r="W633" s="52"/>
      <c r="X633" s="52"/>
      <c r="Y633" s="52"/>
      <c r="Z633" s="52"/>
    </row>
    <row r="634">
      <c r="A634" s="52"/>
      <c r="B634" s="52"/>
      <c r="C634" s="52"/>
      <c r="D634" s="52"/>
      <c r="E634" s="52"/>
      <c r="F634" s="52"/>
      <c r="G634" s="52"/>
      <c r="H634" s="52"/>
      <c r="I634" s="52"/>
      <c r="J634" s="53" t="str">
        <f>IFERROR(__xludf.DUMMYFUNCTION("""COMPUTED_VALUE"""),"")</f>
        <v/>
      </c>
      <c r="K634" s="52"/>
      <c r="L634" s="52"/>
      <c r="M634" s="52"/>
      <c r="N634" s="52"/>
      <c r="O634" s="52"/>
      <c r="P634" s="52"/>
      <c r="Q634" s="52"/>
      <c r="R634" s="52"/>
      <c r="S634" s="52"/>
      <c r="T634" s="52"/>
      <c r="U634" s="52"/>
      <c r="V634" s="52"/>
      <c r="W634" s="52"/>
      <c r="X634" s="52"/>
      <c r="Y634" s="52"/>
      <c r="Z634" s="52"/>
    </row>
    <row r="635">
      <c r="A635" s="52"/>
      <c r="B635" s="52"/>
      <c r="C635" s="52"/>
      <c r="D635" s="52"/>
      <c r="E635" s="52"/>
      <c r="F635" s="52"/>
      <c r="G635" s="52"/>
      <c r="H635" s="52"/>
      <c r="I635" s="52"/>
      <c r="J635" s="53" t="str">
        <f>IFERROR(__xludf.DUMMYFUNCTION("""COMPUTED_VALUE"""),"")</f>
        <v/>
      </c>
      <c r="K635" s="52"/>
      <c r="L635" s="52"/>
      <c r="M635" s="52"/>
      <c r="N635" s="52"/>
      <c r="O635" s="52"/>
      <c r="P635" s="52"/>
      <c r="Q635" s="52"/>
      <c r="R635" s="52"/>
      <c r="S635" s="52"/>
      <c r="T635" s="52"/>
      <c r="U635" s="52"/>
      <c r="V635" s="52"/>
      <c r="W635" s="52"/>
      <c r="X635" s="52"/>
      <c r="Y635" s="52"/>
      <c r="Z635" s="52"/>
    </row>
    <row r="636">
      <c r="A636" s="52"/>
      <c r="B636" s="52"/>
      <c r="C636" s="52"/>
      <c r="D636" s="52"/>
      <c r="E636" s="52"/>
      <c r="F636" s="52"/>
      <c r="G636" s="52"/>
      <c r="H636" s="52"/>
      <c r="I636" s="52"/>
      <c r="J636" s="53" t="str">
        <f>IFERROR(__xludf.DUMMYFUNCTION("""COMPUTED_VALUE"""),"")</f>
        <v/>
      </c>
      <c r="K636" s="52"/>
      <c r="L636" s="52"/>
      <c r="M636" s="52"/>
      <c r="N636" s="52"/>
      <c r="O636" s="52"/>
      <c r="P636" s="52"/>
      <c r="Q636" s="52"/>
      <c r="R636" s="52"/>
      <c r="S636" s="52"/>
      <c r="T636" s="52"/>
      <c r="U636" s="52"/>
      <c r="V636" s="52"/>
      <c r="W636" s="52"/>
      <c r="X636" s="52"/>
      <c r="Y636" s="52"/>
      <c r="Z636" s="52"/>
    </row>
    <row r="637">
      <c r="A637" s="52"/>
      <c r="B637" s="52"/>
      <c r="C637" s="52"/>
      <c r="D637" s="52"/>
      <c r="E637" s="52"/>
      <c r="F637" s="52"/>
      <c r="G637" s="52"/>
      <c r="H637" s="52"/>
      <c r="I637" s="52"/>
      <c r="J637" s="53" t="str">
        <f>IFERROR(__xludf.DUMMYFUNCTION("""COMPUTED_VALUE"""),"")</f>
        <v/>
      </c>
      <c r="K637" s="52"/>
      <c r="L637" s="52"/>
      <c r="M637" s="52"/>
      <c r="N637" s="52"/>
      <c r="O637" s="52"/>
      <c r="P637" s="52"/>
      <c r="Q637" s="52"/>
      <c r="R637" s="52"/>
      <c r="S637" s="52"/>
      <c r="T637" s="52"/>
      <c r="U637" s="52"/>
      <c r="V637" s="52"/>
      <c r="W637" s="52"/>
      <c r="X637" s="52"/>
      <c r="Y637" s="52"/>
      <c r="Z637" s="52"/>
    </row>
    <row r="638">
      <c r="A638" s="52"/>
      <c r="B638" s="52"/>
      <c r="C638" s="52"/>
      <c r="D638" s="52"/>
      <c r="E638" s="52"/>
      <c r="F638" s="52"/>
      <c r="G638" s="52"/>
      <c r="H638" s="52"/>
      <c r="I638" s="52"/>
      <c r="J638" s="53" t="str">
        <f>IFERROR(__xludf.DUMMYFUNCTION("""COMPUTED_VALUE"""),"")</f>
        <v/>
      </c>
      <c r="K638" s="52"/>
      <c r="L638" s="52"/>
      <c r="M638" s="52"/>
      <c r="N638" s="52"/>
      <c r="O638" s="52"/>
      <c r="P638" s="52"/>
      <c r="Q638" s="52"/>
      <c r="R638" s="52"/>
      <c r="S638" s="52"/>
      <c r="T638" s="52"/>
      <c r="U638" s="52"/>
      <c r="V638" s="52"/>
      <c r="W638" s="52"/>
      <c r="X638" s="52"/>
      <c r="Y638" s="52"/>
      <c r="Z638" s="52"/>
    </row>
    <row r="639">
      <c r="A639" s="52"/>
      <c r="B639" s="52"/>
      <c r="C639" s="52"/>
      <c r="D639" s="52"/>
      <c r="E639" s="52"/>
      <c r="F639" s="52"/>
      <c r="G639" s="52"/>
      <c r="H639" s="52"/>
      <c r="I639" s="52"/>
      <c r="J639" s="53" t="str">
        <f>IFERROR(__xludf.DUMMYFUNCTION("""COMPUTED_VALUE"""),"")</f>
        <v/>
      </c>
      <c r="K639" s="52"/>
      <c r="L639" s="52"/>
      <c r="M639" s="52"/>
      <c r="N639" s="52"/>
      <c r="O639" s="52"/>
      <c r="P639" s="52"/>
      <c r="Q639" s="52"/>
      <c r="R639" s="52"/>
      <c r="S639" s="52"/>
      <c r="T639" s="52"/>
      <c r="U639" s="52"/>
      <c r="V639" s="52"/>
      <c r="W639" s="52"/>
      <c r="X639" s="52"/>
      <c r="Y639" s="52"/>
      <c r="Z639" s="52"/>
    </row>
    <row r="640">
      <c r="A640" s="52"/>
      <c r="B640" s="52"/>
      <c r="C640" s="52"/>
      <c r="D640" s="52"/>
      <c r="E640" s="52"/>
      <c r="F640" s="52"/>
      <c r="G640" s="52"/>
      <c r="H640" s="52"/>
      <c r="I640" s="52"/>
      <c r="J640" s="53" t="str">
        <f>IFERROR(__xludf.DUMMYFUNCTION("""COMPUTED_VALUE"""),"")</f>
        <v/>
      </c>
      <c r="K640" s="52"/>
      <c r="L640" s="52"/>
      <c r="M640" s="52"/>
      <c r="N640" s="52"/>
      <c r="O640" s="52"/>
      <c r="P640" s="52"/>
      <c r="Q640" s="52"/>
      <c r="R640" s="52"/>
      <c r="S640" s="52"/>
      <c r="T640" s="52"/>
      <c r="U640" s="52"/>
      <c r="V640" s="52"/>
      <c r="W640" s="52"/>
      <c r="X640" s="52"/>
      <c r="Y640" s="52"/>
      <c r="Z640" s="52"/>
    </row>
    <row r="641">
      <c r="A641" s="52"/>
      <c r="B641" s="52"/>
      <c r="C641" s="52"/>
      <c r="D641" s="52"/>
      <c r="E641" s="52"/>
      <c r="F641" s="52"/>
      <c r="G641" s="52"/>
      <c r="H641" s="52"/>
      <c r="I641" s="52"/>
      <c r="J641" s="53" t="str">
        <f>IFERROR(__xludf.DUMMYFUNCTION("""COMPUTED_VALUE"""),"")</f>
        <v/>
      </c>
      <c r="K641" s="52"/>
      <c r="L641" s="52"/>
      <c r="M641" s="52"/>
      <c r="N641" s="52"/>
      <c r="O641" s="52"/>
      <c r="P641" s="52"/>
      <c r="Q641" s="52"/>
      <c r="R641" s="52"/>
      <c r="S641" s="52"/>
      <c r="T641" s="52"/>
      <c r="U641" s="52"/>
      <c r="V641" s="52"/>
      <c r="W641" s="52"/>
      <c r="X641" s="52"/>
      <c r="Y641" s="52"/>
      <c r="Z641" s="52"/>
    </row>
    <row r="642">
      <c r="A642" s="52"/>
      <c r="B642" s="52"/>
      <c r="C642" s="52"/>
      <c r="D642" s="52"/>
      <c r="E642" s="52"/>
      <c r="F642" s="52"/>
      <c r="G642" s="52"/>
      <c r="H642" s="52"/>
      <c r="I642" s="52"/>
      <c r="J642" s="53" t="str">
        <f>IFERROR(__xludf.DUMMYFUNCTION("""COMPUTED_VALUE"""),"")</f>
        <v/>
      </c>
      <c r="K642" s="52"/>
      <c r="L642" s="52"/>
      <c r="M642" s="52"/>
      <c r="N642" s="52"/>
      <c r="O642" s="52"/>
      <c r="P642" s="52"/>
      <c r="Q642" s="52"/>
      <c r="R642" s="52"/>
      <c r="S642" s="52"/>
      <c r="T642" s="52"/>
      <c r="U642" s="52"/>
      <c r="V642" s="52"/>
      <c r="W642" s="52"/>
      <c r="X642" s="52"/>
      <c r="Y642" s="52"/>
      <c r="Z642" s="52"/>
    </row>
    <row r="643">
      <c r="A643" s="52"/>
      <c r="B643" s="52"/>
      <c r="C643" s="52"/>
      <c r="D643" s="52"/>
      <c r="E643" s="52"/>
      <c r="F643" s="52"/>
      <c r="G643" s="52"/>
      <c r="H643" s="52"/>
      <c r="I643" s="52"/>
      <c r="J643" s="53" t="str">
        <f>IFERROR(__xludf.DUMMYFUNCTION("""COMPUTED_VALUE"""),"")</f>
        <v/>
      </c>
      <c r="K643" s="52"/>
      <c r="L643" s="52"/>
      <c r="M643" s="52"/>
      <c r="N643" s="52"/>
      <c r="O643" s="52"/>
      <c r="P643" s="52"/>
      <c r="Q643" s="52"/>
      <c r="R643" s="52"/>
      <c r="S643" s="52"/>
      <c r="T643" s="52"/>
      <c r="U643" s="52"/>
      <c r="V643" s="52"/>
      <c r="W643" s="52"/>
      <c r="X643" s="52"/>
      <c r="Y643" s="52"/>
      <c r="Z643" s="52"/>
    </row>
    <row r="644">
      <c r="A644" s="52"/>
      <c r="B644" s="52"/>
      <c r="C644" s="52"/>
      <c r="D644" s="52"/>
      <c r="E644" s="52"/>
      <c r="F644" s="52"/>
      <c r="G644" s="52"/>
      <c r="H644" s="52"/>
      <c r="I644" s="52"/>
      <c r="J644" s="53" t="str">
        <f>IFERROR(__xludf.DUMMYFUNCTION("""COMPUTED_VALUE"""),"")</f>
        <v/>
      </c>
      <c r="K644" s="52"/>
      <c r="L644" s="52"/>
      <c r="M644" s="52"/>
      <c r="N644" s="52"/>
      <c r="O644" s="52"/>
      <c r="P644" s="52"/>
      <c r="Q644" s="52"/>
      <c r="R644" s="52"/>
      <c r="S644" s="52"/>
      <c r="T644" s="52"/>
      <c r="U644" s="52"/>
      <c r="V644" s="52"/>
      <c r="W644" s="52"/>
      <c r="X644" s="52"/>
      <c r="Y644" s="52"/>
      <c r="Z644" s="52"/>
    </row>
    <row r="645">
      <c r="A645" s="52"/>
      <c r="B645" s="52"/>
      <c r="C645" s="52"/>
      <c r="D645" s="52"/>
      <c r="E645" s="52"/>
      <c r="F645" s="52"/>
      <c r="G645" s="52"/>
      <c r="H645" s="52"/>
      <c r="I645" s="52"/>
      <c r="J645" s="53" t="str">
        <f>IFERROR(__xludf.DUMMYFUNCTION("""COMPUTED_VALUE"""),"")</f>
        <v/>
      </c>
      <c r="K645" s="52"/>
      <c r="L645" s="52"/>
      <c r="M645" s="52"/>
      <c r="N645" s="52"/>
      <c r="O645" s="52"/>
      <c r="P645" s="52"/>
      <c r="Q645" s="52"/>
      <c r="R645" s="52"/>
      <c r="S645" s="52"/>
      <c r="T645" s="52"/>
      <c r="U645" s="52"/>
      <c r="V645" s="52"/>
      <c r="W645" s="52"/>
      <c r="X645" s="52"/>
      <c r="Y645" s="52"/>
      <c r="Z645" s="52"/>
    </row>
    <row r="646">
      <c r="A646" s="52"/>
      <c r="B646" s="52"/>
      <c r="C646" s="52"/>
      <c r="D646" s="52"/>
      <c r="E646" s="52"/>
      <c r="F646" s="52"/>
      <c r="G646" s="52"/>
      <c r="H646" s="52"/>
      <c r="I646" s="52"/>
      <c r="J646" s="53" t="str">
        <f>IFERROR(__xludf.DUMMYFUNCTION("""COMPUTED_VALUE"""),"")</f>
        <v/>
      </c>
      <c r="K646" s="52"/>
      <c r="L646" s="52"/>
      <c r="M646" s="52"/>
      <c r="N646" s="52"/>
      <c r="O646" s="52"/>
      <c r="P646" s="52"/>
      <c r="Q646" s="52"/>
      <c r="R646" s="52"/>
      <c r="S646" s="52"/>
      <c r="T646" s="52"/>
      <c r="U646" s="52"/>
      <c r="V646" s="52"/>
      <c r="W646" s="52"/>
      <c r="X646" s="52"/>
      <c r="Y646" s="52"/>
      <c r="Z646" s="52"/>
    </row>
    <row r="647">
      <c r="A647" s="52"/>
      <c r="B647" s="52"/>
      <c r="C647" s="52"/>
      <c r="D647" s="52"/>
      <c r="E647" s="52"/>
      <c r="F647" s="52"/>
      <c r="G647" s="52"/>
      <c r="H647" s="52"/>
      <c r="I647" s="52"/>
      <c r="J647" s="53" t="str">
        <f>IFERROR(__xludf.DUMMYFUNCTION("""COMPUTED_VALUE"""),"")</f>
        <v/>
      </c>
      <c r="K647" s="52"/>
      <c r="L647" s="52"/>
      <c r="M647" s="52"/>
      <c r="N647" s="52"/>
      <c r="O647" s="52"/>
      <c r="P647" s="52"/>
      <c r="Q647" s="52"/>
      <c r="R647" s="52"/>
      <c r="S647" s="52"/>
      <c r="T647" s="52"/>
      <c r="U647" s="52"/>
      <c r="V647" s="52"/>
      <c r="W647" s="52"/>
      <c r="X647" s="52"/>
      <c r="Y647" s="52"/>
      <c r="Z647" s="52"/>
    </row>
    <row r="648">
      <c r="A648" s="52"/>
      <c r="B648" s="52"/>
      <c r="C648" s="52"/>
      <c r="D648" s="52"/>
      <c r="E648" s="52"/>
      <c r="F648" s="52"/>
      <c r="G648" s="52"/>
      <c r="H648" s="52"/>
      <c r="I648" s="52"/>
      <c r="J648" s="53" t="str">
        <f>IFERROR(__xludf.DUMMYFUNCTION("""COMPUTED_VALUE"""),"")</f>
        <v/>
      </c>
      <c r="K648" s="52"/>
      <c r="L648" s="52"/>
      <c r="M648" s="52"/>
      <c r="N648" s="52"/>
      <c r="O648" s="52"/>
      <c r="P648" s="52"/>
      <c r="Q648" s="52"/>
      <c r="R648" s="52"/>
      <c r="S648" s="52"/>
      <c r="T648" s="52"/>
      <c r="U648" s="52"/>
      <c r="V648" s="52"/>
      <c r="W648" s="52"/>
      <c r="X648" s="52"/>
      <c r="Y648" s="52"/>
      <c r="Z648" s="52"/>
    </row>
    <row r="649">
      <c r="A649" s="52"/>
      <c r="B649" s="52"/>
      <c r="C649" s="52"/>
      <c r="D649" s="52"/>
      <c r="E649" s="52"/>
      <c r="F649" s="52"/>
      <c r="G649" s="52"/>
      <c r="H649" s="52"/>
      <c r="I649" s="52"/>
      <c r="J649" s="53" t="str">
        <f>IFERROR(__xludf.DUMMYFUNCTION("""COMPUTED_VALUE"""),"")</f>
        <v/>
      </c>
      <c r="K649" s="52"/>
      <c r="L649" s="52"/>
      <c r="M649" s="52"/>
      <c r="N649" s="52"/>
      <c r="O649" s="52"/>
      <c r="P649" s="52"/>
      <c r="Q649" s="52"/>
      <c r="R649" s="52"/>
      <c r="S649" s="52"/>
      <c r="T649" s="52"/>
      <c r="U649" s="52"/>
      <c r="V649" s="52"/>
      <c r="W649" s="52"/>
      <c r="X649" s="52"/>
      <c r="Y649" s="52"/>
      <c r="Z649" s="52"/>
    </row>
    <row r="650">
      <c r="A650" s="52"/>
      <c r="B650" s="52"/>
      <c r="C650" s="52"/>
      <c r="D650" s="52"/>
      <c r="E650" s="52"/>
      <c r="F650" s="52"/>
      <c r="G650" s="52"/>
      <c r="H650" s="52"/>
      <c r="I650" s="52"/>
      <c r="J650" s="53" t="str">
        <f>IFERROR(__xludf.DUMMYFUNCTION("""COMPUTED_VALUE"""),"")</f>
        <v/>
      </c>
      <c r="K650" s="52"/>
      <c r="L650" s="52"/>
      <c r="M650" s="52"/>
      <c r="N650" s="52"/>
      <c r="O650" s="52"/>
      <c r="P650" s="52"/>
      <c r="Q650" s="52"/>
      <c r="R650" s="52"/>
      <c r="S650" s="52"/>
      <c r="T650" s="52"/>
      <c r="U650" s="52"/>
      <c r="V650" s="52"/>
      <c r="W650" s="52"/>
      <c r="X650" s="52"/>
      <c r="Y650" s="52"/>
      <c r="Z650" s="52"/>
    </row>
    <row r="651">
      <c r="A651" s="52"/>
      <c r="B651" s="52"/>
      <c r="C651" s="52"/>
      <c r="D651" s="52"/>
      <c r="E651" s="52"/>
      <c r="F651" s="52"/>
      <c r="G651" s="52"/>
      <c r="H651" s="52"/>
      <c r="I651" s="52"/>
      <c r="J651" s="53" t="str">
        <f>IFERROR(__xludf.DUMMYFUNCTION("""COMPUTED_VALUE"""),"")</f>
        <v/>
      </c>
      <c r="K651" s="52"/>
      <c r="L651" s="52"/>
      <c r="M651" s="52"/>
      <c r="N651" s="52"/>
      <c r="O651" s="52"/>
      <c r="P651" s="52"/>
      <c r="Q651" s="52"/>
      <c r="R651" s="52"/>
      <c r="S651" s="52"/>
      <c r="T651" s="52"/>
      <c r="U651" s="52"/>
      <c r="V651" s="52"/>
      <c r="W651" s="52"/>
      <c r="X651" s="52"/>
      <c r="Y651" s="52"/>
      <c r="Z651" s="52"/>
    </row>
    <row r="652">
      <c r="A652" s="52"/>
      <c r="B652" s="52"/>
      <c r="C652" s="52"/>
      <c r="D652" s="52"/>
      <c r="E652" s="52"/>
      <c r="F652" s="52"/>
      <c r="G652" s="52"/>
      <c r="H652" s="52"/>
      <c r="I652" s="52"/>
      <c r="J652" s="53" t="str">
        <f>IFERROR(__xludf.DUMMYFUNCTION("""COMPUTED_VALUE"""),"")</f>
        <v/>
      </c>
      <c r="K652" s="52"/>
      <c r="L652" s="52"/>
      <c r="M652" s="52"/>
      <c r="N652" s="52"/>
      <c r="O652" s="52"/>
      <c r="P652" s="52"/>
      <c r="Q652" s="52"/>
      <c r="R652" s="52"/>
      <c r="S652" s="52"/>
      <c r="T652" s="52"/>
      <c r="U652" s="52"/>
      <c r="V652" s="52"/>
      <c r="W652" s="52"/>
      <c r="X652" s="52"/>
      <c r="Y652" s="52"/>
      <c r="Z652" s="52"/>
    </row>
    <row r="653">
      <c r="A653" s="52"/>
      <c r="B653" s="52"/>
      <c r="C653" s="52"/>
      <c r="D653" s="52"/>
      <c r="E653" s="52"/>
      <c r="F653" s="52"/>
      <c r="G653" s="52"/>
      <c r="H653" s="52"/>
      <c r="I653" s="52"/>
      <c r="J653" s="53" t="str">
        <f>IFERROR(__xludf.DUMMYFUNCTION("""COMPUTED_VALUE"""),"")</f>
        <v/>
      </c>
      <c r="K653" s="52"/>
      <c r="L653" s="52"/>
      <c r="M653" s="52"/>
      <c r="N653" s="52"/>
      <c r="O653" s="52"/>
      <c r="P653" s="52"/>
      <c r="Q653" s="52"/>
      <c r="R653" s="52"/>
      <c r="S653" s="52"/>
      <c r="T653" s="52"/>
      <c r="U653" s="52"/>
      <c r="V653" s="52"/>
      <c r="W653" s="52"/>
      <c r="X653" s="52"/>
      <c r="Y653" s="52"/>
      <c r="Z653" s="52"/>
    </row>
    <row r="654">
      <c r="A654" s="52"/>
      <c r="B654" s="52"/>
      <c r="C654" s="52"/>
      <c r="D654" s="52"/>
      <c r="E654" s="52"/>
      <c r="F654" s="52"/>
      <c r="G654" s="52"/>
      <c r="H654" s="52"/>
      <c r="I654" s="52"/>
      <c r="J654" s="53" t="str">
        <f>IFERROR(__xludf.DUMMYFUNCTION("""COMPUTED_VALUE"""),"")</f>
        <v/>
      </c>
      <c r="K654" s="52"/>
      <c r="L654" s="52"/>
      <c r="M654" s="52"/>
      <c r="N654" s="52"/>
      <c r="O654" s="52"/>
      <c r="P654" s="52"/>
      <c r="Q654" s="52"/>
      <c r="R654" s="52"/>
      <c r="S654" s="52"/>
      <c r="T654" s="52"/>
      <c r="U654" s="52"/>
      <c r="V654" s="52"/>
      <c r="W654" s="52"/>
      <c r="X654" s="52"/>
      <c r="Y654" s="52"/>
      <c r="Z654" s="52"/>
    </row>
    <row r="655">
      <c r="A655" s="52"/>
      <c r="B655" s="52"/>
      <c r="C655" s="52"/>
      <c r="D655" s="52"/>
      <c r="E655" s="52"/>
      <c r="F655" s="52"/>
      <c r="G655" s="52"/>
      <c r="H655" s="52"/>
      <c r="I655" s="52"/>
      <c r="J655" s="53" t="str">
        <f>IFERROR(__xludf.DUMMYFUNCTION("""COMPUTED_VALUE"""),"")</f>
        <v/>
      </c>
      <c r="K655" s="52"/>
      <c r="L655" s="52"/>
      <c r="M655" s="52"/>
      <c r="N655" s="52"/>
      <c r="O655" s="52"/>
      <c r="P655" s="52"/>
      <c r="Q655" s="52"/>
      <c r="R655" s="52"/>
      <c r="S655" s="52"/>
      <c r="T655" s="52"/>
      <c r="U655" s="52"/>
      <c r="V655" s="52"/>
      <c r="W655" s="52"/>
      <c r="X655" s="52"/>
      <c r="Y655" s="52"/>
      <c r="Z655" s="52"/>
    </row>
    <row r="656">
      <c r="A656" s="52"/>
      <c r="B656" s="52"/>
      <c r="C656" s="52"/>
      <c r="D656" s="52"/>
      <c r="E656" s="52"/>
      <c r="F656" s="52"/>
      <c r="G656" s="52"/>
      <c r="H656" s="52"/>
      <c r="I656" s="52"/>
      <c r="J656" s="53" t="str">
        <f>IFERROR(__xludf.DUMMYFUNCTION("""COMPUTED_VALUE"""),"")</f>
        <v/>
      </c>
      <c r="K656" s="52"/>
      <c r="L656" s="52"/>
      <c r="M656" s="52"/>
      <c r="N656" s="52"/>
      <c r="O656" s="52"/>
      <c r="P656" s="52"/>
      <c r="Q656" s="52"/>
      <c r="R656" s="52"/>
      <c r="S656" s="52"/>
      <c r="T656" s="52"/>
      <c r="U656" s="52"/>
      <c r="V656" s="52"/>
      <c r="W656" s="52"/>
      <c r="X656" s="52"/>
      <c r="Y656" s="52"/>
      <c r="Z656" s="52"/>
    </row>
    <row r="657">
      <c r="A657" s="52"/>
      <c r="B657" s="52"/>
      <c r="C657" s="52"/>
      <c r="D657" s="52"/>
      <c r="E657" s="52"/>
      <c r="F657" s="52"/>
      <c r="G657" s="52"/>
      <c r="H657" s="52"/>
      <c r="I657" s="52"/>
      <c r="J657" s="53" t="str">
        <f>IFERROR(__xludf.DUMMYFUNCTION("""COMPUTED_VALUE"""),"")</f>
        <v/>
      </c>
      <c r="K657" s="52"/>
      <c r="L657" s="52"/>
      <c r="M657" s="52"/>
      <c r="N657" s="52"/>
      <c r="O657" s="52"/>
      <c r="P657" s="52"/>
      <c r="Q657" s="52"/>
      <c r="R657" s="52"/>
      <c r="S657" s="52"/>
      <c r="T657" s="52"/>
      <c r="U657" s="52"/>
      <c r="V657" s="52"/>
      <c r="W657" s="52"/>
      <c r="X657" s="52"/>
      <c r="Y657" s="52"/>
      <c r="Z657" s="52"/>
    </row>
    <row r="658">
      <c r="A658" s="52"/>
      <c r="B658" s="52"/>
      <c r="C658" s="52"/>
      <c r="D658" s="52"/>
      <c r="E658" s="52"/>
      <c r="F658" s="52"/>
      <c r="G658" s="52"/>
      <c r="H658" s="52"/>
      <c r="I658" s="52"/>
      <c r="J658" s="53" t="str">
        <f>IFERROR(__xludf.DUMMYFUNCTION("""COMPUTED_VALUE"""),"")</f>
        <v/>
      </c>
      <c r="K658" s="52"/>
      <c r="L658" s="52"/>
      <c r="M658" s="52"/>
      <c r="N658" s="52"/>
      <c r="O658" s="52"/>
      <c r="P658" s="52"/>
      <c r="Q658" s="52"/>
      <c r="R658" s="52"/>
      <c r="S658" s="52"/>
      <c r="T658" s="52"/>
      <c r="U658" s="52"/>
      <c r="V658" s="52"/>
      <c r="W658" s="52"/>
      <c r="X658" s="52"/>
      <c r="Y658" s="52"/>
      <c r="Z658" s="52"/>
    </row>
    <row r="659">
      <c r="A659" s="52"/>
      <c r="B659" s="52"/>
      <c r="C659" s="52"/>
      <c r="D659" s="52"/>
      <c r="E659" s="52"/>
      <c r="F659" s="52"/>
      <c r="G659" s="52"/>
      <c r="H659" s="52"/>
      <c r="I659" s="52"/>
      <c r="J659" s="53" t="str">
        <f>IFERROR(__xludf.DUMMYFUNCTION("""COMPUTED_VALUE"""),"")</f>
        <v/>
      </c>
      <c r="K659" s="52"/>
      <c r="L659" s="52"/>
      <c r="M659" s="52"/>
      <c r="N659" s="52"/>
      <c r="O659" s="52"/>
      <c r="P659" s="52"/>
      <c r="Q659" s="52"/>
      <c r="R659" s="52"/>
      <c r="S659" s="52"/>
      <c r="T659" s="52"/>
      <c r="U659" s="52"/>
      <c r="V659" s="52"/>
      <c r="W659" s="52"/>
      <c r="X659" s="52"/>
      <c r="Y659" s="52"/>
      <c r="Z659" s="52"/>
    </row>
    <row r="660">
      <c r="A660" s="52"/>
      <c r="B660" s="52"/>
      <c r="C660" s="52"/>
      <c r="D660" s="52"/>
      <c r="E660" s="52"/>
      <c r="F660" s="52"/>
      <c r="G660" s="52"/>
      <c r="H660" s="52"/>
      <c r="I660" s="52"/>
      <c r="J660" s="53" t="str">
        <f>IFERROR(__xludf.DUMMYFUNCTION("""COMPUTED_VALUE"""),"")</f>
        <v/>
      </c>
      <c r="K660" s="52"/>
      <c r="L660" s="52"/>
      <c r="M660" s="52"/>
      <c r="N660" s="52"/>
      <c r="O660" s="52"/>
      <c r="P660" s="52"/>
      <c r="Q660" s="52"/>
      <c r="R660" s="52"/>
      <c r="S660" s="52"/>
      <c r="T660" s="52"/>
      <c r="U660" s="52"/>
      <c r="V660" s="52"/>
      <c r="W660" s="52"/>
      <c r="X660" s="52"/>
      <c r="Y660" s="52"/>
      <c r="Z660" s="52"/>
    </row>
    <row r="661">
      <c r="A661" s="52"/>
      <c r="B661" s="52"/>
      <c r="C661" s="52"/>
      <c r="D661" s="52"/>
      <c r="E661" s="52"/>
      <c r="F661" s="52"/>
      <c r="G661" s="52"/>
      <c r="H661" s="52"/>
      <c r="I661" s="52"/>
      <c r="J661" s="53" t="str">
        <f>IFERROR(__xludf.DUMMYFUNCTION("""COMPUTED_VALUE"""),"")</f>
        <v/>
      </c>
      <c r="K661" s="52"/>
      <c r="L661" s="52"/>
      <c r="M661" s="52"/>
      <c r="N661" s="52"/>
      <c r="O661" s="52"/>
      <c r="P661" s="52"/>
      <c r="Q661" s="52"/>
      <c r="R661" s="52"/>
      <c r="S661" s="52"/>
      <c r="T661" s="52"/>
      <c r="U661" s="52"/>
      <c r="V661" s="52"/>
      <c r="W661" s="52"/>
      <c r="X661" s="52"/>
      <c r="Y661" s="52"/>
      <c r="Z661" s="52"/>
    </row>
    <row r="662">
      <c r="A662" s="52"/>
      <c r="B662" s="52"/>
      <c r="C662" s="52"/>
      <c r="D662" s="52"/>
      <c r="E662" s="52"/>
      <c r="F662" s="52"/>
      <c r="G662" s="52"/>
      <c r="H662" s="52"/>
      <c r="I662" s="52"/>
      <c r="J662" s="53" t="str">
        <f>IFERROR(__xludf.DUMMYFUNCTION("""COMPUTED_VALUE"""),"")</f>
        <v/>
      </c>
      <c r="K662" s="52"/>
      <c r="L662" s="52"/>
      <c r="M662" s="52"/>
      <c r="N662" s="52"/>
      <c r="O662" s="52"/>
      <c r="P662" s="52"/>
      <c r="Q662" s="52"/>
      <c r="R662" s="52"/>
      <c r="S662" s="52"/>
      <c r="T662" s="52"/>
      <c r="U662" s="52"/>
      <c r="V662" s="52"/>
      <c r="W662" s="52"/>
      <c r="X662" s="52"/>
      <c r="Y662" s="52"/>
      <c r="Z662" s="52"/>
    </row>
    <row r="663">
      <c r="A663" s="52"/>
      <c r="B663" s="52"/>
      <c r="C663" s="52"/>
      <c r="D663" s="52"/>
      <c r="E663" s="52"/>
      <c r="F663" s="52"/>
      <c r="G663" s="52"/>
      <c r="H663" s="52"/>
      <c r="I663" s="52"/>
      <c r="J663" s="53" t="str">
        <f>IFERROR(__xludf.DUMMYFUNCTION("""COMPUTED_VALUE"""),"")</f>
        <v/>
      </c>
      <c r="K663" s="52"/>
      <c r="L663" s="52"/>
      <c r="M663" s="52"/>
      <c r="N663" s="52"/>
      <c r="O663" s="52"/>
      <c r="P663" s="52"/>
      <c r="Q663" s="52"/>
      <c r="R663" s="52"/>
      <c r="S663" s="52"/>
      <c r="T663" s="52"/>
      <c r="U663" s="52"/>
      <c r="V663" s="52"/>
      <c r="W663" s="52"/>
      <c r="X663" s="52"/>
      <c r="Y663" s="52"/>
      <c r="Z663" s="52"/>
    </row>
    <row r="664">
      <c r="A664" s="52"/>
      <c r="B664" s="52"/>
      <c r="C664" s="52"/>
      <c r="D664" s="52"/>
      <c r="E664" s="52"/>
      <c r="F664" s="52"/>
      <c r="G664" s="52"/>
      <c r="H664" s="52"/>
      <c r="I664" s="52"/>
      <c r="J664" s="53" t="str">
        <f>IFERROR(__xludf.DUMMYFUNCTION("""COMPUTED_VALUE"""),"")</f>
        <v/>
      </c>
      <c r="K664" s="52"/>
      <c r="L664" s="52"/>
      <c r="M664" s="52"/>
      <c r="N664" s="52"/>
      <c r="O664" s="52"/>
      <c r="P664" s="52"/>
      <c r="Q664" s="52"/>
      <c r="R664" s="52"/>
      <c r="S664" s="52"/>
      <c r="T664" s="52"/>
      <c r="U664" s="52"/>
      <c r="V664" s="52"/>
      <c r="W664" s="52"/>
      <c r="X664" s="52"/>
      <c r="Y664" s="52"/>
      <c r="Z664" s="52"/>
    </row>
    <row r="665">
      <c r="A665" s="52"/>
      <c r="B665" s="52"/>
      <c r="C665" s="52"/>
      <c r="D665" s="52"/>
      <c r="E665" s="52"/>
      <c r="F665" s="52"/>
      <c r="G665" s="52"/>
      <c r="H665" s="52"/>
      <c r="I665" s="52"/>
      <c r="J665" s="53" t="str">
        <f>IFERROR(__xludf.DUMMYFUNCTION("""COMPUTED_VALUE"""),"")</f>
        <v/>
      </c>
      <c r="K665" s="52"/>
      <c r="L665" s="52"/>
      <c r="M665" s="52"/>
      <c r="N665" s="52"/>
      <c r="O665" s="52"/>
      <c r="P665" s="52"/>
      <c r="Q665" s="52"/>
      <c r="R665" s="52"/>
      <c r="S665" s="52"/>
      <c r="T665" s="52"/>
      <c r="U665" s="52"/>
      <c r="V665" s="52"/>
      <c r="W665" s="52"/>
      <c r="X665" s="52"/>
      <c r="Y665" s="52"/>
      <c r="Z665" s="52"/>
    </row>
    <row r="666">
      <c r="A666" s="52"/>
      <c r="B666" s="52"/>
      <c r="C666" s="52"/>
      <c r="D666" s="52"/>
      <c r="E666" s="52"/>
      <c r="F666" s="52"/>
      <c r="G666" s="52"/>
      <c r="H666" s="52"/>
      <c r="I666" s="52"/>
      <c r="J666" s="53" t="str">
        <f>IFERROR(__xludf.DUMMYFUNCTION("""COMPUTED_VALUE"""),"")</f>
        <v/>
      </c>
      <c r="K666" s="52"/>
      <c r="L666" s="52"/>
      <c r="M666" s="52"/>
      <c r="N666" s="52"/>
      <c r="O666" s="52"/>
      <c r="P666" s="52"/>
      <c r="Q666" s="52"/>
      <c r="R666" s="52"/>
      <c r="S666" s="52"/>
      <c r="T666" s="52"/>
      <c r="U666" s="52"/>
      <c r="V666" s="52"/>
      <c r="W666" s="52"/>
      <c r="X666" s="52"/>
      <c r="Y666" s="52"/>
      <c r="Z666" s="52"/>
    </row>
    <row r="667">
      <c r="A667" s="52"/>
      <c r="B667" s="52"/>
      <c r="C667" s="52"/>
      <c r="D667" s="52"/>
      <c r="E667" s="52"/>
      <c r="F667" s="52"/>
      <c r="G667" s="52"/>
      <c r="H667" s="52"/>
      <c r="I667" s="52"/>
      <c r="J667" s="53" t="str">
        <f>IFERROR(__xludf.DUMMYFUNCTION("""COMPUTED_VALUE"""),"")</f>
        <v/>
      </c>
      <c r="K667" s="52"/>
      <c r="L667" s="52"/>
      <c r="M667" s="52"/>
      <c r="N667" s="52"/>
      <c r="O667" s="52"/>
      <c r="P667" s="52"/>
      <c r="Q667" s="52"/>
      <c r="R667" s="52"/>
      <c r="S667" s="52"/>
      <c r="T667" s="52"/>
      <c r="U667" s="52"/>
      <c r="V667" s="52"/>
      <c r="W667" s="52"/>
      <c r="X667" s="52"/>
      <c r="Y667" s="52"/>
      <c r="Z667" s="52"/>
    </row>
    <row r="668">
      <c r="A668" s="52"/>
      <c r="B668" s="52"/>
      <c r="C668" s="52"/>
      <c r="D668" s="52"/>
      <c r="E668" s="52"/>
      <c r="F668" s="52"/>
      <c r="G668" s="52"/>
      <c r="H668" s="52"/>
      <c r="I668" s="52"/>
      <c r="J668" s="53" t="str">
        <f>IFERROR(__xludf.DUMMYFUNCTION("""COMPUTED_VALUE"""),"")</f>
        <v/>
      </c>
      <c r="K668" s="52"/>
      <c r="L668" s="52"/>
      <c r="M668" s="52"/>
      <c r="N668" s="52"/>
      <c r="O668" s="52"/>
      <c r="P668" s="52"/>
      <c r="Q668" s="52"/>
      <c r="R668" s="52"/>
      <c r="S668" s="52"/>
      <c r="T668" s="52"/>
      <c r="U668" s="52"/>
      <c r="V668" s="52"/>
      <c r="W668" s="52"/>
      <c r="X668" s="52"/>
      <c r="Y668" s="52"/>
      <c r="Z668" s="52"/>
    </row>
    <row r="669">
      <c r="A669" s="52"/>
      <c r="B669" s="52"/>
      <c r="C669" s="52"/>
      <c r="D669" s="52"/>
      <c r="E669" s="52"/>
      <c r="F669" s="52"/>
      <c r="G669" s="52"/>
      <c r="H669" s="52"/>
      <c r="I669" s="52"/>
      <c r="J669" s="53" t="str">
        <f>IFERROR(__xludf.DUMMYFUNCTION("""COMPUTED_VALUE"""),"")</f>
        <v/>
      </c>
      <c r="K669" s="52"/>
      <c r="L669" s="52"/>
      <c r="M669" s="52"/>
      <c r="N669" s="52"/>
      <c r="O669" s="52"/>
      <c r="P669" s="52"/>
      <c r="Q669" s="52"/>
      <c r="R669" s="52"/>
      <c r="S669" s="52"/>
      <c r="T669" s="52"/>
      <c r="U669" s="52"/>
      <c r="V669" s="52"/>
      <c r="W669" s="52"/>
      <c r="X669" s="52"/>
      <c r="Y669" s="52"/>
      <c r="Z669" s="52"/>
    </row>
    <row r="670">
      <c r="A670" s="52"/>
      <c r="B670" s="52"/>
      <c r="C670" s="52"/>
      <c r="D670" s="52"/>
      <c r="E670" s="52"/>
      <c r="F670" s="52"/>
      <c r="G670" s="52"/>
      <c r="H670" s="52"/>
      <c r="I670" s="52"/>
      <c r="J670" s="53" t="str">
        <f>IFERROR(__xludf.DUMMYFUNCTION("""COMPUTED_VALUE"""),"")</f>
        <v/>
      </c>
      <c r="K670" s="52"/>
      <c r="L670" s="52"/>
      <c r="M670" s="52"/>
      <c r="N670" s="52"/>
      <c r="O670" s="52"/>
      <c r="P670" s="52"/>
      <c r="Q670" s="52"/>
      <c r="R670" s="52"/>
      <c r="S670" s="52"/>
      <c r="T670" s="52"/>
      <c r="U670" s="52"/>
      <c r="V670" s="52"/>
      <c r="W670" s="52"/>
      <c r="X670" s="52"/>
      <c r="Y670" s="52"/>
      <c r="Z670" s="52"/>
    </row>
    <row r="671">
      <c r="A671" s="52"/>
      <c r="B671" s="52"/>
      <c r="C671" s="52"/>
      <c r="D671" s="52"/>
      <c r="E671" s="52"/>
      <c r="F671" s="52"/>
      <c r="G671" s="52"/>
      <c r="H671" s="52"/>
      <c r="I671" s="52"/>
      <c r="J671" s="53" t="str">
        <f>IFERROR(__xludf.DUMMYFUNCTION("""COMPUTED_VALUE"""),"")</f>
        <v/>
      </c>
      <c r="K671" s="52"/>
      <c r="L671" s="52"/>
      <c r="M671" s="52"/>
      <c r="N671" s="52"/>
      <c r="O671" s="52"/>
      <c r="P671" s="52"/>
      <c r="Q671" s="52"/>
      <c r="R671" s="52"/>
      <c r="S671" s="52"/>
      <c r="T671" s="52"/>
      <c r="U671" s="52"/>
      <c r="V671" s="52"/>
      <c r="W671" s="52"/>
      <c r="X671" s="52"/>
      <c r="Y671" s="52"/>
      <c r="Z671" s="52"/>
    </row>
    <row r="672">
      <c r="A672" s="52"/>
      <c r="B672" s="52"/>
      <c r="C672" s="52"/>
      <c r="D672" s="52"/>
      <c r="E672" s="52"/>
      <c r="F672" s="52"/>
      <c r="G672" s="52"/>
      <c r="H672" s="52"/>
      <c r="I672" s="52"/>
      <c r="J672" s="53" t="str">
        <f>IFERROR(__xludf.DUMMYFUNCTION("""COMPUTED_VALUE"""),"")</f>
        <v/>
      </c>
      <c r="K672" s="52"/>
      <c r="L672" s="52"/>
      <c r="M672" s="52"/>
      <c r="N672" s="52"/>
      <c r="O672" s="52"/>
      <c r="P672" s="52"/>
      <c r="Q672" s="52"/>
      <c r="R672" s="52"/>
      <c r="S672" s="52"/>
      <c r="T672" s="52"/>
      <c r="U672" s="52"/>
      <c r="V672" s="52"/>
      <c r="W672" s="52"/>
      <c r="X672" s="52"/>
      <c r="Y672" s="52"/>
      <c r="Z672" s="52"/>
    </row>
    <row r="673">
      <c r="A673" s="52"/>
      <c r="B673" s="52"/>
      <c r="C673" s="52"/>
      <c r="D673" s="52"/>
      <c r="E673" s="52"/>
      <c r="F673" s="52"/>
      <c r="G673" s="52"/>
      <c r="H673" s="52"/>
      <c r="I673" s="52"/>
      <c r="J673" s="53" t="str">
        <f>IFERROR(__xludf.DUMMYFUNCTION("""COMPUTED_VALUE"""),"")</f>
        <v/>
      </c>
      <c r="K673" s="52"/>
      <c r="L673" s="52"/>
      <c r="M673" s="52"/>
      <c r="N673" s="52"/>
      <c r="O673" s="52"/>
      <c r="P673" s="52"/>
      <c r="Q673" s="52"/>
      <c r="R673" s="52"/>
      <c r="S673" s="52"/>
      <c r="T673" s="52"/>
      <c r="U673" s="52"/>
      <c r="V673" s="52"/>
      <c r="W673" s="52"/>
      <c r="X673" s="52"/>
      <c r="Y673" s="52"/>
      <c r="Z673" s="52"/>
    </row>
    <row r="674">
      <c r="A674" s="52"/>
      <c r="B674" s="52"/>
      <c r="C674" s="52"/>
      <c r="D674" s="52"/>
      <c r="E674" s="52"/>
      <c r="F674" s="52"/>
      <c r="G674" s="52"/>
      <c r="H674" s="52"/>
      <c r="I674" s="52"/>
      <c r="J674" s="53" t="str">
        <f>IFERROR(__xludf.DUMMYFUNCTION("""COMPUTED_VALUE"""),"")</f>
        <v/>
      </c>
      <c r="K674" s="52"/>
      <c r="L674" s="52"/>
      <c r="M674" s="52"/>
      <c r="N674" s="52"/>
      <c r="O674" s="52"/>
      <c r="P674" s="52"/>
      <c r="Q674" s="52"/>
      <c r="R674" s="52"/>
      <c r="S674" s="52"/>
      <c r="T674" s="52"/>
      <c r="U674" s="52"/>
      <c r="V674" s="52"/>
      <c r="W674" s="52"/>
      <c r="X674" s="52"/>
      <c r="Y674" s="52"/>
      <c r="Z674" s="52"/>
    </row>
    <row r="675">
      <c r="A675" s="52"/>
      <c r="B675" s="52"/>
      <c r="C675" s="52"/>
      <c r="D675" s="52"/>
      <c r="E675" s="52"/>
      <c r="F675" s="52"/>
      <c r="G675" s="52"/>
      <c r="H675" s="52"/>
      <c r="I675" s="52"/>
      <c r="J675" s="53" t="str">
        <f>IFERROR(__xludf.DUMMYFUNCTION("""COMPUTED_VALUE"""),"")</f>
        <v/>
      </c>
      <c r="K675" s="52"/>
      <c r="L675" s="52"/>
      <c r="M675" s="52"/>
      <c r="N675" s="52"/>
      <c r="O675" s="52"/>
      <c r="P675" s="52"/>
      <c r="Q675" s="52"/>
      <c r="R675" s="52"/>
      <c r="S675" s="52"/>
      <c r="T675" s="52"/>
      <c r="U675" s="52"/>
      <c r="V675" s="52"/>
      <c r="W675" s="52"/>
      <c r="X675" s="52"/>
      <c r="Y675" s="52"/>
      <c r="Z675" s="52"/>
    </row>
    <row r="676">
      <c r="A676" s="52"/>
      <c r="B676" s="52"/>
      <c r="C676" s="52"/>
      <c r="D676" s="52"/>
      <c r="E676" s="52"/>
      <c r="F676" s="52"/>
      <c r="G676" s="52"/>
      <c r="H676" s="52"/>
      <c r="I676" s="52"/>
      <c r="J676" s="53" t="str">
        <f>IFERROR(__xludf.DUMMYFUNCTION("""COMPUTED_VALUE"""),"")</f>
        <v/>
      </c>
      <c r="K676" s="52"/>
      <c r="L676" s="52"/>
      <c r="M676" s="52"/>
      <c r="N676" s="52"/>
      <c r="O676" s="52"/>
      <c r="P676" s="52"/>
      <c r="Q676" s="52"/>
      <c r="R676" s="52"/>
      <c r="S676" s="52"/>
      <c r="T676" s="52"/>
      <c r="U676" s="52"/>
      <c r="V676" s="52"/>
      <c r="W676" s="52"/>
      <c r="X676" s="52"/>
      <c r="Y676" s="52"/>
      <c r="Z676" s="52"/>
    </row>
    <row r="677">
      <c r="A677" s="52"/>
      <c r="B677" s="52"/>
      <c r="C677" s="52"/>
      <c r="D677" s="52"/>
      <c r="E677" s="52"/>
      <c r="F677" s="52"/>
      <c r="G677" s="52"/>
      <c r="H677" s="52"/>
      <c r="I677" s="52"/>
      <c r="J677" s="53" t="str">
        <f>IFERROR(__xludf.DUMMYFUNCTION("""COMPUTED_VALUE"""),"")</f>
        <v/>
      </c>
      <c r="K677" s="52"/>
      <c r="L677" s="52"/>
      <c r="M677" s="52"/>
      <c r="N677" s="52"/>
      <c r="O677" s="52"/>
      <c r="P677" s="52"/>
      <c r="Q677" s="52"/>
      <c r="R677" s="52"/>
      <c r="S677" s="52"/>
      <c r="T677" s="52"/>
      <c r="U677" s="52"/>
      <c r="V677" s="52"/>
      <c r="W677" s="52"/>
      <c r="X677" s="52"/>
      <c r="Y677" s="52"/>
      <c r="Z677" s="52"/>
    </row>
    <row r="678">
      <c r="A678" s="52"/>
      <c r="B678" s="52"/>
      <c r="C678" s="52"/>
      <c r="D678" s="52"/>
      <c r="E678" s="52"/>
      <c r="F678" s="52"/>
      <c r="G678" s="52"/>
      <c r="H678" s="52"/>
      <c r="I678" s="52"/>
      <c r="J678" s="53" t="str">
        <f>IFERROR(__xludf.DUMMYFUNCTION("""COMPUTED_VALUE"""),"")</f>
        <v/>
      </c>
      <c r="K678" s="52"/>
      <c r="L678" s="52"/>
      <c r="M678" s="52"/>
      <c r="N678" s="52"/>
      <c r="O678" s="52"/>
      <c r="P678" s="52"/>
      <c r="Q678" s="52"/>
      <c r="R678" s="52"/>
      <c r="S678" s="52"/>
      <c r="T678" s="52"/>
      <c r="U678" s="52"/>
      <c r="V678" s="52"/>
      <c r="W678" s="52"/>
      <c r="X678" s="52"/>
      <c r="Y678" s="52"/>
      <c r="Z678" s="52"/>
    </row>
    <row r="679">
      <c r="A679" s="52"/>
      <c r="B679" s="52"/>
      <c r="C679" s="52"/>
      <c r="D679" s="52"/>
      <c r="E679" s="52"/>
      <c r="F679" s="52"/>
      <c r="G679" s="52"/>
      <c r="H679" s="52"/>
      <c r="I679" s="52"/>
      <c r="J679" s="53" t="str">
        <f>IFERROR(__xludf.DUMMYFUNCTION("""COMPUTED_VALUE"""),"")</f>
        <v/>
      </c>
      <c r="K679" s="52"/>
      <c r="L679" s="52"/>
      <c r="M679" s="52"/>
      <c r="N679" s="52"/>
      <c r="O679" s="52"/>
      <c r="P679" s="52"/>
      <c r="Q679" s="52"/>
      <c r="R679" s="52"/>
      <c r="S679" s="52"/>
      <c r="T679" s="52"/>
      <c r="U679" s="52"/>
      <c r="V679" s="52"/>
      <c r="W679" s="52"/>
      <c r="X679" s="52"/>
      <c r="Y679" s="52"/>
      <c r="Z679" s="52"/>
    </row>
    <row r="680">
      <c r="A680" s="52"/>
      <c r="B680" s="52"/>
      <c r="C680" s="52"/>
      <c r="D680" s="52"/>
      <c r="E680" s="52"/>
      <c r="F680" s="52"/>
      <c r="G680" s="52"/>
      <c r="H680" s="52"/>
      <c r="I680" s="52"/>
      <c r="J680" s="53" t="str">
        <f>IFERROR(__xludf.DUMMYFUNCTION("""COMPUTED_VALUE"""),"")</f>
        <v/>
      </c>
      <c r="K680" s="52"/>
      <c r="L680" s="52"/>
      <c r="M680" s="52"/>
      <c r="N680" s="52"/>
      <c r="O680" s="52"/>
      <c r="P680" s="52"/>
      <c r="Q680" s="52"/>
      <c r="R680" s="52"/>
      <c r="S680" s="52"/>
      <c r="T680" s="52"/>
      <c r="U680" s="52"/>
      <c r="V680" s="52"/>
      <c r="W680" s="52"/>
      <c r="X680" s="52"/>
      <c r="Y680" s="52"/>
      <c r="Z680" s="52"/>
    </row>
    <row r="681">
      <c r="A681" s="52"/>
      <c r="B681" s="52"/>
      <c r="C681" s="52"/>
      <c r="D681" s="52"/>
      <c r="E681" s="52"/>
      <c r="F681" s="52"/>
      <c r="G681" s="52"/>
      <c r="H681" s="52"/>
      <c r="I681" s="52"/>
      <c r="J681" s="53" t="str">
        <f>IFERROR(__xludf.DUMMYFUNCTION("""COMPUTED_VALUE"""),"")</f>
        <v/>
      </c>
      <c r="K681" s="52"/>
      <c r="L681" s="52"/>
      <c r="M681" s="52"/>
      <c r="N681" s="52"/>
      <c r="O681" s="52"/>
      <c r="P681" s="52"/>
      <c r="Q681" s="52"/>
      <c r="R681" s="52"/>
      <c r="S681" s="52"/>
      <c r="T681" s="52"/>
      <c r="U681" s="52"/>
      <c r="V681" s="52"/>
      <c r="W681" s="52"/>
      <c r="X681" s="52"/>
      <c r="Y681" s="52"/>
      <c r="Z681" s="52"/>
    </row>
    <row r="682">
      <c r="A682" s="52"/>
      <c r="B682" s="52"/>
      <c r="C682" s="52"/>
      <c r="D682" s="52"/>
      <c r="E682" s="52"/>
      <c r="F682" s="52"/>
      <c r="G682" s="52"/>
      <c r="H682" s="52"/>
      <c r="I682" s="52"/>
      <c r="J682" s="53" t="str">
        <f>IFERROR(__xludf.DUMMYFUNCTION("""COMPUTED_VALUE"""),"")</f>
        <v/>
      </c>
      <c r="K682" s="52"/>
      <c r="L682" s="52"/>
      <c r="M682" s="52"/>
      <c r="N682" s="52"/>
      <c r="O682" s="52"/>
      <c r="P682" s="52"/>
      <c r="Q682" s="52"/>
      <c r="R682" s="52"/>
      <c r="S682" s="52"/>
      <c r="T682" s="52"/>
      <c r="U682" s="52"/>
      <c r="V682" s="52"/>
      <c r="W682" s="52"/>
      <c r="X682" s="52"/>
      <c r="Y682" s="52"/>
      <c r="Z682" s="52"/>
    </row>
    <row r="683">
      <c r="A683" s="52"/>
      <c r="B683" s="52"/>
      <c r="C683" s="52"/>
      <c r="D683" s="52"/>
      <c r="E683" s="52"/>
      <c r="F683" s="52"/>
      <c r="G683" s="52"/>
      <c r="H683" s="52"/>
      <c r="I683" s="52"/>
      <c r="J683" s="53" t="str">
        <f>IFERROR(__xludf.DUMMYFUNCTION("""COMPUTED_VALUE"""),"")</f>
        <v/>
      </c>
      <c r="K683" s="52"/>
      <c r="L683" s="52"/>
      <c r="M683" s="52"/>
      <c r="N683" s="52"/>
      <c r="O683" s="52"/>
      <c r="P683" s="52"/>
      <c r="Q683" s="52"/>
      <c r="R683" s="52"/>
      <c r="S683" s="52"/>
      <c r="T683" s="52"/>
      <c r="U683" s="52"/>
      <c r="V683" s="52"/>
      <c r="W683" s="52"/>
      <c r="X683" s="52"/>
      <c r="Y683" s="52"/>
      <c r="Z683" s="52"/>
    </row>
    <row r="684">
      <c r="A684" s="52"/>
      <c r="B684" s="52"/>
      <c r="C684" s="52"/>
      <c r="D684" s="52"/>
      <c r="E684" s="52"/>
      <c r="F684" s="52"/>
      <c r="G684" s="52"/>
      <c r="H684" s="52"/>
      <c r="I684" s="52"/>
      <c r="J684" s="53" t="str">
        <f>IFERROR(__xludf.DUMMYFUNCTION("""COMPUTED_VALUE"""),"")</f>
        <v/>
      </c>
      <c r="K684" s="52"/>
      <c r="L684" s="52"/>
      <c r="M684" s="52"/>
      <c r="N684" s="52"/>
      <c r="O684" s="52"/>
      <c r="P684" s="52"/>
      <c r="Q684" s="52"/>
      <c r="R684" s="52"/>
      <c r="S684" s="52"/>
      <c r="T684" s="52"/>
      <c r="U684" s="52"/>
      <c r="V684" s="52"/>
      <c r="W684" s="52"/>
      <c r="X684" s="52"/>
      <c r="Y684" s="52"/>
      <c r="Z684" s="52"/>
    </row>
    <row r="685">
      <c r="A685" s="52"/>
      <c r="B685" s="52"/>
      <c r="C685" s="52"/>
      <c r="D685" s="52"/>
      <c r="E685" s="52"/>
      <c r="F685" s="52"/>
      <c r="G685" s="52"/>
      <c r="H685" s="52"/>
      <c r="I685" s="52"/>
      <c r="J685" s="53" t="str">
        <f>IFERROR(__xludf.DUMMYFUNCTION("""COMPUTED_VALUE"""),"")</f>
        <v/>
      </c>
      <c r="K685" s="52"/>
      <c r="L685" s="52"/>
      <c r="M685" s="52"/>
      <c r="N685" s="52"/>
      <c r="O685" s="52"/>
      <c r="P685" s="52"/>
      <c r="Q685" s="52"/>
      <c r="R685" s="52"/>
      <c r="S685" s="52"/>
      <c r="T685" s="52"/>
      <c r="U685" s="52"/>
      <c r="V685" s="52"/>
      <c r="W685" s="52"/>
      <c r="X685" s="52"/>
      <c r="Y685" s="52"/>
      <c r="Z685" s="52"/>
    </row>
    <row r="686">
      <c r="A686" s="52"/>
      <c r="B686" s="52"/>
      <c r="C686" s="52"/>
      <c r="D686" s="52"/>
      <c r="E686" s="52"/>
      <c r="F686" s="52"/>
      <c r="G686" s="52"/>
      <c r="H686" s="52"/>
      <c r="I686" s="52"/>
      <c r="J686" s="53" t="str">
        <f>IFERROR(__xludf.DUMMYFUNCTION("""COMPUTED_VALUE"""),"")</f>
        <v/>
      </c>
      <c r="K686" s="52"/>
      <c r="L686" s="52"/>
      <c r="M686" s="52"/>
      <c r="N686" s="52"/>
      <c r="O686" s="52"/>
      <c r="P686" s="52"/>
      <c r="Q686" s="52"/>
      <c r="R686" s="52"/>
      <c r="S686" s="52"/>
      <c r="T686" s="52"/>
      <c r="U686" s="52"/>
      <c r="V686" s="52"/>
      <c r="W686" s="52"/>
      <c r="X686" s="52"/>
      <c r="Y686" s="52"/>
      <c r="Z686" s="52"/>
    </row>
    <row r="687">
      <c r="A687" s="52"/>
      <c r="B687" s="52"/>
      <c r="C687" s="52"/>
      <c r="D687" s="52"/>
      <c r="E687" s="52"/>
      <c r="F687" s="52"/>
      <c r="G687" s="52"/>
      <c r="H687" s="52"/>
      <c r="I687" s="52"/>
      <c r="J687" s="53" t="str">
        <f>IFERROR(__xludf.DUMMYFUNCTION("""COMPUTED_VALUE"""),"")</f>
        <v/>
      </c>
      <c r="K687" s="52"/>
      <c r="L687" s="52"/>
      <c r="M687" s="52"/>
      <c r="N687" s="52"/>
      <c r="O687" s="52"/>
      <c r="P687" s="52"/>
      <c r="Q687" s="52"/>
      <c r="R687" s="52"/>
      <c r="S687" s="52"/>
      <c r="T687" s="52"/>
      <c r="U687" s="52"/>
      <c r="V687" s="52"/>
      <c r="W687" s="52"/>
      <c r="X687" s="52"/>
      <c r="Y687" s="52"/>
      <c r="Z687" s="52"/>
    </row>
    <row r="688">
      <c r="A688" s="52"/>
      <c r="B688" s="52"/>
      <c r="C688" s="52"/>
      <c r="D688" s="52"/>
      <c r="E688" s="52"/>
      <c r="F688" s="52"/>
      <c r="G688" s="52"/>
      <c r="H688" s="52"/>
      <c r="I688" s="52"/>
      <c r="J688" s="53" t="str">
        <f>IFERROR(__xludf.DUMMYFUNCTION("""COMPUTED_VALUE"""),"")</f>
        <v/>
      </c>
      <c r="K688" s="52"/>
      <c r="L688" s="52"/>
      <c r="M688" s="52"/>
      <c r="N688" s="52"/>
      <c r="O688" s="52"/>
      <c r="P688" s="52"/>
      <c r="Q688" s="52"/>
      <c r="R688" s="52"/>
      <c r="S688" s="52"/>
      <c r="T688" s="52"/>
      <c r="U688" s="52"/>
      <c r="V688" s="52"/>
      <c r="W688" s="52"/>
      <c r="X688" s="52"/>
      <c r="Y688" s="52"/>
      <c r="Z688" s="52"/>
    </row>
    <row r="689">
      <c r="A689" s="52"/>
      <c r="B689" s="52"/>
      <c r="C689" s="52"/>
      <c r="D689" s="52"/>
      <c r="E689" s="52"/>
      <c r="F689" s="52"/>
      <c r="G689" s="52"/>
      <c r="H689" s="52"/>
      <c r="I689" s="52"/>
      <c r="J689" s="53" t="str">
        <f>IFERROR(__xludf.DUMMYFUNCTION("""COMPUTED_VALUE"""),"")</f>
        <v/>
      </c>
      <c r="K689" s="52"/>
      <c r="L689" s="52"/>
      <c r="M689" s="52"/>
      <c r="N689" s="52"/>
      <c r="O689" s="52"/>
      <c r="P689" s="52"/>
      <c r="Q689" s="52"/>
      <c r="R689" s="52"/>
      <c r="S689" s="52"/>
      <c r="T689" s="52"/>
      <c r="U689" s="52"/>
      <c r="V689" s="52"/>
      <c r="W689" s="52"/>
      <c r="X689" s="52"/>
      <c r="Y689" s="52"/>
      <c r="Z689" s="52"/>
    </row>
    <row r="690">
      <c r="A690" s="52"/>
      <c r="B690" s="52"/>
      <c r="C690" s="52"/>
      <c r="D690" s="52"/>
      <c r="E690" s="52"/>
      <c r="F690" s="52"/>
      <c r="G690" s="52"/>
      <c r="H690" s="52"/>
      <c r="I690" s="52"/>
      <c r="J690" s="53" t="str">
        <f>IFERROR(__xludf.DUMMYFUNCTION("""COMPUTED_VALUE"""),"")</f>
        <v/>
      </c>
      <c r="K690" s="52"/>
      <c r="L690" s="52"/>
      <c r="M690" s="52"/>
      <c r="N690" s="52"/>
      <c r="O690" s="52"/>
      <c r="P690" s="52"/>
      <c r="Q690" s="52"/>
      <c r="R690" s="52"/>
      <c r="S690" s="52"/>
      <c r="T690" s="52"/>
      <c r="U690" s="52"/>
      <c r="V690" s="52"/>
      <c r="W690" s="52"/>
      <c r="X690" s="52"/>
      <c r="Y690" s="52"/>
      <c r="Z690" s="52"/>
    </row>
    <row r="691">
      <c r="A691" s="52"/>
      <c r="B691" s="52"/>
      <c r="C691" s="52"/>
      <c r="D691" s="52"/>
      <c r="E691" s="52"/>
      <c r="F691" s="52"/>
      <c r="G691" s="52"/>
      <c r="H691" s="52"/>
      <c r="I691" s="52"/>
      <c r="J691" s="53" t="str">
        <f>IFERROR(__xludf.DUMMYFUNCTION("""COMPUTED_VALUE"""),"")</f>
        <v/>
      </c>
      <c r="K691" s="52"/>
      <c r="L691" s="52"/>
      <c r="M691" s="52"/>
      <c r="N691" s="52"/>
      <c r="O691" s="52"/>
      <c r="P691" s="52"/>
      <c r="Q691" s="52"/>
      <c r="R691" s="52"/>
      <c r="S691" s="52"/>
      <c r="T691" s="52"/>
      <c r="U691" s="52"/>
      <c r="V691" s="52"/>
      <c r="W691" s="52"/>
      <c r="X691" s="52"/>
      <c r="Y691" s="52"/>
      <c r="Z691" s="52"/>
    </row>
    <row r="692">
      <c r="A692" s="52"/>
      <c r="B692" s="52"/>
      <c r="C692" s="52"/>
      <c r="D692" s="52"/>
      <c r="E692" s="52"/>
      <c r="F692" s="52"/>
      <c r="G692" s="52"/>
      <c r="H692" s="52"/>
      <c r="I692" s="52"/>
      <c r="J692" s="53" t="str">
        <f>IFERROR(__xludf.DUMMYFUNCTION("""COMPUTED_VALUE"""),"")</f>
        <v/>
      </c>
      <c r="K692" s="52"/>
      <c r="L692" s="52"/>
      <c r="M692" s="52"/>
      <c r="N692" s="52"/>
      <c r="O692" s="52"/>
      <c r="P692" s="52"/>
      <c r="Q692" s="52"/>
      <c r="R692" s="52"/>
      <c r="S692" s="52"/>
      <c r="T692" s="52"/>
      <c r="U692" s="52"/>
      <c r="V692" s="52"/>
      <c r="W692" s="52"/>
      <c r="X692" s="52"/>
      <c r="Y692" s="52"/>
      <c r="Z692" s="52"/>
    </row>
    <row r="693">
      <c r="A693" s="52"/>
      <c r="B693" s="52"/>
      <c r="C693" s="52"/>
      <c r="D693" s="52"/>
      <c r="E693" s="52"/>
      <c r="F693" s="52"/>
      <c r="G693" s="52"/>
      <c r="H693" s="52"/>
      <c r="I693" s="52"/>
      <c r="J693" s="53" t="str">
        <f>IFERROR(__xludf.DUMMYFUNCTION("""COMPUTED_VALUE"""),"")</f>
        <v/>
      </c>
      <c r="K693" s="52"/>
      <c r="L693" s="52"/>
      <c r="M693" s="52"/>
      <c r="N693" s="52"/>
      <c r="O693" s="52"/>
      <c r="P693" s="52"/>
      <c r="Q693" s="52"/>
      <c r="R693" s="52"/>
      <c r="S693" s="52"/>
      <c r="T693" s="52"/>
      <c r="U693" s="52"/>
      <c r="V693" s="52"/>
      <c r="W693" s="52"/>
      <c r="X693" s="52"/>
      <c r="Y693" s="52"/>
      <c r="Z693" s="52"/>
    </row>
    <row r="694">
      <c r="A694" s="52"/>
      <c r="B694" s="52"/>
      <c r="C694" s="52"/>
      <c r="D694" s="52"/>
      <c r="E694" s="52"/>
      <c r="F694" s="52"/>
      <c r="G694" s="52"/>
      <c r="H694" s="52"/>
      <c r="I694" s="52"/>
      <c r="J694" s="53" t="str">
        <f>IFERROR(__xludf.DUMMYFUNCTION("""COMPUTED_VALUE"""),"")</f>
        <v/>
      </c>
      <c r="K694" s="52"/>
      <c r="L694" s="52"/>
      <c r="M694" s="52"/>
      <c r="N694" s="52"/>
      <c r="O694" s="52"/>
      <c r="P694" s="52"/>
      <c r="Q694" s="52"/>
      <c r="R694" s="52"/>
      <c r="S694" s="52"/>
      <c r="T694" s="52"/>
      <c r="U694" s="52"/>
      <c r="V694" s="52"/>
      <c r="W694" s="52"/>
      <c r="X694" s="52"/>
      <c r="Y694" s="52"/>
      <c r="Z694" s="52"/>
    </row>
    <row r="695">
      <c r="A695" s="52"/>
      <c r="B695" s="52"/>
      <c r="C695" s="52"/>
      <c r="D695" s="52"/>
      <c r="E695" s="52"/>
      <c r="F695" s="52"/>
      <c r="G695" s="52"/>
      <c r="H695" s="52"/>
      <c r="I695" s="52"/>
      <c r="J695" s="53" t="str">
        <f>IFERROR(__xludf.DUMMYFUNCTION("""COMPUTED_VALUE"""),"")</f>
        <v/>
      </c>
      <c r="K695" s="52"/>
      <c r="L695" s="52"/>
      <c r="M695" s="52"/>
      <c r="N695" s="52"/>
      <c r="O695" s="52"/>
      <c r="P695" s="52"/>
      <c r="Q695" s="52"/>
      <c r="R695" s="52"/>
      <c r="S695" s="52"/>
      <c r="T695" s="52"/>
      <c r="U695" s="52"/>
      <c r="V695" s="52"/>
      <c r="W695" s="52"/>
      <c r="X695" s="52"/>
      <c r="Y695" s="52"/>
      <c r="Z695" s="52"/>
    </row>
    <row r="696">
      <c r="A696" s="52"/>
      <c r="B696" s="52"/>
      <c r="C696" s="52"/>
      <c r="D696" s="52"/>
      <c r="E696" s="52"/>
      <c r="F696" s="52"/>
      <c r="G696" s="52"/>
      <c r="H696" s="52"/>
      <c r="I696" s="52"/>
      <c r="J696" s="53" t="str">
        <f>IFERROR(__xludf.DUMMYFUNCTION("""COMPUTED_VALUE"""),"")</f>
        <v/>
      </c>
      <c r="K696" s="52"/>
      <c r="L696" s="52"/>
      <c r="M696" s="52"/>
      <c r="N696" s="52"/>
      <c r="O696" s="52"/>
      <c r="P696" s="52"/>
      <c r="Q696" s="52"/>
      <c r="R696" s="52"/>
      <c r="S696" s="52"/>
      <c r="T696" s="52"/>
      <c r="U696" s="52"/>
      <c r="V696" s="52"/>
      <c r="W696" s="52"/>
      <c r="X696" s="52"/>
      <c r="Y696" s="52"/>
      <c r="Z696" s="52"/>
    </row>
    <row r="697">
      <c r="A697" s="52"/>
      <c r="B697" s="52"/>
      <c r="C697" s="52"/>
      <c r="D697" s="52"/>
      <c r="E697" s="52"/>
      <c r="F697" s="52"/>
      <c r="G697" s="52"/>
      <c r="H697" s="52"/>
      <c r="I697" s="52"/>
      <c r="J697" s="53" t="str">
        <f>IFERROR(__xludf.DUMMYFUNCTION("""COMPUTED_VALUE"""),"")</f>
        <v/>
      </c>
      <c r="K697" s="52"/>
      <c r="L697" s="52"/>
      <c r="M697" s="52"/>
      <c r="N697" s="52"/>
      <c r="O697" s="52"/>
      <c r="P697" s="52"/>
      <c r="Q697" s="52"/>
      <c r="R697" s="52"/>
      <c r="S697" s="52"/>
      <c r="T697" s="52"/>
      <c r="U697" s="52"/>
      <c r="V697" s="52"/>
      <c r="W697" s="52"/>
      <c r="X697" s="52"/>
      <c r="Y697" s="52"/>
      <c r="Z697" s="52"/>
    </row>
    <row r="698">
      <c r="A698" s="52"/>
      <c r="B698" s="52"/>
      <c r="C698" s="52"/>
      <c r="D698" s="52"/>
      <c r="E698" s="52"/>
      <c r="F698" s="52"/>
      <c r="G698" s="52"/>
      <c r="H698" s="52"/>
      <c r="I698" s="52"/>
      <c r="J698" s="53" t="str">
        <f>IFERROR(__xludf.DUMMYFUNCTION("""COMPUTED_VALUE"""),"")</f>
        <v/>
      </c>
      <c r="K698" s="52"/>
      <c r="L698" s="52"/>
      <c r="M698" s="52"/>
      <c r="N698" s="52"/>
      <c r="O698" s="52"/>
      <c r="P698" s="52"/>
      <c r="Q698" s="52"/>
      <c r="R698" s="52"/>
      <c r="S698" s="52"/>
      <c r="T698" s="52"/>
      <c r="U698" s="52"/>
      <c r="V698" s="52"/>
      <c r="W698" s="52"/>
      <c r="X698" s="52"/>
      <c r="Y698" s="52"/>
      <c r="Z698" s="52"/>
    </row>
    <row r="699">
      <c r="A699" s="52"/>
      <c r="B699" s="52"/>
      <c r="C699" s="52"/>
      <c r="D699" s="52"/>
      <c r="E699" s="52"/>
      <c r="F699" s="52"/>
      <c r="G699" s="52"/>
      <c r="H699" s="52"/>
      <c r="I699" s="52"/>
      <c r="J699" s="53" t="str">
        <f>IFERROR(__xludf.DUMMYFUNCTION("""COMPUTED_VALUE"""),"")</f>
        <v/>
      </c>
      <c r="K699" s="52"/>
      <c r="L699" s="52"/>
      <c r="M699" s="52"/>
      <c r="N699" s="52"/>
      <c r="O699" s="52"/>
      <c r="P699" s="52"/>
      <c r="Q699" s="52"/>
      <c r="R699" s="52"/>
      <c r="S699" s="52"/>
      <c r="T699" s="52"/>
      <c r="U699" s="52"/>
      <c r="V699" s="52"/>
      <c r="W699" s="52"/>
      <c r="X699" s="52"/>
      <c r="Y699" s="52"/>
      <c r="Z699" s="52"/>
    </row>
    <row r="700">
      <c r="A700" s="52"/>
      <c r="B700" s="52"/>
      <c r="C700" s="52"/>
      <c r="D700" s="52"/>
      <c r="E700" s="52"/>
      <c r="F700" s="52"/>
      <c r="G700" s="52"/>
      <c r="H700" s="52"/>
      <c r="I700" s="52"/>
      <c r="J700" s="53" t="str">
        <f>IFERROR(__xludf.DUMMYFUNCTION("""COMPUTED_VALUE"""),"")</f>
        <v/>
      </c>
      <c r="K700" s="52"/>
      <c r="L700" s="52"/>
      <c r="M700" s="52"/>
      <c r="N700" s="52"/>
      <c r="O700" s="52"/>
      <c r="P700" s="52"/>
      <c r="Q700" s="52"/>
      <c r="R700" s="52"/>
      <c r="S700" s="52"/>
      <c r="T700" s="52"/>
      <c r="U700" s="52"/>
      <c r="V700" s="52"/>
      <c r="W700" s="52"/>
      <c r="X700" s="52"/>
      <c r="Y700" s="52"/>
      <c r="Z700" s="52"/>
    </row>
    <row r="701">
      <c r="A701" s="52"/>
      <c r="B701" s="52"/>
      <c r="C701" s="52"/>
      <c r="D701" s="52"/>
      <c r="E701" s="52"/>
      <c r="F701" s="52"/>
      <c r="G701" s="52"/>
      <c r="H701" s="52"/>
      <c r="I701" s="52"/>
      <c r="J701" s="53" t="str">
        <f>IFERROR(__xludf.DUMMYFUNCTION("""COMPUTED_VALUE"""),"")</f>
        <v/>
      </c>
      <c r="K701" s="52"/>
      <c r="L701" s="52"/>
      <c r="M701" s="52"/>
      <c r="N701" s="52"/>
      <c r="O701" s="52"/>
      <c r="P701" s="52"/>
      <c r="Q701" s="52"/>
      <c r="R701" s="52"/>
      <c r="S701" s="52"/>
      <c r="T701" s="52"/>
      <c r="U701" s="52"/>
      <c r="V701" s="52"/>
      <c r="W701" s="52"/>
      <c r="X701" s="52"/>
      <c r="Y701" s="52"/>
      <c r="Z701" s="52"/>
    </row>
    <row r="702">
      <c r="A702" s="52"/>
      <c r="B702" s="52"/>
      <c r="C702" s="52"/>
      <c r="D702" s="52"/>
      <c r="E702" s="52"/>
      <c r="F702" s="52"/>
      <c r="G702" s="52"/>
      <c r="H702" s="52"/>
      <c r="I702" s="52"/>
      <c r="J702" s="53" t="str">
        <f>IFERROR(__xludf.DUMMYFUNCTION("""COMPUTED_VALUE"""),"")</f>
        <v/>
      </c>
      <c r="K702" s="52"/>
      <c r="L702" s="52"/>
      <c r="M702" s="52"/>
      <c r="N702" s="52"/>
      <c r="O702" s="52"/>
      <c r="P702" s="52"/>
      <c r="Q702" s="52"/>
      <c r="R702" s="52"/>
      <c r="S702" s="52"/>
      <c r="T702" s="52"/>
      <c r="U702" s="52"/>
      <c r="V702" s="52"/>
      <c r="W702" s="52"/>
      <c r="X702" s="52"/>
      <c r="Y702" s="52"/>
      <c r="Z702" s="52"/>
    </row>
    <row r="703">
      <c r="A703" s="52"/>
      <c r="B703" s="52"/>
      <c r="C703" s="52"/>
      <c r="D703" s="52"/>
      <c r="E703" s="52"/>
      <c r="F703" s="52"/>
      <c r="G703" s="52"/>
      <c r="H703" s="52"/>
      <c r="I703" s="52"/>
      <c r="J703" s="53" t="str">
        <f>IFERROR(__xludf.DUMMYFUNCTION("""COMPUTED_VALUE"""),"")</f>
        <v/>
      </c>
      <c r="K703" s="52"/>
      <c r="L703" s="52"/>
      <c r="M703" s="52"/>
      <c r="N703" s="52"/>
      <c r="O703" s="52"/>
      <c r="P703" s="52"/>
      <c r="Q703" s="52"/>
      <c r="R703" s="52"/>
      <c r="S703" s="52"/>
      <c r="T703" s="52"/>
      <c r="U703" s="52"/>
      <c r="V703" s="52"/>
      <c r="W703" s="52"/>
      <c r="X703" s="52"/>
      <c r="Y703" s="52"/>
      <c r="Z703" s="52"/>
    </row>
    <row r="704">
      <c r="A704" s="52"/>
      <c r="B704" s="52"/>
      <c r="C704" s="52"/>
      <c r="D704" s="52"/>
      <c r="E704" s="52"/>
      <c r="F704" s="52"/>
      <c r="G704" s="52"/>
      <c r="H704" s="52"/>
      <c r="I704" s="52"/>
      <c r="J704" s="53" t="str">
        <f>IFERROR(__xludf.DUMMYFUNCTION("""COMPUTED_VALUE"""),"")</f>
        <v/>
      </c>
      <c r="K704" s="52"/>
      <c r="L704" s="52"/>
      <c r="M704" s="52"/>
      <c r="N704" s="52"/>
      <c r="O704" s="52"/>
      <c r="P704" s="52"/>
      <c r="Q704" s="52"/>
      <c r="R704" s="52"/>
      <c r="S704" s="52"/>
      <c r="T704" s="52"/>
      <c r="U704" s="52"/>
      <c r="V704" s="52"/>
      <c r="W704" s="52"/>
      <c r="X704" s="52"/>
      <c r="Y704" s="52"/>
      <c r="Z704" s="52"/>
    </row>
    <row r="705">
      <c r="A705" s="52"/>
      <c r="B705" s="52"/>
      <c r="C705" s="52"/>
      <c r="D705" s="52"/>
      <c r="E705" s="52"/>
      <c r="F705" s="52"/>
      <c r="G705" s="52"/>
      <c r="H705" s="52"/>
      <c r="I705" s="52"/>
      <c r="J705" s="53" t="str">
        <f>IFERROR(__xludf.DUMMYFUNCTION("""COMPUTED_VALUE"""),"")</f>
        <v/>
      </c>
      <c r="K705" s="52"/>
      <c r="L705" s="52"/>
      <c r="M705" s="52"/>
      <c r="N705" s="52"/>
      <c r="O705" s="52"/>
      <c r="P705" s="52"/>
      <c r="Q705" s="52"/>
      <c r="R705" s="52"/>
      <c r="S705" s="52"/>
      <c r="T705" s="52"/>
      <c r="U705" s="52"/>
      <c r="V705" s="52"/>
      <c r="W705" s="52"/>
      <c r="X705" s="52"/>
      <c r="Y705" s="52"/>
      <c r="Z705" s="52"/>
    </row>
    <row r="706">
      <c r="A706" s="52"/>
      <c r="B706" s="52"/>
      <c r="C706" s="52"/>
      <c r="D706" s="52"/>
      <c r="E706" s="52"/>
      <c r="F706" s="52"/>
      <c r="G706" s="52"/>
      <c r="H706" s="52"/>
      <c r="I706" s="52"/>
      <c r="J706" s="53" t="str">
        <f>IFERROR(__xludf.DUMMYFUNCTION("""COMPUTED_VALUE"""),"")</f>
        <v/>
      </c>
      <c r="K706" s="52"/>
      <c r="L706" s="52"/>
      <c r="M706" s="52"/>
      <c r="N706" s="52"/>
      <c r="O706" s="52"/>
      <c r="P706" s="52"/>
      <c r="Q706" s="52"/>
      <c r="R706" s="52"/>
      <c r="S706" s="52"/>
      <c r="T706" s="52"/>
      <c r="U706" s="52"/>
      <c r="V706" s="52"/>
      <c r="W706" s="52"/>
      <c r="X706" s="52"/>
      <c r="Y706" s="52"/>
      <c r="Z706" s="52"/>
    </row>
    <row r="707">
      <c r="A707" s="52"/>
      <c r="B707" s="52"/>
      <c r="C707" s="52"/>
      <c r="D707" s="52"/>
      <c r="E707" s="52"/>
      <c r="F707" s="52"/>
      <c r="G707" s="52"/>
      <c r="H707" s="52"/>
      <c r="I707" s="52"/>
      <c r="J707" s="53" t="str">
        <f>IFERROR(__xludf.DUMMYFUNCTION("""COMPUTED_VALUE"""),"")</f>
        <v/>
      </c>
      <c r="K707" s="52"/>
      <c r="L707" s="52"/>
      <c r="M707" s="52"/>
      <c r="N707" s="52"/>
      <c r="O707" s="52"/>
      <c r="P707" s="52"/>
      <c r="Q707" s="52"/>
      <c r="R707" s="52"/>
      <c r="S707" s="52"/>
      <c r="T707" s="52"/>
      <c r="U707" s="52"/>
      <c r="V707" s="52"/>
      <c r="W707" s="52"/>
      <c r="X707" s="52"/>
      <c r="Y707" s="52"/>
      <c r="Z707" s="52"/>
    </row>
    <row r="708">
      <c r="A708" s="52"/>
      <c r="B708" s="52"/>
      <c r="C708" s="52"/>
      <c r="D708" s="52"/>
      <c r="E708" s="52"/>
      <c r="F708" s="52"/>
      <c r="G708" s="52"/>
      <c r="H708" s="52"/>
      <c r="I708" s="52"/>
      <c r="J708" s="53" t="str">
        <f>IFERROR(__xludf.DUMMYFUNCTION("""COMPUTED_VALUE"""),"")</f>
        <v/>
      </c>
      <c r="K708" s="52"/>
      <c r="L708" s="52"/>
      <c r="M708" s="52"/>
      <c r="N708" s="52"/>
      <c r="O708" s="52"/>
      <c r="P708" s="52"/>
      <c r="Q708" s="52"/>
      <c r="R708" s="52"/>
      <c r="S708" s="52"/>
      <c r="T708" s="52"/>
      <c r="U708" s="52"/>
      <c r="V708" s="52"/>
      <c r="W708" s="52"/>
      <c r="X708" s="52"/>
      <c r="Y708" s="52"/>
      <c r="Z708" s="52"/>
    </row>
    <row r="709">
      <c r="A709" s="52"/>
      <c r="B709" s="52"/>
      <c r="C709" s="52"/>
      <c r="D709" s="52"/>
      <c r="E709" s="52"/>
      <c r="F709" s="52"/>
      <c r="G709" s="52"/>
      <c r="H709" s="52"/>
      <c r="I709" s="52"/>
      <c r="J709" s="53" t="str">
        <f>IFERROR(__xludf.DUMMYFUNCTION("""COMPUTED_VALUE"""),"")</f>
        <v/>
      </c>
      <c r="K709" s="52"/>
      <c r="L709" s="52"/>
      <c r="M709" s="52"/>
      <c r="N709" s="52"/>
      <c r="O709" s="52"/>
      <c r="P709" s="52"/>
      <c r="Q709" s="52"/>
      <c r="R709" s="52"/>
      <c r="S709" s="52"/>
      <c r="T709" s="52"/>
      <c r="U709" s="52"/>
      <c r="V709" s="52"/>
      <c r="W709" s="52"/>
      <c r="X709" s="52"/>
      <c r="Y709" s="52"/>
      <c r="Z709" s="52"/>
    </row>
    <row r="710">
      <c r="A710" s="52"/>
      <c r="B710" s="52"/>
      <c r="C710" s="52"/>
      <c r="D710" s="52"/>
      <c r="E710" s="52"/>
      <c r="F710" s="52"/>
      <c r="G710" s="52"/>
      <c r="H710" s="52"/>
      <c r="I710" s="52"/>
      <c r="J710" s="53" t="str">
        <f>IFERROR(__xludf.DUMMYFUNCTION("""COMPUTED_VALUE"""),"")</f>
        <v/>
      </c>
      <c r="K710" s="52"/>
      <c r="L710" s="52"/>
      <c r="M710" s="52"/>
      <c r="N710" s="52"/>
      <c r="O710" s="52"/>
      <c r="P710" s="52"/>
      <c r="Q710" s="52"/>
      <c r="R710" s="52"/>
      <c r="S710" s="52"/>
      <c r="T710" s="52"/>
      <c r="U710" s="52"/>
      <c r="V710" s="52"/>
      <c r="W710" s="52"/>
      <c r="X710" s="52"/>
      <c r="Y710" s="52"/>
      <c r="Z710" s="52"/>
    </row>
    <row r="711">
      <c r="A711" s="52"/>
      <c r="B711" s="52"/>
      <c r="C711" s="52"/>
      <c r="D711" s="52"/>
      <c r="E711" s="52"/>
      <c r="F711" s="52"/>
      <c r="G711" s="52"/>
      <c r="H711" s="52"/>
      <c r="I711" s="52"/>
      <c r="J711" s="53" t="str">
        <f>IFERROR(__xludf.DUMMYFUNCTION("""COMPUTED_VALUE"""),"")</f>
        <v/>
      </c>
      <c r="K711" s="52"/>
      <c r="L711" s="52"/>
      <c r="M711" s="52"/>
      <c r="N711" s="52"/>
      <c r="O711" s="52"/>
      <c r="P711" s="52"/>
      <c r="Q711" s="52"/>
      <c r="R711" s="52"/>
      <c r="S711" s="52"/>
      <c r="T711" s="52"/>
      <c r="U711" s="52"/>
      <c r="V711" s="52"/>
      <c r="W711" s="52"/>
      <c r="X711" s="52"/>
      <c r="Y711" s="52"/>
      <c r="Z711" s="52"/>
    </row>
    <row r="712">
      <c r="A712" s="52"/>
      <c r="B712" s="52"/>
      <c r="C712" s="52"/>
      <c r="D712" s="52"/>
      <c r="E712" s="52"/>
      <c r="F712" s="52"/>
      <c r="G712" s="52"/>
      <c r="H712" s="52"/>
      <c r="I712" s="52"/>
      <c r="J712" s="53" t="str">
        <f>IFERROR(__xludf.DUMMYFUNCTION("""COMPUTED_VALUE"""),"")</f>
        <v/>
      </c>
      <c r="K712" s="52"/>
      <c r="L712" s="52"/>
      <c r="M712" s="52"/>
      <c r="N712" s="52"/>
      <c r="O712" s="52"/>
      <c r="P712" s="52"/>
      <c r="Q712" s="52"/>
      <c r="R712" s="52"/>
      <c r="S712" s="52"/>
      <c r="T712" s="52"/>
      <c r="U712" s="52"/>
      <c r="V712" s="52"/>
      <c r="W712" s="52"/>
      <c r="X712" s="52"/>
      <c r="Y712" s="52"/>
      <c r="Z712" s="52"/>
    </row>
    <row r="713">
      <c r="A713" s="52"/>
      <c r="B713" s="52"/>
      <c r="C713" s="52"/>
      <c r="D713" s="52"/>
      <c r="E713" s="52"/>
      <c r="F713" s="52"/>
      <c r="G713" s="52"/>
      <c r="H713" s="52"/>
      <c r="I713" s="52"/>
      <c r="J713" s="53" t="str">
        <f>IFERROR(__xludf.DUMMYFUNCTION("""COMPUTED_VALUE"""),"")</f>
        <v/>
      </c>
      <c r="K713" s="52"/>
      <c r="L713" s="52"/>
      <c r="M713" s="52"/>
      <c r="N713" s="52"/>
      <c r="O713" s="52"/>
      <c r="P713" s="52"/>
      <c r="Q713" s="52"/>
      <c r="R713" s="52"/>
      <c r="S713" s="52"/>
      <c r="T713" s="52"/>
      <c r="U713" s="52"/>
      <c r="V713" s="52"/>
      <c r="W713" s="52"/>
      <c r="X713" s="52"/>
      <c r="Y713" s="52"/>
      <c r="Z713" s="52"/>
    </row>
    <row r="714">
      <c r="A714" s="52"/>
      <c r="B714" s="52"/>
      <c r="C714" s="52"/>
      <c r="D714" s="52"/>
      <c r="E714" s="52"/>
      <c r="F714" s="52"/>
      <c r="G714" s="52"/>
      <c r="H714" s="52"/>
      <c r="I714" s="52"/>
      <c r="J714" s="53" t="str">
        <f>IFERROR(__xludf.DUMMYFUNCTION("""COMPUTED_VALUE"""),"")</f>
        <v/>
      </c>
      <c r="K714" s="52"/>
      <c r="L714" s="52"/>
      <c r="M714" s="52"/>
      <c r="N714" s="52"/>
      <c r="O714" s="52"/>
      <c r="P714" s="52"/>
      <c r="Q714" s="52"/>
      <c r="R714" s="52"/>
      <c r="S714" s="52"/>
      <c r="T714" s="52"/>
      <c r="U714" s="52"/>
      <c r="V714" s="52"/>
      <c r="W714" s="52"/>
      <c r="X714" s="52"/>
      <c r="Y714" s="52"/>
      <c r="Z714" s="52"/>
    </row>
    <row r="715">
      <c r="A715" s="52"/>
      <c r="B715" s="52"/>
      <c r="C715" s="52"/>
      <c r="D715" s="52"/>
      <c r="E715" s="52"/>
      <c r="F715" s="52"/>
      <c r="G715" s="52"/>
      <c r="H715" s="52"/>
      <c r="I715" s="52"/>
      <c r="J715" s="53" t="str">
        <f>IFERROR(__xludf.DUMMYFUNCTION("""COMPUTED_VALUE"""),"")</f>
        <v/>
      </c>
      <c r="K715" s="52"/>
      <c r="L715" s="52"/>
      <c r="M715" s="52"/>
      <c r="N715" s="52"/>
      <c r="O715" s="52"/>
      <c r="P715" s="52"/>
      <c r="Q715" s="52"/>
      <c r="R715" s="52"/>
      <c r="S715" s="52"/>
      <c r="T715" s="52"/>
      <c r="U715" s="52"/>
      <c r="V715" s="52"/>
      <c r="W715" s="52"/>
      <c r="X715" s="52"/>
      <c r="Y715" s="52"/>
      <c r="Z715" s="52"/>
    </row>
    <row r="716">
      <c r="A716" s="52"/>
      <c r="B716" s="52"/>
      <c r="C716" s="52"/>
      <c r="D716" s="52"/>
      <c r="E716" s="52"/>
      <c r="F716" s="52"/>
      <c r="G716" s="52"/>
      <c r="H716" s="52"/>
      <c r="I716" s="52"/>
      <c r="J716" s="53" t="str">
        <f>IFERROR(__xludf.DUMMYFUNCTION("""COMPUTED_VALUE"""),"")</f>
        <v/>
      </c>
      <c r="K716" s="52"/>
      <c r="L716" s="52"/>
      <c r="M716" s="52"/>
      <c r="N716" s="52"/>
      <c r="O716" s="52"/>
      <c r="P716" s="52"/>
      <c r="Q716" s="52"/>
      <c r="R716" s="52"/>
      <c r="S716" s="52"/>
      <c r="T716" s="52"/>
      <c r="U716" s="52"/>
      <c r="V716" s="52"/>
      <c r="W716" s="52"/>
      <c r="X716" s="52"/>
      <c r="Y716" s="52"/>
      <c r="Z716" s="52"/>
    </row>
    <row r="717">
      <c r="A717" s="52"/>
      <c r="B717" s="52"/>
      <c r="C717" s="52"/>
      <c r="D717" s="52"/>
      <c r="E717" s="52"/>
      <c r="F717" s="52"/>
      <c r="G717" s="52"/>
      <c r="H717" s="52"/>
      <c r="I717" s="52"/>
      <c r="J717" s="53" t="str">
        <f>IFERROR(__xludf.DUMMYFUNCTION("""COMPUTED_VALUE"""),"")</f>
        <v/>
      </c>
      <c r="K717" s="52"/>
      <c r="L717" s="52"/>
      <c r="M717" s="52"/>
      <c r="N717" s="52"/>
      <c r="O717" s="52"/>
      <c r="P717" s="52"/>
      <c r="Q717" s="52"/>
      <c r="R717" s="52"/>
      <c r="S717" s="52"/>
      <c r="T717" s="52"/>
      <c r="U717" s="52"/>
      <c r="V717" s="52"/>
      <c r="W717" s="52"/>
      <c r="X717" s="52"/>
      <c r="Y717" s="52"/>
      <c r="Z717" s="52"/>
    </row>
    <row r="718">
      <c r="A718" s="52"/>
      <c r="B718" s="52"/>
      <c r="C718" s="52"/>
      <c r="D718" s="52"/>
      <c r="E718" s="52"/>
      <c r="F718" s="52"/>
      <c r="G718" s="52"/>
      <c r="H718" s="52"/>
      <c r="I718" s="52"/>
      <c r="J718" s="53" t="str">
        <f>IFERROR(__xludf.DUMMYFUNCTION("""COMPUTED_VALUE"""),"")</f>
        <v/>
      </c>
      <c r="K718" s="52"/>
      <c r="L718" s="52"/>
      <c r="M718" s="52"/>
      <c r="N718" s="52"/>
      <c r="O718" s="52"/>
      <c r="P718" s="52"/>
      <c r="Q718" s="52"/>
      <c r="R718" s="52"/>
      <c r="S718" s="52"/>
      <c r="T718" s="52"/>
      <c r="U718" s="52"/>
      <c r="V718" s="52"/>
      <c r="W718" s="52"/>
      <c r="X718" s="52"/>
      <c r="Y718" s="52"/>
      <c r="Z718" s="52"/>
    </row>
    <row r="719">
      <c r="A719" s="52"/>
      <c r="B719" s="52"/>
      <c r="C719" s="52"/>
      <c r="D719" s="52"/>
      <c r="E719" s="52"/>
      <c r="F719" s="52"/>
      <c r="G719" s="52"/>
      <c r="H719" s="52"/>
      <c r="I719" s="52"/>
      <c r="J719" s="53" t="str">
        <f>IFERROR(__xludf.DUMMYFUNCTION("""COMPUTED_VALUE"""),"")</f>
        <v/>
      </c>
      <c r="K719" s="52"/>
      <c r="L719" s="52"/>
      <c r="M719" s="52"/>
      <c r="N719" s="52"/>
      <c r="O719" s="52"/>
      <c r="P719" s="52"/>
      <c r="Q719" s="52"/>
      <c r="R719" s="52"/>
      <c r="S719" s="52"/>
      <c r="T719" s="52"/>
      <c r="U719" s="52"/>
      <c r="V719" s="52"/>
      <c r="W719" s="52"/>
      <c r="X719" s="52"/>
      <c r="Y719" s="52"/>
      <c r="Z719" s="52"/>
    </row>
    <row r="720">
      <c r="A720" s="52"/>
      <c r="B720" s="52"/>
      <c r="C720" s="52"/>
      <c r="D720" s="52"/>
      <c r="E720" s="52"/>
      <c r="F720" s="52"/>
      <c r="G720" s="52"/>
      <c r="H720" s="52"/>
      <c r="I720" s="52"/>
      <c r="J720" s="53" t="str">
        <f>IFERROR(__xludf.DUMMYFUNCTION("""COMPUTED_VALUE"""),"")</f>
        <v/>
      </c>
      <c r="K720" s="52"/>
      <c r="L720" s="52"/>
      <c r="M720" s="52"/>
      <c r="N720" s="52"/>
      <c r="O720" s="52"/>
      <c r="P720" s="52"/>
      <c r="Q720" s="52"/>
      <c r="R720" s="52"/>
      <c r="S720" s="52"/>
      <c r="T720" s="52"/>
      <c r="U720" s="52"/>
      <c r="V720" s="52"/>
      <c r="W720" s="52"/>
      <c r="X720" s="52"/>
      <c r="Y720" s="52"/>
      <c r="Z720" s="52"/>
    </row>
    <row r="721">
      <c r="A721" s="52"/>
      <c r="B721" s="52"/>
      <c r="C721" s="52"/>
      <c r="D721" s="52"/>
      <c r="E721" s="52"/>
      <c r="F721" s="52"/>
      <c r="G721" s="52"/>
      <c r="H721" s="52"/>
      <c r="I721" s="52"/>
      <c r="J721" s="53" t="str">
        <f>IFERROR(__xludf.DUMMYFUNCTION("""COMPUTED_VALUE"""),"")</f>
        <v/>
      </c>
      <c r="K721" s="52"/>
      <c r="L721" s="52"/>
      <c r="M721" s="52"/>
      <c r="N721" s="52"/>
      <c r="O721" s="52"/>
      <c r="P721" s="52"/>
      <c r="Q721" s="52"/>
      <c r="R721" s="52"/>
      <c r="S721" s="52"/>
      <c r="T721" s="52"/>
      <c r="U721" s="52"/>
      <c r="V721" s="52"/>
      <c r="W721" s="52"/>
      <c r="X721" s="52"/>
      <c r="Y721" s="52"/>
      <c r="Z721" s="52"/>
    </row>
    <row r="722">
      <c r="A722" s="52"/>
      <c r="B722" s="52"/>
      <c r="C722" s="52"/>
      <c r="D722" s="52"/>
      <c r="E722" s="52"/>
      <c r="F722" s="52"/>
      <c r="G722" s="52"/>
      <c r="H722" s="52"/>
      <c r="I722" s="52"/>
      <c r="J722" s="53" t="str">
        <f>IFERROR(__xludf.DUMMYFUNCTION("""COMPUTED_VALUE"""),"")</f>
        <v/>
      </c>
      <c r="K722" s="52"/>
      <c r="L722" s="52"/>
      <c r="M722" s="52"/>
      <c r="N722" s="52"/>
      <c r="O722" s="52"/>
      <c r="P722" s="52"/>
      <c r="Q722" s="52"/>
      <c r="R722" s="52"/>
      <c r="S722" s="52"/>
      <c r="T722" s="52"/>
      <c r="U722" s="52"/>
      <c r="V722" s="52"/>
      <c r="W722" s="52"/>
      <c r="X722" s="52"/>
      <c r="Y722" s="52"/>
      <c r="Z722" s="52"/>
    </row>
    <row r="723">
      <c r="A723" s="52"/>
      <c r="B723" s="52"/>
      <c r="C723" s="52"/>
      <c r="D723" s="52"/>
      <c r="E723" s="52"/>
      <c r="F723" s="52"/>
      <c r="G723" s="52"/>
      <c r="H723" s="52"/>
      <c r="I723" s="52"/>
      <c r="J723" s="53" t="str">
        <f>IFERROR(__xludf.DUMMYFUNCTION("""COMPUTED_VALUE"""),"")</f>
        <v/>
      </c>
      <c r="K723" s="52"/>
      <c r="L723" s="52"/>
      <c r="M723" s="52"/>
      <c r="N723" s="52"/>
      <c r="O723" s="52"/>
      <c r="P723" s="52"/>
      <c r="Q723" s="52"/>
      <c r="R723" s="52"/>
      <c r="S723" s="52"/>
      <c r="T723" s="52"/>
      <c r="U723" s="52"/>
      <c r="V723" s="52"/>
      <c r="W723" s="52"/>
      <c r="X723" s="52"/>
      <c r="Y723" s="52"/>
      <c r="Z723" s="52"/>
    </row>
    <row r="724">
      <c r="A724" s="52"/>
      <c r="B724" s="52"/>
      <c r="C724" s="52"/>
      <c r="D724" s="52"/>
      <c r="E724" s="52"/>
      <c r="F724" s="52"/>
      <c r="G724" s="52"/>
      <c r="H724" s="52"/>
      <c r="I724" s="52"/>
      <c r="J724" s="53" t="str">
        <f>IFERROR(__xludf.DUMMYFUNCTION("""COMPUTED_VALUE"""),"")</f>
        <v/>
      </c>
      <c r="K724" s="52"/>
      <c r="L724" s="52"/>
      <c r="M724" s="52"/>
      <c r="N724" s="52"/>
      <c r="O724" s="52"/>
      <c r="P724" s="52"/>
      <c r="Q724" s="52"/>
      <c r="R724" s="52"/>
      <c r="S724" s="52"/>
      <c r="T724" s="52"/>
      <c r="U724" s="52"/>
      <c r="V724" s="52"/>
      <c r="W724" s="52"/>
      <c r="X724" s="52"/>
      <c r="Y724" s="52"/>
      <c r="Z724" s="52"/>
    </row>
    <row r="725">
      <c r="A725" s="52"/>
      <c r="B725" s="52"/>
      <c r="C725" s="52"/>
      <c r="D725" s="52"/>
      <c r="E725" s="52"/>
      <c r="F725" s="52"/>
      <c r="G725" s="52"/>
      <c r="H725" s="52"/>
      <c r="I725" s="52"/>
      <c r="J725" s="53" t="str">
        <f>IFERROR(__xludf.DUMMYFUNCTION("""COMPUTED_VALUE"""),"")</f>
        <v/>
      </c>
      <c r="K725" s="52"/>
      <c r="L725" s="52"/>
      <c r="M725" s="52"/>
      <c r="N725" s="52"/>
      <c r="O725" s="52"/>
      <c r="P725" s="52"/>
      <c r="Q725" s="52"/>
      <c r="R725" s="52"/>
      <c r="S725" s="52"/>
      <c r="T725" s="52"/>
      <c r="U725" s="52"/>
      <c r="V725" s="52"/>
      <c r="W725" s="52"/>
      <c r="X725" s="52"/>
      <c r="Y725" s="52"/>
      <c r="Z725" s="52"/>
    </row>
    <row r="726">
      <c r="A726" s="52"/>
      <c r="B726" s="52"/>
      <c r="C726" s="52"/>
      <c r="D726" s="52"/>
      <c r="E726" s="52"/>
      <c r="F726" s="52"/>
      <c r="G726" s="52"/>
      <c r="H726" s="52"/>
      <c r="I726" s="52"/>
      <c r="J726" s="53" t="str">
        <f>IFERROR(__xludf.DUMMYFUNCTION("""COMPUTED_VALUE"""),"")</f>
        <v/>
      </c>
      <c r="K726" s="52"/>
      <c r="L726" s="52"/>
      <c r="M726" s="52"/>
      <c r="N726" s="52"/>
      <c r="O726" s="52"/>
      <c r="P726" s="52"/>
      <c r="Q726" s="52"/>
      <c r="R726" s="52"/>
      <c r="S726" s="52"/>
      <c r="T726" s="52"/>
      <c r="U726" s="52"/>
      <c r="V726" s="52"/>
      <c r="W726" s="52"/>
      <c r="X726" s="52"/>
      <c r="Y726" s="52"/>
      <c r="Z726" s="52"/>
    </row>
    <row r="727">
      <c r="A727" s="52"/>
      <c r="B727" s="52"/>
      <c r="C727" s="52"/>
      <c r="D727" s="52"/>
      <c r="E727" s="52"/>
      <c r="F727" s="52"/>
      <c r="G727" s="52"/>
      <c r="H727" s="52"/>
      <c r="I727" s="52"/>
      <c r="J727" s="53" t="str">
        <f>IFERROR(__xludf.DUMMYFUNCTION("""COMPUTED_VALUE"""),"")</f>
        <v/>
      </c>
      <c r="K727" s="52"/>
      <c r="L727" s="52"/>
      <c r="M727" s="52"/>
      <c r="N727" s="52"/>
      <c r="O727" s="52"/>
      <c r="P727" s="52"/>
      <c r="Q727" s="52"/>
      <c r="R727" s="52"/>
      <c r="S727" s="52"/>
      <c r="T727" s="52"/>
      <c r="U727" s="52"/>
      <c r="V727" s="52"/>
      <c r="W727" s="52"/>
      <c r="X727" s="52"/>
      <c r="Y727" s="52"/>
      <c r="Z727" s="52"/>
    </row>
    <row r="728">
      <c r="A728" s="52"/>
      <c r="B728" s="52"/>
      <c r="C728" s="52"/>
      <c r="D728" s="52"/>
      <c r="E728" s="52"/>
      <c r="F728" s="52"/>
      <c r="G728" s="52"/>
      <c r="H728" s="52"/>
      <c r="I728" s="52"/>
      <c r="J728" s="53" t="str">
        <f>IFERROR(__xludf.DUMMYFUNCTION("""COMPUTED_VALUE"""),"")</f>
        <v/>
      </c>
      <c r="K728" s="52"/>
      <c r="L728" s="52"/>
      <c r="M728" s="52"/>
      <c r="N728" s="52"/>
      <c r="O728" s="52"/>
      <c r="P728" s="52"/>
      <c r="Q728" s="52"/>
      <c r="R728" s="52"/>
      <c r="S728" s="52"/>
      <c r="T728" s="52"/>
      <c r="U728" s="52"/>
      <c r="V728" s="52"/>
      <c r="W728" s="52"/>
      <c r="X728" s="52"/>
      <c r="Y728" s="52"/>
      <c r="Z728" s="52"/>
    </row>
    <row r="729">
      <c r="A729" s="52"/>
      <c r="B729" s="52"/>
      <c r="C729" s="52"/>
      <c r="D729" s="52"/>
      <c r="E729" s="52"/>
      <c r="F729" s="52"/>
      <c r="G729" s="52"/>
      <c r="H729" s="52"/>
      <c r="I729" s="52"/>
      <c r="J729" s="53" t="str">
        <f>IFERROR(__xludf.DUMMYFUNCTION("""COMPUTED_VALUE"""),"")</f>
        <v/>
      </c>
      <c r="K729" s="52"/>
      <c r="L729" s="52"/>
      <c r="M729" s="52"/>
      <c r="N729" s="52"/>
      <c r="O729" s="52"/>
      <c r="P729" s="52"/>
      <c r="Q729" s="52"/>
      <c r="R729" s="52"/>
      <c r="S729" s="52"/>
      <c r="T729" s="52"/>
      <c r="U729" s="52"/>
      <c r="V729" s="52"/>
      <c r="W729" s="52"/>
      <c r="X729" s="52"/>
      <c r="Y729" s="52"/>
      <c r="Z729" s="52"/>
    </row>
    <row r="730">
      <c r="A730" s="52"/>
      <c r="B730" s="52"/>
      <c r="C730" s="52"/>
      <c r="D730" s="52"/>
      <c r="E730" s="52"/>
      <c r="F730" s="52"/>
      <c r="G730" s="52"/>
      <c r="H730" s="52"/>
      <c r="I730" s="52"/>
      <c r="J730" s="53" t="str">
        <f>IFERROR(__xludf.DUMMYFUNCTION("""COMPUTED_VALUE"""),"")</f>
        <v/>
      </c>
      <c r="K730" s="52"/>
      <c r="L730" s="52"/>
      <c r="M730" s="52"/>
      <c r="N730" s="52"/>
      <c r="O730" s="52"/>
      <c r="P730" s="52"/>
      <c r="Q730" s="52"/>
      <c r="R730" s="52"/>
      <c r="S730" s="52"/>
      <c r="T730" s="52"/>
      <c r="U730" s="52"/>
      <c r="V730" s="52"/>
      <c r="W730" s="52"/>
      <c r="X730" s="52"/>
      <c r="Y730" s="52"/>
      <c r="Z730" s="52"/>
    </row>
    <row r="731">
      <c r="A731" s="52"/>
      <c r="B731" s="52"/>
      <c r="C731" s="52"/>
      <c r="D731" s="52"/>
      <c r="E731" s="52"/>
      <c r="F731" s="52"/>
      <c r="G731" s="52"/>
      <c r="H731" s="52"/>
      <c r="I731" s="52"/>
      <c r="J731" s="53" t="str">
        <f>IFERROR(__xludf.DUMMYFUNCTION("""COMPUTED_VALUE"""),"")</f>
        <v/>
      </c>
      <c r="K731" s="52"/>
      <c r="L731" s="52"/>
      <c r="M731" s="52"/>
      <c r="N731" s="52"/>
      <c r="O731" s="52"/>
      <c r="P731" s="52"/>
      <c r="Q731" s="52"/>
      <c r="R731" s="52"/>
      <c r="S731" s="52"/>
      <c r="T731" s="52"/>
      <c r="U731" s="52"/>
      <c r="V731" s="52"/>
      <c r="W731" s="52"/>
      <c r="X731" s="52"/>
      <c r="Y731" s="52"/>
      <c r="Z731" s="52"/>
    </row>
    <row r="732">
      <c r="A732" s="52"/>
      <c r="B732" s="52"/>
      <c r="C732" s="52"/>
      <c r="D732" s="52"/>
      <c r="E732" s="52"/>
      <c r="F732" s="52"/>
      <c r="G732" s="52"/>
      <c r="H732" s="52"/>
      <c r="I732" s="52"/>
      <c r="J732" s="53" t="str">
        <f>IFERROR(__xludf.DUMMYFUNCTION("""COMPUTED_VALUE"""),"")</f>
        <v/>
      </c>
      <c r="K732" s="52"/>
      <c r="L732" s="52"/>
      <c r="M732" s="52"/>
      <c r="N732" s="52"/>
      <c r="O732" s="52"/>
      <c r="P732" s="52"/>
      <c r="Q732" s="52"/>
      <c r="R732" s="52"/>
      <c r="S732" s="52"/>
      <c r="T732" s="52"/>
      <c r="U732" s="52"/>
      <c r="V732" s="52"/>
      <c r="W732" s="52"/>
      <c r="X732" s="52"/>
      <c r="Y732" s="52"/>
      <c r="Z732" s="52"/>
    </row>
    <row r="733">
      <c r="A733" s="52"/>
      <c r="B733" s="52"/>
      <c r="C733" s="52"/>
      <c r="D733" s="52"/>
      <c r="E733" s="52"/>
      <c r="F733" s="52"/>
      <c r="G733" s="52"/>
      <c r="H733" s="52"/>
      <c r="I733" s="52"/>
      <c r="J733" s="53" t="str">
        <f>IFERROR(__xludf.DUMMYFUNCTION("""COMPUTED_VALUE"""),"")</f>
        <v/>
      </c>
      <c r="K733" s="52"/>
      <c r="L733" s="52"/>
      <c r="M733" s="52"/>
      <c r="N733" s="52"/>
      <c r="O733" s="52"/>
      <c r="P733" s="52"/>
      <c r="Q733" s="52"/>
      <c r="R733" s="52"/>
      <c r="S733" s="52"/>
      <c r="T733" s="52"/>
      <c r="U733" s="52"/>
      <c r="V733" s="52"/>
      <c r="W733" s="52"/>
      <c r="X733" s="52"/>
      <c r="Y733" s="52"/>
      <c r="Z733" s="52"/>
    </row>
    <row r="734">
      <c r="A734" s="52"/>
      <c r="B734" s="52"/>
      <c r="C734" s="52"/>
      <c r="D734" s="52"/>
      <c r="E734" s="52"/>
      <c r="F734" s="52"/>
      <c r="G734" s="52"/>
      <c r="H734" s="52"/>
      <c r="I734" s="52"/>
      <c r="J734" s="53" t="str">
        <f>IFERROR(__xludf.DUMMYFUNCTION("""COMPUTED_VALUE"""),"")</f>
        <v/>
      </c>
      <c r="K734" s="52"/>
      <c r="L734" s="52"/>
      <c r="M734" s="52"/>
      <c r="N734" s="52"/>
      <c r="O734" s="52"/>
      <c r="P734" s="52"/>
      <c r="Q734" s="52"/>
      <c r="R734" s="52"/>
      <c r="S734" s="52"/>
      <c r="T734" s="52"/>
      <c r="U734" s="52"/>
      <c r="V734" s="52"/>
      <c r="W734" s="52"/>
      <c r="X734" s="52"/>
      <c r="Y734" s="52"/>
      <c r="Z734" s="52"/>
    </row>
    <row r="735">
      <c r="A735" s="52"/>
      <c r="B735" s="52"/>
      <c r="C735" s="52"/>
      <c r="D735" s="52"/>
      <c r="E735" s="52"/>
      <c r="F735" s="52"/>
      <c r="G735" s="52"/>
      <c r="H735" s="52"/>
      <c r="I735" s="52"/>
      <c r="J735" s="53" t="str">
        <f>IFERROR(__xludf.DUMMYFUNCTION("""COMPUTED_VALUE"""),"")</f>
        <v/>
      </c>
      <c r="K735" s="52"/>
      <c r="L735" s="52"/>
      <c r="M735" s="52"/>
      <c r="N735" s="52"/>
      <c r="O735" s="52"/>
      <c r="P735" s="52"/>
      <c r="Q735" s="52"/>
      <c r="R735" s="52"/>
      <c r="S735" s="52"/>
      <c r="T735" s="52"/>
      <c r="U735" s="52"/>
      <c r="V735" s="52"/>
      <c r="W735" s="52"/>
      <c r="X735" s="52"/>
      <c r="Y735" s="52"/>
      <c r="Z735" s="52"/>
    </row>
    <row r="736">
      <c r="A736" s="52"/>
      <c r="B736" s="52"/>
      <c r="C736" s="52"/>
      <c r="D736" s="52"/>
      <c r="E736" s="52"/>
      <c r="F736" s="52"/>
      <c r="G736" s="52"/>
      <c r="H736" s="52"/>
      <c r="I736" s="52"/>
      <c r="J736" s="53" t="str">
        <f>IFERROR(__xludf.DUMMYFUNCTION("""COMPUTED_VALUE"""),"")</f>
        <v/>
      </c>
      <c r="K736" s="52"/>
      <c r="L736" s="52"/>
      <c r="M736" s="52"/>
      <c r="N736" s="52"/>
      <c r="O736" s="52"/>
      <c r="P736" s="52"/>
      <c r="Q736" s="52"/>
      <c r="R736" s="52"/>
      <c r="S736" s="52"/>
      <c r="T736" s="52"/>
      <c r="U736" s="52"/>
      <c r="V736" s="52"/>
      <c r="W736" s="52"/>
      <c r="X736" s="52"/>
      <c r="Y736" s="52"/>
      <c r="Z736" s="52"/>
    </row>
    <row r="737">
      <c r="A737" s="52"/>
      <c r="B737" s="52"/>
      <c r="C737" s="52"/>
      <c r="D737" s="52"/>
      <c r="E737" s="52"/>
      <c r="F737" s="52"/>
      <c r="G737" s="52"/>
      <c r="H737" s="52"/>
      <c r="I737" s="52"/>
      <c r="J737" s="53" t="str">
        <f>IFERROR(__xludf.DUMMYFUNCTION("""COMPUTED_VALUE"""),"")</f>
        <v/>
      </c>
      <c r="K737" s="52"/>
      <c r="L737" s="52"/>
      <c r="M737" s="52"/>
      <c r="N737" s="52"/>
      <c r="O737" s="52"/>
      <c r="P737" s="52"/>
      <c r="Q737" s="52"/>
      <c r="R737" s="52"/>
      <c r="S737" s="52"/>
      <c r="T737" s="52"/>
      <c r="U737" s="52"/>
      <c r="V737" s="52"/>
      <c r="W737" s="52"/>
      <c r="X737" s="52"/>
      <c r="Y737" s="52"/>
      <c r="Z737" s="52"/>
    </row>
    <row r="738">
      <c r="A738" s="52"/>
      <c r="B738" s="52"/>
      <c r="C738" s="52"/>
      <c r="D738" s="52"/>
      <c r="E738" s="52"/>
      <c r="F738" s="52"/>
      <c r="G738" s="52"/>
      <c r="H738" s="52"/>
      <c r="I738" s="52"/>
      <c r="J738" s="53" t="str">
        <f>IFERROR(__xludf.DUMMYFUNCTION("""COMPUTED_VALUE"""),"")</f>
        <v/>
      </c>
      <c r="K738" s="52"/>
      <c r="L738" s="52"/>
      <c r="M738" s="52"/>
      <c r="N738" s="52"/>
      <c r="O738" s="52"/>
      <c r="P738" s="52"/>
      <c r="Q738" s="52"/>
      <c r="R738" s="52"/>
      <c r="S738" s="52"/>
      <c r="T738" s="52"/>
      <c r="U738" s="52"/>
      <c r="V738" s="52"/>
      <c r="W738" s="52"/>
      <c r="X738" s="52"/>
      <c r="Y738" s="52"/>
      <c r="Z738" s="52"/>
    </row>
    <row r="739">
      <c r="A739" s="52"/>
      <c r="B739" s="52"/>
      <c r="C739" s="52"/>
      <c r="D739" s="52"/>
      <c r="E739" s="52"/>
      <c r="F739" s="52"/>
      <c r="G739" s="52"/>
      <c r="H739" s="52"/>
      <c r="I739" s="52"/>
      <c r="J739" s="53" t="str">
        <f>IFERROR(__xludf.DUMMYFUNCTION("""COMPUTED_VALUE"""),"")</f>
        <v/>
      </c>
      <c r="K739" s="52"/>
      <c r="L739" s="52"/>
      <c r="M739" s="52"/>
      <c r="N739" s="52"/>
      <c r="O739" s="52"/>
      <c r="P739" s="52"/>
      <c r="Q739" s="52"/>
      <c r="R739" s="52"/>
      <c r="S739" s="52"/>
      <c r="T739" s="52"/>
      <c r="U739" s="52"/>
      <c r="V739" s="52"/>
      <c r="W739" s="52"/>
      <c r="X739" s="52"/>
      <c r="Y739" s="52"/>
      <c r="Z739" s="52"/>
    </row>
    <row r="740">
      <c r="A740" s="52"/>
      <c r="B740" s="52"/>
      <c r="C740" s="52"/>
      <c r="D740" s="52"/>
      <c r="E740" s="52"/>
      <c r="F740" s="52"/>
      <c r="G740" s="52"/>
      <c r="H740" s="52"/>
      <c r="I740" s="52"/>
      <c r="J740" s="53" t="str">
        <f>IFERROR(__xludf.DUMMYFUNCTION("""COMPUTED_VALUE"""),"")</f>
        <v/>
      </c>
      <c r="K740" s="52"/>
      <c r="L740" s="52"/>
      <c r="M740" s="52"/>
      <c r="N740" s="52"/>
      <c r="O740" s="52"/>
      <c r="P740" s="52"/>
      <c r="Q740" s="52"/>
      <c r="R740" s="52"/>
      <c r="S740" s="52"/>
      <c r="T740" s="52"/>
      <c r="U740" s="52"/>
      <c r="V740" s="52"/>
      <c r="W740" s="52"/>
      <c r="X740" s="52"/>
      <c r="Y740" s="52"/>
      <c r="Z740" s="52"/>
    </row>
    <row r="741">
      <c r="A741" s="52"/>
      <c r="B741" s="52"/>
      <c r="C741" s="52"/>
      <c r="D741" s="52"/>
      <c r="E741" s="52"/>
      <c r="F741" s="52"/>
      <c r="G741" s="52"/>
      <c r="H741" s="52"/>
      <c r="I741" s="52"/>
      <c r="J741" s="53" t="str">
        <f>IFERROR(__xludf.DUMMYFUNCTION("""COMPUTED_VALUE"""),"")</f>
        <v/>
      </c>
      <c r="K741" s="52"/>
      <c r="L741" s="52"/>
      <c r="M741" s="52"/>
      <c r="N741" s="52"/>
      <c r="O741" s="52"/>
      <c r="P741" s="52"/>
      <c r="Q741" s="52"/>
      <c r="R741" s="52"/>
      <c r="S741" s="52"/>
      <c r="T741" s="52"/>
      <c r="U741" s="52"/>
      <c r="V741" s="52"/>
      <c r="W741" s="52"/>
      <c r="X741" s="52"/>
      <c r="Y741" s="52"/>
      <c r="Z741" s="52"/>
    </row>
    <row r="742">
      <c r="A742" s="52"/>
      <c r="B742" s="52"/>
      <c r="C742" s="52"/>
      <c r="D742" s="52"/>
      <c r="E742" s="52"/>
      <c r="F742" s="52"/>
      <c r="G742" s="52"/>
      <c r="H742" s="52"/>
      <c r="I742" s="52"/>
      <c r="J742" s="53" t="str">
        <f>IFERROR(__xludf.DUMMYFUNCTION("""COMPUTED_VALUE"""),"")</f>
        <v/>
      </c>
      <c r="K742" s="52"/>
      <c r="L742" s="52"/>
      <c r="M742" s="52"/>
      <c r="N742" s="52"/>
      <c r="O742" s="52"/>
      <c r="P742" s="52"/>
      <c r="Q742" s="52"/>
      <c r="R742" s="52"/>
      <c r="S742" s="52"/>
      <c r="T742" s="52"/>
      <c r="U742" s="52"/>
      <c r="V742" s="52"/>
      <c r="W742" s="52"/>
      <c r="X742" s="52"/>
      <c r="Y742" s="52"/>
      <c r="Z742" s="52"/>
    </row>
    <row r="743">
      <c r="A743" s="52"/>
      <c r="B743" s="52"/>
      <c r="C743" s="52"/>
      <c r="D743" s="52"/>
      <c r="E743" s="52"/>
      <c r="F743" s="52"/>
      <c r="G743" s="52"/>
      <c r="H743" s="52"/>
      <c r="I743" s="52"/>
      <c r="J743" s="53" t="str">
        <f>IFERROR(__xludf.DUMMYFUNCTION("""COMPUTED_VALUE"""),"")</f>
        <v/>
      </c>
      <c r="K743" s="52"/>
      <c r="L743" s="52"/>
      <c r="M743" s="52"/>
      <c r="N743" s="52"/>
      <c r="O743" s="52"/>
      <c r="P743" s="52"/>
      <c r="Q743" s="52"/>
      <c r="R743" s="52"/>
      <c r="S743" s="52"/>
      <c r="T743" s="52"/>
      <c r="U743" s="52"/>
      <c r="V743" s="52"/>
      <c r="W743" s="52"/>
      <c r="X743" s="52"/>
      <c r="Y743" s="52"/>
      <c r="Z743" s="52"/>
    </row>
    <row r="744">
      <c r="A744" s="52"/>
      <c r="B744" s="52"/>
      <c r="C744" s="52"/>
      <c r="D744" s="52"/>
      <c r="E744" s="52"/>
      <c r="F744" s="52"/>
      <c r="G744" s="52"/>
      <c r="H744" s="52"/>
      <c r="I744" s="52"/>
      <c r="J744" s="53" t="str">
        <f>IFERROR(__xludf.DUMMYFUNCTION("""COMPUTED_VALUE"""),"")</f>
        <v/>
      </c>
      <c r="K744" s="52"/>
      <c r="L744" s="52"/>
      <c r="M744" s="52"/>
      <c r="N744" s="52"/>
      <c r="O744" s="52"/>
      <c r="P744" s="52"/>
      <c r="Q744" s="52"/>
      <c r="R744" s="52"/>
      <c r="S744" s="52"/>
      <c r="T744" s="52"/>
      <c r="U744" s="52"/>
      <c r="V744" s="52"/>
      <c r="W744" s="52"/>
      <c r="X744" s="52"/>
      <c r="Y744" s="52"/>
      <c r="Z744" s="52"/>
    </row>
    <row r="745">
      <c r="A745" s="52"/>
      <c r="B745" s="52"/>
      <c r="C745" s="52"/>
      <c r="D745" s="52"/>
      <c r="E745" s="52"/>
      <c r="F745" s="52"/>
      <c r="G745" s="52"/>
      <c r="H745" s="52"/>
      <c r="I745" s="52"/>
      <c r="J745" s="53" t="str">
        <f>IFERROR(__xludf.DUMMYFUNCTION("""COMPUTED_VALUE"""),"")</f>
        <v/>
      </c>
      <c r="K745" s="52"/>
      <c r="L745" s="52"/>
      <c r="M745" s="52"/>
      <c r="N745" s="52"/>
      <c r="O745" s="52"/>
      <c r="P745" s="52"/>
      <c r="Q745" s="52"/>
      <c r="R745" s="52"/>
      <c r="S745" s="52"/>
      <c r="T745" s="52"/>
      <c r="U745" s="52"/>
      <c r="V745" s="52"/>
      <c r="W745" s="52"/>
      <c r="X745" s="52"/>
      <c r="Y745" s="52"/>
      <c r="Z745" s="52"/>
    </row>
    <row r="746">
      <c r="A746" s="52"/>
      <c r="B746" s="52"/>
      <c r="C746" s="52"/>
      <c r="D746" s="52"/>
      <c r="E746" s="52"/>
      <c r="F746" s="52"/>
      <c r="G746" s="52"/>
      <c r="H746" s="52"/>
      <c r="I746" s="52"/>
      <c r="J746" s="53" t="str">
        <f>IFERROR(__xludf.DUMMYFUNCTION("""COMPUTED_VALUE"""),"")</f>
        <v/>
      </c>
      <c r="K746" s="52"/>
      <c r="L746" s="52"/>
      <c r="M746" s="52"/>
      <c r="N746" s="52"/>
      <c r="O746" s="52"/>
      <c r="P746" s="52"/>
      <c r="Q746" s="52"/>
      <c r="R746" s="52"/>
      <c r="S746" s="52"/>
      <c r="T746" s="52"/>
      <c r="U746" s="52"/>
      <c r="V746" s="52"/>
      <c r="W746" s="52"/>
      <c r="X746" s="52"/>
      <c r="Y746" s="52"/>
      <c r="Z746" s="52"/>
    </row>
    <row r="747">
      <c r="A747" s="52"/>
      <c r="B747" s="52"/>
      <c r="C747" s="52"/>
      <c r="D747" s="52"/>
      <c r="E747" s="52"/>
      <c r="F747" s="52"/>
      <c r="G747" s="52"/>
      <c r="H747" s="52"/>
      <c r="I747" s="52"/>
      <c r="J747" s="53" t="str">
        <f>IFERROR(__xludf.DUMMYFUNCTION("""COMPUTED_VALUE"""),"")</f>
        <v/>
      </c>
      <c r="K747" s="52"/>
      <c r="L747" s="52"/>
      <c r="M747" s="52"/>
      <c r="N747" s="52"/>
      <c r="O747" s="52"/>
      <c r="P747" s="52"/>
      <c r="Q747" s="52"/>
      <c r="R747" s="52"/>
      <c r="S747" s="52"/>
      <c r="T747" s="52"/>
      <c r="U747" s="52"/>
      <c r="V747" s="52"/>
      <c r="W747" s="52"/>
      <c r="X747" s="52"/>
      <c r="Y747" s="52"/>
      <c r="Z747" s="52"/>
    </row>
    <row r="748">
      <c r="A748" s="52"/>
      <c r="B748" s="52"/>
      <c r="C748" s="52"/>
      <c r="D748" s="52"/>
      <c r="E748" s="52"/>
      <c r="F748" s="52"/>
      <c r="G748" s="52"/>
      <c r="H748" s="52"/>
      <c r="I748" s="52"/>
      <c r="J748" s="53" t="str">
        <f>IFERROR(__xludf.DUMMYFUNCTION("""COMPUTED_VALUE"""),"")</f>
        <v/>
      </c>
      <c r="K748" s="52"/>
      <c r="L748" s="52"/>
      <c r="M748" s="52"/>
      <c r="N748" s="52"/>
      <c r="O748" s="52"/>
      <c r="P748" s="52"/>
      <c r="Q748" s="52"/>
      <c r="R748" s="52"/>
      <c r="S748" s="52"/>
      <c r="T748" s="52"/>
      <c r="U748" s="52"/>
      <c r="V748" s="52"/>
      <c r="W748" s="52"/>
      <c r="X748" s="52"/>
      <c r="Y748" s="52"/>
      <c r="Z748" s="52"/>
    </row>
    <row r="749">
      <c r="A749" s="52"/>
      <c r="B749" s="52"/>
      <c r="C749" s="52"/>
      <c r="D749" s="52"/>
      <c r="E749" s="52"/>
      <c r="F749" s="52"/>
      <c r="G749" s="52"/>
      <c r="H749" s="52"/>
      <c r="I749" s="52"/>
      <c r="J749" s="53" t="str">
        <f>IFERROR(__xludf.DUMMYFUNCTION("""COMPUTED_VALUE"""),"")</f>
        <v/>
      </c>
      <c r="K749" s="52"/>
      <c r="L749" s="52"/>
      <c r="M749" s="52"/>
      <c r="N749" s="52"/>
      <c r="O749" s="52"/>
      <c r="P749" s="52"/>
      <c r="Q749" s="52"/>
      <c r="R749" s="52"/>
      <c r="S749" s="52"/>
      <c r="T749" s="52"/>
      <c r="U749" s="52"/>
      <c r="V749" s="52"/>
      <c r="W749" s="52"/>
      <c r="X749" s="52"/>
      <c r="Y749" s="52"/>
      <c r="Z749" s="52"/>
    </row>
    <row r="750">
      <c r="A750" s="52"/>
      <c r="B750" s="52"/>
      <c r="C750" s="52"/>
      <c r="D750" s="52"/>
      <c r="E750" s="52"/>
      <c r="F750" s="52"/>
      <c r="G750" s="52"/>
      <c r="H750" s="52"/>
      <c r="I750" s="52"/>
      <c r="J750" s="53" t="str">
        <f>IFERROR(__xludf.DUMMYFUNCTION("""COMPUTED_VALUE"""),"")</f>
        <v/>
      </c>
      <c r="K750" s="52"/>
      <c r="L750" s="52"/>
      <c r="M750" s="52"/>
      <c r="N750" s="52"/>
      <c r="O750" s="52"/>
      <c r="P750" s="52"/>
      <c r="Q750" s="52"/>
      <c r="R750" s="52"/>
      <c r="S750" s="52"/>
      <c r="T750" s="52"/>
      <c r="U750" s="52"/>
      <c r="V750" s="52"/>
      <c r="W750" s="52"/>
      <c r="X750" s="52"/>
      <c r="Y750" s="52"/>
      <c r="Z750" s="52"/>
    </row>
    <row r="751">
      <c r="A751" s="52"/>
      <c r="B751" s="52"/>
      <c r="C751" s="52"/>
      <c r="D751" s="52"/>
      <c r="E751" s="52"/>
      <c r="F751" s="52"/>
      <c r="G751" s="52"/>
      <c r="H751" s="52"/>
      <c r="I751" s="52"/>
      <c r="J751" s="53" t="str">
        <f>IFERROR(__xludf.DUMMYFUNCTION("""COMPUTED_VALUE"""),"")</f>
        <v/>
      </c>
      <c r="K751" s="52"/>
      <c r="L751" s="52"/>
      <c r="M751" s="52"/>
      <c r="N751" s="52"/>
      <c r="O751" s="52"/>
      <c r="P751" s="52"/>
      <c r="Q751" s="52"/>
      <c r="R751" s="52"/>
      <c r="S751" s="52"/>
      <c r="T751" s="52"/>
      <c r="U751" s="52"/>
      <c r="V751" s="52"/>
      <c r="W751" s="52"/>
      <c r="X751" s="52"/>
      <c r="Y751" s="52"/>
      <c r="Z751" s="52"/>
    </row>
    <row r="752">
      <c r="A752" s="52"/>
      <c r="B752" s="52"/>
      <c r="C752" s="52"/>
      <c r="D752" s="52"/>
      <c r="E752" s="52"/>
      <c r="F752" s="52"/>
      <c r="G752" s="52"/>
      <c r="H752" s="52"/>
      <c r="I752" s="52"/>
      <c r="J752" s="53" t="str">
        <f>IFERROR(__xludf.DUMMYFUNCTION("""COMPUTED_VALUE"""),"")</f>
        <v/>
      </c>
      <c r="K752" s="52"/>
      <c r="L752" s="52"/>
      <c r="M752" s="52"/>
      <c r="N752" s="52"/>
      <c r="O752" s="52"/>
      <c r="P752" s="52"/>
      <c r="Q752" s="52"/>
      <c r="R752" s="52"/>
      <c r="S752" s="52"/>
      <c r="T752" s="52"/>
      <c r="U752" s="52"/>
      <c r="V752" s="52"/>
      <c r="W752" s="52"/>
      <c r="X752" s="52"/>
      <c r="Y752" s="52"/>
      <c r="Z752" s="52"/>
    </row>
    <row r="753">
      <c r="A753" s="52"/>
      <c r="B753" s="52"/>
      <c r="C753" s="52"/>
      <c r="D753" s="52"/>
      <c r="E753" s="52"/>
      <c r="F753" s="52"/>
      <c r="G753" s="52"/>
      <c r="H753" s="52"/>
      <c r="I753" s="52"/>
      <c r="J753" s="53" t="str">
        <f>IFERROR(__xludf.DUMMYFUNCTION("""COMPUTED_VALUE"""),"")</f>
        <v/>
      </c>
      <c r="K753" s="52"/>
      <c r="L753" s="52"/>
      <c r="M753" s="52"/>
      <c r="N753" s="52"/>
      <c r="O753" s="52"/>
      <c r="P753" s="52"/>
      <c r="Q753" s="52"/>
      <c r="R753" s="52"/>
      <c r="S753" s="52"/>
      <c r="T753" s="52"/>
      <c r="U753" s="52"/>
      <c r="V753" s="52"/>
      <c r="W753" s="52"/>
      <c r="X753" s="52"/>
      <c r="Y753" s="52"/>
      <c r="Z753" s="52"/>
    </row>
    <row r="754">
      <c r="A754" s="52"/>
      <c r="B754" s="52"/>
      <c r="C754" s="52"/>
      <c r="D754" s="52"/>
      <c r="E754" s="52"/>
      <c r="F754" s="52"/>
      <c r="G754" s="52"/>
      <c r="H754" s="52"/>
      <c r="I754" s="52"/>
      <c r="J754" s="53" t="str">
        <f>IFERROR(__xludf.DUMMYFUNCTION("""COMPUTED_VALUE"""),"")</f>
        <v/>
      </c>
      <c r="K754" s="52"/>
      <c r="L754" s="52"/>
      <c r="M754" s="52"/>
      <c r="N754" s="52"/>
      <c r="O754" s="52"/>
      <c r="P754" s="52"/>
      <c r="Q754" s="52"/>
      <c r="R754" s="52"/>
      <c r="S754" s="52"/>
      <c r="T754" s="52"/>
      <c r="U754" s="52"/>
      <c r="V754" s="52"/>
      <c r="W754" s="52"/>
      <c r="X754" s="52"/>
      <c r="Y754" s="52"/>
      <c r="Z754" s="52"/>
    </row>
    <row r="755">
      <c r="A755" s="52"/>
      <c r="B755" s="52"/>
      <c r="C755" s="52"/>
      <c r="D755" s="52"/>
      <c r="E755" s="52"/>
      <c r="F755" s="52"/>
      <c r="G755" s="52"/>
      <c r="H755" s="52"/>
      <c r="I755" s="52"/>
      <c r="J755" s="53" t="str">
        <f>IFERROR(__xludf.DUMMYFUNCTION("""COMPUTED_VALUE"""),"")</f>
        <v/>
      </c>
      <c r="K755" s="52"/>
      <c r="L755" s="52"/>
      <c r="M755" s="52"/>
      <c r="N755" s="52"/>
      <c r="O755" s="52"/>
      <c r="P755" s="52"/>
      <c r="Q755" s="52"/>
      <c r="R755" s="52"/>
      <c r="S755" s="52"/>
      <c r="T755" s="52"/>
      <c r="U755" s="52"/>
      <c r="V755" s="52"/>
      <c r="W755" s="52"/>
      <c r="X755" s="52"/>
      <c r="Y755" s="52"/>
      <c r="Z755" s="52"/>
    </row>
    <row r="756">
      <c r="A756" s="52"/>
      <c r="B756" s="52"/>
      <c r="C756" s="52"/>
      <c r="D756" s="52"/>
      <c r="E756" s="52"/>
      <c r="F756" s="52"/>
      <c r="G756" s="52"/>
      <c r="H756" s="52"/>
      <c r="I756" s="52"/>
      <c r="J756" s="53" t="str">
        <f>IFERROR(__xludf.DUMMYFUNCTION("""COMPUTED_VALUE"""),"")</f>
        <v/>
      </c>
      <c r="K756" s="52"/>
      <c r="L756" s="52"/>
      <c r="M756" s="52"/>
      <c r="N756" s="52"/>
      <c r="O756" s="52"/>
      <c r="P756" s="52"/>
      <c r="Q756" s="52"/>
      <c r="R756" s="52"/>
      <c r="S756" s="52"/>
      <c r="T756" s="52"/>
      <c r="U756" s="52"/>
      <c r="V756" s="52"/>
      <c r="W756" s="52"/>
      <c r="X756" s="52"/>
      <c r="Y756" s="52"/>
      <c r="Z756" s="52"/>
    </row>
    <row r="757">
      <c r="A757" s="52"/>
      <c r="B757" s="52"/>
      <c r="C757" s="52"/>
      <c r="D757" s="52"/>
      <c r="E757" s="52"/>
      <c r="F757" s="52"/>
      <c r="G757" s="52"/>
      <c r="H757" s="52"/>
      <c r="I757" s="52"/>
      <c r="J757" s="53" t="str">
        <f>IFERROR(__xludf.DUMMYFUNCTION("""COMPUTED_VALUE"""),"")</f>
        <v/>
      </c>
      <c r="K757" s="52"/>
      <c r="L757" s="52"/>
      <c r="M757" s="52"/>
      <c r="N757" s="52"/>
      <c r="O757" s="52"/>
      <c r="P757" s="52"/>
      <c r="Q757" s="52"/>
      <c r="R757" s="52"/>
      <c r="S757" s="52"/>
      <c r="T757" s="52"/>
      <c r="U757" s="52"/>
      <c r="V757" s="52"/>
      <c r="W757" s="52"/>
      <c r="X757" s="52"/>
      <c r="Y757" s="52"/>
      <c r="Z757" s="52"/>
    </row>
    <row r="758">
      <c r="A758" s="52"/>
      <c r="B758" s="52"/>
      <c r="C758" s="52"/>
      <c r="D758" s="52"/>
      <c r="E758" s="52"/>
      <c r="F758" s="52"/>
      <c r="G758" s="52"/>
      <c r="H758" s="52"/>
      <c r="I758" s="52"/>
      <c r="J758" s="53" t="str">
        <f>IFERROR(__xludf.DUMMYFUNCTION("""COMPUTED_VALUE"""),"")</f>
        <v/>
      </c>
      <c r="K758" s="52"/>
      <c r="L758" s="52"/>
      <c r="M758" s="52"/>
      <c r="N758" s="52"/>
      <c r="O758" s="52"/>
      <c r="P758" s="52"/>
      <c r="Q758" s="52"/>
      <c r="R758" s="52"/>
      <c r="S758" s="52"/>
      <c r="T758" s="52"/>
      <c r="U758" s="52"/>
      <c r="V758" s="52"/>
      <c r="W758" s="52"/>
      <c r="X758" s="52"/>
      <c r="Y758" s="52"/>
      <c r="Z758" s="52"/>
    </row>
    <row r="759">
      <c r="A759" s="52"/>
      <c r="B759" s="52"/>
      <c r="C759" s="52"/>
      <c r="D759" s="52"/>
      <c r="E759" s="52"/>
      <c r="F759" s="52"/>
      <c r="G759" s="52"/>
      <c r="H759" s="52"/>
      <c r="I759" s="52"/>
      <c r="J759" s="53" t="str">
        <f>IFERROR(__xludf.DUMMYFUNCTION("""COMPUTED_VALUE"""),"")</f>
        <v/>
      </c>
      <c r="K759" s="52"/>
      <c r="L759" s="52"/>
      <c r="M759" s="52"/>
      <c r="N759" s="52"/>
      <c r="O759" s="52"/>
      <c r="P759" s="52"/>
      <c r="Q759" s="52"/>
      <c r="R759" s="52"/>
      <c r="S759" s="52"/>
      <c r="T759" s="52"/>
      <c r="U759" s="52"/>
      <c r="V759" s="52"/>
      <c r="W759" s="52"/>
      <c r="X759" s="52"/>
      <c r="Y759" s="52"/>
      <c r="Z759" s="52"/>
    </row>
    <row r="760">
      <c r="A760" s="52"/>
      <c r="B760" s="52"/>
      <c r="C760" s="52"/>
      <c r="D760" s="52"/>
      <c r="E760" s="52"/>
      <c r="F760" s="52"/>
      <c r="G760" s="52"/>
      <c r="H760" s="52"/>
      <c r="I760" s="52"/>
      <c r="J760" s="53" t="str">
        <f>IFERROR(__xludf.DUMMYFUNCTION("""COMPUTED_VALUE"""),"")</f>
        <v/>
      </c>
      <c r="K760" s="52"/>
      <c r="L760" s="52"/>
      <c r="M760" s="52"/>
      <c r="N760" s="52"/>
      <c r="O760" s="52"/>
      <c r="P760" s="52"/>
      <c r="Q760" s="52"/>
      <c r="R760" s="52"/>
      <c r="S760" s="52"/>
      <c r="T760" s="52"/>
      <c r="U760" s="52"/>
      <c r="V760" s="52"/>
      <c r="W760" s="52"/>
      <c r="X760" s="52"/>
      <c r="Y760" s="52"/>
      <c r="Z760" s="52"/>
    </row>
    <row r="761">
      <c r="A761" s="52"/>
      <c r="B761" s="52"/>
      <c r="C761" s="52"/>
      <c r="D761" s="52"/>
      <c r="E761" s="52"/>
      <c r="F761" s="52"/>
      <c r="G761" s="52"/>
      <c r="H761" s="52"/>
      <c r="I761" s="52"/>
      <c r="J761" s="53" t="str">
        <f>IFERROR(__xludf.DUMMYFUNCTION("""COMPUTED_VALUE"""),"")</f>
        <v/>
      </c>
      <c r="K761" s="52"/>
      <c r="L761" s="52"/>
      <c r="M761" s="52"/>
      <c r="N761" s="52"/>
      <c r="O761" s="52"/>
      <c r="P761" s="52"/>
      <c r="Q761" s="52"/>
      <c r="R761" s="52"/>
      <c r="S761" s="52"/>
      <c r="T761" s="52"/>
      <c r="U761" s="52"/>
      <c r="V761" s="52"/>
      <c r="W761" s="52"/>
      <c r="X761" s="52"/>
      <c r="Y761" s="52"/>
      <c r="Z761" s="52"/>
    </row>
    <row r="762">
      <c r="A762" s="52"/>
      <c r="B762" s="52"/>
      <c r="C762" s="52"/>
      <c r="D762" s="52"/>
      <c r="E762" s="52"/>
      <c r="F762" s="52"/>
      <c r="G762" s="52"/>
      <c r="H762" s="52"/>
      <c r="I762" s="52"/>
      <c r="J762" s="53" t="str">
        <f>IFERROR(__xludf.DUMMYFUNCTION("""COMPUTED_VALUE"""),"")</f>
        <v/>
      </c>
      <c r="K762" s="52"/>
      <c r="L762" s="52"/>
      <c r="M762" s="52"/>
      <c r="N762" s="52"/>
      <c r="O762" s="52"/>
      <c r="P762" s="52"/>
      <c r="Q762" s="52"/>
      <c r="R762" s="52"/>
      <c r="S762" s="52"/>
      <c r="T762" s="52"/>
      <c r="U762" s="52"/>
      <c r="V762" s="52"/>
      <c r="W762" s="52"/>
      <c r="X762" s="52"/>
      <c r="Y762" s="52"/>
      <c r="Z762" s="52"/>
    </row>
    <row r="763">
      <c r="A763" s="52"/>
      <c r="B763" s="52"/>
      <c r="C763" s="52"/>
      <c r="D763" s="52"/>
      <c r="E763" s="52"/>
      <c r="F763" s="52"/>
      <c r="G763" s="52"/>
      <c r="H763" s="52"/>
      <c r="I763" s="52"/>
      <c r="J763" s="53" t="str">
        <f>IFERROR(__xludf.DUMMYFUNCTION("""COMPUTED_VALUE"""),"")</f>
        <v/>
      </c>
      <c r="K763" s="52"/>
      <c r="L763" s="52"/>
      <c r="M763" s="52"/>
      <c r="N763" s="52"/>
      <c r="O763" s="52"/>
      <c r="P763" s="52"/>
      <c r="Q763" s="52"/>
      <c r="R763" s="52"/>
      <c r="S763" s="52"/>
      <c r="T763" s="52"/>
      <c r="U763" s="52"/>
      <c r="V763" s="52"/>
      <c r="W763" s="52"/>
      <c r="X763" s="52"/>
      <c r="Y763" s="52"/>
      <c r="Z763" s="52"/>
    </row>
    <row r="764">
      <c r="A764" s="52"/>
      <c r="B764" s="52"/>
      <c r="C764" s="52"/>
      <c r="D764" s="52"/>
      <c r="E764" s="52"/>
      <c r="F764" s="52"/>
      <c r="G764" s="52"/>
      <c r="H764" s="52"/>
      <c r="I764" s="52"/>
      <c r="J764" s="53" t="str">
        <f>IFERROR(__xludf.DUMMYFUNCTION("""COMPUTED_VALUE"""),"")</f>
        <v/>
      </c>
      <c r="K764" s="52"/>
      <c r="L764" s="52"/>
      <c r="M764" s="52"/>
      <c r="N764" s="52"/>
      <c r="O764" s="52"/>
      <c r="P764" s="52"/>
      <c r="Q764" s="52"/>
      <c r="R764" s="52"/>
      <c r="S764" s="52"/>
      <c r="T764" s="52"/>
      <c r="U764" s="52"/>
      <c r="V764" s="52"/>
      <c r="W764" s="52"/>
      <c r="X764" s="52"/>
      <c r="Y764" s="52"/>
      <c r="Z764" s="52"/>
    </row>
    <row r="765">
      <c r="A765" s="52"/>
      <c r="B765" s="52"/>
      <c r="C765" s="52"/>
      <c r="D765" s="52"/>
      <c r="E765" s="52"/>
      <c r="F765" s="52"/>
      <c r="G765" s="52"/>
      <c r="H765" s="52"/>
      <c r="I765" s="52"/>
      <c r="J765" s="53" t="str">
        <f>IFERROR(__xludf.DUMMYFUNCTION("""COMPUTED_VALUE"""),"")</f>
        <v/>
      </c>
      <c r="K765" s="52"/>
      <c r="L765" s="52"/>
      <c r="M765" s="52"/>
      <c r="N765" s="52"/>
      <c r="O765" s="52"/>
      <c r="P765" s="52"/>
      <c r="Q765" s="52"/>
      <c r="R765" s="52"/>
      <c r="S765" s="52"/>
      <c r="T765" s="52"/>
      <c r="U765" s="52"/>
      <c r="V765" s="52"/>
      <c r="W765" s="52"/>
      <c r="X765" s="52"/>
      <c r="Y765" s="52"/>
      <c r="Z765" s="52"/>
    </row>
    <row r="766">
      <c r="A766" s="52"/>
      <c r="B766" s="52"/>
      <c r="C766" s="52"/>
      <c r="D766" s="52"/>
      <c r="E766" s="52"/>
      <c r="F766" s="52"/>
      <c r="G766" s="52"/>
      <c r="H766" s="52"/>
      <c r="I766" s="52"/>
      <c r="J766" s="53" t="str">
        <f>IFERROR(__xludf.DUMMYFUNCTION("""COMPUTED_VALUE"""),"")</f>
        <v/>
      </c>
      <c r="K766" s="52"/>
      <c r="L766" s="52"/>
      <c r="M766" s="52"/>
      <c r="N766" s="52"/>
      <c r="O766" s="52"/>
      <c r="P766" s="52"/>
      <c r="Q766" s="52"/>
      <c r="R766" s="52"/>
      <c r="S766" s="52"/>
      <c r="T766" s="52"/>
      <c r="U766" s="52"/>
      <c r="V766" s="52"/>
      <c r="W766" s="52"/>
      <c r="X766" s="52"/>
      <c r="Y766" s="52"/>
      <c r="Z766" s="52"/>
    </row>
    <row r="767">
      <c r="A767" s="52"/>
      <c r="B767" s="52"/>
      <c r="C767" s="52"/>
      <c r="D767" s="52"/>
      <c r="E767" s="52"/>
      <c r="F767" s="52"/>
      <c r="G767" s="52"/>
      <c r="H767" s="52"/>
      <c r="I767" s="52"/>
      <c r="J767" s="53" t="str">
        <f>IFERROR(__xludf.DUMMYFUNCTION("""COMPUTED_VALUE"""),"")</f>
        <v/>
      </c>
      <c r="K767" s="52"/>
      <c r="L767" s="52"/>
      <c r="M767" s="52"/>
      <c r="N767" s="52"/>
      <c r="O767" s="52"/>
      <c r="P767" s="52"/>
      <c r="Q767" s="52"/>
      <c r="R767" s="52"/>
      <c r="S767" s="52"/>
      <c r="T767" s="52"/>
      <c r="U767" s="52"/>
      <c r="V767" s="52"/>
      <c r="W767" s="52"/>
      <c r="X767" s="52"/>
      <c r="Y767" s="52"/>
      <c r="Z767" s="52"/>
    </row>
    <row r="768">
      <c r="A768" s="52"/>
      <c r="B768" s="52"/>
      <c r="C768" s="52"/>
      <c r="D768" s="52"/>
      <c r="E768" s="52"/>
      <c r="F768" s="52"/>
      <c r="G768" s="52"/>
      <c r="H768" s="52"/>
      <c r="I768" s="52"/>
      <c r="J768" s="53" t="str">
        <f>IFERROR(__xludf.DUMMYFUNCTION("""COMPUTED_VALUE"""),"")</f>
        <v/>
      </c>
      <c r="K768" s="52"/>
      <c r="L768" s="52"/>
      <c r="M768" s="52"/>
      <c r="N768" s="52"/>
      <c r="O768" s="52"/>
      <c r="P768" s="52"/>
      <c r="Q768" s="52"/>
      <c r="R768" s="52"/>
      <c r="S768" s="52"/>
      <c r="T768" s="52"/>
      <c r="U768" s="52"/>
      <c r="V768" s="52"/>
      <c r="W768" s="52"/>
      <c r="X768" s="52"/>
      <c r="Y768" s="52"/>
      <c r="Z768" s="52"/>
    </row>
    <row r="769">
      <c r="A769" s="52"/>
      <c r="B769" s="52"/>
      <c r="C769" s="52"/>
      <c r="D769" s="52"/>
      <c r="E769" s="52"/>
      <c r="F769" s="52"/>
      <c r="G769" s="52"/>
      <c r="H769" s="52"/>
      <c r="I769" s="52"/>
      <c r="J769" s="53" t="str">
        <f>IFERROR(__xludf.DUMMYFUNCTION("""COMPUTED_VALUE"""),"")</f>
        <v/>
      </c>
      <c r="K769" s="52"/>
      <c r="L769" s="52"/>
      <c r="M769" s="52"/>
      <c r="N769" s="52"/>
      <c r="O769" s="52"/>
      <c r="P769" s="52"/>
      <c r="Q769" s="52"/>
      <c r="R769" s="52"/>
      <c r="S769" s="52"/>
      <c r="T769" s="52"/>
      <c r="U769" s="52"/>
      <c r="V769" s="52"/>
      <c r="W769" s="52"/>
      <c r="X769" s="52"/>
      <c r="Y769" s="52"/>
      <c r="Z769" s="52"/>
    </row>
    <row r="770">
      <c r="A770" s="52"/>
      <c r="B770" s="52"/>
      <c r="C770" s="52"/>
      <c r="D770" s="52"/>
      <c r="E770" s="52"/>
      <c r="F770" s="52"/>
      <c r="G770" s="52"/>
      <c r="H770" s="52"/>
      <c r="I770" s="52"/>
      <c r="J770" s="53" t="str">
        <f>IFERROR(__xludf.DUMMYFUNCTION("""COMPUTED_VALUE"""),"")</f>
        <v/>
      </c>
      <c r="K770" s="52"/>
      <c r="L770" s="52"/>
      <c r="M770" s="52"/>
      <c r="N770" s="52"/>
      <c r="O770" s="52"/>
      <c r="P770" s="52"/>
      <c r="Q770" s="52"/>
      <c r="R770" s="52"/>
      <c r="S770" s="52"/>
      <c r="T770" s="52"/>
      <c r="U770" s="52"/>
      <c r="V770" s="52"/>
      <c r="W770" s="52"/>
      <c r="X770" s="52"/>
      <c r="Y770" s="52"/>
      <c r="Z770" s="52"/>
    </row>
    <row r="771">
      <c r="A771" s="52"/>
      <c r="B771" s="52"/>
      <c r="C771" s="52"/>
      <c r="D771" s="52"/>
      <c r="E771" s="52"/>
      <c r="F771" s="52"/>
      <c r="G771" s="52"/>
      <c r="H771" s="52"/>
      <c r="I771" s="52"/>
      <c r="J771" s="53" t="str">
        <f>IFERROR(__xludf.DUMMYFUNCTION("""COMPUTED_VALUE"""),"")</f>
        <v/>
      </c>
      <c r="K771" s="52"/>
      <c r="L771" s="52"/>
      <c r="M771" s="52"/>
      <c r="N771" s="52"/>
      <c r="O771" s="52"/>
      <c r="P771" s="52"/>
      <c r="Q771" s="52"/>
      <c r="R771" s="52"/>
      <c r="S771" s="52"/>
      <c r="T771" s="52"/>
      <c r="U771" s="52"/>
      <c r="V771" s="52"/>
      <c r="W771" s="52"/>
      <c r="X771" s="52"/>
      <c r="Y771" s="52"/>
      <c r="Z771" s="52"/>
    </row>
    <row r="772">
      <c r="A772" s="52"/>
      <c r="B772" s="52"/>
      <c r="C772" s="52"/>
      <c r="D772" s="52"/>
      <c r="E772" s="52"/>
      <c r="F772" s="52"/>
      <c r="G772" s="52"/>
      <c r="H772" s="52"/>
      <c r="I772" s="52"/>
      <c r="J772" s="53" t="str">
        <f>IFERROR(__xludf.DUMMYFUNCTION("""COMPUTED_VALUE"""),"")</f>
        <v/>
      </c>
      <c r="K772" s="52"/>
      <c r="L772" s="52"/>
      <c r="M772" s="52"/>
      <c r="N772" s="52"/>
      <c r="O772" s="52"/>
      <c r="P772" s="52"/>
      <c r="Q772" s="52"/>
      <c r="R772" s="52"/>
      <c r="S772" s="52"/>
      <c r="T772" s="52"/>
      <c r="U772" s="52"/>
      <c r="V772" s="52"/>
      <c r="W772" s="52"/>
      <c r="X772" s="52"/>
      <c r="Y772" s="52"/>
      <c r="Z772" s="52"/>
    </row>
    <row r="773">
      <c r="A773" s="52"/>
      <c r="B773" s="52"/>
      <c r="C773" s="52"/>
      <c r="D773" s="52"/>
      <c r="E773" s="52"/>
      <c r="F773" s="52"/>
      <c r="G773" s="52"/>
      <c r="H773" s="52"/>
      <c r="I773" s="52"/>
      <c r="J773" s="53" t="str">
        <f>IFERROR(__xludf.DUMMYFUNCTION("""COMPUTED_VALUE"""),"")</f>
        <v/>
      </c>
      <c r="K773" s="52"/>
      <c r="L773" s="52"/>
      <c r="M773" s="52"/>
      <c r="N773" s="52"/>
      <c r="O773" s="52"/>
      <c r="P773" s="52"/>
      <c r="Q773" s="52"/>
      <c r="R773" s="52"/>
      <c r="S773" s="52"/>
      <c r="T773" s="52"/>
      <c r="U773" s="52"/>
      <c r="V773" s="52"/>
      <c r="W773" s="52"/>
      <c r="X773" s="52"/>
      <c r="Y773" s="52"/>
      <c r="Z773" s="52"/>
    </row>
    <row r="774">
      <c r="A774" s="52"/>
      <c r="B774" s="52"/>
      <c r="C774" s="52"/>
      <c r="D774" s="52"/>
      <c r="E774" s="52"/>
      <c r="F774" s="52"/>
      <c r="G774" s="52"/>
      <c r="H774" s="52"/>
      <c r="I774" s="52"/>
      <c r="J774" s="53" t="str">
        <f>IFERROR(__xludf.DUMMYFUNCTION("""COMPUTED_VALUE"""),"")</f>
        <v/>
      </c>
      <c r="K774" s="52"/>
      <c r="L774" s="52"/>
      <c r="M774" s="52"/>
      <c r="N774" s="52"/>
      <c r="O774" s="52"/>
      <c r="P774" s="52"/>
      <c r="Q774" s="52"/>
      <c r="R774" s="52"/>
      <c r="S774" s="52"/>
      <c r="T774" s="52"/>
      <c r="U774" s="52"/>
      <c r="V774" s="52"/>
      <c r="W774" s="52"/>
      <c r="X774" s="52"/>
      <c r="Y774" s="52"/>
      <c r="Z774" s="52"/>
    </row>
    <row r="775">
      <c r="A775" s="52"/>
      <c r="B775" s="52"/>
      <c r="C775" s="52"/>
      <c r="D775" s="52"/>
      <c r="E775" s="52"/>
      <c r="F775" s="52"/>
      <c r="G775" s="52"/>
      <c r="H775" s="52"/>
      <c r="I775" s="52"/>
      <c r="J775" s="53" t="str">
        <f>IFERROR(__xludf.DUMMYFUNCTION("""COMPUTED_VALUE"""),"")</f>
        <v/>
      </c>
      <c r="K775" s="52"/>
      <c r="L775" s="52"/>
      <c r="M775" s="52"/>
      <c r="N775" s="52"/>
      <c r="O775" s="52"/>
      <c r="P775" s="52"/>
      <c r="Q775" s="52"/>
      <c r="R775" s="52"/>
      <c r="S775" s="52"/>
      <c r="T775" s="52"/>
      <c r="U775" s="52"/>
      <c r="V775" s="52"/>
      <c r="W775" s="52"/>
      <c r="X775" s="52"/>
      <c r="Y775" s="52"/>
      <c r="Z775" s="52"/>
    </row>
    <row r="776">
      <c r="A776" s="52"/>
      <c r="B776" s="52"/>
      <c r="C776" s="52"/>
      <c r="D776" s="52"/>
      <c r="E776" s="52"/>
      <c r="F776" s="52"/>
      <c r="G776" s="52"/>
      <c r="H776" s="52"/>
      <c r="I776" s="52"/>
      <c r="J776" s="53" t="str">
        <f>IFERROR(__xludf.DUMMYFUNCTION("""COMPUTED_VALUE"""),"")</f>
        <v/>
      </c>
      <c r="K776" s="52"/>
      <c r="L776" s="52"/>
      <c r="M776" s="52"/>
      <c r="N776" s="52"/>
      <c r="O776" s="52"/>
      <c r="P776" s="52"/>
      <c r="Q776" s="52"/>
      <c r="R776" s="52"/>
      <c r="S776" s="52"/>
      <c r="T776" s="52"/>
      <c r="U776" s="52"/>
      <c r="V776" s="52"/>
      <c r="W776" s="52"/>
      <c r="X776" s="52"/>
      <c r="Y776" s="52"/>
      <c r="Z776" s="52"/>
    </row>
    <row r="777">
      <c r="A777" s="52"/>
      <c r="B777" s="52"/>
      <c r="C777" s="52"/>
      <c r="D777" s="52"/>
      <c r="E777" s="52"/>
      <c r="F777" s="52"/>
      <c r="G777" s="52"/>
      <c r="H777" s="52"/>
      <c r="I777" s="52"/>
      <c r="J777" s="53" t="str">
        <f>IFERROR(__xludf.DUMMYFUNCTION("""COMPUTED_VALUE"""),"")</f>
        <v/>
      </c>
      <c r="K777" s="52"/>
      <c r="L777" s="52"/>
      <c r="M777" s="52"/>
      <c r="N777" s="52"/>
      <c r="O777" s="52"/>
      <c r="P777" s="52"/>
      <c r="Q777" s="52"/>
      <c r="R777" s="52"/>
      <c r="S777" s="52"/>
      <c r="T777" s="52"/>
      <c r="U777" s="52"/>
      <c r="V777" s="52"/>
      <c r="W777" s="52"/>
      <c r="X777" s="52"/>
      <c r="Y777" s="52"/>
      <c r="Z777" s="52"/>
    </row>
    <row r="778">
      <c r="A778" s="52"/>
      <c r="B778" s="52"/>
      <c r="C778" s="52"/>
      <c r="D778" s="52"/>
      <c r="E778" s="52"/>
      <c r="F778" s="52"/>
      <c r="G778" s="52"/>
      <c r="H778" s="52"/>
      <c r="I778" s="52"/>
      <c r="J778" s="53" t="str">
        <f>IFERROR(__xludf.DUMMYFUNCTION("""COMPUTED_VALUE"""),"")</f>
        <v/>
      </c>
      <c r="K778" s="52"/>
      <c r="L778" s="52"/>
      <c r="M778" s="52"/>
      <c r="N778" s="52"/>
      <c r="O778" s="52"/>
      <c r="P778" s="52"/>
      <c r="Q778" s="52"/>
      <c r="R778" s="52"/>
      <c r="S778" s="52"/>
      <c r="T778" s="52"/>
      <c r="U778" s="52"/>
      <c r="V778" s="52"/>
      <c r="W778" s="52"/>
      <c r="X778" s="52"/>
      <c r="Y778" s="52"/>
      <c r="Z778" s="52"/>
    </row>
    <row r="779">
      <c r="A779" s="52"/>
      <c r="B779" s="52"/>
      <c r="C779" s="52"/>
      <c r="D779" s="52"/>
      <c r="E779" s="52"/>
      <c r="F779" s="52"/>
      <c r="G779" s="52"/>
      <c r="H779" s="52"/>
      <c r="I779" s="52"/>
      <c r="J779" s="53" t="str">
        <f>IFERROR(__xludf.DUMMYFUNCTION("""COMPUTED_VALUE"""),"")</f>
        <v/>
      </c>
      <c r="K779" s="52"/>
      <c r="L779" s="52"/>
      <c r="M779" s="52"/>
      <c r="N779" s="52"/>
      <c r="O779" s="52"/>
      <c r="P779" s="52"/>
      <c r="Q779" s="52"/>
      <c r="R779" s="52"/>
      <c r="S779" s="52"/>
      <c r="T779" s="52"/>
      <c r="U779" s="52"/>
      <c r="V779" s="52"/>
      <c r="W779" s="52"/>
      <c r="X779" s="52"/>
      <c r="Y779" s="52"/>
      <c r="Z779" s="52"/>
    </row>
    <row r="780">
      <c r="A780" s="52"/>
      <c r="B780" s="52"/>
      <c r="C780" s="52"/>
      <c r="D780" s="52"/>
      <c r="E780" s="52"/>
      <c r="F780" s="52"/>
      <c r="G780" s="52"/>
      <c r="H780" s="52"/>
      <c r="I780" s="52"/>
      <c r="J780" s="53" t="str">
        <f>IFERROR(__xludf.DUMMYFUNCTION("""COMPUTED_VALUE"""),"")</f>
        <v/>
      </c>
      <c r="K780" s="52"/>
      <c r="L780" s="52"/>
      <c r="M780" s="52"/>
      <c r="N780" s="52"/>
      <c r="O780" s="52"/>
      <c r="P780" s="52"/>
      <c r="Q780" s="52"/>
      <c r="R780" s="52"/>
      <c r="S780" s="52"/>
      <c r="T780" s="52"/>
      <c r="U780" s="52"/>
      <c r="V780" s="52"/>
      <c r="W780" s="52"/>
      <c r="X780" s="52"/>
      <c r="Y780" s="52"/>
      <c r="Z780" s="52"/>
    </row>
    <row r="781">
      <c r="A781" s="52"/>
      <c r="B781" s="52"/>
      <c r="C781" s="52"/>
      <c r="D781" s="52"/>
      <c r="E781" s="52"/>
      <c r="F781" s="52"/>
      <c r="G781" s="52"/>
      <c r="H781" s="52"/>
      <c r="I781" s="52"/>
      <c r="J781" s="53" t="str">
        <f>IFERROR(__xludf.DUMMYFUNCTION("""COMPUTED_VALUE"""),"")</f>
        <v/>
      </c>
      <c r="K781" s="52"/>
      <c r="L781" s="52"/>
      <c r="M781" s="52"/>
      <c r="N781" s="52"/>
      <c r="O781" s="52"/>
      <c r="P781" s="52"/>
      <c r="Q781" s="52"/>
      <c r="R781" s="52"/>
      <c r="S781" s="52"/>
      <c r="T781" s="52"/>
      <c r="U781" s="52"/>
      <c r="V781" s="52"/>
      <c r="W781" s="52"/>
      <c r="X781" s="52"/>
      <c r="Y781" s="52"/>
      <c r="Z781" s="52"/>
    </row>
    <row r="782">
      <c r="A782" s="52"/>
      <c r="B782" s="52"/>
      <c r="C782" s="52"/>
      <c r="D782" s="52"/>
      <c r="E782" s="52"/>
      <c r="F782" s="52"/>
      <c r="G782" s="52"/>
      <c r="H782" s="52"/>
      <c r="I782" s="52"/>
      <c r="J782" s="53" t="str">
        <f>IFERROR(__xludf.DUMMYFUNCTION("""COMPUTED_VALUE"""),"")</f>
        <v/>
      </c>
      <c r="K782" s="52"/>
      <c r="L782" s="52"/>
      <c r="M782" s="52"/>
      <c r="N782" s="52"/>
      <c r="O782" s="52"/>
      <c r="P782" s="52"/>
      <c r="Q782" s="52"/>
      <c r="R782" s="52"/>
      <c r="S782" s="52"/>
      <c r="T782" s="52"/>
      <c r="U782" s="52"/>
      <c r="V782" s="52"/>
      <c r="W782" s="52"/>
      <c r="X782" s="52"/>
      <c r="Y782" s="52"/>
      <c r="Z782" s="52"/>
    </row>
    <row r="783">
      <c r="A783" s="52"/>
      <c r="B783" s="52"/>
      <c r="C783" s="52"/>
      <c r="D783" s="52"/>
      <c r="E783" s="52"/>
      <c r="F783" s="52"/>
      <c r="G783" s="52"/>
      <c r="H783" s="52"/>
      <c r="I783" s="52"/>
      <c r="J783" s="53" t="str">
        <f>IFERROR(__xludf.DUMMYFUNCTION("""COMPUTED_VALUE"""),"")</f>
        <v/>
      </c>
      <c r="K783" s="52"/>
      <c r="L783" s="52"/>
      <c r="M783" s="52"/>
      <c r="N783" s="52"/>
      <c r="O783" s="52"/>
      <c r="P783" s="52"/>
      <c r="Q783" s="52"/>
      <c r="R783" s="52"/>
      <c r="S783" s="52"/>
      <c r="T783" s="52"/>
      <c r="U783" s="52"/>
      <c r="V783" s="52"/>
      <c r="W783" s="52"/>
      <c r="X783" s="52"/>
      <c r="Y783" s="52"/>
      <c r="Z783" s="52"/>
    </row>
    <row r="784">
      <c r="A784" s="52"/>
      <c r="B784" s="52"/>
      <c r="C784" s="52"/>
      <c r="D784" s="52"/>
      <c r="E784" s="52"/>
      <c r="F784" s="52"/>
      <c r="G784" s="52"/>
      <c r="H784" s="52"/>
      <c r="I784" s="52"/>
      <c r="J784" s="53" t="str">
        <f>IFERROR(__xludf.DUMMYFUNCTION("""COMPUTED_VALUE"""),"")</f>
        <v/>
      </c>
      <c r="K784" s="52"/>
      <c r="L784" s="52"/>
      <c r="M784" s="52"/>
      <c r="N784" s="52"/>
      <c r="O784" s="52"/>
      <c r="P784" s="52"/>
      <c r="Q784" s="52"/>
      <c r="R784" s="52"/>
      <c r="S784" s="52"/>
      <c r="T784" s="52"/>
      <c r="U784" s="52"/>
      <c r="V784" s="52"/>
      <c r="W784" s="52"/>
      <c r="X784" s="52"/>
      <c r="Y784" s="52"/>
      <c r="Z784" s="52"/>
    </row>
    <row r="785">
      <c r="A785" s="52"/>
      <c r="B785" s="52"/>
      <c r="C785" s="52"/>
      <c r="D785" s="52"/>
      <c r="E785" s="52"/>
      <c r="F785" s="52"/>
      <c r="G785" s="52"/>
      <c r="H785" s="52"/>
      <c r="I785" s="52"/>
      <c r="J785" s="53" t="str">
        <f>IFERROR(__xludf.DUMMYFUNCTION("""COMPUTED_VALUE"""),"")</f>
        <v/>
      </c>
      <c r="K785" s="52"/>
      <c r="L785" s="52"/>
      <c r="M785" s="52"/>
      <c r="N785" s="52"/>
      <c r="O785" s="52"/>
      <c r="P785" s="52"/>
      <c r="Q785" s="52"/>
      <c r="R785" s="52"/>
      <c r="S785" s="52"/>
      <c r="T785" s="52"/>
      <c r="U785" s="52"/>
      <c r="V785" s="52"/>
      <c r="W785" s="52"/>
      <c r="X785" s="52"/>
      <c r="Y785" s="52"/>
      <c r="Z785" s="52"/>
    </row>
    <row r="786">
      <c r="A786" s="52"/>
      <c r="B786" s="52"/>
      <c r="C786" s="52"/>
      <c r="D786" s="52"/>
      <c r="E786" s="52"/>
      <c r="F786" s="52"/>
      <c r="G786" s="52"/>
      <c r="H786" s="52"/>
      <c r="I786" s="52"/>
      <c r="J786" s="53" t="str">
        <f>IFERROR(__xludf.DUMMYFUNCTION("""COMPUTED_VALUE"""),"")</f>
        <v/>
      </c>
      <c r="K786" s="52"/>
      <c r="L786" s="52"/>
      <c r="M786" s="52"/>
      <c r="N786" s="52"/>
      <c r="O786" s="52"/>
      <c r="P786" s="52"/>
      <c r="Q786" s="52"/>
      <c r="R786" s="52"/>
      <c r="S786" s="52"/>
      <c r="T786" s="52"/>
      <c r="U786" s="52"/>
      <c r="V786" s="52"/>
      <c r="W786" s="52"/>
      <c r="X786" s="52"/>
      <c r="Y786" s="52"/>
      <c r="Z786" s="52"/>
    </row>
    <row r="787">
      <c r="A787" s="52"/>
      <c r="B787" s="52"/>
      <c r="C787" s="52"/>
      <c r="D787" s="52"/>
      <c r="E787" s="52"/>
      <c r="F787" s="52"/>
      <c r="G787" s="52"/>
      <c r="H787" s="52"/>
      <c r="I787" s="52"/>
      <c r="J787" s="53" t="str">
        <f>IFERROR(__xludf.DUMMYFUNCTION("""COMPUTED_VALUE"""),"")</f>
        <v/>
      </c>
      <c r="K787" s="52"/>
      <c r="L787" s="52"/>
      <c r="M787" s="52"/>
      <c r="N787" s="52"/>
      <c r="O787" s="52"/>
      <c r="P787" s="52"/>
      <c r="Q787" s="52"/>
      <c r="R787" s="52"/>
      <c r="S787" s="52"/>
      <c r="T787" s="52"/>
      <c r="U787" s="52"/>
      <c r="V787" s="52"/>
      <c r="W787" s="52"/>
      <c r="X787" s="52"/>
      <c r="Y787" s="52"/>
      <c r="Z787" s="52"/>
    </row>
    <row r="788">
      <c r="A788" s="52"/>
      <c r="B788" s="52"/>
      <c r="C788" s="52"/>
      <c r="D788" s="52"/>
      <c r="E788" s="52"/>
      <c r="F788" s="52"/>
      <c r="G788" s="52"/>
      <c r="H788" s="52"/>
      <c r="I788" s="52"/>
      <c r="J788" s="53" t="str">
        <f>IFERROR(__xludf.DUMMYFUNCTION("""COMPUTED_VALUE"""),"")</f>
        <v/>
      </c>
      <c r="K788" s="52"/>
      <c r="L788" s="52"/>
      <c r="M788" s="52"/>
      <c r="N788" s="52"/>
      <c r="O788" s="52"/>
      <c r="P788" s="52"/>
      <c r="Q788" s="52"/>
      <c r="R788" s="52"/>
      <c r="S788" s="52"/>
      <c r="T788" s="52"/>
      <c r="U788" s="52"/>
      <c r="V788" s="52"/>
      <c r="W788" s="52"/>
      <c r="X788" s="52"/>
      <c r="Y788" s="52"/>
      <c r="Z788" s="52"/>
    </row>
    <row r="789">
      <c r="A789" s="52"/>
      <c r="B789" s="52"/>
      <c r="C789" s="52"/>
      <c r="D789" s="52"/>
      <c r="E789" s="52"/>
      <c r="F789" s="52"/>
      <c r="G789" s="52"/>
      <c r="H789" s="52"/>
      <c r="I789" s="52"/>
      <c r="J789" s="53" t="str">
        <f>IFERROR(__xludf.DUMMYFUNCTION("""COMPUTED_VALUE"""),"")</f>
        <v/>
      </c>
      <c r="K789" s="52"/>
      <c r="L789" s="52"/>
      <c r="M789" s="52"/>
      <c r="N789" s="52"/>
      <c r="O789" s="52"/>
      <c r="P789" s="52"/>
      <c r="Q789" s="52"/>
      <c r="R789" s="52"/>
      <c r="S789" s="52"/>
      <c r="T789" s="52"/>
      <c r="U789" s="52"/>
      <c r="V789" s="52"/>
      <c r="W789" s="52"/>
      <c r="X789" s="52"/>
      <c r="Y789" s="52"/>
      <c r="Z789" s="52"/>
    </row>
    <row r="790">
      <c r="A790" s="52"/>
      <c r="B790" s="52"/>
      <c r="C790" s="52"/>
      <c r="D790" s="52"/>
      <c r="E790" s="52"/>
      <c r="F790" s="52"/>
      <c r="G790" s="52"/>
      <c r="H790" s="52"/>
      <c r="I790" s="52"/>
      <c r="J790" s="53" t="str">
        <f>IFERROR(__xludf.DUMMYFUNCTION("""COMPUTED_VALUE"""),"")</f>
        <v/>
      </c>
      <c r="K790" s="52"/>
      <c r="L790" s="52"/>
      <c r="M790" s="52"/>
      <c r="N790" s="52"/>
      <c r="O790" s="52"/>
      <c r="P790" s="52"/>
      <c r="Q790" s="52"/>
      <c r="R790" s="52"/>
      <c r="S790" s="52"/>
      <c r="T790" s="52"/>
      <c r="U790" s="52"/>
      <c r="V790" s="52"/>
      <c r="W790" s="52"/>
      <c r="X790" s="52"/>
      <c r="Y790" s="52"/>
      <c r="Z790" s="52"/>
    </row>
    <row r="791">
      <c r="A791" s="52"/>
      <c r="B791" s="52"/>
      <c r="C791" s="52"/>
      <c r="D791" s="52"/>
      <c r="E791" s="52"/>
      <c r="F791" s="52"/>
      <c r="G791" s="52"/>
      <c r="H791" s="52"/>
      <c r="I791" s="52"/>
      <c r="J791" s="53" t="str">
        <f>IFERROR(__xludf.DUMMYFUNCTION("""COMPUTED_VALUE"""),"")</f>
        <v/>
      </c>
      <c r="K791" s="52"/>
      <c r="L791" s="52"/>
      <c r="M791" s="52"/>
      <c r="N791" s="52"/>
      <c r="O791" s="52"/>
      <c r="P791" s="52"/>
      <c r="Q791" s="52"/>
      <c r="R791" s="52"/>
      <c r="S791" s="52"/>
      <c r="T791" s="52"/>
      <c r="U791" s="52"/>
      <c r="V791" s="52"/>
      <c r="W791" s="52"/>
      <c r="X791" s="52"/>
      <c r="Y791" s="52"/>
      <c r="Z791" s="52"/>
    </row>
    <row r="792">
      <c r="A792" s="52"/>
      <c r="B792" s="52"/>
      <c r="C792" s="52"/>
      <c r="D792" s="52"/>
      <c r="E792" s="52"/>
      <c r="F792" s="52"/>
      <c r="G792" s="52"/>
      <c r="H792" s="52"/>
      <c r="I792" s="52"/>
      <c r="J792" s="53" t="str">
        <f>IFERROR(__xludf.DUMMYFUNCTION("""COMPUTED_VALUE"""),"")</f>
        <v/>
      </c>
      <c r="K792" s="52"/>
      <c r="L792" s="52"/>
      <c r="M792" s="52"/>
      <c r="N792" s="52"/>
      <c r="O792" s="52"/>
      <c r="P792" s="52"/>
      <c r="Q792" s="52"/>
      <c r="R792" s="52"/>
      <c r="S792" s="52"/>
      <c r="T792" s="52"/>
      <c r="U792" s="52"/>
      <c r="V792" s="52"/>
      <c r="W792" s="52"/>
      <c r="X792" s="52"/>
      <c r="Y792" s="52"/>
      <c r="Z792" s="52"/>
    </row>
    <row r="793">
      <c r="A793" s="52"/>
      <c r="B793" s="52"/>
      <c r="C793" s="52"/>
      <c r="D793" s="52"/>
      <c r="E793" s="52"/>
      <c r="F793" s="52"/>
      <c r="G793" s="52"/>
      <c r="H793" s="52"/>
      <c r="I793" s="52"/>
      <c r="J793" s="53" t="str">
        <f>IFERROR(__xludf.DUMMYFUNCTION("""COMPUTED_VALUE"""),"")</f>
        <v/>
      </c>
      <c r="K793" s="52"/>
      <c r="L793" s="52"/>
      <c r="M793" s="52"/>
      <c r="N793" s="52"/>
      <c r="O793" s="52"/>
      <c r="P793" s="52"/>
      <c r="Q793" s="52"/>
      <c r="R793" s="52"/>
      <c r="S793" s="52"/>
      <c r="T793" s="52"/>
      <c r="U793" s="52"/>
      <c r="V793" s="52"/>
      <c r="W793" s="52"/>
      <c r="X793" s="52"/>
      <c r="Y793" s="52"/>
      <c r="Z793" s="52"/>
    </row>
    <row r="794">
      <c r="A794" s="52"/>
      <c r="B794" s="52"/>
      <c r="C794" s="52"/>
      <c r="D794" s="52"/>
      <c r="E794" s="52"/>
      <c r="F794" s="52"/>
      <c r="G794" s="52"/>
      <c r="H794" s="52"/>
      <c r="I794" s="52"/>
      <c r="J794" s="53" t="str">
        <f>IFERROR(__xludf.DUMMYFUNCTION("""COMPUTED_VALUE"""),"")</f>
        <v/>
      </c>
      <c r="K794" s="52"/>
      <c r="L794" s="52"/>
      <c r="M794" s="52"/>
      <c r="N794" s="52"/>
      <c r="O794" s="52"/>
      <c r="P794" s="52"/>
      <c r="Q794" s="52"/>
      <c r="R794" s="52"/>
      <c r="S794" s="52"/>
      <c r="T794" s="52"/>
      <c r="U794" s="52"/>
      <c r="V794" s="52"/>
      <c r="W794" s="52"/>
      <c r="X794" s="52"/>
      <c r="Y794" s="52"/>
      <c r="Z794" s="52"/>
    </row>
    <row r="795">
      <c r="A795" s="52"/>
      <c r="B795" s="52"/>
      <c r="C795" s="52"/>
      <c r="D795" s="52"/>
      <c r="E795" s="52"/>
      <c r="F795" s="52"/>
      <c r="G795" s="52"/>
      <c r="H795" s="52"/>
      <c r="I795" s="52"/>
      <c r="J795" s="53" t="str">
        <f>IFERROR(__xludf.DUMMYFUNCTION("""COMPUTED_VALUE"""),"")</f>
        <v/>
      </c>
      <c r="K795" s="52"/>
      <c r="L795" s="52"/>
      <c r="M795" s="52"/>
      <c r="N795" s="52"/>
      <c r="O795" s="52"/>
      <c r="P795" s="52"/>
      <c r="Q795" s="52"/>
      <c r="R795" s="52"/>
      <c r="S795" s="52"/>
      <c r="T795" s="52"/>
      <c r="U795" s="52"/>
      <c r="V795" s="52"/>
      <c r="W795" s="52"/>
      <c r="X795" s="52"/>
      <c r="Y795" s="52"/>
      <c r="Z795" s="52"/>
    </row>
    <row r="796">
      <c r="A796" s="52"/>
      <c r="B796" s="52"/>
      <c r="C796" s="52"/>
      <c r="D796" s="52"/>
      <c r="E796" s="52"/>
      <c r="F796" s="52"/>
      <c r="G796" s="52"/>
      <c r="H796" s="52"/>
      <c r="I796" s="52"/>
      <c r="J796" s="53" t="str">
        <f>IFERROR(__xludf.DUMMYFUNCTION("""COMPUTED_VALUE"""),"")</f>
        <v/>
      </c>
      <c r="K796" s="52"/>
      <c r="L796" s="52"/>
      <c r="M796" s="52"/>
      <c r="N796" s="52"/>
      <c r="O796" s="52"/>
      <c r="P796" s="52"/>
      <c r="Q796" s="52"/>
      <c r="R796" s="52"/>
      <c r="S796" s="52"/>
      <c r="T796" s="52"/>
      <c r="U796" s="52"/>
      <c r="V796" s="52"/>
      <c r="W796" s="52"/>
      <c r="X796" s="52"/>
      <c r="Y796" s="52"/>
      <c r="Z796" s="52"/>
    </row>
    <row r="797">
      <c r="A797" s="52"/>
      <c r="B797" s="52"/>
      <c r="C797" s="52"/>
      <c r="D797" s="52"/>
      <c r="E797" s="52"/>
      <c r="F797" s="52"/>
      <c r="G797" s="52"/>
      <c r="H797" s="52"/>
      <c r="I797" s="52"/>
      <c r="J797" s="53" t="str">
        <f>IFERROR(__xludf.DUMMYFUNCTION("""COMPUTED_VALUE"""),"")</f>
        <v/>
      </c>
      <c r="K797" s="52"/>
      <c r="L797" s="52"/>
      <c r="M797" s="52"/>
      <c r="N797" s="52"/>
      <c r="O797" s="52"/>
      <c r="P797" s="52"/>
      <c r="Q797" s="52"/>
      <c r="R797" s="52"/>
      <c r="S797" s="52"/>
      <c r="T797" s="52"/>
      <c r="U797" s="52"/>
      <c r="V797" s="52"/>
      <c r="W797" s="52"/>
      <c r="X797" s="52"/>
      <c r="Y797" s="52"/>
      <c r="Z797" s="52"/>
    </row>
    <row r="798">
      <c r="A798" s="52"/>
      <c r="B798" s="52"/>
      <c r="C798" s="52"/>
      <c r="D798" s="52"/>
      <c r="E798" s="52"/>
      <c r="F798" s="52"/>
      <c r="G798" s="52"/>
      <c r="H798" s="52"/>
      <c r="I798" s="52"/>
      <c r="J798" s="53" t="str">
        <f>IFERROR(__xludf.DUMMYFUNCTION("""COMPUTED_VALUE"""),"")</f>
        <v/>
      </c>
      <c r="K798" s="52"/>
      <c r="L798" s="52"/>
      <c r="M798" s="52"/>
      <c r="N798" s="52"/>
      <c r="O798" s="52"/>
      <c r="P798" s="52"/>
      <c r="Q798" s="52"/>
      <c r="R798" s="52"/>
      <c r="S798" s="52"/>
      <c r="T798" s="52"/>
      <c r="U798" s="52"/>
      <c r="V798" s="52"/>
      <c r="W798" s="52"/>
      <c r="X798" s="52"/>
      <c r="Y798" s="52"/>
      <c r="Z798" s="52"/>
    </row>
    <row r="799">
      <c r="A799" s="52"/>
      <c r="B799" s="52"/>
      <c r="C799" s="52"/>
      <c r="D799" s="52"/>
      <c r="E799" s="52"/>
      <c r="F799" s="52"/>
      <c r="G799" s="52"/>
      <c r="H799" s="52"/>
      <c r="I799" s="52"/>
      <c r="J799" s="53" t="str">
        <f>IFERROR(__xludf.DUMMYFUNCTION("""COMPUTED_VALUE"""),"")</f>
        <v/>
      </c>
      <c r="K799" s="52"/>
      <c r="L799" s="52"/>
      <c r="M799" s="52"/>
      <c r="N799" s="52"/>
      <c r="O799" s="52"/>
      <c r="P799" s="52"/>
      <c r="Q799" s="52"/>
      <c r="R799" s="52"/>
      <c r="S799" s="52"/>
      <c r="T799" s="52"/>
      <c r="U799" s="52"/>
      <c r="V799" s="52"/>
      <c r="W799" s="52"/>
      <c r="X799" s="52"/>
      <c r="Y799" s="52"/>
      <c r="Z799" s="52"/>
    </row>
    <row r="800">
      <c r="A800" s="52"/>
      <c r="B800" s="52"/>
      <c r="C800" s="52"/>
      <c r="D800" s="52"/>
      <c r="E800" s="52"/>
      <c r="F800" s="52"/>
      <c r="G800" s="52"/>
      <c r="H800" s="52"/>
      <c r="I800" s="52"/>
      <c r="J800" s="53" t="str">
        <f>IFERROR(__xludf.DUMMYFUNCTION("""COMPUTED_VALUE"""),"")</f>
        <v/>
      </c>
      <c r="K800" s="52"/>
      <c r="L800" s="52"/>
      <c r="M800" s="52"/>
      <c r="N800" s="52"/>
      <c r="O800" s="52"/>
      <c r="P800" s="52"/>
      <c r="Q800" s="52"/>
      <c r="R800" s="52"/>
      <c r="S800" s="52"/>
      <c r="T800" s="52"/>
      <c r="U800" s="52"/>
      <c r="V800" s="52"/>
      <c r="W800" s="52"/>
      <c r="X800" s="52"/>
      <c r="Y800" s="52"/>
      <c r="Z800" s="52"/>
    </row>
    <row r="801">
      <c r="A801" s="52"/>
      <c r="B801" s="52"/>
      <c r="C801" s="52"/>
      <c r="D801" s="52"/>
      <c r="E801" s="52"/>
      <c r="F801" s="52"/>
      <c r="G801" s="52"/>
      <c r="H801" s="52"/>
      <c r="I801" s="52"/>
      <c r="J801" s="53" t="str">
        <f>IFERROR(__xludf.DUMMYFUNCTION("""COMPUTED_VALUE"""),"")</f>
        <v/>
      </c>
      <c r="K801" s="52"/>
      <c r="L801" s="52"/>
      <c r="M801" s="52"/>
      <c r="N801" s="52"/>
      <c r="O801" s="52"/>
      <c r="P801" s="52"/>
      <c r="Q801" s="52"/>
      <c r="R801" s="52"/>
      <c r="S801" s="52"/>
      <c r="T801" s="52"/>
      <c r="U801" s="52"/>
      <c r="V801" s="52"/>
      <c r="W801" s="52"/>
      <c r="X801" s="52"/>
      <c r="Y801" s="52"/>
      <c r="Z801" s="52"/>
    </row>
    <row r="802">
      <c r="A802" s="52"/>
      <c r="B802" s="52"/>
      <c r="C802" s="52"/>
      <c r="D802" s="52"/>
      <c r="E802" s="52"/>
      <c r="F802" s="52"/>
      <c r="G802" s="52"/>
      <c r="H802" s="52"/>
      <c r="I802" s="52"/>
      <c r="J802" s="53" t="str">
        <f>IFERROR(__xludf.DUMMYFUNCTION("""COMPUTED_VALUE"""),"")</f>
        <v/>
      </c>
      <c r="K802" s="52"/>
      <c r="L802" s="52"/>
      <c r="M802" s="52"/>
      <c r="N802" s="52"/>
      <c r="O802" s="52"/>
      <c r="P802" s="52"/>
      <c r="Q802" s="52"/>
      <c r="R802" s="52"/>
      <c r="S802" s="52"/>
      <c r="T802" s="52"/>
      <c r="U802" s="52"/>
      <c r="V802" s="52"/>
      <c r="W802" s="52"/>
      <c r="X802" s="52"/>
      <c r="Y802" s="52"/>
      <c r="Z802" s="52"/>
    </row>
    <row r="803">
      <c r="A803" s="52"/>
      <c r="B803" s="52"/>
      <c r="C803" s="52"/>
      <c r="D803" s="52"/>
      <c r="E803" s="52"/>
      <c r="F803" s="52"/>
      <c r="G803" s="52"/>
      <c r="H803" s="52"/>
      <c r="I803" s="52"/>
      <c r="J803" s="53" t="str">
        <f>IFERROR(__xludf.DUMMYFUNCTION("""COMPUTED_VALUE"""),"")</f>
        <v/>
      </c>
      <c r="K803" s="52"/>
      <c r="L803" s="52"/>
      <c r="M803" s="52"/>
      <c r="N803" s="52"/>
      <c r="O803" s="52"/>
      <c r="P803" s="52"/>
      <c r="Q803" s="52"/>
      <c r="R803" s="52"/>
      <c r="S803" s="52"/>
      <c r="T803" s="52"/>
      <c r="U803" s="52"/>
      <c r="V803" s="52"/>
      <c r="W803" s="52"/>
      <c r="X803" s="52"/>
      <c r="Y803" s="52"/>
      <c r="Z803" s="52"/>
    </row>
    <row r="804">
      <c r="A804" s="52"/>
      <c r="B804" s="52"/>
      <c r="C804" s="52"/>
      <c r="D804" s="52"/>
      <c r="E804" s="52"/>
      <c r="F804" s="52"/>
      <c r="G804" s="52"/>
      <c r="H804" s="52"/>
      <c r="I804" s="52"/>
      <c r="J804" s="53" t="str">
        <f>IFERROR(__xludf.DUMMYFUNCTION("""COMPUTED_VALUE"""),"")</f>
        <v/>
      </c>
      <c r="K804" s="52"/>
      <c r="L804" s="52"/>
      <c r="M804" s="52"/>
      <c r="N804" s="52"/>
      <c r="O804" s="52"/>
      <c r="P804" s="52"/>
      <c r="Q804" s="52"/>
      <c r="R804" s="52"/>
      <c r="S804" s="52"/>
      <c r="T804" s="52"/>
      <c r="U804" s="52"/>
      <c r="V804" s="52"/>
      <c r="W804" s="52"/>
      <c r="X804" s="52"/>
      <c r="Y804" s="52"/>
      <c r="Z804" s="52"/>
    </row>
    <row r="805">
      <c r="A805" s="52"/>
      <c r="B805" s="52"/>
      <c r="C805" s="52"/>
      <c r="D805" s="52"/>
      <c r="E805" s="52"/>
      <c r="F805" s="52"/>
      <c r="G805" s="52"/>
      <c r="H805" s="52"/>
      <c r="I805" s="52"/>
      <c r="J805" s="53" t="str">
        <f>IFERROR(__xludf.DUMMYFUNCTION("""COMPUTED_VALUE"""),"")</f>
        <v/>
      </c>
      <c r="K805" s="52"/>
      <c r="L805" s="52"/>
      <c r="M805" s="52"/>
      <c r="N805" s="52"/>
      <c r="O805" s="52"/>
      <c r="P805" s="52"/>
      <c r="Q805" s="52"/>
      <c r="R805" s="52"/>
      <c r="S805" s="52"/>
      <c r="T805" s="52"/>
      <c r="U805" s="52"/>
      <c r="V805" s="52"/>
      <c r="W805" s="52"/>
      <c r="X805" s="52"/>
      <c r="Y805" s="52"/>
      <c r="Z805" s="52"/>
    </row>
    <row r="806">
      <c r="A806" s="52"/>
      <c r="B806" s="52"/>
      <c r="C806" s="52"/>
      <c r="D806" s="52"/>
      <c r="E806" s="52"/>
      <c r="F806" s="52"/>
      <c r="G806" s="52"/>
      <c r="H806" s="52"/>
      <c r="I806" s="52"/>
      <c r="J806" s="53" t="str">
        <f>IFERROR(__xludf.DUMMYFUNCTION("""COMPUTED_VALUE"""),"")</f>
        <v/>
      </c>
      <c r="K806" s="52"/>
      <c r="L806" s="52"/>
      <c r="M806" s="52"/>
      <c r="N806" s="52"/>
      <c r="O806" s="52"/>
      <c r="P806" s="52"/>
      <c r="Q806" s="52"/>
      <c r="R806" s="52"/>
      <c r="S806" s="52"/>
      <c r="T806" s="52"/>
      <c r="U806" s="52"/>
      <c r="V806" s="52"/>
      <c r="W806" s="52"/>
      <c r="X806" s="52"/>
      <c r="Y806" s="52"/>
      <c r="Z806" s="52"/>
    </row>
    <row r="807">
      <c r="A807" s="52"/>
      <c r="B807" s="52"/>
      <c r="C807" s="52"/>
      <c r="D807" s="52"/>
      <c r="E807" s="52"/>
      <c r="F807" s="52"/>
      <c r="G807" s="52"/>
      <c r="H807" s="52"/>
      <c r="I807" s="52"/>
      <c r="J807" s="53" t="str">
        <f>IFERROR(__xludf.DUMMYFUNCTION("""COMPUTED_VALUE"""),"")</f>
        <v/>
      </c>
      <c r="K807" s="52"/>
      <c r="L807" s="52"/>
      <c r="M807" s="52"/>
      <c r="N807" s="52"/>
      <c r="O807" s="52"/>
      <c r="P807" s="52"/>
      <c r="Q807" s="52"/>
      <c r="R807" s="52"/>
      <c r="S807" s="52"/>
      <c r="T807" s="52"/>
      <c r="U807" s="52"/>
      <c r="V807" s="52"/>
      <c r="W807" s="52"/>
      <c r="X807" s="52"/>
      <c r="Y807" s="52"/>
      <c r="Z807" s="52"/>
    </row>
    <row r="808">
      <c r="A808" s="52"/>
      <c r="B808" s="52"/>
      <c r="C808" s="52"/>
      <c r="D808" s="52"/>
      <c r="E808" s="52"/>
      <c r="F808" s="52"/>
      <c r="G808" s="52"/>
      <c r="H808" s="52"/>
      <c r="I808" s="52"/>
      <c r="J808" s="53" t="str">
        <f>IFERROR(__xludf.DUMMYFUNCTION("""COMPUTED_VALUE"""),"")</f>
        <v/>
      </c>
      <c r="K808" s="52"/>
      <c r="L808" s="52"/>
      <c r="M808" s="52"/>
      <c r="N808" s="52"/>
      <c r="O808" s="52"/>
      <c r="P808" s="52"/>
      <c r="Q808" s="52"/>
      <c r="R808" s="52"/>
      <c r="S808" s="52"/>
      <c r="T808" s="52"/>
      <c r="U808" s="52"/>
      <c r="V808" s="52"/>
      <c r="W808" s="52"/>
      <c r="X808" s="52"/>
      <c r="Y808" s="52"/>
      <c r="Z808" s="52"/>
    </row>
    <row r="809">
      <c r="A809" s="52"/>
      <c r="B809" s="52"/>
      <c r="C809" s="52"/>
      <c r="D809" s="52"/>
      <c r="E809" s="52"/>
      <c r="F809" s="52"/>
      <c r="G809" s="52"/>
      <c r="H809" s="52"/>
      <c r="I809" s="52"/>
      <c r="J809" s="53" t="str">
        <f>IFERROR(__xludf.DUMMYFUNCTION("""COMPUTED_VALUE"""),"")</f>
        <v/>
      </c>
      <c r="K809" s="52"/>
      <c r="L809" s="52"/>
      <c r="M809" s="52"/>
      <c r="N809" s="52"/>
      <c r="O809" s="52"/>
      <c r="P809" s="52"/>
      <c r="Q809" s="52"/>
      <c r="R809" s="52"/>
      <c r="S809" s="52"/>
      <c r="T809" s="52"/>
      <c r="U809" s="52"/>
      <c r="V809" s="52"/>
      <c r="W809" s="52"/>
      <c r="X809" s="52"/>
      <c r="Y809" s="52"/>
      <c r="Z809" s="52"/>
    </row>
    <row r="810">
      <c r="A810" s="52"/>
      <c r="B810" s="52"/>
      <c r="C810" s="52"/>
      <c r="D810" s="52"/>
      <c r="E810" s="52"/>
      <c r="F810" s="52"/>
      <c r="G810" s="52"/>
      <c r="H810" s="52"/>
      <c r="I810" s="52"/>
      <c r="J810" s="53" t="str">
        <f>IFERROR(__xludf.DUMMYFUNCTION("""COMPUTED_VALUE"""),"")</f>
        <v/>
      </c>
      <c r="K810" s="52"/>
      <c r="L810" s="52"/>
      <c r="M810" s="52"/>
      <c r="N810" s="52"/>
      <c r="O810" s="52"/>
      <c r="P810" s="52"/>
      <c r="Q810" s="52"/>
      <c r="R810" s="52"/>
      <c r="S810" s="52"/>
      <c r="T810" s="52"/>
      <c r="U810" s="52"/>
      <c r="V810" s="52"/>
      <c r="W810" s="52"/>
      <c r="X810" s="52"/>
      <c r="Y810" s="52"/>
      <c r="Z810" s="52"/>
    </row>
    <row r="811">
      <c r="A811" s="52"/>
      <c r="B811" s="52"/>
      <c r="C811" s="52"/>
      <c r="D811" s="52"/>
      <c r="E811" s="52"/>
      <c r="F811" s="52"/>
      <c r="G811" s="52"/>
      <c r="H811" s="52"/>
      <c r="I811" s="52"/>
      <c r="J811" s="53" t="str">
        <f>IFERROR(__xludf.DUMMYFUNCTION("""COMPUTED_VALUE"""),"")</f>
        <v/>
      </c>
      <c r="K811" s="52"/>
      <c r="L811" s="52"/>
      <c r="M811" s="52"/>
      <c r="N811" s="52"/>
      <c r="O811" s="52"/>
      <c r="P811" s="52"/>
      <c r="Q811" s="52"/>
      <c r="R811" s="52"/>
      <c r="S811" s="52"/>
      <c r="T811" s="52"/>
      <c r="U811" s="52"/>
      <c r="V811" s="52"/>
      <c r="W811" s="52"/>
      <c r="X811" s="52"/>
      <c r="Y811" s="52"/>
      <c r="Z811" s="52"/>
    </row>
    <row r="812">
      <c r="A812" s="52"/>
      <c r="B812" s="52"/>
      <c r="C812" s="52"/>
      <c r="D812" s="52"/>
      <c r="E812" s="52"/>
      <c r="F812" s="52"/>
      <c r="G812" s="52"/>
      <c r="H812" s="52"/>
      <c r="I812" s="52"/>
      <c r="J812" s="53" t="str">
        <f>IFERROR(__xludf.DUMMYFUNCTION("""COMPUTED_VALUE"""),"")</f>
        <v/>
      </c>
      <c r="K812" s="52"/>
      <c r="L812" s="52"/>
      <c r="M812" s="52"/>
      <c r="N812" s="52"/>
      <c r="O812" s="52"/>
      <c r="P812" s="52"/>
      <c r="Q812" s="52"/>
      <c r="R812" s="52"/>
      <c r="S812" s="52"/>
      <c r="T812" s="52"/>
      <c r="U812" s="52"/>
      <c r="V812" s="52"/>
      <c r="W812" s="52"/>
      <c r="X812" s="52"/>
      <c r="Y812" s="52"/>
      <c r="Z812" s="52"/>
    </row>
    <row r="813">
      <c r="A813" s="52"/>
      <c r="B813" s="52"/>
      <c r="C813" s="52"/>
      <c r="D813" s="52"/>
      <c r="E813" s="52"/>
      <c r="F813" s="52"/>
      <c r="G813" s="52"/>
      <c r="H813" s="52"/>
      <c r="I813" s="52"/>
      <c r="J813" s="53" t="str">
        <f>IFERROR(__xludf.DUMMYFUNCTION("""COMPUTED_VALUE"""),"")</f>
        <v/>
      </c>
      <c r="K813" s="52"/>
      <c r="L813" s="52"/>
      <c r="M813" s="52"/>
      <c r="N813" s="52"/>
      <c r="O813" s="52"/>
      <c r="P813" s="52"/>
      <c r="Q813" s="52"/>
      <c r="R813" s="52"/>
      <c r="S813" s="52"/>
      <c r="T813" s="52"/>
      <c r="U813" s="52"/>
      <c r="V813" s="52"/>
      <c r="W813" s="52"/>
      <c r="X813" s="52"/>
      <c r="Y813" s="52"/>
      <c r="Z813" s="52"/>
    </row>
    <row r="814">
      <c r="A814" s="52"/>
      <c r="B814" s="52"/>
      <c r="C814" s="52"/>
      <c r="D814" s="52"/>
      <c r="E814" s="52"/>
      <c r="F814" s="52"/>
      <c r="G814" s="52"/>
      <c r="H814" s="52"/>
      <c r="I814" s="52"/>
      <c r="J814" s="53" t="str">
        <f>IFERROR(__xludf.DUMMYFUNCTION("""COMPUTED_VALUE"""),"")</f>
        <v/>
      </c>
      <c r="K814" s="52"/>
      <c r="L814" s="52"/>
      <c r="M814" s="52"/>
      <c r="N814" s="52"/>
      <c r="O814" s="52"/>
      <c r="P814" s="52"/>
      <c r="Q814" s="52"/>
      <c r="R814" s="52"/>
      <c r="S814" s="52"/>
      <c r="T814" s="52"/>
      <c r="U814" s="52"/>
      <c r="V814" s="52"/>
      <c r="W814" s="52"/>
      <c r="X814" s="52"/>
      <c r="Y814" s="52"/>
      <c r="Z814" s="52"/>
    </row>
    <row r="815">
      <c r="A815" s="52"/>
      <c r="B815" s="52"/>
      <c r="C815" s="52"/>
      <c r="D815" s="52"/>
      <c r="E815" s="52"/>
      <c r="F815" s="52"/>
      <c r="G815" s="52"/>
      <c r="H815" s="52"/>
      <c r="I815" s="52"/>
      <c r="J815" s="53" t="str">
        <f>IFERROR(__xludf.DUMMYFUNCTION("""COMPUTED_VALUE"""),"")</f>
        <v/>
      </c>
      <c r="K815" s="52"/>
      <c r="L815" s="52"/>
      <c r="M815" s="52"/>
      <c r="N815" s="52"/>
      <c r="O815" s="52"/>
      <c r="P815" s="52"/>
      <c r="Q815" s="52"/>
      <c r="R815" s="52"/>
      <c r="S815" s="52"/>
      <c r="T815" s="52"/>
      <c r="U815" s="52"/>
      <c r="V815" s="52"/>
      <c r="W815" s="52"/>
      <c r="X815" s="52"/>
      <c r="Y815" s="52"/>
      <c r="Z815" s="52"/>
    </row>
    <row r="816">
      <c r="A816" s="52"/>
      <c r="B816" s="52"/>
      <c r="C816" s="52"/>
      <c r="D816" s="52"/>
      <c r="E816" s="52"/>
      <c r="F816" s="52"/>
      <c r="G816" s="52"/>
      <c r="H816" s="52"/>
      <c r="I816" s="52"/>
      <c r="J816" s="53" t="str">
        <f>IFERROR(__xludf.DUMMYFUNCTION("""COMPUTED_VALUE"""),"")</f>
        <v/>
      </c>
      <c r="K816" s="52"/>
      <c r="L816" s="52"/>
      <c r="M816" s="52"/>
      <c r="N816" s="52"/>
      <c r="O816" s="52"/>
      <c r="P816" s="52"/>
      <c r="Q816" s="52"/>
      <c r="R816" s="52"/>
      <c r="S816" s="52"/>
      <c r="T816" s="52"/>
      <c r="U816" s="52"/>
      <c r="V816" s="52"/>
      <c r="W816" s="52"/>
      <c r="X816" s="52"/>
      <c r="Y816" s="52"/>
      <c r="Z816" s="52"/>
    </row>
    <row r="817">
      <c r="A817" s="52"/>
      <c r="B817" s="52"/>
      <c r="C817" s="52"/>
      <c r="D817" s="52"/>
      <c r="E817" s="52"/>
      <c r="F817" s="52"/>
      <c r="G817" s="52"/>
      <c r="H817" s="52"/>
      <c r="I817" s="52"/>
      <c r="J817" s="53" t="str">
        <f>IFERROR(__xludf.DUMMYFUNCTION("""COMPUTED_VALUE"""),"")</f>
        <v/>
      </c>
      <c r="K817" s="52"/>
      <c r="L817" s="52"/>
      <c r="M817" s="52"/>
      <c r="N817" s="52"/>
      <c r="O817" s="52"/>
      <c r="P817" s="52"/>
      <c r="Q817" s="52"/>
      <c r="R817" s="52"/>
      <c r="S817" s="52"/>
      <c r="T817" s="52"/>
      <c r="U817" s="52"/>
      <c r="V817" s="52"/>
      <c r="W817" s="52"/>
      <c r="X817" s="52"/>
      <c r="Y817" s="52"/>
      <c r="Z817" s="52"/>
    </row>
    <row r="818">
      <c r="A818" s="52"/>
      <c r="B818" s="52"/>
      <c r="C818" s="52"/>
      <c r="D818" s="52"/>
      <c r="E818" s="52"/>
      <c r="F818" s="52"/>
      <c r="G818" s="52"/>
      <c r="H818" s="52"/>
      <c r="I818" s="52"/>
      <c r="J818" s="53" t="str">
        <f>IFERROR(__xludf.DUMMYFUNCTION("""COMPUTED_VALUE"""),"")</f>
        <v/>
      </c>
      <c r="K818" s="52"/>
      <c r="L818" s="52"/>
      <c r="M818" s="52"/>
      <c r="N818" s="52"/>
      <c r="O818" s="52"/>
      <c r="P818" s="52"/>
      <c r="Q818" s="52"/>
      <c r="R818" s="52"/>
      <c r="S818" s="52"/>
      <c r="T818" s="52"/>
      <c r="U818" s="52"/>
      <c r="V818" s="52"/>
      <c r="W818" s="52"/>
      <c r="X818" s="52"/>
      <c r="Y818" s="52"/>
      <c r="Z818" s="52"/>
    </row>
    <row r="819">
      <c r="A819" s="52"/>
      <c r="B819" s="52"/>
      <c r="C819" s="52"/>
      <c r="D819" s="52"/>
      <c r="E819" s="52"/>
      <c r="F819" s="52"/>
      <c r="G819" s="52"/>
      <c r="H819" s="52"/>
      <c r="I819" s="52"/>
      <c r="J819" s="53" t="str">
        <f>IFERROR(__xludf.DUMMYFUNCTION("""COMPUTED_VALUE"""),"")</f>
        <v/>
      </c>
      <c r="K819" s="52"/>
      <c r="L819" s="52"/>
      <c r="M819" s="52"/>
      <c r="N819" s="52"/>
      <c r="O819" s="52"/>
      <c r="P819" s="52"/>
      <c r="Q819" s="52"/>
      <c r="R819" s="52"/>
      <c r="S819" s="52"/>
      <c r="T819" s="52"/>
      <c r="U819" s="52"/>
      <c r="V819" s="52"/>
      <c r="W819" s="52"/>
      <c r="X819" s="52"/>
      <c r="Y819" s="52"/>
      <c r="Z819" s="52"/>
    </row>
    <row r="820">
      <c r="A820" s="52"/>
      <c r="B820" s="52"/>
      <c r="C820" s="52"/>
      <c r="D820" s="52"/>
      <c r="E820" s="52"/>
      <c r="F820" s="52"/>
      <c r="G820" s="52"/>
      <c r="H820" s="52"/>
      <c r="I820" s="52"/>
      <c r="J820" s="53" t="str">
        <f>IFERROR(__xludf.DUMMYFUNCTION("""COMPUTED_VALUE"""),"")</f>
        <v/>
      </c>
      <c r="K820" s="52"/>
      <c r="L820" s="52"/>
      <c r="M820" s="52"/>
      <c r="N820" s="52"/>
      <c r="O820" s="52"/>
      <c r="P820" s="52"/>
      <c r="Q820" s="52"/>
      <c r="R820" s="52"/>
      <c r="S820" s="52"/>
      <c r="T820" s="52"/>
      <c r="U820" s="52"/>
      <c r="V820" s="52"/>
      <c r="W820" s="52"/>
      <c r="X820" s="52"/>
      <c r="Y820" s="52"/>
      <c r="Z820" s="52"/>
    </row>
    <row r="821">
      <c r="A821" s="52"/>
      <c r="B821" s="52"/>
      <c r="C821" s="52"/>
      <c r="D821" s="52"/>
      <c r="E821" s="52"/>
      <c r="F821" s="52"/>
      <c r="G821" s="52"/>
      <c r="H821" s="52"/>
      <c r="I821" s="52"/>
      <c r="J821" s="53" t="str">
        <f>IFERROR(__xludf.DUMMYFUNCTION("""COMPUTED_VALUE"""),"")</f>
        <v/>
      </c>
      <c r="K821" s="52"/>
      <c r="L821" s="52"/>
      <c r="M821" s="52"/>
      <c r="N821" s="52"/>
      <c r="O821" s="52"/>
      <c r="P821" s="52"/>
      <c r="Q821" s="52"/>
      <c r="R821" s="52"/>
      <c r="S821" s="52"/>
      <c r="T821" s="52"/>
      <c r="U821" s="52"/>
      <c r="V821" s="52"/>
      <c r="W821" s="52"/>
      <c r="X821" s="52"/>
      <c r="Y821" s="52"/>
      <c r="Z821" s="52"/>
    </row>
    <row r="822">
      <c r="A822" s="52"/>
      <c r="B822" s="52"/>
      <c r="C822" s="52"/>
      <c r="D822" s="52"/>
      <c r="E822" s="52"/>
      <c r="F822" s="52"/>
      <c r="G822" s="52"/>
      <c r="H822" s="52"/>
      <c r="I822" s="52"/>
      <c r="J822" s="53" t="str">
        <f>IFERROR(__xludf.DUMMYFUNCTION("""COMPUTED_VALUE"""),"")</f>
        <v/>
      </c>
      <c r="K822" s="52"/>
      <c r="L822" s="52"/>
      <c r="M822" s="52"/>
      <c r="N822" s="52"/>
      <c r="O822" s="52"/>
      <c r="P822" s="52"/>
      <c r="Q822" s="52"/>
      <c r="R822" s="52"/>
      <c r="S822" s="52"/>
      <c r="T822" s="52"/>
      <c r="U822" s="52"/>
      <c r="V822" s="52"/>
      <c r="W822" s="52"/>
      <c r="X822" s="52"/>
      <c r="Y822" s="52"/>
      <c r="Z822" s="52"/>
    </row>
    <row r="823">
      <c r="A823" s="52"/>
      <c r="B823" s="52"/>
      <c r="C823" s="52"/>
      <c r="D823" s="52"/>
      <c r="E823" s="52"/>
      <c r="F823" s="52"/>
      <c r="G823" s="52"/>
      <c r="H823" s="52"/>
      <c r="I823" s="52"/>
      <c r="J823" s="53" t="str">
        <f>IFERROR(__xludf.DUMMYFUNCTION("""COMPUTED_VALUE"""),"")</f>
        <v/>
      </c>
      <c r="K823" s="52"/>
      <c r="L823" s="52"/>
      <c r="M823" s="52"/>
      <c r="N823" s="52"/>
      <c r="O823" s="52"/>
      <c r="P823" s="52"/>
      <c r="Q823" s="52"/>
      <c r="R823" s="52"/>
      <c r="S823" s="52"/>
      <c r="T823" s="52"/>
      <c r="U823" s="52"/>
      <c r="V823" s="52"/>
      <c r="W823" s="52"/>
      <c r="X823" s="52"/>
      <c r="Y823" s="52"/>
      <c r="Z823" s="52"/>
    </row>
    <row r="824">
      <c r="A824" s="52"/>
      <c r="B824" s="52"/>
      <c r="C824" s="52"/>
      <c r="D824" s="52"/>
      <c r="E824" s="52"/>
      <c r="F824" s="52"/>
      <c r="G824" s="52"/>
      <c r="H824" s="52"/>
      <c r="I824" s="52"/>
      <c r="J824" s="53" t="str">
        <f>IFERROR(__xludf.DUMMYFUNCTION("""COMPUTED_VALUE"""),"")</f>
        <v/>
      </c>
      <c r="K824" s="52"/>
      <c r="L824" s="52"/>
      <c r="M824" s="52"/>
      <c r="N824" s="52"/>
      <c r="O824" s="52"/>
      <c r="P824" s="52"/>
      <c r="Q824" s="52"/>
      <c r="R824" s="52"/>
      <c r="S824" s="52"/>
      <c r="T824" s="52"/>
      <c r="U824" s="52"/>
      <c r="V824" s="52"/>
      <c r="W824" s="52"/>
      <c r="X824" s="52"/>
      <c r="Y824" s="52"/>
      <c r="Z824" s="52"/>
    </row>
    <row r="825">
      <c r="A825" s="52"/>
      <c r="B825" s="52"/>
      <c r="C825" s="52"/>
      <c r="D825" s="52"/>
      <c r="E825" s="52"/>
      <c r="F825" s="52"/>
      <c r="G825" s="52"/>
      <c r="H825" s="52"/>
      <c r="I825" s="52"/>
      <c r="J825" s="53" t="str">
        <f>IFERROR(__xludf.DUMMYFUNCTION("""COMPUTED_VALUE"""),"")</f>
        <v/>
      </c>
      <c r="K825" s="52"/>
      <c r="L825" s="52"/>
      <c r="M825" s="52"/>
      <c r="N825" s="52"/>
      <c r="O825" s="52"/>
      <c r="P825" s="52"/>
      <c r="Q825" s="52"/>
      <c r="R825" s="52"/>
      <c r="S825" s="52"/>
      <c r="T825" s="52"/>
      <c r="U825" s="52"/>
      <c r="V825" s="52"/>
      <c r="W825" s="52"/>
      <c r="X825" s="52"/>
      <c r="Y825" s="52"/>
      <c r="Z825" s="52"/>
    </row>
    <row r="826">
      <c r="A826" s="52"/>
      <c r="B826" s="52"/>
      <c r="C826" s="52"/>
      <c r="D826" s="52"/>
      <c r="E826" s="52"/>
      <c r="F826" s="52"/>
      <c r="G826" s="52"/>
      <c r="H826" s="52"/>
      <c r="I826" s="52"/>
      <c r="J826" s="53" t="str">
        <f>IFERROR(__xludf.DUMMYFUNCTION("""COMPUTED_VALUE"""),"")</f>
        <v/>
      </c>
      <c r="K826" s="52"/>
      <c r="L826" s="52"/>
      <c r="M826" s="52"/>
      <c r="N826" s="52"/>
      <c r="O826" s="52"/>
      <c r="P826" s="52"/>
      <c r="Q826" s="52"/>
      <c r="R826" s="52"/>
      <c r="S826" s="52"/>
      <c r="T826" s="52"/>
      <c r="U826" s="52"/>
      <c r="V826" s="52"/>
      <c r="W826" s="52"/>
      <c r="X826" s="52"/>
      <c r="Y826" s="52"/>
      <c r="Z826" s="52"/>
    </row>
    <row r="827">
      <c r="A827" s="52"/>
      <c r="B827" s="52"/>
      <c r="C827" s="52"/>
      <c r="D827" s="52"/>
      <c r="E827" s="52"/>
      <c r="F827" s="52"/>
      <c r="G827" s="52"/>
      <c r="H827" s="52"/>
      <c r="I827" s="52"/>
      <c r="J827" s="53" t="str">
        <f>IFERROR(__xludf.DUMMYFUNCTION("""COMPUTED_VALUE"""),"")</f>
        <v/>
      </c>
      <c r="K827" s="52"/>
      <c r="L827" s="52"/>
      <c r="M827" s="52"/>
      <c r="N827" s="52"/>
      <c r="O827" s="52"/>
      <c r="P827" s="52"/>
      <c r="Q827" s="52"/>
      <c r="R827" s="52"/>
      <c r="S827" s="52"/>
      <c r="T827" s="52"/>
      <c r="U827" s="52"/>
      <c r="V827" s="52"/>
      <c r="W827" s="52"/>
      <c r="X827" s="52"/>
      <c r="Y827" s="52"/>
      <c r="Z827" s="52"/>
    </row>
    <row r="828">
      <c r="A828" s="52"/>
      <c r="B828" s="52"/>
      <c r="C828" s="52"/>
      <c r="D828" s="52"/>
      <c r="E828" s="52"/>
      <c r="F828" s="52"/>
      <c r="G828" s="52"/>
      <c r="H828" s="52"/>
      <c r="I828" s="52"/>
      <c r="J828" s="53" t="str">
        <f>IFERROR(__xludf.DUMMYFUNCTION("""COMPUTED_VALUE"""),"")</f>
        <v/>
      </c>
      <c r="K828" s="52"/>
      <c r="L828" s="52"/>
      <c r="M828" s="52"/>
      <c r="N828" s="52"/>
      <c r="O828" s="52"/>
      <c r="P828" s="52"/>
      <c r="Q828" s="52"/>
      <c r="R828" s="52"/>
      <c r="S828" s="52"/>
      <c r="T828" s="52"/>
      <c r="U828" s="52"/>
      <c r="V828" s="52"/>
      <c r="W828" s="52"/>
      <c r="X828" s="52"/>
      <c r="Y828" s="52"/>
      <c r="Z828" s="52"/>
    </row>
    <row r="829">
      <c r="A829" s="52"/>
      <c r="B829" s="52"/>
      <c r="C829" s="52"/>
      <c r="D829" s="52"/>
      <c r="E829" s="52"/>
      <c r="F829" s="52"/>
      <c r="G829" s="52"/>
      <c r="H829" s="52"/>
      <c r="I829" s="52"/>
      <c r="J829" s="53" t="str">
        <f>IFERROR(__xludf.DUMMYFUNCTION("""COMPUTED_VALUE"""),"")</f>
        <v/>
      </c>
      <c r="K829" s="52"/>
      <c r="L829" s="52"/>
      <c r="M829" s="52"/>
      <c r="N829" s="52"/>
      <c r="O829" s="52"/>
      <c r="P829" s="52"/>
      <c r="Q829" s="52"/>
      <c r="R829" s="52"/>
      <c r="S829" s="52"/>
      <c r="T829" s="52"/>
      <c r="U829" s="52"/>
      <c r="V829" s="52"/>
      <c r="W829" s="52"/>
      <c r="X829" s="52"/>
      <c r="Y829" s="52"/>
      <c r="Z829" s="52"/>
    </row>
    <row r="830">
      <c r="A830" s="52"/>
      <c r="B830" s="52"/>
      <c r="C830" s="52"/>
      <c r="D830" s="52"/>
      <c r="E830" s="52"/>
      <c r="F830" s="52"/>
      <c r="G830" s="52"/>
      <c r="H830" s="52"/>
      <c r="I830" s="52"/>
      <c r="J830" s="53" t="str">
        <f>IFERROR(__xludf.DUMMYFUNCTION("""COMPUTED_VALUE"""),"")</f>
        <v/>
      </c>
      <c r="K830" s="52"/>
      <c r="L830" s="52"/>
      <c r="M830" s="52"/>
      <c r="N830" s="52"/>
      <c r="O830" s="52"/>
      <c r="P830" s="52"/>
      <c r="Q830" s="52"/>
      <c r="R830" s="52"/>
      <c r="S830" s="52"/>
      <c r="T830" s="52"/>
      <c r="U830" s="52"/>
      <c r="V830" s="52"/>
      <c r="W830" s="52"/>
      <c r="X830" s="52"/>
      <c r="Y830" s="52"/>
      <c r="Z830" s="52"/>
    </row>
    <row r="831">
      <c r="A831" s="52"/>
      <c r="B831" s="52"/>
      <c r="C831" s="52"/>
      <c r="D831" s="52"/>
      <c r="E831" s="52"/>
      <c r="F831" s="52"/>
      <c r="G831" s="52"/>
      <c r="H831" s="52"/>
      <c r="I831" s="52"/>
      <c r="J831" s="53" t="str">
        <f>IFERROR(__xludf.DUMMYFUNCTION("""COMPUTED_VALUE"""),"")</f>
        <v/>
      </c>
      <c r="K831" s="52"/>
      <c r="L831" s="52"/>
      <c r="M831" s="52"/>
      <c r="N831" s="52"/>
      <c r="O831" s="52"/>
      <c r="P831" s="52"/>
      <c r="Q831" s="52"/>
      <c r="R831" s="52"/>
      <c r="S831" s="52"/>
      <c r="T831" s="52"/>
      <c r="U831" s="52"/>
      <c r="V831" s="52"/>
      <c r="W831" s="52"/>
      <c r="X831" s="52"/>
      <c r="Y831" s="52"/>
      <c r="Z831" s="52"/>
    </row>
    <row r="832">
      <c r="A832" s="52"/>
      <c r="B832" s="52"/>
      <c r="C832" s="52"/>
      <c r="D832" s="52"/>
      <c r="E832" s="52"/>
      <c r="F832" s="52"/>
      <c r="G832" s="52"/>
      <c r="H832" s="52"/>
      <c r="I832" s="52"/>
      <c r="J832" s="53" t="str">
        <f>IFERROR(__xludf.DUMMYFUNCTION("""COMPUTED_VALUE"""),"")</f>
        <v/>
      </c>
      <c r="K832" s="52"/>
      <c r="L832" s="52"/>
      <c r="M832" s="52"/>
      <c r="N832" s="52"/>
      <c r="O832" s="52"/>
      <c r="P832" s="52"/>
      <c r="Q832" s="52"/>
      <c r="R832" s="52"/>
      <c r="S832" s="52"/>
      <c r="T832" s="52"/>
      <c r="U832" s="52"/>
      <c r="V832" s="52"/>
      <c r="W832" s="52"/>
      <c r="X832" s="52"/>
      <c r="Y832" s="52"/>
      <c r="Z832" s="52"/>
    </row>
    <row r="833">
      <c r="A833" s="52"/>
      <c r="B833" s="52"/>
      <c r="C833" s="52"/>
      <c r="D833" s="52"/>
      <c r="E833" s="52"/>
      <c r="F833" s="52"/>
      <c r="G833" s="52"/>
      <c r="H833" s="52"/>
      <c r="I833" s="52"/>
      <c r="J833" s="53" t="str">
        <f>IFERROR(__xludf.DUMMYFUNCTION("""COMPUTED_VALUE"""),"")</f>
        <v/>
      </c>
      <c r="K833" s="52"/>
      <c r="L833" s="52"/>
      <c r="M833" s="52"/>
      <c r="N833" s="52"/>
      <c r="O833" s="52"/>
      <c r="P833" s="52"/>
      <c r="Q833" s="52"/>
      <c r="R833" s="52"/>
      <c r="S833" s="52"/>
      <c r="T833" s="52"/>
      <c r="U833" s="52"/>
      <c r="V833" s="52"/>
      <c r="W833" s="52"/>
      <c r="X833" s="52"/>
      <c r="Y833" s="52"/>
      <c r="Z833" s="52"/>
    </row>
    <row r="834">
      <c r="A834" s="52"/>
      <c r="B834" s="52"/>
      <c r="C834" s="52"/>
      <c r="D834" s="52"/>
      <c r="E834" s="52"/>
      <c r="F834" s="52"/>
      <c r="G834" s="52"/>
      <c r="H834" s="52"/>
      <c r="I834" s="52"/>
      <c r="J834" s="53" t="str">
        <f>IFERROR(__xludf.DUMMYFUNCTION("""COMPUTED_VALUE"""),"")</f>
        <v/>
      </c>
      <c r="K834" s="52"/>
      <c r="L834" s="52"/>
      <c r="M834" s="52"/>
      <c r="N834" s="52"/>
      <c r="O834" s="52"/>
      <c r="P834" s="52"/>
      <c r="Q834" s="52"/>
      <c r="R834" s="52"/>
      <c r="S834" s="52"/>
      <c r="T834" s="52"/>
      <c r="U834" s="52"/>
      <c r="V834" s="52"/>
      <c r="W834" s="52"/>
      <c r="X834" s="52"/>
      <c r="Y834" s="52"/>
      <c r="Z834" s="52"/>
    </row>
    <row r="835">
      <c r="A835" s="52"/>
      <c r="B835" s="52"/>
      <c r="C835" s="52"/>
      <c r="D835" s="52"/>
      <c r="E835" s="52"/>
      <c r="F835" s="52"/>
      <c r="G835" s="52"/>
      <c r="H835" s="52"/>
      <c r="I835" s="52"/>
      <c r="J835" s="53" t="str">
        <f>IFERROR(__xludf.DUMMYFUNCTION("""COMPUTED_VALUE"""),"")</f>
        <v/>
      </c>
      <c r="K835" s="52"/>
      <c r="L835" s="52"/>
      <c r="M835" s="52"/>
      <c r="N835" s="52"/>
      <c r="O835" s="52"/>
      <c r="P835" s="52"/>
      <c r="Q835" s="52"/>
      <c r="R835" s="52"/>
      <c r="S835" s="52"/>
      <c r="T835" s="52"/>
      <c r="U835" s="52"/>
      <c r="V835" s="52"/>
      <c r="W835" s="52"/>
      <c r="X835" s="52"/>
      <c r="Y835" s="52"/>
      <c r="Z835" s="52"/>
    </row>
    <row r="836">
      <c r="A836" s="52"/>
      <c r="B836" s="52"/>
      <c r="C836" s="52"/>
      <c r="D836" s="52"/>
      <c r="E836" s="52"/>
      <c r="F836" s="52"/>
      <c r="G836" s="52"/>
      <c r="H836" s="52"/>
      <c r="I836" s="52"/>
      <c r="J836" s="53" t="str">
        <f>IFERROR(__xludf.DUMMYFUNCTION("""COMPUTED_VALUE"""),"")</f>
        <v/>
      </c>
      <c r="K836" s="52"/>
      <c r="L836" s="52"/>
      <c r="M836" s="52"/>
      <c r="N836" s="52"/>
      <c r="O836" s="52"/>
      <c r="P836" s="52"/>
      <c r="Q836" s="52"/>
      <c r="R836" s="52"/>
      <c r="S836" s="52"/>
      <c r="T836" s="52"/>
      <c r="U836" s="52"/>
      <c r="V836" s="52"/>
      <c r="W836" s="52"/>
      <c r="X836" s="52"/>
      <c r="Y836" s="52"/>
      <c r="Z836" s="52"/>
    </row>
    <row r="837">
      <c r="A837" s="52"/>
      <c r="B837" s="52"/>
      <c r="C837" s="52"/>
      <c r="D837" s="52"/>
      <c r="E837" s="52"/>
      <c r="F837" s="52"/>
      <c r="G837" s="52"/>
      <c r="H837" s="52"/>
      <c r="I837" s="52"/>
      <c r="J837" s="53" t="str">
        <f>IFERROR(__xludf.DUMMYFUNCTION("""COMPUTED_VALUE"""),"")</f>
        <v/>
      </c>
      <c r="K837" s="52"/>
      <c r="L837" s="52"/>
      <c r="M837" s="52"/>
      <c r="N837" s="52"/>
      <c r="O837" s="52"/>
      <c r="P837" s="52"/>
      <c r="Q837" s="52"/>
      <c r="R837" s="52"/>
      <c r="S837" s="52"/>
      <c r="T837" s="52"/>
      <c r="U837" s="52"/>
      <c r="V837" s="52"/>
      <c r="W837" s="52"/>
      <c r="X837" s="52"/>
      <c r="Y837" s="52"/>
      <c r="Z837" s="52"/>
    </row>
    <row r="838">
      <c r="A838" s="52"/>
      <c r="B838" s="52"/>
      <c r="C838" s="52"/>
      <c r="D838" s="52"/>
      <c r="E838" s="52"/>
      <c r="F838" s="52"/>
      <c r="G838" s="52"/>
      <c r="H838" s="52"/>
      <c r="I838" s="52"/>
      <c r="J838" s="53" t="str">
        <f>IFERROR(__xludf.DUMMYFUNCTION("""COMPUTED_VALUE"""),"")</f>
        <v/>
      </c>
      <c r="K838" s="52"/>
      <c r="L838" s="52"/>
      <c r="M838" s="52"/>
      <c r="N838" s="52"/>
      <c r="O838" s="52"/>
      <c r="P838" s="52"/>
      <c r="Q838" s="52"/>
      <c r="R838" s="52"/>
      <c r="S838" s="52"/>
      <c r="T838" s="52"/>
      <c r="U838" s="52"/>
      <c r="V838" s="52"/>
      <c r="W838" s="52"/>
      <c r="X838" s="52"/>
      <c r="Y838" s="52"/>
      <c r="Z838" s="52"/>
    </row>
    <row r="839">
      <c r="A839" s="52"/>
      <c r="B839" s="52"/>
      <c r="C839" s="52"/>
      <c r="D839" s="52"/>
      <c r="E839" s="52"/>
      <c r="F839" s="52"/>
      <c r="G839" s="52"/>
      <c r="H839" s="52"/>
      <c r="I839" s="52"/>
      <c r="J839" s="53" t="str">
        <f>IFERROR(__xludf.DUMMYFUNCTION("""COMPUTED_VALUE"""),"")</f>
        <v/>
      </c>
      <c r="K839" s="52"/>
      <c r="L839" s="52"/>
      <c r="M839" s="52"/>
      <c r="N839" s="52"/>
      <c r="O839" s="52"/>
      <c r="P839" s="52"/>
      <c r="Q839" s="52"/>
      <c r="R839" s="52"/>
      <c r="S839" s="52"/>
      <c r="T839" s="52"/>
      <c r="U839" s="52"/>
      <c r="V839" s="52"/>
      <c r="W839" s="52"/>
      <c r="X839" s="52"/>
      <c r="Y839" s="52"/>
      <c r="Z839" s="52"/>
    </row>
    <row r="840">
      <c r="A840" s="52"/>
      <c r="B840" s="52"/>
      <c r="C840" s="52"/>
      <c r="D840" s="52"/>
      <c r="E840" s="52"/>
      <c r="F840" s="52"/>
      <c r="G840" s="52"/>
      <c r="H840" s="52"/>
      <c r="I840" s="52"/>
      <c r="J840" s="53" t="str">
        <f>IFERROR(__xludf.DUMMYFUNCTION("""COMPUTED_VALUE"""),"")</f>
        <v/>
      </c>
      <c r="K840" s="52"/>
      <c r="L840" s="52"/>
      <c r="M840" s="52"/>
      <c r="N840" s="52"/>
      <c r="O840" s="52"/>
      <c r="P840" s="52"/>
      <c r="Q840" s="52"/>
      <c r="R840" s="52"/>
      <c r="S840" s="52"/>
      <c r="T840" s="52"/>
      <c r="U840" s="52"/>
      <c r="V840" s="52"/>
      <c r="W840" s="52"/>
      <c r="X840" s="52"/>
      <c r="Y840" s="52"/>
      <c r="Z840" s="52"/>
    </row>
    <row r="841">
      <c r="A841" s="52"/>
      <c r="B841" s="52"/>
      <c r="C841" s="52"/>
      <c r="D841" s="52"/>
      <c r="E841" s="52"/>
      <c r="F841" s="52"/>
      <c r="G841" s="52"/>
      <c r="H841" s="52"/>
      <c r="I841" s="52"/>
      <c r="J841" s="53" t="str">
        <f>IFERROR(__xludf.DUMMYFUNCTION("""COMPUTED_VALUE"""),"")</f>
        <v/>
      </c>
      <c r="K841" s="52"/>
      <c r="L841" s="52"/>
      <c r="M841" s="52"/>
      <c r="N841" s="52"/>
      <c r="O841" s="52"/>
      <c r="P841" s="52"/>
      <c r="Q841" s="52"/>
      <c r="R841" s="52"/>
      <c r="S841" s="52"/>
      <c r="T841" s="52"/>
      <c r="U841" s="52"/>
      <c r="V841" s="52"/>
      <c r="W841" s="52"/>
      <c r="X841" s="52"/>
      <c r="Y841" s="52"/>
      <c r="Z841" s="52"/>
    </row>
    <row r="842">
      <c r="A842" s="52"/>
      <c r="B842" s="52"/>
      <c r="C842" s="52"/>
      <c r="D842" s="52"/>
      <c r="E842" s="52"/>
      <c r="F842" s="52"/>
      <c r="G842" s="52"/>
      <c r="H842" s="52"/>
      <c r="I842" s="52"/>
      <c r="J842" s="53" t="str">
        <f>IFERROR(__xludf.DUMMYFUNCTION("""COMPUTED_VALUE"""),"")</f>
        <v/>
      </c>
      <c r="K842" s="52"/>
      <c r="L842" s="52"/>
      <c r="M842" s="52"/>
      <c r="N842" s="52"/>
      <c r="O842" s="52"/>
      <c r="P842" s="52"/>
      <c r="Q842" s="52"/>
      <c r="R842" s="52"/>
      <c r="S842" s="52"/>
      <c r="T842" s="52"/>
      <c r="U842" s="52"/>
      <c r="V842" s="52"/>
      <c r="W842" s="52"/>
      <c r="X842" s="52"/>
      <c r="Y842" s="52"/>
      <c r="Z842" s="52"/>
    </row>
    <row r="843">
      <c r="A843" s="52"/>
      <c r="B843" s="52"/>
      <c r="C843" s="52"/>
      <c r="D843" s="52"/>
      <c r="E843" s="52"/>
      <c r="F843" s="52"/>
      <c r="G843" s="52"/>
      <c r="H843" s="52"/>
      <c r="I843" s="52"/>
      <c r="J843" s="53" t="str">
        <f>IFERROR(__xludf.DUMMYFUNCTION("""COMPUTED_VALUE"""),"")</f>
        <v/>
      </c>
      <c r="K843" s="52"/>
      <c r="L843" s="52"/>
      <c r="M843" s="52"/>
      <c r="N843" s="52"/>
      <c r="O843" s="52"/>
      <c r="P843" s="52"/>
      <c r="Q843" s="52"/>
      <c r="R843" s="52"/>
      <c r="S843" s="52"/>
      <c r="T843" s="52"/>
      <c r="U843" s="52"/>
      <c r="V843" s="52"/>
      <c r="W843" s="52"/>
      <c r="X843" s="52"/>
      <c r="Y843" s="52"/>
      <c r="Z843" s="52"/>
    </row>
    <row r="844">
      <c r="A844" s="52"/>
      <c r="B844" s="52"/>
      <c r="C844" s="52"/>
      <c r="D844" s="52"/>
      <c r="E844" s="52"/>
      <c r="F844" s="52"/>
      <c r="G844" s="52"/>
      <c r="H844" s="52"/>
      <c r="I844" s="52"/>
      <c r="J844" s="53" t="str">
        <f>IFERROR(__xludf.DUMMYFUNCTION("""COMPUTED_VALUE"""),"")</f>
        <v/>
      </c>
      <c r="K844" s="52"/>
      <c r="L844" s="52"/>
      <c r="M844" s="52"/>
      <c r="N844" s="52"/>
      <c r="O844" s="52"/>
      <c r="P844" s="52"/>
      <c r="Q844" s="52"/>
      <c r="R844" s="52"/>
      <c r="S844" s="52"/>
      <c r="T844" s="52"/>
      <c r="U844" s="52"/>
      <c r="V844" s="52"/>
      <c r="W844" s="52"/>
      <c r="X844" s="52"/>
      <c r="Y844" s="52"/>
      <c r="Z844" s="52"/>
    </row>
    <row r="845">
      <c r="A845" s="52"/>
      <c r="B845" s="52"/>
      <c r="C845" s="52"/>
      <c r="D845" s="52"/>
      <c r="E845" s="52"/>
      <c r="F845" s="52"/>
      <c r="G845" s="52"/>
      <c r="H845" s="52"/>
      <c r="I845" s="52"/>
      <c r="J845" s="53" t="str">
        <f>IFERROR(__xludf.DUMMYFUNCTION("""COMPUTED_VALUE"""),"")</f>
        <v/>
      </c>
      <c r="K845" s="52"/>
      <c r="L845" s="52"/>
      <c r="M845" s="52"/>
      <c r="N845" s="52"/>
      <c r="O845" s="52"/>
      <c r="P845" s="52"/>
      <c r="Q845" s="52"/>
      <c r="R845" s="52"/>
      <c r="S845" s="52"/>
      <c r="T845" s="52"/>
      <c r="U845" s="52"/>
      <c r="V845" s="52"/>
      <c r="W845" s="52"/>
      <c r="X845" s="52"/>
      <c r="Y845" s="52"/>
      <c r="Z845" s="52"/>
    </row>
    <row r="846">
      <c r="A846" s="52"/>
      <c r="B846" s="52"/>
      <c r="C846" s="52"/>
      <c r="D846" s="52"/>
      <c r="E846" s="52"/>
      <c r="F846" s="52"/>
      <c r="G846" s="52"/>
      <c r="H846" s="52"/>
      <c r="I846" s="52"/>
      <c r="J846" s="53" t="str">
        <f>IFERROR(__xludf.DUMMYFUNCTION("""COMPUTED_VALUE"""),"")</f>
        <v/>
      </c>
      <c r="K846" s="52"/>
      <c r="L846" s="52"/>
      <c r="M846" s="52"/>
      <c r="N846" s="52"/>
      <c r="O846" s="52"/>
      <c r="P846" s="52"/>
      <c r="Q846" s="52"/>
      <c r="R846" s="52"/>
      <c r="S846" s="52"/>
      <c r="T846" s="52"/>
      <c r="U846" s="52"/>
      <c r="V846" s="52"/>
      <c r="W846" s="52"/>
      <c r="X846" s="52"/>
      <c r="Y846" s="52"/>
      <c r="Z846" s="52"/>
    </row>
    <row r="847">
      <c r="A847" s="52"/>
      <c r="B847" s="52"/>
      <c r="C847" s="52"/>
      <c r="D847" s="52"/>
      <c r="E847" s="52"/>
      <c r="F847" s="52"/>
      <c r="G847" s="52"/>
      <c r="H847" s="52"/>
      <c r="I847" s="52"/>
      <c r="J847" s="53" t="str">
        <f>IFERROR(__xludf.DUMMYFUNCTION("""COMPUTED_VALUE"""),"")</f>
        <v/>
      </c>
      <c r="K847" s="52"/>
      <c r="L847" s="52"/>
      <c r="M847" s="52"/>
      <c r="N847" s="52"/>
      <c r="O847" s="52"/>
      <c r="P847" s="52"/>
      <c r="Q847" s="52"/>
      <c r="R847" s="52"/>
      <c r="S847" s="52"/>
      <c r="T847" s="52"/>
      <c r="U847" s="52"/>
      <c r="V847" s="52"/>
      <c r="W847" s="52"/>
      <c r="X847" s="52"/>
      <c r="Y847" s="52"/>
      <c r="Z847" s="52"/>
    </row>
    <row r="848">
      <c r="A848" s="52"/>
      <c r="B848" s="52"/>
      <c r="C848" s="52"/>
      <c r="D848" s="52"/>
      <c r="E848" s="52"/>
      <c r="F848" s="52"/>
      <c r="G848" s="52"/>
      <c r="H848" s="52"/>
      <c r="I848" s="52"/>
      <c r="J848" s="53" t="str">
        <f>IFERROR(__xludf.DUMMYFUNCTION("""COMPUTED_VALUE"""),"")</f>
        <v/>
      </c>
      <c r="K848" s="52"/>
      <c r="L848" s="52"/>
      <c r="M848" s="52"/>
      <c r="N848" s="52"/>
      <c r="O848" s="52"/>
      <c r="P848" s="52"/>
      <c r="Q848" s="52"/>
      <c r="R848" s="52"/>
      <c r="S848" s="52"/>
      <c r="T848" s="52"/>
      <c r="U848" s="52"/>
      <c r="V848" s="52"/>
      <c r="W848" s="52"/>
      <c r="X848" s="52"/>
      <c r="Y848" s="52"/>
      <c r="Z848" s="52"/>
    </row>
    <row r="849">
      <c r="A849" s="52"/>
      <c r="B849" s="52"/>
      <c r="C849" s="52"/>
      <c r="D849" s="52"/>
      <c r="E849" s="52"/>
      <c r="F849" s="52"/>
      <c r="G849" s="52"/>
      <c r="H849" s="52"/>
      <c r="I849" s="52"/>
      <c r="J849" s="53" t="str">
        <f>IFERROR(__xludf.DUMMYFUNCTION("""COMPUTED_VALUE"""),"")</f>
        <v/>
      </c>
      <c r="K849" s="52"/>
      <c r="L849" s="52"/>
      <c r="M849" s="52"/>
      <c r="N849" s="52"/>
      <c r="O849" s="52"/>
      <c r="P849" s="52"/>
      <c r="Q849" s="52"/>
      <c r="R849" s="52"/>
      <c r="S849" s="52"/>
      <c r="T849" s="52"/>
      <c r="U849" s="52"/>
      <c r="V849" s="52"/>
      <c r="W849" s="52"/>
      <c r="X849" s="52"/>
      <c r="Y849" s="52"/>
      <c r="Z849" s="52"/>
    </row>
    <row r="850">
      <c r="A850" s="52"/>
      <c r="B850" s="52"/>
      <c r="C850" s="52"/>
      <c r="D850" s="52"/>
      <c r="E850" s="52"/>
      <c r="F850" s="52"/>
      <c r="G850" s="52"/>
      <c r="H850" s="52"/>
      <c r="I850" s="52"/>
      <c r="J850" s="53" t="str">
        <f>IFERROR(__xludf.DUMMYFUNCTION("""COMPUTED_VALUE"""),"")</f>
        <v/>
      </c>
      <c r="K850" s="52"/>
      <c r="L850" s="52"/>
      <c r="M850" s="52"/>
      <c r="N850" s="52"/>
      <c r="O850" s="52"/>
      <c r="P850" s="52"/>
      <c r="Q850" s="52"/>
      <c r="R850" s="52"/>
      <c r="S850" s="52"/>
      <c r="T850" s="52"/>
      <c r="U850" s="52"/>
      <c r="V850" s="52"/>
      <c r="W850" s="52"/>
      <c r="X850" s="52"/>
      <c r="Y850" s="52"/>
      <c r="Z850" s="52"/>
    </row>
    <row r="851">
      <c r="A851" s="52"/>
      <c r="B851" s="52"/>
      <c r="C851" s="52"/>
      <c r="D851" s="52"/>
      <c r="E851" s="52"/>
      <c r="F851" s="52"/>
      <c r="G851" s="52"/>
      <c r="H851" s="52"/>
      <c r="I851" s="52"/>
      <c r="J851" s="53" t="str">
        <f>IFERROR(__xludf.DUMMYFUNCTION("""COMPUTED_VALUE"""),"")</f>
        <v/>
      </c>
      <c r="K851" s="52"/>
      <c r="L851" s="52"/>
      <c r="M851" s="52"/>
      <c r="N851" s="52"/>
      <c r="O851" s="52"/>
      <c r="P851" s="52"/>
      <c r="Q851" s="52"/>
      <c r="R851" s="52"/>
      <c r="S851" s="52"/>
      <c r="T851" s="52"/>
      <c r="U851" s="52"/>
      <c r="V851" s="52"/>
      <c r="W851" s="52"/>
      <c r="X851" s="52"/>
      <c r="Y851" s="52"/>
      <c r="Z851" s="52"/>
    </row>
    <row r="852">
      <c r="A852" s="52"/>
      <c r="B852" s="52"/>
      <c r="C852" s="52"/>
      <c r="D852" s="52"/>
      <c r="E852" s="52"/>
      <c r="F852" s="52"/>
      <c r="G852" s="52"/>
      <c r="H852" s="52"/>
      <c r="I852" s="52"/>
      <c r="J852" s="53" t="str">
        <f>IFERROR(__xludf.DUMMYFUNCTION("""COMPUTED_VALUE"""),"")</f>
        <v/>
      </c>
      <c r="K852" s="52"/>
      <c r="L852" s="52"/>
      <c r="M852" s="52"/>
      <c r="N852" s="52"/>
      <c r="O852" s="52"/>
      <c r="P852" s="52"/>
      <c r="Q852" s="52"/>
      <c r="R852" s="52"/>
      <c r="S852" s="52"/>
      <c r="T852" s="52"/>
      <c r="U852" s="52"/>
      <c r="V852" s="52"/>
      <c r="W852" s="52"/>
      <c r="X852" s="52"/>
      <c r="Y852" s="52"/>
      <c r="Z852" s="52"/>
    </row>
    <row r="853">
      <c r="A853" s="52"/>
      <c r="B853" s="52"/>
      <c r="C853" s="52"/>
      <c r="D853" s="52"/>
      <c r="E853" s="52"/>
      <c r="F853" s="52"/>
      <c r="G853" s="52"/>
      <c r="H853" s="52"/>
      <c r="I853" s="52"/>
      <c r="J853" s="53" t="str">
        <f>IFERROR(__xludf.DUMMYFUNCTION("""COMPUTED_VALUE"""),"")</f>
        <v/>
      </c>
      <c r="K853" s="52"/>
      <c r="L853" s="52"/>
      <c r="M853" s="52"/>
      <c r="N853" s="52"/>
      <c r="O853" s="52"/>
      <c r="P853" s="52"/>
      <c r="Q853" s="52"/>
      <c r="R853" s="52"/>
      <c r="S853" s="52"/>
      <c r="T853" s="52"/>
      <c r="U853" s="52"/>
      <c r="V853" s="52"/>
      <c r="W853" s="52"/>
      <c r="X853" s="52"/>
      <c r="Y853" s="52"/>
      <c r="Z853" s="52"/>
    </row>
    <row r="854">
      <c r="A854" s="52"/>
      <c r="B854" s="52"/>
      <c r="C854" s="52"/>
      <c r="D854" s="52"/>
      <c r="E854" s="52"/>
      <c r="F854" s="52"/>
      <c r="G854" s="52"/>
      <c r="H854" s="52"/>
      <c r="I854" s="52"/>
      <c r="J854" s="53" t="str">
        <f>IFERROR(__xludf.DUMMYFUNCTION("""COMPUTED_VALUE"""),"")</f>
        <v/>
      </c>
      <c r="K854" s="52"/>
      <c r="L854" s="52"/>
      <c r="M854" s="52"/>
      <c r="N854" s="52"/>
      <c r="O854" s="52"/>
      <c r="P854" s="52"/>
      <c r="Q854" s="52"/>
      <c r="R854" s="52"/>
      <c r="S854" s="52"/>
      <c r="T854" s="52"/>
      <c r="U854" s="52"/>
      <c r="V854" s="52"/>
      <c r="W854" s="52"/>
      <c r="X854" s="52"/>
      <c r="Y854" s="52"/>
      <c r="Z854" s="52"/>
    </row>
    <row r="855">
      <c r="A855" s="52"/>
      <c r="B855" s="52"/>
      <c r="C855" s="52"/>
      <c r="D855" s="52"/>
      <c r="E855" s="52"/>
      <c r="F855" s="52"/>
      <c r="G855" s="52"/>
      <c r="H855" s="52"/>
      <c r="I855" s="52"/>
      <c r="J855" s="53" t="str">
        <f>IFERROR(__xludf.DUMMYFUNCTION("""COMPUTED_VALUE"""),"")</f>
        <v/>
      </c>
      <c r="K855" s="52"/>
      <c r="L855" s="52"/>
      <c r="M855" s="52"/>
      <c r="N855" s="52"/>
      <c r="O855" s="52"/>
      <c r="P855" s="52"/>
      <c r="Q855" s="52"/>
      <c r="R855" s="52"/>
      <c r="S855" s="52"/>
      <c r="T855" s="52"/>
      <c r="U855" s="52"/>
      <c r="V855" s="52"/>
      <c r="W855" s="52"/>
      <c r="X855" s="52"/>
      <c r="Y855" s="52"/>
      <c r="Z855" s="52"/>
    </row>
    <row r="856">
      <c r="A856" s="52"/>
      <c r="B856" s="52"/>
      <c r="C856" s="52"/>
      <c r="D856" s="52"/>
      <c r="E856" s="52"/>
      <c r="F856" s="52"/>
      <c r="G856" s="52"/>
      <c r="H856" s="52"/>
      <c r="I856" s="52"/>
      <c r="J856" s="53" t="str">
        <f>IFERROR(__xludf.DUMMYFUNCTION("""COMPUTED_VALUE"""),"")</f>
        <v/>
      </c>
      <c r="K856" s="52"/>
      <c r="L856" s="52"/>
      <c r="M856" s="52"/>
      <c r="N856" s="52"/>
      <c r="O856" s="52"/>
      <c r="P856" s="52"/>
      <c r="Q856" s="52"/>
      <c r="R856" s="52"/>
      <c r="S856" s="52"/>
      <c r="T856" s="52"/>
      <c r="U856" s="52"/>
      <c r="V856" s="52"/>
      <c r="W856" s="52"/>
      <c r="X856" s="52"/>
      <c r="Y856" s="52"/>
      <c r="Z856" s="52"/>
    </row>
    <row r="857">
      <c r="A857" s="52"/>
      <c r="B857" s="52"/>
      <c r="C857" s="52"/>
      <c r="D857" s="52"/>
      <c r="E857" s="52"/>
      <c r="F857" s="52"/>
      <c r="G857" s="52"/>
      <c r="H857" s="52"/>
      <c r="I857" s="52"/>
      <c r="J857" s="53" t="str">
        <f>IFERROR(__xludf.DUMMYFUNCTION("""COMPUTED_VALUE"""),"")</f>
        <v/>
      </c>
      <c r="K857" s="52"/>
      <c r="L857" s="52"/>
      <c r="M857" s="52"/>
      <c r="N857" s="52"/>
      <c r="O857" s="52"/>
      <c r="P857" s="52"/>
      <c r="Q857" s="52"/>
      <c r="R857" s="52"/>
      <c r="S857" s="52"/>
      <c r="T857" s="52"/>
      <c r="U857" s="52"/>
      <c r="V857" s="52"/>
      <c r="W857" s="52"/>
      <c r="X857" s="52"/>
      <c r="Y857" s="52"/>
      <c r="Z857" s="52"/>
    </row>
    <row r="858">
      <c r="A858" s="52"/>
      <c r="B858" s="52"/>
      <c r="C858" s="52"/>
      <c r="D858" s="52"/>
      <c r="E858" s="52"/>
      <c r="F858" s="52"/>
      <c r="G858" s="52"/>
      <c r="H858" s="52"/>
      <c r="I858" s="52"/>
      <c r="J858" s="53" t="str">
        <f>IFERROR(__xludf.DUMMYFUNCTION("""COMPUTED_VALUE"""),"")</f>
        <v/>
      </c>
      <c r="K858" s="52"/>
      <c r="L858" s="52"/>
      <c r="M858" s="52"/>
      <c r="N858" s="52"/>
      <c r="O858" s="52"/>
      <c r="P858" s="52"/>
      <c r="Q858" s="52"/>
      <c r="R858" s="52"/>
      <c r="S858" s="52"/>
      <c r="T858" s="52"/>
      <c r="U858" s="52"/>
      <c r="V858" s="52"/>
      <c r="W858" s="52"/>
      <c r="X858" s="52"/>
      <c r="Y858" s="52"/>
      <c r="Z858" s="52"/>
    </row>
    <row r="859">
      <c r="A859" s="52"/>
      <c r="B859" s="52"/>
      <c r="C859" s="52"/>
      <c r="D859" s="52"/>
      <c r="E859" s="52"/>
      <c r="F859" s="52"/>
      <c r="G859" s="52"/>
      <c r="H859" s="52"/>
      <c r="I859" s="52"/>
      <c r="J859" s="53" t="str">
        <f>IFERROR(__xludf.DUMMYFUNCTION("""COMPUTED_VALUE"""),"")</f>
        <v/>
      </c>
      <c r="K859" s="52"/>
      <c r="L859" s="52"/>
      <c r="M859" s="52"/>
      <c r="N859" s="52"/>
      <c r="O859" s="52"/>
      <c r="P859" s="52"/>
      <c r="Q859" s="52"/>
      <c r="R859" s="52"/>
      <c r="S859" s="52"/>
      <c r="T859" s="52"/>
      <c r="U859" s="52"/>
      <c r="V859" s="52"/>
      <c r="W859" s="52"/>
      <c r="X859" s="52"/>
      <c r="Y859" s="52"/>
      <c r="Z859" s="52"/>
    </row>
    <row r="860">
      <c r="A860" s="52"/>
      <c r="B860" s="52"/>
      <c r="C860" s="52"/>
      <c r="D860" s="52"/>
      <c r="E860" s="52"/>
      <c r="F860" s="52"/>
      <c r="G860" s="52"/>
      <c r="H860" s="52"/>
      <c r="I860" s="52"/>
      <c r="J860" s="53" t="str">
        <f>IFERROR(__xludf.DUMMYFUNCTION("""COMPUTED_VALUE"""),"")</f>
        <v/>
      </c>
      <c r="K860" s="52"/>
      <c r="L860" s="52"/>
      <c r="M860" s="52"/>
      <c r="N860" s="52"/>
      <c r="O860" s="52"/>
      <c r="P860" s="52"/>
      <c r="Q860" s="52"/>
      <c r="R860" s="52"/>
      <c r="S860" s="52"/>
      <c r="T860" s="52"/>
      <c r="U860" s="52"/>
      <c r="V860" s="52"/>
      <c r="W860" s="52"/>
      <c r="X860" s="52"/>
      <c r="Y860" s="52"/>
      <c r="Z860" s="52"/>
    </row>
    <row r="861">
      <c r="A861" s="52"/>
      <c r="B861" s="52"/>
      <c r="C861" s="52"/>
      <c r="D861" s="52"/>
      <c r="E861" s="52"/>
      <c r="F861" s="52"/>
      <c r="G861" s="52"/>
      <c r="H861" s="52"/>
      <c r="I861" s="52"/>
      <c r="J861" s="53" t="str">
        <f>IFERROR(__xludf.DUMMYFUNCTION("""COMPUTED_VALUE"""),"")</f>
        <v/>
      </c>
      <c r="K861" s="52"/>
      <c r="L861" s="52"/>
      <c r="M861" s="52"/>
      <c r="N861" s="52"/>
      <c r="O861" s="52"/>
      <c r="P861" s="52"/>
      <c r="Q861" s="52"/>
      <c r="R861" s="52"/>
      <c r="S861" s="52"/>
      <c r="T861" s="52"/>
      <c r="U861" s="52"/>
      <c r="V861" s="52"/>
      <c r="W861" s="52"/>
      <c r="X861" s="52"/>
      <c r="Y861" s="52"/>
      <c r="Z861" s="52"/>
    </row>
    <row r="862">
      <c r="A862" s="52"/>
      <c r="B862" s="52"/>
      <c r="C862" s="52"/>
      <c r="D862" s="52"/>
      <c r="E862" s="52"/>
      <c r="F862" s="52"/>
      <c r="G862" s="52"/>
      <c r="H862" s="52"/>
      <c r="I862" s="52"/>
      <c r="J862" s="53" t="str">
        <f>IFERROR(__xludf.DUMMYFUNCTION("""COMPUTED_VALUE"""),"")</f>
        <v/>
      </c>
      <c r="K862" s="52"/>
      <c r="L862" s="52"/>
      <c r="M862" s="52"/>
      <c r="N862" s="52"/>
      <c r="O862" s="52"/>
      <c r="P862" s="52"/>
      <c r="Q862" s="52"/>
      <c r="R862" s="52"/>
      <c r="S862" s="52"/>
      <c r="T862" s="52"/>
      <c r="U862" s="52"/>
      <c r="V862" s="52"/>
      <c r="W862" s="52"/>
      <c r="X862" s="52"/>
      <c r="Y862" s="52"/>
      <c r="Z862" s="52"/>
    </row>
    <row r="863">
      <c r="A863" s="52"/>
      <c r="B863" s="52"/>
      <c r="C863" s="52"/>
      <c r="D863" s="52"/>
      <c r="E863" s="52"/>
      <c r="F863" s="52"/>
      <c r="G863" s="52"/>
      <c r="H863" s="52"/>
      <c r="I863" s="52"/>
      <c r="J863" s="53" t="str">
        <f>IFERROR(__xludf.DUMMYFUNCTION("""COMPUTED_VALUE"""),"")</f>
        <v/>
      </c>
      <c r="K863" s="52"/>
      <c r="L863" s="52"/>
      <c r="M863" s="52"/>
      <c r="N863" s="52"/>
      <c r="O863" s="52"/>
      <c r="P863" s="52"/>
      <c r="Q863" s="52"/>
      <c r="R863" s="52"/>
      <c r="S863" s="52"/>
      <c r="T863" s="52"/>
      <c r="U863" s="52"/>
      <c r="V863" s="52"/>
      <c r="W863" s="52"/>
      <c r="X863" s="52"/>
      <c r="Y863" s="52"/>
      <c r="Z863" s="52"/>
    </row>
    <row r="864">
      <c r="A864" s="52"/>
      <c r="B864" s="52"/>
      <c r="C864" s="52"/>
      <c r="D864" s="52"/>
      <c r="E864" s="52"/>
      <c r="F864" s="52"/>
      <c r="G864" s="52"/>
      <c r="H864" s="52"/>
      <c r="I864" s="52"/>
      <c r="J864" s="53" t="str">
        <f>IFERROR(__xludf.DUMMYFUNCTION("""COMPUTED_VALUE"""),"")</f>
        <v/>
      </c>
      <c r="K864" s="52"/>
      <c r="L864" s="52"/>
      <c r="M864" s="52"/>
      <c r="N864" s="52"/>
      <c r="O864" s="52"/>
      <c r="P864" s="52"/>
      <c r="Q864" s="52"/>
      <c r="R864" s="52"/>
      <c r="S864" s="52"/>
      <c r="T864" s="52"/>
      <c r="U864" s="52"/>
      <c r="V864" s="52"/>
      <c r="W864" s="52"/>
      <c r="X864" s="52"/>
      <c r="Y864" s="52"/>
      <c r="Z864" s="52"/>
    </row>
    <row r="865">
      <c r="A865" s="52"/>
      <c r="B865" s="52"/>
      <c r="C865" s="52"/>
      <c r="D865" s="52"/>
      <c r="E865" s="52"/>
      <c r="F865" s="52"/>
      <c r="G865" s="52"/>
      <c r="H865" s="52"/>
      <c r="I865" s="52"/>
      <c r="J865" s="53" t="str">
        <f>IFERROR(__xludf.DUMMYFUNCTION("""COMPUTED_VALUE"""),"")</f>
        <v/>
      </c>
      <c r="K865" s="52"/>
      <c r="L865" s="52"/>
      <c r="M865" s="52"/>
      <c r="N865" s="52"/>
      <c r="O865" s="52"/>
      <c r="P865" s="52"/>
      <c r="Q865" s="52"/>
      <c r="R865" s="52"/>
      <c r="S865" s="52"/>
      <c r="T865" s="52"/>
      <c r="U865" s="52"/>
      <c r="V865" s="52"/>
      <c r="W865" s="52"/>
      <c r="X865" s="52"/>
      <c r="Y865" s="52"/>
      <c r="Z865" s="52"/>
    </row>
    <row r="866">
      <c r="A866" s="52"/>
      <c r="B866" s="52"/>
      <c r="C866" s="52"/>
      <c r="D866" s="52"/>
      <c r="E866" s="52"/>
      <c r="F866" s="52"/>
      <c r="G866" s="52"/>
      <c r="H866" s="52"/>
      <c r="I866" s="52"/>
      <c r="J866" s="53" t="str">
        <f>IFERROR(__xludf.DUMMYFUNCTION("""COMPUTED_VALUE"""),"")</f>
        <v/>
      </c>
      <c r="K866" s="52"/>
      <c r="L866" s="52"/>
      <c r="M866" s="52"/>
      <c r="N866" s="52"/>
      <c r="O866" s="52"/>
      <c r="P866" s="52"/>
      <c r="Q866" s="52"/>
      <c r="R866" s="52"/>
      <c r="S866" s="52"/>
      <c r="T866" s="52"/>
      <c r="U866" s="52"/>
      <c r="V866" s="52"/>
      <c r="W866" s="52"/>
      <c r="X866" s="52"/>
      <c r="Y866" s="52"/>
      <c r="Z866" s="52"/>
    </row>
    <row r="867">
      <c r="A867" s="52"/>
      <c r="B867" s="52"/>
      <c r="C867" s="52"/>
      <c r="D867" s="52"/>
      <c r="E867" s="52"/>
      <c r="F867" s="52"/>
      <c r="G867" s="52"/>
      <c r="H867" s="52"/>
      <c r="I867" s="52"/>
      <c r="J867" s="53" t="str">
        <f>IFERROR(__xludf.DUMMYFUNCTION("""COMPUTED_VALUE"""),"")</f>
        <v/>
      </c>
      <c r="K867" s="52"/>
      <c r="L867" s="52"/>
      <c r="M867" s="52"/>
      <c r="N867" s="52"/>
      <c r="O867" s="52"/>
      <c r="P867" s="52"/>
      <c r="Q867" s="52"/>
      <c r="R867" s="52"/>
      <c r="S867" s="52"/>
      <c r="T867" s="52"/>
      <c r="U867" s="52"/>
      <c r="V867" s="52"/>
      <c r="W867" s="52"/>
      <c r="X867" s="52"/>
      <c r="Y867" s="52"/>
      <c r="Z867" s="52"/>
    </row>
    <row r="868">
      <c r="A868" s="52"/>
      <c r="B868" s="52"/>
      <c r="C868" s="52"/>
      <c r="D868" s="52"/>
      <c r="E868" s="52"/>
      <c r="F868" s="52"/>
      <c r="G868" s="52"/>
      <c r="H868" s="52"/>
      <c r="I868" s="52"/>
      <c r="J868" s="53" t="str">
        <f>IFERROR(__xludf.DUMMYFUNCTION("""COMPUTED_VALUE"""),"")</f>
        <v/>
      </c>
      <c r="K868" s="52"/>
      <c r="L868" s="52"/>
      <c r="M868" s="52"/>
      <c r="N868" s="52"/>
      <c r="O868" s="52"/>
      <c r="P868" s="52"/>
      <c r="Q868" s="52"/>
      <c r="R868" s="52"/>
      <c r="S868" s="52"/>
      <c r="T868" s="52"/>
      <c r="U868" s="52"/>
      <c r="V868" s="52"/>
      <c r="W868" s="52"/>
      <c r="X868" s="52"/>
      <c r="Y868" s="52"/>
      <c r="Z868" s="52"/>
    </row>
    <row r="869">
      <c r="A869" s="52"/>
      <c r="B869" s="52"/>
      <c r="C869" s="52"/>
      <c r="D869" s="52"/>
      <c r="E869" s="52"/>
      <c r="F869" s="52"/>
      <c r="G869" s="52"/>
      <c r="H869" s="52"/>
      <c r="I869" s="52"/>
      <c r="J869" s="53" t="str">
        <f>IFERROR(__xludf.DUMMYFUNCTION("""COMPUTED_VALUE"""),"")</f>
        <v/>
      </c>
      <c r="K869" s="52"/>
      <c r="L869" s="52"/>
      <c r="M869" s="52"/>
      <c r="N869" s="52"/>
      <c r="O869" s="52"/>
      <c r="P869" s="52"/>
      <c r="Q869" s="52"/>
      <c r="R869" s="52"/>
      <c r="S869" s="52"/>
      <c r="T869" s="52"/>
      <c r="U869" s="52"/>
      <c r="V869" s="52"/>
      <c r="W869" s="52"/>
      <c r="X869" s="52"/>
      <c r="Y869" s="52"/>
      <c r="Z869" s="52"/>
    </row>
    <row r="870">
      <c r="A870" s="52"/>
      <c r="B870" s="52"/>
      <c r="C870" s="52"/>
      <c r="D870" s="52"/>
      <c r="E870" s="52"/>
      <c r="F870" s="52"/>
      <c r="G870" s="52"/>
      <c r="H870" s="52"/>
      <c r="I870" s="52"/>
      <c r="J870" s="53" t="str">
        <f>IFERROR(__xludf.DUMMYFUNCTION("""COMPUTED_VALUE"""),"")</f>
        <v/>
      </c>
      <c r="K870" s="52"/>
      <c r="L870" s="52"/>
      <c r="M870" s="52"/>
      <c r="N870" s="52"/>
      <c r="O870" s="52"/>
      <c r="P870" s="52"/>
      <c r="Q870" s="52"/>
      <c r="R870" s="52"/>
      <c r="S870" s="52"/>
      <c r="T870" s="52"/>
      <c r="U870" s="52"/>
      <c r="V870" s="52"/>
      <c r="W870" s="52"/>
      <c r="X870" s="52"/>
      <c r="Y870" s="52"/>
      <c r="Z870" s="52"/>
    </row>
    <row r="871">
      <c r="A871" s="52"/>
      <c r="B871" s="52"/>
      <c r="C871" s="52"/>
      <c r="D871" s="52"/>
      <c r="E871" s="52"/>
      <c r="F871" s="52"/>
      <c r="G871" s="52"/>
      <c r="H871" s="52"/>
      <c r="I871" s="52"/>
      <c r="J871" s="53" t="str">
        <f>IFERROR(__xludf.DUMMYFUNCTION("""COMPUTED_VALUE"""),"")</f>
        <v/>
      </c>
      <c r="K871" s="52"/>
      <c r="L871" s="52"/>
      <c r="M871" s="52"/>
      <c r="N871" s="52"/>
      <c r="O871" s="52"/>
      <c r="P871" s="52"/>
      <c r="Q871" s="52"/>
      <c r="R871" s="52"/>
      <c r="S871" s="52"/>
      <c r="T871" s="52"/>
      <c r="U871" s="52"/>
      <c r="V871" s="52"/>
      <c r="W871" s="52"/>
      <c r="X871" s="52"/>
      <c r="Y871" s="52"/>
      <c r="Z871" s="52"/>
    </row>
    <row r="872">
      <c r="A872" s="52"/>
      <c r="B872" s="52"/>
      <c r="C872" s="52"/>
      <c r="D872" s="52"/>
      <c r="E872" s="52"/>
      <c r="F872" s="52"/>
      <c r="G872" s="52"/>
      <c r="H872" s="52"/>
      <c r="I872" s="52"/>
      <c r="J872" s="53" t="str">
        <f>IFERROR(__xludf.DUMMYFUNCTION("""COMPUTED_VALUE"""),"")</f>
        <v/>
      </c>
      <c r="K872" s="52"/>
      <c r="L872" s="52"/>
      <c r="M872" s="52"/>
      <c r="N872" s="52"/>
      <c r="O872" s="52"/>
      <c r="P872" s="52"/>
      <c r="Q872" s="52"/>
      <c r="R872" s="52"/>
      <c r="S872" s="52"/>
      <c r="T872" s="52"/>
      <c r="U872" s="52"/>
      <c r="V872" s="52"/>
      <c r="W872" s="52"/>
      <c r="X872" s="52"/>
      <c r="Y872" s="52"/>
      <c r="Z872" s="52"/>
    </row>
    <row r="873">
      <c r="A873" s="52"/>
      <c r="B873" s="52"/>
      <c r="C873" s="52"/>
      <c r="D873" s="52"/>
      <c r="E873" s="52"/>
      <c r="F873" s="52"/>
      <c r="G873" s="52"/>
      <c r="H873" s="52"/>
      <c r="I873" s="52"/>
      <c r="J873" s="53" t="str">
        <f>IFERROR(__xludf.DUMMYFUNCTION("""COMPUTED_VALUE"""),"")</f>
        <v/>
      </c>
      <c r="K873" s="52"/>
      <c r="L873" s="52"/>
      <c r="M873" s="52"/>
      <c r="N873" s="52"/>
      <c r="O873" s="52"/>
      <c r="P873" s="52"/>
      <c r="Q873" s="52"/>
      <c r="R873" s="52"/>
      <c r="S873" s="52"/>
      <c r="T873" s="52"/>
      <c r="U873" s="52"/>
      <c r="V873" s="52"/>
      <c r="W873" s="52"/>
      <c r="X873" s="52"/>
      <c r="Y873" s="52"/>
      <c r="Z873" s="52"/>
    </row>
    <row r="874">
      <c r="A874" s="52"/>
      <c r="B874" s="52"/>
      <c r="C874" s="52"/>
      <c r="D874" s="52"/>
      <c r="E874" s="52"/>
      <c r="F874" s="52"/>
      <c r="G874" s="52"/>
      <c r="H874" s="52"/>
      <c r="I874" s="52"/>
      <c r="J874" s="53" t="str">
        <f>IFERROR(__xludf.DUMMYFUNCTION("""COMPUTED_VALUE"""),"")</f>
        <v/>
      </c>
      <c r="K874" s="52"/>
      <c r="L874" s="52"/>
      <c r="M874" s="52"/>
      <c r="N874" s="52"/>
      <c r="O874" s="52"/>
      <c r="P874" s="52"/>
      <c r="Q874" s="52"/>
      <c r="R874" s="52"/>
      <c r="S874" s="52"/>
      <c r="T874" s="52"/>
      <c r="U874" s="52"/>
      <c r="V874" s="52"/>
      <c r="W874" s="52"/>
      <c r="X874" s="52"/>
      <c r="Y874" s="52"/>
      <c r="Z874" s="52"/>
    </row>
    <row r="875">
      <c r="A875" s="52"/>
      <c r="B875" s="52"/>
      <c r="C875" s="52"/>
      <c r="D875" s="52"/>
      <c r="E875" s="52"/>
      <c r="F875" s="52"/>
      <c r="G875" s="52"/>
      <c r="H875" s="52"/>
      <c r="I875" s="52"/>
      <c r="J875" s="53" t="str">
        <f>IFERROR(__xludf.DUMMYFUNCTION("""COMPUTED_VALUE"""),"")</f>
        <v/>
      </c>
      <c r="K875" s="52"/>
      <c r="L875" s="52"/>
      <c r="M875" s="52"/>
      <c r="N875" s="52"/>
      <c r="O875" s="52"/>
      <c r="P875" s="52"/>
      <c r="Q875" s="52"/>
      <c r="R875" s="52"/>
      <c r="S875" s="52"/>
      <c r="T875" s="52"/>
      <c r="U875" s="52"/>
      <c r="V875" s="52"/>
      <c r="W875" s="52"/>
      <c r="X875" s="52"/>
      <c r="Y875" s="52"/>
      <c r="Z875" s="52"/>
    </row>
    <row r="876">
      <c r="A876" s="52"/>
      <c r="B876" s="52"/>
      <c r="C876" s="52"/>
      <c r="D876" s="52"/>
      <c r="E876" s="52"/>
      <c r="F876" s="52"/>
      <c r="G876" s="52"/>
      <c r="H876" s="52"/>
      <c r="I876" s="52"/>
      <c r="J876" s="53" t="str">
        <f>IFERROR(__xludf.DUMMYFUNCTION("""COMPUTED_VALUE"""),"")</f>
        <v/>
      </c>
      <c r="K876" s="52"/>
      <c r="L876" s="52"/>
      <c r="M876" s="52"/>
      <c r="N876" s="52"/>
      <c r="O876" s="52"/>
      <c r="P876" s="52"/>
      <c r="Q876" s="52"/>
      <c r="R876" s="52"/>
      <c r="S876" s="52"/>
      <c r="T876" s="52"/>
      <c r="U876" s="52"/>
      <c r="V876" s="52"/>
      <c r="W876" s="52"/>
      <c r="X876" s="52"/>
      <c r="Y876" s="52"/>
      <c r="Z876" s="52"/>
    </row>
    <row r="877">
      <c r="A877" s="52"/>
      <c r="B877" s="52"/>
      <c r="C877" s="52"/>
      <c r="D877" s="52"/>
      <c r="E877" s="52"/>
      <c r="F877" s="52"/>
      <c r="G877" s="52"/>
      <c r="H877" s="52"/>
      <c r="I877" s="52"/>
      <c r="J877" s="53" t="str">
        <f>IFERROR(__xludf.DUMMYFUNCTION("""COMPUTED_VALUE"""),"")</f>
        <v/>
      </c>
      <c r="K877" s="52"/>
      <c r="L877" s="52"/>
      <c r="M877" s="52"/>
      <c r="N877" s="52"/>
      <c r="O877" s="52"/>
      <c r="P877" s="52"/>
      <c r="Q877" s="52"/>
      <c r="R877" s="52"/>
      <c r="S877" s="52"/>
      <c r="T877" s="52"/>
      <c r="U877" s="52"/>
      <c r="V877" s="52"/>
      <c r="W877" s="52"/>
      <c r="X877" s="52"/>
      <c r="Y877" s="52"/>
      <c r="Z877" s="52"/>
    </row>
    <row r="878">
      <c r="A878" s="52"/>
      <c r="B878" s="52"/>
      <c r="C878" s="52"/>
      <c r="D878" s="52"/>
      <c r="E878" s="52"/>
      <c r="F878" s="52"/>
      <c r="G878" s="52"/>
      <c r="H878" s="52"/>
      <c r="I878" s="52"/>
      <c r="J878" s="53" t="str">
        <f>IFERROR(__xludf.DUMMYFUNCTION("""COMPUTED_VALUE"""),"")</f>
        <v/>
      </c>
      <c r="K878" s="52"/>
      <c r="L878" s="52"/>
      <c r="M878" s="52"/>
      <c r="N878" s="52"/>
      <c r="O878" s="52"/>
      <c r="P878" s="52"/>
      <c r="Q878" s="52"/>
      <c r="R878" s="52"/>
      <c r="S878" s="52"/>
      <c r="T878" s="52"/>
      <c r="U878" s="52"/>
      <c r="V878" s="52"/>
      <c r="W878" s="52"/>
      <c r="X878" s="52"/>
      <c r="Y878" s="52"/>
      <c r="Z878" s="52"/>
    </row>
    <row r="879">
      <c r="A879" s="52"/>
      <c r="B879" s="52"/>
      <c r="C879" s="52"/>
      <c r="D879" s="52"/>
      <c r="E879" s="52"/>
      <c r="F879" s="52"/>
      <c r="G879" s="52"/>
      <c r="H879" s="52"/>
      <c r="I879" s="52"/>
      <c r="J879" s="53" t="str">
        <f>IFERROR(__xludf.DUMMYFUNCTION("""COMPUTED_VALUE"""),"")</f>
        <v/>
      </c>
      <c r="K879" s="52"/>
      <c r="L879" s="52"/>
      <c r="M879" s="52"/>
      <c r="N879" s="52"/>
      <c r="O879" s="52"/>
      <c r="P879" s="52"/>
      <c r="Q879" s="52"/>
      <c r="R879" s="52"/>
      <c r="S879" s="52"/>
      <c r="T879" s="52"/>
      <c r="U879" s="52"/>
      <c r="V879" s="52"/>
      <c r="W879" s="52"/>
      <c r="X879" s="52"/>
      <c r="Y879" s="52"/>
      <c r="Z879" s="52"/>
    </row>
    <row r="880">
      <c r="A880" s="52"/>
      <c r="B880" s="52"/>
      <c r="C880" s="52"/>
      <c r="D880" s="52"/>
      <c r="E880" s="52"/>
      <c r="F880" s="52"/>
      <c r="G880" s="52"/>
      <c r="H880" s="52"/>
      <c r="I880" s="52"/>
      <c r="J880" s="53" t="str">
        <f>IFERROR(__xludf.DUMMYFUNCTION("""COMPUTED_VALUE"""),"")</f>
        <v/>
      </c>
      <c r="K880" s="52"/>
      <c r="L880" s="52"/>
      <c r="M880" s="52"/>
      <c r="N880" s="52"/>
      <c r="O880" s="52"/>
      <c r="P880" s="52"/>
      <c r="Q880" s="52"/>
      <c r="R880" s="52"/>
      <c r="S880" s="52"/>
      <c r="T880" s="52"/>
      <c r="U880" s="52"/>
      <c r="V880" s="52"/>
      <c r="W880" s="52"/>
      <c r="X880" s="52"/>
      <c r="Y880" s="52"/>
      <c r="Z880" s="52"/>
    </row>
    <row r="881">
      <c r="A881" s="52"/>
      <c r="B881" s="52"/>
      <c r="C881" s="52"/>
      <c r="D881" s="52"/>
      <c r="E881" s="52"/>
      <c r="F881" s="52"/>
      <c r="G881" s="52"/>
      <c r="H881" s="52"/>
      <c r="I881" s="52"/>
      <c r="J881" s="53" t="str">
        <f>IFERROR(__xludf.DUMMYFUNCTION("""COMPUTED_VALUE"""),"")</f>
        <v/>
      </c>
      <c r="K881" s="52"/>
      <c r="L881" s="52"/>
      <c r="M881" s="52"/>
      <c r="N881" s="52"/>
      <c r="O881" s="52"/>
      <c r="P881" s="52"/>
      <c r="Q881" s="52"/>
      <c r="R881" s="52"/>
      <c r="S881" s="52"/>
      <c r="T881" s="52"/>
      <c r="U881" s="52"/>
      <c r="V881" s="52"/>
      <c r="W881" s="52"/>
      <c r="X881" s="52"/>
      <c r="Y881" s="52"/>
      <c r="Z881" s="52"/>
    </row>
    <row r="882">
      <c r="A882" s="52"/>
      <c r="B882" s="52"/>
      <c r="C882" s="52"/>
      <c r="D882" s="52"/>
      <c r="E882" s="52"/>
      <c r="F882" s="52"/>
      <c r="G882" s="52"/>
      <c r="H882" s="52"/>
      <c r="I882" s="52"/>
      <c r="J882" s="53" t="str">
        <f>IFERROR(__xludf.DUMMYFUNCTION("""COMPUTED_VALUE"""),"")</f>
        <v/>
      </c>
      <c r="K882" s="52"/>
      <c r="L882" s="52"/>
      <c r="M882" s="52"/>
      <c r="N882" s="52"/>
      <c r="O882" s="52"/>
      <c r="P882" s="52"/>
      <c r="Q882" s="52"/>
      <c r="R882" s="52"/>
      <c r="S882" s="52"/>
      <c r="T882" s="52"/>
      <c r="U882" s="52"/>
      <c r="V882" s="52"/>
      <c r="W882" s="52"/>
      <c r="X882" s="52"/>
      <c r="Y882" s="52"/>
      <c r="Z882" s="52"/>
    </row>
    <row r="883">
      <c r="A883" s="52"/>
      <c r="B883" s="52"/>
      <c r="C883" s="52"/>
      <c r="D883" s="52"/>
      <c r="E883" s="52"/>
      <c r="F883" s="52"/>
      <c r="G883" s="52"/>
      <c r="H883" s="52"/>
      <c r="I883" s="52"/>
      <c r="J883" s="53" t="str">
        <f>IFERROR(__xludf.DUMMYFUNCTION("""COMPUTED_VALUE"""),"")</f>
        <v/>
      </c>
      <c r="K883" s="52"/>
      <c r="L883" s="52"/>
      <c r="M883" s="52"/>
      <c r="N883" s="52"/>
      <c r="O883" s="52"/>
      <c r="P883" s="52"/>
      <c r="Q883" s="52"/>
      <c r="R883" s="52"/>
      <c r="S883" s="52"/>
      <c r="T883" s="52"/>
      <c r="U883" s="52"/>
      <c r="V883" s="52"/>
      <c r="W883" s="52"/>
      <c r="X883" s="52"/>
      <c r="Y883" s="52"/>
      <c r="Z883" s="52"/>
    </row>
    <row r="884">
      <c r="A884" s="52"/>
      <c r="B884" s="52"/>
      <c r="C884" s="52"/>
      <c r="D884" s="52"/>
      <c r="E884" s="52"/>
      <c r="F884" s="52"/>
      <c r="G884" s="52"/>
      <c r="H884" s="52"/>
      <c r="I884" s="52"/>
      <c r="J884" s="53" t="str">
        <f>IFERROR(__xludf.DUMMYFUNCTION("""COMPUTED_VALUE"""),"")</f>
        <v/>
      </c>
      <c r="K884" s="52"/>
      <c r="L884" s="52"/>
      <c r="M884" s="52"/>
      <c r="N884" s="52"/>
      <c r="O884" s="52"/>
      <c r="P884" s="52"/>
      <c r="Q884" s="52"/>
      <c r="R884" s="52"/>
      <c r="S884" s="52"/>
      <c r="T884" s="52"/>
      <c r="U884" s="52"/>
      <c r="V884" s="52"/>
      <c r="W884" s="52"/>
      <c r="X884" s="52"/>
      <c r="Y884" s="52"/>
      <c r="Z884" s="52"/>
    </row>
    <row r="885">
      <c r="A885" s="52"/>
      <c r="B885" s="52"/>
      <c r="C885" s="52"/>
      <c r="D885" s="52"/>
      <c r="E885" s="52"/>
      <c r="F885" s="52"/>
      <c r="G885" s="52"/>
      <c r="H885" s="52"/>
      <c r="I885" s="52"/>
      <c r="J885" s="53" t="str">
        <f>IFERROR(__xludf.DUMMYFUNCTION("""COMPUTED_VALUE"""),"")</f>
        <v/>
      </c>
      <c r="K885" s="52"/>
      <c r="L885" s="52"/>
      <c r="M885" s="52"/>
      <c r="N885" s="52"/>
      <c r="O885" s="52"/>
      <c r="P885" s="52"/>
      <c r="Q885" s="52"/>
      <c r="R885" s="52"/>
      <c r="S885" s="52"/>
      <c r="T885" s="52"/>
      <c r="U885" s="52"/>
      <c r="V885" s="52"/>
      <c r="W885" s="52"/>
      <c r="X885" s="52"/>
      <c r="Y885" s="52"/>
      <c r="Z885" s="52"/>
    </row>
    <row r="886">
      <c r="A886" s="52"/>
      <c r="B886" s="52"/>
      <c r="C886" s="52"/>
      <c r="D886" s="52"/>
      <c r="E886" s="52"/>
      <c r="F886" s="52"/>
      <c r="G886" s="52"/>
      <c r="H886" s="52"/>
      <c r="I886" s="52"/>
      <c r="J886" s="53" t="str">
        <f>IFERROR(__xludf.DUMMYFUNCTION("""COMPUTED_VALUE"""),"")</f>
        <v/>
      </c>
      <c r="K886" s="52"/>
      <c r="L886" s="52"/>
      <c r="M886" s="52"/>
      <c r="N886" s="52"/>
      <c r="O886" s="52"/>
      <c r="P886" s="52"/>
      <c r="Q886" s="52"/>
      <c r="R886" s="52"/>
      <c r="S886" s="52"/>
      <c r="T886" s="52"/>
      <c r="U886" s="52"/>
      <c r="V886" s="52"/>
      <c r="W886" s="52"/>
      <c r="X886" s="52"/>
      <c r="Y886" s="52"/>
      <c r="Z886" s="52"/>
    </row>
    <row r="887">
      <c r="A887" s="52"/>
      <c r="B887" s="52"/>
      <c r="C887" s="52"/>
      <c r="D887" s="52"/>
      <c r="E887" s="52"/>
      <c r="F887" s="52"/>
      <c r="G887" s="52"/>
      <c r="H887" s="52"/>
      <c r="I887" s="52"/>
      <c r="J887" s="53" t="str">
        <f>IFERROR(__xludf.DUMMYFUNCTION("""COMPUTED_VALUE"""),"")</f>
        <v/>
      </c>
      <c r="K887" s="52"/>
      <c r="L887" s="52"/>
      <c r="M887" s="52"/>
      <c r="N887" s="52"/>
      <c r="O887" s="52"/>
      <c r="P887" s="52"/>
      <c r="Q887" s="52"/>
      <c r="R887" s="52"/>
      <c r="S887" s="52"/>
      <c r="T887" s="52"/>
      <c r="U887" s="52"/>
      <c r="V887" s="52"/>
      <c r="W887" s="52"/>
      <c r="X887" s="52"/>
      <c r="Y887" s="52"/>
      <c r="Z887" s="52"/>
    </row>
    <row r="888">
      <c r="A888" s="52"/>
      <c r="B888" s="52"/>
      <c r="C888" s="52"/>
      <c r="D888" s="52"/>
      <c r="E888" s="52"/>
      <c r="F888" s="52"/>
      <c r="G888" s="52"/>
      <c r="H888" s="52"/>
      <c r="I888" s="52"/>
      <c r="J888" s="53" t="str">
        <f>IFERROR(__xludf.DUMMYFUNCTION("""COMPUTED_VALUE"""),"")</f>
        <v/>
      </c>
      <c r="K888" s="52"/>
      <c r="L888" s="52"/>
      <c r="M888" s="52"/>
      <c r="N888" s="52"/>
      <c r="O888" s="52"/>
      <c r="P888" s="52"/>
      <c r="Q888" s="52"/>
      <c r="R888" s="52"/>
      <c r="S888" s="52"/>
      <c r="T888" s="52"/>
      <c r="U888" s="52"/>
      <c r="V888" s="52"/>
      <c r="W888" s="52"/>
      <c r="X888" s="52"/>
      <c r="Y888" s="52"/>
      <c r="Z888" s="52"/>
    </row>
    <row r="889">
      <c r="A889" s="52"/>
      <c r="B889" s="52"/>
      <c r="C889" s="52"/>
      <c r="D889" s="52"/>
      <c r="E889" s="52"/>
      <c r="F889" s="52"/>
      <c r="G889" s="52"/>
      <c r="H889" s="52"/>
      <c r="I889" s="52"/>
      <c r="J889" s="53" t="str">
        <f>IFERROR(__xludf.DUMMYFUNCTION("""COMPUTED_VALUE"""),"")</f>
        <v/>
      </c>
      <c r="K889" s="52"/>
      <c r="L889" s="52"/>
      <c r="M889" s="52"/>
      <c r="N889" s="52"/>
      <c r="O889" s="52"/>
      <c r="P889" s="52"/>
      <c r="Q889" s="52"/>
      <c r="R889" s="52"/>
      <c r="S889" s="52"/>
      <c r="T889" s="52"/>
      <c r="U889" s="52"/>
      <c r="V889" s="52"/>
      <c r="W889" s="52"/>
      <c r="X889" s="52"/>
      <c r="Y889" s="52"/>
      <c r="Z889" s="52"/>
    </row>
    <row r="890">
      <c r="A890" s="52"/>
      <c r="B890" s="52"/>
      <c r="C890" s="52"/>
      <c r="D890" s="52"/>
      <c r="E890" s="52"/>
      <c r="F890" s="52"/>
      <c r="G890" s="52"/>
      <c r="H890" s="52"/>
      <c r="I890" s="52"/>
      <c r="J890" s="53" t="str">
        <f>IFERROR(__xludf.DUMMYFUNCTION("""COMPUTED_VALUE"""),"")</f>
        <v/>
      </c>
      <c r="K890" s="52"/>
      <c r="L890" s="52"/>
      <c r="M890" s="52"/>
      <c r="N890" s="52"/>
      <c r="O890" s="52"/>
      <c r="P890" s="52"/>
      <c r="Q890" s="52"/>
      <c r="R890" s="52"/>
      <c r="S890" s="52"/>
      <c r="T890" s="52"/>
      <c r="U890" s="52"/>
      <c r="V890" s="52"/>
      <c r="W890" s="52"/>
      <c r="X890" s="52"/>
      <c r="Y890" s="52"/>
      <c r="Z890" s="52"/>
    </row>
    <row r="891">
      <c r="A891" s="52"/>
      <c r="B891" s="52"/>
      <c r="C891" s="52"/>
      <c r="D891" s="52"/>
      <c r="E891" s="52"/>
      <c r="F891" s="52"/>
      <c r="G891" s="52"/>
      <c r="H891" s="52"/>
      <c r="I891" s="52"/>
      <c r="J891" s="53" t="str">
        <f>IFERROR(__xludf.DUMMYFUNCTION("""COMPUTED_VALUE"""),"")</f>
        <v/>
      </c>
      <c r="K891" s="52"/>
      <c r="L891" s="52"/>
      <c r="M891" s="52"/>
      <c r="N891" s="52"/>
      <c r="O891" s="52"/>
      <c r="P891" s="52"/>
      <c r="Q891" s="52"/>
      <c r="R891" s="52"/>
      <c r="S891" s="52"/>
      <c r="T891" s="52"/>
      <c r="U891" s="52"/>
      <c r="V891" s="52"/>
      <c r="W891" s="52"/>
      <c r="X891" s="52"/>
      <c r="Y891" s="52"/>
      <c r="Z891" s="52"/>
    </row>
    <row r="892">
      <c r="A892" s="52"/>
      <c r="B892" s="52"/>
      <c r="C892" s="52"/>
      <c r="D892" s="52"/>
      <c r="E892" s="52"/>
      <c r="F892" s="52"/>
      <c r="G892" s="52"/>
      <c r="H892" s="52"/>
      <c r="I892" s="52"/>
      <c r="J892" s="53" t="str">
        <f>IFERROR(__xludf.DUMMYFUNCTION("""COMPUTED_VALUE"""),"")</f>
        <v/>
      </c>
      <c r="K892" s="52"/>
      <c r="L892" s="52"/>
      <c r="M892" s="52"/>
      <c r="N892" s="52"/>
      <c r="O892" s="52"/>
      <c r="P892" s="52"/>
      <c r="Q892" s="52"/>
      <c r="R892" s="52"/>
      <c r="S892" s="52"/>
      <c r="T892" s="52"/>
      <c r="U892" s="52"/>
      <c r="V892" s="52"/>
      <c r="W892" s="52"/>
      <c r="X892" s="52"/>
      <c r="Y892" s="52"/>
      <c r="Z892" s="52"/>
    </row>
    <row r="893">
      <c r="A893" s="52"/>
      <c r="B893" s="52"/>
      <c r="C893" s="52"/>
      <c r="D893" s="52"/>
      <c r="E893" s="52"/>
      <c r="F893" s="52"/>
      <c r="G893" s="52"/>
      <c r="H893" s="52"/>
      <c r="I893" s="52"/>
      <c r="J893" s="53" t="str">
        <f>IFERROR(__xludf.DUMMYFUNCTION("""COMPUTED_VALUE"""),"")</f>
        <v/>
      </c>
      <c r="K893" s="52"/>
      <c r="L893" s="52"/>
      <c r="M893" s="52"/>
      <c r="N893" s="52"/>
      <c r="O893" s="52"/>
      <c r="P893" s="52"/>
      <c r="Q893" s="52"/>
      <c r="R893" s="52"/>
      <c r="S893" s="52"/>
      <c r="T893" s="52"/>
      <c r="U893" s="52"/>
      <c r="V893" s="52"/>
      <c r="W893" s="52"/>
      <c r="X893" s="52"/>
      <c r="Y893" s="52"/>
      <c r="Z893" s="52"/>
    </row>
    <row r="894">
      <c r="A894" s="52"/>
      <c r="B894" s="52"/>
      <c r="C894" s="52"/>
      <c r="D894" s="52"/>
      <c r="E894" s="52"/>
      <c r="F894" s="52"/>
      <c r="G894" s="52"/>
      <c r="H894" s="52"/>
      <c r="I894" s="52"/>
      <c r="J894" s="53" t="str">
        <f>IFERROR(__xludf.DUMMYFUNCTION("""COMPUTED_VALUE"""),"")</f>
        <v/>
      </c>
      <c r="K894" s="52"/>
      <c r="L894" s="52"/>
      <c r="M894" s="52"/>
      <c r="N894" s="52"/>
      <c r="O894" s="52"/>
      <c r="P894" s="52"/>
      <c r="Q894" s="52"/>
      <c r="R894" s="52"/>
      <c r="S894" s="52"/>
      <c r="T894" s="52"/>
      <c r="U894" s="52"/>
      <c r="V894" s="52"/>
      <c r="W894" s="52"/>
      <c r="X894" s="52"/>
      <c r="Y894" s="52"/>
      <c r="Z894" s="52"/>
    </row>
    <row r="895">
      <c r="A895" s="52"/>
      <c r="B895" s="52"/>
      <c r="C895" s="52"/>
      <c r="D895" s="52"/>
      <c r="E895" s="52"/>
      <c r="F895" s="52"/>
      <c r="G895" s="52"/>
      <c r="H895" s="52"/>
      <c r="I895" s="52"/>
      <c r="J895" s="53" t="str">
        <f>IFERROR(__xludf.DUMMYFUNCTION("""COMPUTED_VALUE"""),"")</f>
        <v/>
      </c>
      <c r="K895" s="52"/>
      <c r="L895" s="52"/>
      <c r="M895" s="52"/>
      <c r="N895" s="52"/>
      <c r="O895" s="52"/>
      <c r="P895" s="52"/>
      <c r="Q895" s="52"/>
      <c r="R895" s="52"/>
      <c r="S895" s="52"/>
      <c r="T895" s="52"/>
      <c r="U895" s="52"/>
      <c r="V895" s="52"/>
      <c r="W895" s="52"/>
      <c r="X895" s="52"/>
      <c r="Y895" s="52"/>
      <c r="Z895" s="52"/>
    </row>
    <row r="896">
      <c r="A896" s="52"/>
      <c r="B896" s="52"/>
      <c r="C896" s="52"/>
      <c r="D896" s="52"/>
      <c r="E896" s="52"/>
      <c r="F896" s="52"/>
      <c r="G896" s="52"/>
      <c r="H896" s="52"/>
      <c r="I896" s="52"/>
      <c r="J896" s="53" t="str">
        <f>IFERROR(__xludf.DUMMYFUNCTION("""COMPUTED_VALUE"""),"")</f>
        <v/>
      </c>
      <c r="K896" s="52"/>
      <c r="L896" s="52"/>
      <c r="M896" s="52"/>
      <c r="N896" s="52"/>
      <c r="O896" s="52"/>
      <c r="P896" s="52"/>
      <c r="Q896" s="52"/>
      <c r="R896" s="52"/>
      <c r="S896" s="52"/>
      <c r="T896" s="52"/>
      <c r="U896" s="52"/>
      <c r="V896" s="52"/>
      <c r="W896" s="52"/>
      <c r="X896" s="52"/>
      <c r="Y896" s="52"/>
      <c r="Z896" s="52"/>
    </row>
    <row r="897">
      <c r="A897" s="52"/>
      <c r="B897" s="52"/>
      <c r="C897" s="52"/>
      <c r="D897" s="52"/>
      <c r="E897" s="52"/>
      <c r="F897" s="52"/>
      <c r="G897" s="52"/>
      <c r="H897" s="52"/>
      <c r="I897" s="52"/>
      <c r="J897" s="53" t="str">
        <f>IFERROR(__xludf.DUMMYFUNCTION("""COMPUTED_VALUE"""),"")</f>
        <v/>
      </c>
      <c r="K897" s="52"/>
      <c r="L897" s="52"/>
      <c r="M897" s="52"/>
      <c r="N897" s="52"/>
      <c r="O897" s="52"/>
      <c r="P897" s="52"/>
      <c r="Q897" s="52"/>
      <c r="R897" s="52"/>
      <c r="S897" s="52"/>
      <c r="T897" s="52"/>
      <c r="U897" s="52"/>
      <c r="V897" s="52"/>
      <c r="W897" s="52"/>
      <c r="X897" s="52"/>
      <c r="Y897" s="52"/>
      <c r="Z897" s="52"/>
    </row>
    <row r="898">
      <c r="A898" s="52"/>
      <c r="B898" s="52"/>
      <c r="C898" s="52"/>
      <c r="D898" s="52"/>
      <c r="E898" s="52"/>
      <c r="F898" s="52"/>
      <c r="G898" s="52"/>
      <c r="H898" s="52"/>
      <c r="I898" s="52"/>
      <c r="J898" s="53" t="str">
        <f>IFERROR(__xludf.DUMMYFUNCTION("""COMPUTED_VALUE"""),"")</f>
        <v/>
      </c>
      <c r="K898" s="52"/>
      <c r="L898" s="52"/>
      <c r="M898" s="52"/>
      <c r="N898" s="52"/>
      <c r="O898" s="52"/>
      <c r="P898" s="52"/>
      <c r="Q898" s="52"/>
      <c r="R898" s="52"/>
      <c r="S898" s="52"/>
      <c r="T898" s="52"/>
      <c r="U898" s="52"/>
      <c r="V898" s="52"/>
      <c r="W898" s="52"/>
      <c r="X898" s="52"/>
      <c r="Y898" s="52"/>
      <c r="Z898" s="52"/>
    </row>
    <row r="899">
      <c r="A899" s="52"/>
      <c r="B899" s="52"/>
      <c r="C899" s="52"/>
      <c r="D899" s="52"/>
      <c r="E899" s="52"/>
      <c r="F899" s="52"/>
      <c r="G899" s="52"/>
      <c r="H899" s="52"/>
      <c r="I899" s="52"/>
      <c r="J899" s="53" t="str">
        <f>IFERROR(__xludf.DUMMYFUNCTION("""COMPUTED_VALUE"""),"")</f>
        <v/>
      </c>
      <c r="K899" s="52"/>
      <c r="L899" s="52"/>
      <c r="M899" s="52"/>
      <c r="N899" s="52"/>
      <c r="O899" s="52"/>
      <c r="P899" s="52"/>
      <c r="Q899" s="52"/>
      <c r="R899" s="52"/>
      <c r="S899" s="52"/>
      <c r="T899" s="52"/>
      <c r="U899" s="52"/>
      <c r="V899" s="52"/>
      <c r="W899" s="52"/>
      <c r="X899" s="52"/>
      <c r="Y899" s="52"/>
      <c r="Z899" s="52"/>
    </row>
    <row r="900">
      <c r="A900" s="52"/>
      <c r="B900" s="52"/>
      <c r="C900" s="52"/>
      <c r="D900" s="52"/>
      <c r="E900" s="52"/>
      <c r="F900" s="52"/>
      <c r="G900" s="52"/>
      <c r="H900" s="52"/>
      <c r="I900" s="52"/>
      <c r="J900" s="53" t="str">
        <f>IFERROR(__xludf.DUMMYFUNCTION("""COMPUTED_VALUE"""),"")</f>
        <v/>
      </c>
      <c r="K900" s="52"/>
      <c r="L900" s="52"/>
      <c r="M900" s="52"/>
      <c r="N900" s="52"/>
      <c r="O900" s="52"/>
      <c r="P900" s="52"/>
      <c r="Q900" s="52"/>
      <c r="R900" s="52"/>
      <c r="S900" s="52"/>
      <c r="T900" s="52"/>
      <c r="U900" s="52"/>
      <c r="V900" s="52"/>
      <c r="W900" s="52"/>
      <c r="X900" s="52"/>
      <c r="Y900" s="52"/>
      <c r="Z900" s="52"/>
    </row>
    <row r="901">
      <c r="A901" s="52"/>
      <c r="B901" s="52"/>
      <c r="C901" s="52"/>
      <c r="D901" s="52"/>
      <c r="E901" s="52"/>
      <c r="F901" s="52"/>
      <c r="G901" s="52"/>
      <c r="H901" s="52"/>
      <c r="I901" s="52"/>
      <c r="J901" s="53" t="str">
        <f>IFERROR(__xludf.DUMMYFUNCTION("""COMPUTED_VALUE"""),"")</f>
        <v/>
      </c>
      <c r="K901" s="52"/>
      <c r="L901" s="52"/>
      <c r="M901" s="52"/>
      <c r="N901" s="52"/>
      <c r="O901" s="52"/>
      <c r="P901" s="52"/>
      <c r="Q901" s="52"/>
      <c r="R901" s="52"/>
      <c r="S901" s="52"/>
      <c r="T901" s="52"/>
      <c r="U901" s="52"/>
      <c r="V901" s="52"/>
      <c r="W901" s="52"/>
      <c r="X901" s="52"/>
      <c r="Y901" s="52"/>
      <c r="Z901" s="52"/>
    </row>
    <row r="902">
      <c r="A902" s="52"/>
      <c r="B902" s="52"/>
      <c r="C902" s="52"/>
      <c r="D902" s="52"/>
      <c r="E902" s="52"/>
      <c r="F902" s="52"/>
      <c r="G902" s="52"/>
      <c r="H902" s="52"/>
      <c r="I902" s="52"/>
      <c r="J902" s="53" t="str">
        <f>IFERROR(__xludf.DUMMYFUNCTION("""COMPUTED_VALUE"""),"")</f>
        <v/>
      </c>
      <c r="K902" s="52"/>
      <c r="L902" s="52"/>
      <c r="M902" s="52"/>
      <c r="N902" s="52"/>
      <c r="O902" s="52"/>
      <c r="P902" s="52"/>
      <c r="Q902" s="52"/>
      <c r="R902" s="52"/>
      <c r="S902" s="52"/>
      <c r="T902" s="52"/>
      <c r="U902" s="52"/>
      <c r="V902" s="52"/>
      <c r="W902" s="52"/>
      <c r="X902" s="52"/>
      <c r="Y902" s="52"/>
      <c r="Z902" s="52"/>
    </row>
    <row r="903">
      <c r="A903" s="52"/>
      <c r="B903" s="52"/>
      <c r="C903" s="52"/>
      <c r="D903" s="52"/>
      <c r="E903" s="52"/>
      <c r="F903" s="52"/>
      <c r="G903" s="52"/>
      <c r="H903" s="52"/>
      <c r="I903" s="52"/>
      <c r="J903" s="53" t="str">
        <f>IFERROR(__xludf.DUMMYFUNCTION("""COMPUTED_VALUE"""),"")</f>
        <v/>
      </c>
      <c r="K903" s="52"/>
      <c r="L903" s="52"/>
      <c r="M903" s="52"/>
      <c r="N903" s="52"/>
      <c r="O903" s="52"/>
      <c r="P903" s="52"/>
      <c r="Q903" s="52"/>
      <c r="R903" s="52"/>
      <c r="S903" s="52"/>
      <c r="T903" s="52"/>
      <c r="U903" s="52"/>
      <c r="V903" s="52"/>
      <c r="W903" s="52"/>
      <c r="X903" s="52"/>
      <c r="Y903" s="52"/>
      <c r="Z903" s="52"/>
    </row>
    <row r="904">
      <c r="A904" s="52"/>
      <c r="B904" s="52"/>
      <c r="C904" s="52"/>
      <c r="D904" s="52"/>
      <c r="E904" s="52"/>
      <c r="F904" s="52"/>
      <c r="G904" s="52"/>
      <c r="H904" s="52"/>
      <c r="I904" s="52"/>
      <c r="J904" s="53" t="str">
        <f>IFERROR(__xludf.DUMMYFUNCTION("""COMPUTED_VALUE"""),"")</f>
        <v/>
      </c>
      <c r="K904" s="52"/>
      <c r="L904" s="52"/>
      <c r="M904" s="52"/>
      <c r="N904" s="52"/>
      <c r="O904" s="52"/>
      <c r="P904" s="52"/>
      <c r="Q904" s="52"/>
      <c r="R904" s="52"/>
      <c r="S904" s="52"/>
      <c r="T904" s="52"/>
      <c r="U904" s="52"/>
      <c r="V904" s="52"/>
      <c r="W904" s="52"/>
      <c r="X904" s="52"/>
      <c r="Y904" s="52"/>
      <c r="Z904" s="52"/>
    </row>
    <row r="905">
      <c r="A905" s="52"/>
      <c r="B905" s="52"/>
      <c r="C905" s="52"/>
      <c r="D905" s="52"/>
      <c r="E905" s="52"/>
      <c r="F905" s="52"/>
      <c r="G905" s="52"/>
      <c r="H905" s="52"/>
      <c r="I905" s="52"/>
      <c r="J905" s="53" t="str">
        <f>IFERROR(__xludf.DUMMYFUNCTION("""COMPUTED_VALUE"""),"")</f>
        <v/>
      </c>
      <c r="K905" s="52"/>
      <c r="L905" s="52"/>
      <c r="M905" s="52"/>
      <c r="N905" s="52"/>
      <c r="O905" s="52"/>
      <c r="P905" s="52"/>
      <c r="Q905" s="52"/>
      <c r="R905" s="52"/>
      <c r="S905" s="52"/>
      <c r="T905" s="52"/>
      <c r="U905" s="52"/>
      <c r="V905" s="52"/>
      <c r="W905" s="52"/>
      <c r="X905" s="52"/>
      <c r="Y905" s="52"/>
      <c r="Z905" s="52"/>
    </row>
    <row r="906">
      <c r="A906" s="52"/>
      <c r="B906" s="52"/>
      <c r="C906" s="52"/>
      <c r="D906" s="52"/>
      <c r="E906" s="52"/>
      <c r="F906" s="52"/>
      <c r="G906" s="52"/>
      <c r="H906" s="52"/>
      <c r="I906" s="52"/>
      <c r="J906" s="53" t="str">
        <f>IFERROR(__xludf.DUMMYFUNCTION("""COMPUTED_VALUE"""),"")</f>
        <v/>
      </c>
      <c r="K906" s="52"/>
      <c r="L906" s="52"/>
      <c r="M906" s="52"/>
      <c r="N906" s="52"/>
      <c r="O906" s="52"/>
      <c r="P906" s="52"/>
      <c r="Q906" s="52"/>
      <c r="R906" s="52"/>
      <c r="S906" s="52"/>
      <c r="T906" s="52"/>
      <c r="U906" s="52"/>
      <c r="V906" s="52"/>
      <c r="W906" s="52"/>
      <c r="X906" s="52"/>
      <c r="Y906" s="52"/>
      <c r="Z906" s="52"/>
    </row>
    <row r="907">
      <c r="A907" s="52"/>
      <c r="B907" s="52"/>
      <c r="C907" s="52"/>
      <c r="D907" s="52"/>
      <c r="E907" s="52"/>
      <c r="F907" s="52"/>
      <c r="G907" s="52"/>
      <c r="H907" s="52"/>
      <c r="I907" s="52"/>
      <c r="J907" s="53" t="str">
        <f>IFERROR(__xludf.DUMMYFUNCTION("""COMPUTED_VALUE"""),"")</f>
        <v/>
      </c>
      <c r="K907" s="52"/>
      <c r="L907" s="52"/>
      <c r="M907" s="52"/>
      <c r="N907" s="52"/>
      <c r="O907" s="52"/>
      <c r="P907" s="52"/>
      <c r="Q907" s="52"/>
      <c r="R907" s="52"/>
      <c r="S907" s="52"/>
      <c r="T907" s="52"/>
      <c r="U907" s="52"/>
      <c r="V907" s="52"/>
      <c r="W907" s="52"/>
      <c r="X907" s="52"/>
      <c r="Y907" s="52"/>
      <c r="Z907" s="52"/>
    </row>
    <row r="908">
      <c r="A908" s="52"/>
      <c r="B908" s="52"/>
      <c r="C908" s="52"/>
      <c r="D908" s="52"/>
      <c r="E908" s="52"/>
      <c r="F908" s="52"/>
      <c r="G908" s="52"/>
      <c r="H908" s="52"/>
      <c r="I908" s="52"/>
      <c r="J908" s="53" t="str">
        <f>IFERROR(__xludf.DUMMYFUNCTION("""COMPUTED_VALUE"""),"")</f>
        <v/>
      </c>
      <c r="K908" s="52"/>
      <c r="L908" s="52"/>
      <c r="M908" s="52"/>
      <c r="N908" s="52"/>
      <c r="O908" s="52"/>
      <c r="P908" s="52"/>
      <c r="Q908" s="52"/>
      <c r="R908" s="52"/>
      <c r="S908" s="52"/>
      <c r="T908" s="52"/>
      <c r="U908" s="52"/>
      <c r="V908" s="52"/>
      <c r="W908" s="52"/>
      <c r="X908" s="52"/>
      <c r="Y908" s="52"/>
      <c r="Z908" s="52"/>
    </row>
    <row r="909">
      <c r="A909" s="52"/>
      <c r="B909" s="52"/>
      <c r="C909" s="52"/>
      <c r="D909" s="52"/>
      <c r="E909" s="52"/>
      <c r="F909" s="52"/>
      <c r="G909" s="52"/>
      <c r="H909" s="52"/>
      <c r="I909" s="52"/>
      <c r="J909" s="53" t="str">
        <f>IFERROR(__xludf.DUMMYFUNCTION("""COMPUTED_VALUE"""),"")</f>
        <v/>
      </c>
      <c r="K909" s="52"/>
      <c r="L909" s="52"/>
      <c r="M909" s="52"/>
      <c r="N909" s="52"/>
      <c r="O909" s="52"/>
      <c r="P909" s="52"/>
      <c r="Q909" s="52"/>
      <c r="R909" s="52"/>
      <c r="S909" s="52"/>
      <c r="T909" s="52"/>
      <c r="U909" s="52"/>
      <c r="V909" s="52"/>
      <c r="W909" s="52"/>
      <c r="X909" s="52"/>
      <c r="Y909" s="52"/>
      <c r="Z909" s="52"/>
    </row>
    <row r="910">
      <c r="A910" s="52"/>
      <c r="B910" s="52"/>
      <c r="C910" s="52"/>
      <c r="D910" s="52"/>
      <c r="E910" s="52"/>
      <c r="F910" s="52"/>
      <c r="G910" s="52"/>
      <c r="H910" s="52"/>
      <c r="I910" s="52"/>
      <c r="J910" s="53" t="str">
        <f>IFERROR(__xludf.DUMMYFUNCTION("""COMPUTED_VALUE"""),"")</f>
        <v/>
      </c>
      <c r="K910" s="52"/>
      <c r="L910" s="52"/>
      <c r="M910" s="52"/>
      <c r="N910" s="52"/>
      <c r="O910" s="52"/>
      <c r="P910" s="52"/>
      <c r="Q910" s="52"/>
      <c r="R910" s="52"/>
      <c r="S910" s="52"/>
      <c r="T910" s="52"/>
      <c r="U910" s="52"/>
      <c r="V910" s="52"/>
      <c r="W910" s="52"/>
      <c r="X910" s="52"/>
      <c r="Y910" s="52"/>
      <c r="Z910" s="52"/>
    </row>
    <row r="911">
      <c r="A911" s="52"/>
      <c r="B911" s="52"/>
      <c r="C911" s="52"/>
      <c r="D911" s="52"/>
      <c r="E911" s="52"/>
      <c r="F911" s="52"/>
      <c r="G911" s="52"/>
      <c r="H911" s="52"/>
      <c r="I911" s="52"/>
      <c r="J911" s="53" t="str">
        <f>IFERROR(__xludf.DUMMYFUNCTION("""COMPUTED_VALUE"""),"")</f>
        <v/>
      </c>
      <c r="K911" s="52"/>
      <c r="L911" s="52"/>
      <c r="M911" s="52"/>
      <c r="N911" s="52"/>
      <c r="O911" s="52"/>
      <c r="P911" s="52"/>
      <c r="Q911" s="52"/>
      <c r="R911" s="52"/>
      <c r="S911" s="52"/>
      <c r="T911" s="52"/>
      <c r="U911" s="52"/>
      <c r="V911" s="52"/>
      <c r="W911" s="52"/>
      <c r="X911" s="52"/>
      <c r="Y911" s="52"/>
      <c r="Z911" s="52"/>
    </row>
    <row r="912">
      <c r="A912" s="52"/>
      <c r="B912" s="52"/>
      <c r="C912" s="52"/>
      <c r="D912" s="52"/>
      <c r="E912" s="52"/>
      <c r="F912" s="52"/>
      <c r="G912" s="52"/>
      <c r="H912" s="52"/>
      <c r="I912" s="52"/>
      <c r="J912" s="53" t="str">
        <f>IFERROR(__xludf.DUMMYFUNCTION("""COMPUTED_VALUE"""),"")</f>
        <v/>
      </c>
      <c r="K912" s="52"/>
      <c r="L912" s="52"/>
      <c r="M912" s="52"/>
      <c r="N912" s="52"/>
      <c r="O912" s="52"/>
      <c r="P912" s="52"/>
      <c r="Q912" s="52"/>
      <c r="R912" s="52"/>
      <c r="S912" s="52"/>
      <c r="T912" s="52"/>
      <c r="U912" s="52"/>
      <c r="V912" s="52"/>
      <c r="W912" s="52"/>
      <c r="X912" s="52"/>
      <c r="Y912" s="52"/>
      <c r="Z912" s="52"/>
    </row>
    <row r="913">
      <c r="A913" s="52"/>
      <c r="B913" s="52"/>
      <c r="C913" s="52"/>
      <c r="D913" s="52"/>
      <c r="E913" s="52"/>
      <c r="F913" s="52"/>
      <c r="G913" s="52"/>
      <c r="H913" s="52"/>
      <c r="I913" s="52"/>
      <c r="J913" s="53" t="str">
        <f>IFERROR(__xludf.DUMMYFUNCTION("""COMPUTED_VALUE"""),"")</f>
        <v/>
      </c>
      <c r="K913" s="52"/>
      <c r="L913" s="52"/>
      <c r="M913" s="52"/>
      <c r="N913" s="52"/>
      <c r="O913" s="52"/>
      <c r="P913" s="52"/>
      <c r="Q913" s="52"/>
      <c r="R913" s="52"/>
      <c r="S913" s="52"/>
      <c r="T913" s="52"/>
      <c r="U913" s="52"/>
      <c r="V913" s="52"/>
      <c r="W913" s="52"/>
      <c r="X913" s="52"/>
      <c r="Y913" s="52"/>
      <c r="Z913" s="52"/>
    </row>
    <row r="914">
      <c r="A914" s="52"/>
      <c r="B914" s="52"/>
      <c r="C914" s="52"/>
      <c r="D914" s="52"/>
      <c r="E914" s="52"/>
      <c r="F914" s="52"/>
      <c r="G914" s="52"/>
      <c r="H914" s="52"/>
      <c r="I914" s="52"/>
      <c r="J914" s="53" t="str">
        <f>IFERROR(__xludf.DUMMYFUNCTION("""COMPUTED_VALUE"""),"")</f>
        <v/>
      </c>
      <c r="K914" s="52"/>
      <c r="L914" s="52"/>
      <c r="M914" s="52"/>
      <c r="N914" s="52"/>
      <c r="O914" s="52"/>
      <c r="P914" s="52"/>
      <c r="Q914" s="52"/>
      <c r="R914" s="52"/>
      <c r="S914" s="52"/>
      <c r="T914" s="52"/>
      <c r="U914" s="52"/>
      <c r="V914" s="52"/>
      <c r="W914" s="52"/>
      <c r="X914" s="52"/>
      <c r="Y914" s="52"/>
      <c r="Z914" s="52"/>
    </row>
    <row r="915">
      <c r="A915" s="52"/>
      <c r="B915" s="52"/>
      <c r="C915" s="52"/>
      <c r="D915" s="52"/>
      <c r="E915" s="52"/>
      <c r="F915" s="52"/>
      <c r="G915" s="52"/>
      <c r="H915" s="52"/>
      <c r="I915" s="52"/>
      <c r="J915" s="53" t="str">
        <f>IFERROR(__xludf.DUMMYFUNCTION("""COMPUTED_VALUE"""),"")</f>
        <v/>
      </c>
      <c r="K915" s="52"/>
      <c r="L915" s="52"/>
      <c r="M915" s="52"/>
      <c r="N915" s="52"/>
      <c r="O915" s="52"/>
      <c r="P915" s="52"/>
      <c r="Q915" s="52"/>
      <c r="R915" s="52"/>
      <c r="S915" s="52"/>
      <c r="T915" s="52"/>
      <c r="U915" s="52"/>
      <c r="V915" s="52"/>
      <c r="W915" s="52"/>
      <c r="X915" s="52"/>
      <c r="Y915" s="52"/>
      <c r="Z915" s="52"/>
    </row>
    <row r="916">
      <c r="A916" s="52"/>
      <c r="B916" s="52"/>
      <c r="C916" s="52"/>
      <c r="D916" s="52"/>
      <c r="E916" s="52"/>
      <c r="F916" s="52"/>
      <c r="G916" s="52"/>
      <c r="H916" s="52"/>
      <c r="I916" s="52"/>
      <c r="J916" s="53" t="str">
        <f>IFERROR(__xludf.DUMMYFUNCTION("""COMPUTED_VALUE"""),"")</f>
        <v/>
      </c>
      <c r="K916" s="52"/>
      <c r="L916" s="52"/>
      <c r="M916" s="52"/>
      <c r="N916" s="52"/>
      <c r="O916" s="52"/>
      <c r="P916" s="52"/>
      <c r="Q916" s="52"/>
      <c r="R916" s="52"/>
      <c r="S916" s="52"/>
      <c r="T916" s="52"/>
      <c r="U916" s="52"/>
      <c r="V916" s="52"/>
      <c r="W916" s="52"/>
      <c r="X916" s="52"/>
      <c r="Y916" s="52"/>
      <c r="Z916" s="52"/>
    </row>
    <row r="917">
      <c r="A917" s="52"/>
      <c r="B917" s="52"/>
      <c r="C917" s="52"/>
      <c r="D917" s="52"/>
      <c r="E917" s="52"/>
      <c r="F917" s="52"/>
      <c r="G917" s="52"/>
      <c r="H917" s="52"/>
      <c r="I917" s="52"/>
      <c r="J917" s="53" t="str">
        <f>IFERROR(__xludf.DUMMYFUNCTION("""COMPUTED_VALUE"""),"")</f>
        <v/>
      </c>
      <c r="K917" s="52"/>
      <c r="L917" s="52"/>
      <c r="M917" s="52"/>
      <c r="N917" s="52"/>
      <c r="O917" s="52"/>
      <c r="P917" s="52"/>
      <c r="Q917" s="52"/>
      <c r="R917" s="52"/>
      <c r="S917" s="52"/>
      <c r="T917" s="52"/>
      <c r="U917" s="52"/>
      <c r="V917" s="52"/>
      <c r="W917" s="52"/>
      <c r="X917" s="52"/>
      <c r="Y917" s="52"/>
      <c r="Z917" s="52"/>
    </row>
    <row r="918">
      <c r="A918" s="52"/>
      <c r="B918" s="52"/>
      <c r="C918" s="52"/>
      <c r="D918" s="52"/>
      <c r="E918" s="52"/>
      <c r="F918" s="52"/>
      <c r="G918" s="52"/>
      <c r="H918" s="52"/>
      <c r="I918" s="52"/>
      <c r="J918" s="53" t="str">
        <f>IFERROR(__xludf.DUMMYFUNCTION("""COMPUTED_VALUE"""),"")</f>
        <v/>
      </c>
      <c r="K918" s="52"/>
      <c r="L918" s="52"/>
      <c r="M918" s="52"/>
      <c r="N918" s="52"/>
      <c r="O918" s="52"/>
      <c r="P918" s="52"/>
      <c r="Q918" s="52"/>
      <c r="R918" s="52"/>
      <c r="S918" s="52"/>
      <c r="T918" s="52"/>
      <c r="U918" s="52"/>
      <c r="V918" s="52"/>
      <c r="W918" s="52"/>
      <c r="X918" s="52"/>
      <c r="Y918" s="52"/>
      <c r="Z918" s="52"/>
    </row>
    <row r="919">
      <c r="A919" s="52"/>
      <c r="B919" s="52"/>
      <c r="C919" s="52"/>
      <c r="D919" s="52"/>
      <c r="E919" s="52"/>
      <c r="F919" s="52"/>
      <c r="G919" s="52"/>
      <c r="H919" s="52"/>
      <c r="I919" s="52"/>
      <c r="J919" s="53" t="str">
        <f>IFERROR(__xludf.DUMMYFUNCTION("""COMPUTED_VALUE"""),"")</f>
        <v/>
      </c>
      <c r="K919" s="52"/>
      <c r="L919" s="52"/>
      <c r="M919" s="52"/>
      <c r="N919" s="52"/>
      <c r="O919" s="52"/>
      <c r="P919" s="52"/>
      <c r="Q919" s="52"/>
      <c r="R919" s="52"/>
      <c r="S919" s="52"/>
      <c r="T919" s="52"/>
      <c r="U919" s="52"/>
      <c r="V919" s="52"/>
      <c r="W919" s="52"/>
      <c r="X919" s="52"/>
      <c r="Y919" s="52"/>
      <c r="Z919" s="52"/>
    </row>
    <row r="920">
      <c r="A920" s="52"/>
      <c r="B920" s="52"/>
      <c r="C920" s="52"/>
      <c r="D920" s="52"/>
      <c r="E920" s="52"/>
      <c r="F920" s="52"/>
      <c r="G920" s="52"/>
      <c r="H920" s="52"/>
      <c r="I920" s="52"/>
      <c r="J920" s="53" t="str">
        <f>IFERROR(__xludf.DUMMYFUNCTION("""COMPUTED_VALUE"""),"")</f>
        <v/>
      </c>
      <c r="K920" s="52"/>
      <c r="L920" s="52"/>
      <c r="M920" s="52"/>
      <c r="N920" s="52"/>
      <c r="O920" s="52"/>
      <c r="P920" s="52"/>
      <c r="Q920" s="52"/>
      <c r="R920" s="52"/>
      <c r="S920" s="52"/>
      <c r="T920" s="52"/>
      <c r="U920" s="52"/>
      <c r="V920" s="52"/>
      <c r="W920" s="52"/>
      <c r="X920" s="52"/>
      <c r="Y920" s="52"/>
      <c r="Z920" s="52"/>
    </row>
    <row r="921">
      <c r="A921" s="52"/>
      <c r="B921" s="52"/>
      <c r="C921" s="52"/>
      <c r="D921" s="52"/>
      <c r="E921" s="52"/>
      <c r="F921" s="52"/>
      <c r="G921" s="52"/>
      <c r="H921" s="52"/>
      <c r="I921" s="52"/>
      <c r="J921" s="53" t="str">
        <f>IFERROR(__xludf.DUMMYFUNCTION("""COMPUTED_VALUE"""),"")</f>
        <v/>
      </c>
      <c r="K921" s="52"/>
      <c r="L921" s="52"/>
      <c r="M921" s="52"/>
      <c r="N921" s="52"/>
      <c r="O921" s="52"/>
      <c r="P921" s="52"/>
      <c r="Q921" s="52"/>
      <c r="R921" s="52"/>
      <c r="S921" s="52"/>
      <c r="T921" s="52"/>
      <c r="U921" s="52"/>
      <c r="V921" s="52"/>
      <c r="W921" s="52"/>
      <c r="X921" s="52"/>
      <c r="Y921" s="52"/>
      <c r="Z921" s="52"/>
    </row>
    <row r="922">
      <c r="A922" s="52"/>
      <c r="B922" s="52"/>
      <c r="C922" s="52"/>
      <c r="D922" s="52"/>
      <c r="E922" s="52"/>
      <c r="F922" s="52"/>
      <c r="G922" s="52"/>
      <c r="H922" s="52"/>
      <c r="I922" s="52"/>
      <c r="J922" s="53" t="str">
        <f>IFERROR(__xludf.DUMMYFUNCTION("""COMPUTED_VALUE"""),"")</f>
        <v/>
      </c>
      <c r="K922" s="52"/>
      <c r="L922" s="52"/>
      <c r="M922" s="52"/>
      <c r="N922" s="52"/>
      <c r="O922" s="52"/>
      <c r="P922" s="52"/>
      <c r="Q922" s="52"/>
      <c r="R922" s="52"/>
      <c r="S922" s="52"/>
      <c r="T922" s="52"/>
      <c r="U922" s="52"/>
      <c r="V922" s="52"/>
      <c r="W922" s="52"/>
      <c r="X922" s="52"/>
      <c r="Y922" s="52"/>
      <c r="Z922" s="52"/>
    </row>
    <row r="923">
      <c r="A923" s="52"/>
      <c r="B923" s="52"/>
      <c r="C923" s="52"/>
      <c r="D923" s="52"/>
      <c r="E923" s="52"/>
      <c r="F923" s="52"/>
      <c r="G923" s="52"/>
      <c r="H923" s="52"/>
      <c r="I923" s="52"/>
      <c r="J923" s="53" t="str">
        <f>IFERROR(__xludf.DUMMYFUNCTION("""COMPUTED_VALUE"""),"")</f>
        <v/>
      </c>
      <c r="K923" s="52"/>
      <c r="L923" s="52"/>
      <c r="M923" s="52"/>
      <c r="N923" s="52"/>
      <c r="O923" s="52"/>
      <c r="P923" s="52"/>
      <c r="Q923" s="52"/>
      <c r="R923" s="52"/>
      <c r="S923" s="52"/>
      <c r="T923" s="52"/>
      <c r="U923" s="52"/>
      <c r="V923" s="52"/>
      <c r="W923" s="52"/>
      <c r="X923" s="52"/>
      <c r="Y923" s="52"/>
      <c r="Z923" s="52"/>
    </row>
    <row r="924">
      <c r="A924" s="52"/>
      <c r="B924" s="52"/>
      <c r="C924" s="52"/>
      <c r="D924" s="52"/>
      <c r="E924" s="52"/>
      <c r="F924" s="52"/>
      <c r="G924" s="52"/>
      <c r="H924" s="52"/>
      <c r="I924" s="52"/>
      <c r="J924" s="53" t="str">
        <f>IFERROR(__xludf.DUMMYFUNCTION("""COMPUTED_VALUE"""),"")</f>
        <v/>
      </c>
      <c r="K924" s="52"/>
      <c r="L924" s="52"/>
      <c r="M924" s="52"/>
      <c r="N924" s="52"/>
      <c r="O924" s="52"/>
      <c r="P924" s="52"/>
      <c r="Q924" s="52"/>
      <c r="R924" s="52"/>
      <c r="S924" s="52"/>
      <c r="T924" s="52"/>
      <c r="U924" s="52"/>
      <c r="V924" s="52"/>
      <c r="W924" s="52"/>
      <c r="X924" s="52"/>
      <c r="Y924" s="52"/>
      <c r="Z924" s="52"/>
    </row>
    <row r="925">
      <c r="A925" s="52"/>
      <c r="B925" s="52"/>
      <c r="C925" s="52"/>
      <c r="D925" s="52"/>
      <c r="E925" s="52"/>
      <c r="F925" s="52"/>
      <c r="G925" s="52"/>
      <c r="H925" s="52"/>
      <c r="I925" s="52"/>
      <c r="J925" s="53" t="str">
        <f>IFERROR(__xludf.DUMMYFUNCTION("""COMPUTED_VALUE"""),"")</f>
        <v/>
      </c>
      <c r="K925" s="52"/>
      <c r="L925" s="52"/>
      <c r="M925" s="52"/>
      <c r="N925" s="52"/>
      <c r="O925" s="52"/>
      <c r="P925" s="52"/>
      <c r="Q925" s="52"/>
      <c r="R925" s="52"/>
      <c r="S925" s="52"/>
      <c r="T925" s="52"/>
      <c r="U925" s="52"/>
      <c r="V925" s="52"/>
      <c r="W925" s="52"/>
      <c r="X925" s="52"/>
      <c r="Y925" s="52"/>
      <c r="Z925" s="52"/>
    </row>
    <row r="926">
      <c r="A926" s="52"/>
      <c r="B926" s="52"/>
      <c r="C926" s="52"/>
      <c r="D926" s="52"/>
      <c r="E926" s="52"/>
      <c r="F926" s="52"/>
      <c r="G926" s="52"/>
      <c r="H926" s="52"/>
      <c r="I926" s="52"/>
      <c r="J926" s="53" t="str">
        <f>IFERROR(__xludf.DUMMYFUNCTION("""COMPUTED_VALUE"""),"")</f>
        <v/>
      </c>
      <c r="K926" s="52"/>
      <c r="L926" s="52"/>
      <c r="M926" s="52"/>
      <c r="N926" s="52"/>
      <c r="O926" s="52"/>
      <c r="P926" s="52"/>
      <c r="Q926" s="52"/>
      <c r="R926" s="52"/>
      <c r="S926" s="52"/>
      <c r="T926" s="52"/>
      <c r="U926" s="52"/>
      <c r="V926" s="52"/>
      <c r="W926" s="52"/>
      <c r="X926" s="52"/>
      <c r="Y926" s="52"/>
      <c r="Z926" s="52"/>
    </row>
    <row r="927">
      <c r="A927" s="52"/>
      <c r="B927" s="52"/>
      <c r="C927" s="52"/>
      <c r="D927" s="52"/>
      <c r="E927" s="52"/>
      <c r="F927" s="52"/>
      <c r="G927" s="52"/>
      <c r="H927" s="52"/>
      <c r="I927" s="52"/>
      <c r="J927" s="53" t="str">
        <f>IFERROR(__xludf.DUMMYFUNCTION("""COMPUTED_VALUE"""),"")</f>
        <v/>
      </c>
      <c r="K927" s="52"/>
      <c r="L927" s="52"/>
      <c r="M927" s="52"/>
      <c r="N927" s="52"/>
      <c r="O927" s="52"/>
      <c r="P927" s="52"/>
      <c r="Q927" s="52"/>
      <c r="R927" s="52"/>
      <c r="S927" s="52"/>
      <c r="T927" s="52"/>
      <c r="U927" s="52"/>
      <c r="V927" s="52"/>
      <c r="W927" s="52"/>
      <c r="X927" s="52"/>
      <c r="Y927" s="52"/>
      <c r="Z927" s="52"/>
    </row>
    <row r="928">
      <c r="A928" s="52"/>
      <c r="B928" s="52"/>
      <c r="C928" s="52"/>
      <c r="D928" s="52"/>
      <c r="E928" s="52"/>
      <c r="F928" s="52"/>
      <c r="G928" s="52"/>
      <c r="H928" s="52"/>
      <c r="I928" s="52"/>
      <c r="J928" s="53" t="str">
        <f>IFERROR(__xludf.DUMMYFUNCTION("""COMPUTED_VALUE"""),"")</f>
        <v/>
      </c>
      <c r="K928" s="52"/>
      <c r="L928" s="52"/>
      <c r="M928" s="52"/>
      <c r="N928" s="52"/>
      <c r="O928" s="52"/>
      <c r="P928" s="52"/>
      <c r="Q928" s="52"/>
      <c r="R928" s="52"/>
      <c r="S928" s="52"/>
      <c r="T928" s="52"/>
      <c r="U928" s="52"/>
      <c r="V928" s="52"/>
      <c r="W928" s="52"/>
      <c r="X928" s="52"/>
      <c r="Y928" s="52"/>
      <c r="Z928" s="52"/>
    </row>
    <row r="929">
      <c r="A929" s="52"/>
      <c r="B929" s="52"/>
      <c r="C929" s="52"/>
      <c r="D929" s="52"/>
      <c r="E929" s="52"/>
      <c r="F929" s="52"/>
      <c r="G929" s="52"/>
      <c r="H929" s="52"/>
      <c r="I929" s="52"/>
      <c r="J929" s="53" t="str">
        <f>IFERROR(__xludf.DUMMYFUNCTION("""COMPUTED_VALUE"""),"")</f>
        <v/>
      </c>
      <c r="K929" s="52"/>
      <c r="L929" s="52"/>
      <c r="M929" s="52"/>
      <c r="N929" s="52"/>
      <c r="O929" s="52"/>
      <c r="P929" s="52"/>
      <c r="Q929" s="52"/>
      <c r="R929" s="52"/>
      <c r="S929" s="52"/>
      <c r="T929" s="52"/>
      <c r="U929" s="52"/>
      <c r="V929" s="52"/>
      <c r="W929" s="52"/>
      <c r="X929" s="52"/>
      <c r="Y929" s="52"/>
      <c r="Z929" s="52"/>
    </row>
    <row r="930">
      <c r="A930" s="52"/>
      <c r="B930" s="52"/>
      <c r="C930" s="52"/>
      <c r="D930" s="52"/>
      <c r="E930" s="52"/>
      <c r="F930" s="52"/>
      <c r="G930" s="52"/>
      <c r="H930" s="52"/>
      <c r="I930" s="52"/>
      <c r="J930" s="53" t="str">
        <f>IFERROR(__xludf.DUMMYFUNCTION("""COMPUTED_VALUE"""),"")</f>
        <v/>
      </c>
      <c r="K930" s="52"/>
      <c r="L930" s="52"/>
      <c r="M930" s="52"/>
      <c r="N930" s="52"/>
      <c r="O930" s="52"/>
      <c r="P930" s="52"/>
      <c r="Q930" s="52"/>
      <c r="R930" s="52"/>
      <c r="S930" s="52"/>
      <c r="T930" s="52"/>
      <c r="U930" s="52"/>
      <c r="V930" s="52"/>
      <c r="W930" s="52"/>
      <c r="X930" s="52"/>
      <c r="Y930" s="52"/>
      <c r="Z930" s="52"/>
    </row>
    <row r="931">
      <c r="A931" s="52"/>
      <c r="B931" s="52"/>
      <c r="C931" s="52"/>
      <c r="D931" s="52"/>
      <c r="E931" s="52"/>
      <c r="F931" s="52"/>
      <c r="G931" s="52"/>
      <c r="H931" s="52"/>
      <c r="I931" s="52"/>
      <c r="J931" s="53" t="str">
        <f>IFERROR(__xludf.DUMMYFUNCTION("""COMPUTED_VALUE"""),"")</f>
        <v/>
      </c>
      <c r="K931" s="52"/>
      <c r="L931" s="52"/>
      <c r="M931" s="52"/>
      <c r="N931" s="52"/>
      <c r="O931" s="52"/>
      <c r="P931" s="52"/>
      <c r="Q931" s="52"/>
      <c r="R931" s="52"/>
      <c r="S931" s="52"/>
      <c r="T931" s="52"/>
      <c r="U931" s="52"/>
      <c r="V931" s="52"/>
      <c r="W931" s="52"/>
      <c r="X931" s="52"/>
      <c r="Y931" s="52"/>
      <c r="Z931" s="52"/>
    </row>
    <row r="932">
      <c r="A932" s="52"/>
      <c r="B932" s="52"/>
      <c r="C932" s="52"/>
      <c r="D932" s="52"/>
      <c r="E932" s="52"/>
      <c r="F932" s="52"/>
      <c r="G932" s="52"/>
      <c r="H932" s="52"/>
      <c r="I932" s="52"/>
      <c r="J932" s="53" t="str">
        <f>IFERROR(__xludf.DUMMYFUNCTION("""COMPUTED_VALUE"""),"")</f>
        <v/>
      </c>
      <c r="K932" s="52"/>
      <c r="L932" s="52"/>
      <c r="M932" s="52"/>
      <c r="N932" s="52"/>
      <c r="O932" s="52"/>
      <c r="P932" s="52"/>
      <c r="Q932" s="52"/>
      <c r="R932" s="52"/>
      <c r="S932" s="52"/>
      <c r="T932" s="52"/>
      <c r="U932" s="52"/>
      <c r="V932" s="52"/>
      <c r="W932" s="52"/>
      <c r="X932" s="52"/>
      <c r="Y932" s="52"/>
      <c r="Z932" s="52"/>
    </row>
    <row r="933">
      <c r="A933" s="52"/>
      <c r="B933" s="52"/>
      <c r="C933" s="52"/>
      <c r="D933" s="52"/>
      <c r="E933" s="52"/>
      <c r="F933" s="52"/>
      <c r="G933" s="52"/>
      <c r="H933" s="52"/>
      <c r="I933" s="52"/>
      <c r="J933" s="53" t="str">
        <f>IFERROR(__xludf.DUMMYFUNCTION("""COMPUTED_VALUE"""),"")</f>
        <v/>
      </c>
      <c r="K933" s="52"/>
      <c r="L933" s="52"/>
      <c r="M933" s="52"/>
      <c r="N933" s="52"/>
      <c r="O933" s="52"/>
      <c r="P933" s="52"/>
      <c r="Q933" s="52"/>
      <c r="R933" s="52"/>
      <c r="S933" s="52"/>
      <c r="T933" s="52"/>
      <c r="U933" s="52"/>
      <c r="V933" s="52"/>
      <c r="W933" s="52"/>
      <c r="X933" s="52"/>
      <c r="Y933" s="52"/>
      <c r="Z933" s="52"/>
    </row>
    <row r="934">
      <c r="A934" s="52"/>
      <c r="B934" s="52"/>
      <c r="C934" s="52"/>
      <c r="D934" s="52"/>
      <c r="E934" s="52"/>
      <c r="F934" s="52"/>
      <c r="G934" s="52"/>
      <c r="H934" s="52"/>
      <c r="I934" s="52"/>
      <c r="J934" s="53" t="str">
        <f>IFERROR(__xludf.DUMMYFUNCTION("""COMPUTED_VALUE"""),"")</f>
        <v/>
      </c>
      <c r="K934" s="52"/>
      <c r="L934" s="52"/>
      <c r="M934" s="52"/>
      <c r="N934" s="52"/>
      <c r="O934" s="52"/>
      <c r="P934" s="52"/>
      <c r="Q934" s="52"/>
      <c r="R934" s="52"/>
      <c r="S934" s="52"/>
      <c r="T934" s="52"/>
      <c r="U934" s="52"/>
      <c r="V934" s="52"/>
      <c r="W934" s="52"/>
      <c r="X934" s="52"/>
      <c r="Y934" s="52"/>
      <c r="Z934" s="52"/>
    </row>
    <row r="935">
      <c r="A935" s="52"/>
      <c r="B935" s="52"/>
      <c r="C935" s="52"/>
      <c r="D935" s="52"/>
      <c r="E935" s="52"/>
      <c r="F935" s="52"/>
      <c r="G935" s="52"/>
      <c r="H935" s="52"/>
      <c r="I935" s="52"/>
      <c r="J935" s="53" t="str">
        <f>IFERROR(__xludf.DUMMYFUNCTION("""COMPUTED_VALUE"""),"")</f>
        <v/>
      </c>
      <c r="K935" s="52"/>
      <c r="L935" s="52"/>
      <c r="M935" s="52"/>
      <c r="N935" s="52"/>
      <c r="O935" s="52"/>
      <c r="P935" s="52"/>
      <c r="Q935" s="52"/>
      <c r="R935" s="52"/>
      <c r="S935" s="52"/>
      <c r="T935" s="52"/>
      <c r="U935" s="52"/>
      <c r="V935" s="52"/>
      <c r="W935" s="52"/>
      <c r="X935" s="52"/>
      <c r="Y935" s="52"/>
      <c r="Z935" s="52"/>
    </row>
    <row r="936">
      <c r="A936" s="52"/>
      <c r="B936" s="52"/>
      <c r="C936" s="52"/>
      <c r="D936" s="52"/>
      <c r="E936" s="52"/>
      <c r="F936" s="52"/>
      <c r="G936" s="52"/>
      <c r="H936" s="52"/>
      <c r="I936" s="52"/>
      <c r="J936" s="53" t="str">
        <f>IFERROR(__xludf.DUMMYFUNCTION("""COMPUTED_VALUE"""),"")</f>
        <v/>
      </c>
      <c r="K936" s="52"/>
      <c r="L936" s="52"/>
      <c r="M936" s="52"/>
      <c r="N936" s="52"/>
      <c r="O936" s="52"/>
      <c r="P936" s="52"/>
      <c r="Q936" s="52"/>
      <c r="R936" s="52"/>
      <c r="S936" s="52"/>
      <c r="T936" s="52"/>
      <c r="U936" s="52"/>
      <c r="V936" s="52"/>
      <c r="W936" s="52"/>
      <c r="X936" s="52"/>
      <c r="Y936" s="52"/>
      <c r="Z936" s="52"/>
    </row>
    <row r="937">
      <c r="A937" s="52"/>
      <c r="B937" s="52"/>
      <c r="C937" s="52"/>
      <c r="D937" s="52"/>
      <c r="E937" s="52"/>
      <c r="F937" s="52"/>
      <c r="G937" s="52"/>
      <c r="H937" s="52"/>
      <c r="I937" s="52"/>
      <c r="J937" s="53" t="str">
        <f>IFERROR(__xludf.DUMMYFUNCTION("""COMPUTED_VALUE"""),"")</f>
        <v/>
      </c>
      <c r="K937" s="52"/>
      <c r="L937" s="52"/>
      <c r="M937" s="52"/>
      <c r="N937" s="52"/>
      <c r="O937" s="52"/>
      <c r="P937" s="52"/>
      <c r="Q937" s="52"/>
      <c r="R937" s="52"/>
      <c r="S937" s="52"/>
      <c r="T937" s="52"/>
      <c r="U937" s="52"/>
      <c r="V937" s="52"/>
      <c r="W937" s="52"/>
      <c r="X937" s="52"/>
      <c r="Y937" s="52"/>
      <c r="Z937" s="52"/>
    </row>
    <row r="938">
      <c r="A938" s="52"/>
      <c r="B938" s="52"/>
      <c r="C938" s="52"/>
      <c r="D938" s="52"/>
      <c r="E938" s="52"/>
      <c r="F938" s="52"/>
      <c r="G938" s="52"/>
      <c r="H938" s="52"/>
      <c r="I938" s="52"/>
      <c r="J938" s="53" t="str">
        <f>IFERROR(__xludf.DUMMYFUNCTION("""COMPUTED_VALUE"""),"")</f>
        <v/>
      </c>
      <c r="K938" s="52"/>
      <c r="L938" s="52"/>
      <c r="M938" s="52"/>
      <c r="N938" s="52"/>
      <c r="O938" s="52"/>
      <c r="P938" s="52"/>
      <c r="Q938" s="52"/>
      <c r="R938" s="52"/>
      <c r="S938" s="52"/>
      <c r="T938" s="52"/>
      <c r="U938" s="52"/>
      <c r="V938" s="52"/>
      <c r="W938" s="52"/>
      <c r="X938" s="52"/>
      <c r="Y938" s="52"/>
      <c r="Z938" s="52"/>
    </row>
    <row r="939">
      <c r="A939" s="52"/>
      <c r="B939" s="52"/>
      <c r="C939" s="52"/>
      <c r="D939" s="52"/>
      <c r="E939" s="52"/>
      <c r="F939" s="52"/>
      <c r="G939" s="52"/>
      <c r="H939" s="52"/>
      <c r="I939" s="52"/>
      <c r="J939" s="53" t="str">
        <f>IFERROR(__xludf.DUMMYFUNCTION("""COMPUTED_VALUE"""),"")</f>
        <v/>
      </c>
      <c r="K939" s="52"/>
      <c r="L939" s="52"/>
      <c r="M939" s="52"/>
      <c r="N939" s="52"/>
      <c r="O939" s="52"/>
      <c r="P939" s="52"/>
      <c r="Q939" s="52"/>
      <c r="R939" s="52"/>
      <c r="S939" s="52"/>
      <c r="T939" s="52"/>
      <c r="U939" s="52"/>
      <c r="V939" s="52"/>
      <c r="W939" s="52"/>
      <c r="X939" s="52"/>
      <c r="Y939" s="52"/>
      <c r="Z939" s="52"/>
    </row>
    <row r="940">
      <c r="A940" s="52"/>
      <c r="B940" s="52"/>
      <c r="C940" s="52"/>
      <c r="D940" s="52"/>
      <c r="E940" s="52"/>
      <c r="F940" s="52"/>
      <c r="G940" s="52"/>
      <c r="H940" s="52"/>
      <c r="I940" s="52"/>
      <c r="J940" s="53" t="str">
        <f>IFERROR(__xludf.DUMMYFUNCTION("""COMPUTED_VALUE"""),"")</f>
        <v/>
      </c>
      <c r="K940" s="52"/>
      <c r="L940" s="52"/>
      <c r="M940" s="52"/>
      <c r="N940" s="52"/>
      <c r="O940" s="52"/>
      <c r="P940" s="52"/>
      <c r="Q940" s="52"/>
      <c r="R940" s="52"/>
      <c r="S940" s="52"/>
      <c r="T940" s="52"/>
      <c r="U940" s="52"/>
      <c r="V940" s="52"/>
      <c r="W940" s="52"/>
      <c r="X940" s="52"/>
      <c r="Y940" s="52"/>
      <c r="Z940" s="52"/>
    </row>
    <row r="941">
      <c r="A941" s="52"/>
      <c r="B941" s="52"/>
      <c r="C941" s="52"/>
      <c r="D941" s="52"/>
      <c r="E941" s="52"/>
      <c r="F941" s="52"/>
      <c r="G941" s="52"/>
      <c r="H941" s="52"/>
      <c r="I941" s="52"/>
      <c r="J941" s="53" t="str">
        <f>IFERROR(__xludf.DUMMYFUNCTION("""COMPUTED_VALUE"""),"")</f>
        <v/>
      </c>
      <c r="K941" s="52"/>
      <c r="L941" s="52"/>
      <c r="M941" s="52"/>
      <c r="N941" s="52"/>
      <c r="O941" s="52"/>
      <c r="P941" s="52"/>
      <c r="Q941" s="52"/>
      <c r="R941" s="52"/>
      <c r="S941" s="52"/>
      <c r="T941" s="52"/>
      <c r="U941" s="52"/>
      <c r="V941" s="52"/>
      <c r="W941" s="52"/>
      <c r="X941" s="52"/>
      <c r="Y941" s="52"/>
      <c r="Z941" s="52"/>
    </row>
    <row r="942">
      <c r="A942" s="52"/>
      <c r="B942" s="52"/>
      <c r="C942" s="52"/>
      <c r="D942" s="52"/>
      <c r="E942" s="52"/>
      <c r="F942" s="52"/>
      <c r="G942" s="52"/>
      <c r="H942" s="52"/>
      <c r="I942" s="52"/>
      <c r="J942" s="53" t="str">
        <f>IFERROR(__xludf.DUMMYFUNCTION("""COMPUTED_VALUE"""),"")</f>
        <v/>
      </c>
      <c r="K942" s="52"/>
      <c r="L942" s="52"/>
      <c r="M942" s="52"/>
      <c r="N942" s="52"/>
      <c r="O942" s="52"/>
      <c r="P942" s="52"/>
      <c r="Q942" s="52"/>
      <c r="R942" s="52"/>
      <c r="S942" s="52"/>
      <c r="T942" s="52"/>
      <c r="U942" s="52"/>
      <c r="V942" s="52"/>
      <c r="W942" s="52"/>
      <c r="X942" s="52"/>
      <c r="Y942" s="52"/>
      <c r="Z942" s="52"/>
    </row>
    <row r="943">
      <c r="A943" s="52"/>
      <c r="B943" s="52"/>
      <c r="C943" s="52"/>
      <c r="D943" s="52"/>
      <c r="E943" s="52"/>
      <c r="F943" s="52"/>
      <c r="G943" s="52"/>
      <c r="H943" s="52"/>
      <c r="I943" s="52"/>
      <c r="J943" s="53" t="str">
        <f>IFERROR(__xludf.DUMMYFUNCTION("""COMPUTED_VALUE"""),"")</f>
        <v/>
      </c>
      <c r="K943" s="52"/>
      <c r="L943" s="52"/>
      <c r="M943" s="52"/>
      <c r="N943" s="52"/>
      <c r="O943" s="52"/>
      <c r="P943" s="52"/>
      <c r="Q943" s="52"/>
      <c r="R943" s="52"/>
      <c r="S943" s="52"/>
      <c r="T943" s="52"/>
      <c r="U943" s="52"/>
      <c r="V943" s="52"/>
      <c r="W943" s="52"/>
      <c r="X943" s="52"/>
      <c r="Y943" s="52"/>
      <c r="Z943" s="52"/>
    </row>
    <row r="944">
      <c r="A944" s="52"/>
      <c r="B944" s="52"/>
      <c r="C944" s="52"/>
      <c r="D944" s="52"/>
      <c r="E944" s="52"/>
      <c r="F944" s="52"/>
      <c r="G944" s="52"/>
      <c r="H944" s="52"/>
      <c r="I944" s="52"/>
      <c r="J944" s="53" t="str">
        <f>IFERROR(__xludf.DUMMYFUNCTION("""COMPUTED_VALUE"""),"")</f>
        <v/>
      </c>
      <c r="K944" s="52"/>
      <c r="L944" s="52"/>
      <c r="M944" s="52"/>
      <c r="N944" s="52"/>
      <c r="O944" s="52"/>
      <c r="P944" s="52"/>
      <c r="Q944" s="52"/>
      <c r="R944" s="52"/>
      <c r="S944" s="52"/>
      <c r="T944" s="52"/>
      <c r="U944" s="52"/>
      <c r="V944" s="52"/>
      <c r="W944" s="52"/>
      <c r="X944" s="52"/>
      <c r="Y944" s="52"/>
      <c r="Z944" s="52"/>
    </row>
    <row r="945">
      <c r="A945" s="52"/>
      <c r="B945" s="52"/>
      <c r="C945" s="52"/>
      <c r="D945" s="52"/>
      <c r="E945" s="52"/>
      <c r="F945" s="52"/>
      <c r="G945" s="52"/>
      <c r="H945" s="52"/>
      <c r="I945" s="52"/>
      <c r="J945" s="53" t="str">
        <f>IFERROR(__xludf.DUMMYFUNCTION("""COMPUTED_VALUE"""),"")</f>
        <v/>
      </c>
      <c r="K945" s="52"/>
      <c r="L945" s="52"/>
      <c r="M945" s="52"/>
      <c r="N945" s="52"/>
      <c r="O945" s="52"/>
      <c r="P945" s="52"/>
      <c r="Q945" s="52"/>
      <c r="R945" s="52"/>
      <c r="S945" s="52"/>
      <c r="T945" s="52"/>
      <c r="U945" s="52"/>
      <c r="V945" s="52"/>
      <c r="W945" s="52"/>
      <c r="X945" s="52"/>
      <c r="Y945" s="52"/>
      <c r="Z945" s="52"/>
    </row>
    <row r="946">
      <c r="A946" s="52"/>
      <c r="B946" s="52"/>
      <c r="C946" s="52"/>
      <c r="D946" s="52"/>
      <c r="E946" s="52"/>
      <c r="F946" s="52"/>
      <c r="G946" s="52"/>
      <c r="H946" s="52"/>
      <c r="I946" s="52"/>
      <c r="J946" s="53" t="str">
        <f>IFERROR(__xludf.DUMMYFUNCTION("""COMPUTED_VALUE"""),"")</f>
        <v/>
      </c>
      <c r="K946" s="52"/>
      <c r="L946" s="52"/>
      <c r="M946" s="52"/>
      <c r="N946" s="52"/>
      <c r="O946" s="52"/>
      <c r="P946" s="52"/>
      <c r="Q946" s="52"/>
      <c r="R946" s="52"/>
      <c r="S946" s="52"/>
      <c r="T946" s="52"/>
      <c r="U946" s="52"/>
      <c r="V946" s="52"/>
      <c r="W946" s="52"/>
      <c r="X946" s="52"/>
      <c r="Y946" s="52"/>
      <c r="Z946" s="52"/>
    </row>
    <row r="947">
      <c r="A947" s="52"/>
      <c r="B947" s="52"/>
      <c r="C947" s="52"/>
      <c r="D947" s="52"/>
      <c r="E947" s="52"/>
      <c r="F947" s="52"/>
      <c r="G947" s="52"/>
      <c r="H947" s="52"/>
      <c r="I947" s="52"/>
      <c r="J947" s="53" t="str">
        <f>IFERROR(__xludf.DUMMYFUNCTION("""COMPUTED_VALUE"""),"")</f>
        <v/>
      </c>
      <c r="K947" s="52"/>
      <c r="L947" s="52"/>
      <c r="M947" s="52"/>
      <c r="N947" s="52"/>
      <c r="O947" s="52"/>
      <c r="P947" s="52"/>
      <c r="Q947" s="52"/>
      <c r="R947" s="52"/>
      <c r="S947" s="52"/>
      <c r="T947" s="52"/>
      <c r="U947" s="52"/>
      <c r="V947" s="52"/>
      <c r="W947" s="52"/>
      <c r="X947" s="52"/>
      <c r="Y947" s="52"/>
      <c r="Z947" s="52"/>
    </row>
    <row r="948">
      <c r="A948" s="52"/>
      <c r="B948" s="52"/>
      <c r="C948" s="52"/>
      <c r="D948" s="52"/>
      <c r="E948" s="52"/>
      <c r="F948" s="52"/>
      <c r="G948" s="52"/>
      <c r="H948" s="52"/>
      <c r="I948" s="52"/>
      <c r="J948" s="53" t="str">
        <f>IFERROR(__xludf.DUMMYFUNCTION("""COMPUTED_VALUE"""),"")</f>
        <v/>
      </c>
      <c r="K948" s="52"/>
      <c r="L948" s="52"/>
      <c r="M948" s="52"/>
      <c r="N948" s="52"/>
      <c r="O948" s="52"/>
      <c r="P948" s="52"/>
      <c r="Q948" s="52"/>
      <c r="R948" s="52"/>
      <c r="S948" s="52"/>
      <c r="T948" s="52"/>
      <c r="U948" s="52"/>
      <c r="V948" s="52"/>
      <c r="W948" s="52"/>
      <c r="X948" s="52"/>
      <c r="Y948" s="52"/>
      <c r="Z948" s="52"/>
    </row>
    <row r="949">
      <c r="A949" s="52"/>
      <c r="B949" s="52"/>
      <c r="C949" s="52"/>
      <c r="D949" s="52"/>
      <c r="E949" s="52"/>
      <c r="F949" s="52"/>
      <c r="G949" s="52"/>
      <c r="H949" s="52"/>
      <c r="I949" s="52"/>
      <c r="J949" s="53" t="str">
        <f>IFERROR(__xludf.DUMMYFUNCTION("""COMPUTED_VALUE"""),"")</f>
        <v/>
      </c>
      <c r="K949" s="52"/>
      <c r="L949" s="52"/>
      <c r="M949" s="52"/>
      <c r="N949" s="52"/>
      <c r="O949" s="52"/>
      <c r="P949" s="52"/>
      <c r="Q949" s="52"/>
      <c r="R949" s="52"/>
      <c r="S949" s="52"/>
      <c r="T949" s="52"/>
      <c r="U949" s="52"/>
      <c r="V949" s="52"/>
      <c r="W949" s="52"/>
      <c r="X949" s="52"/>
      <c r="Y949" s="52"/>
      <c r="Z949" s="52"/>
    </row>
    <row r="950">
      <c r="A950" s="52"/>
      <c r="B950" s="52"/>
      <c r="C950" s="52"/>
      <c r="D950" s="52"/>
      <c r="E950" s="52"/>
      <c r="F950" s="52"/>
      <c r="G950" s="52"/>
      <c r="H950" s="52"/>
      <c r="I950" s="52"/>
      <c r="J950" s="53" t="str">
        <f>IFERROR(__xludf.DUMMYFUNCTION("""COMPUTED_VALUE"""),"")</f>
        <v/>
      </c>
      <c r="K950" s="52"/>
      <c r="L950" s="52"/>
      <c r="M950" s="52"/>
      <c r="N950" s="52"/>
      <c r="O950" s="52"/>
      <c r="P950" s="52"/>
      <c r="Q950" s="52"/>
      <c r="R950" s="52"/>
      <c r="S950" s="52"/>
      <c r="T950" s="52"/>
      <c r="U950" s="52"/>
      <c r="V950" s="52"/>
      <c r="W950" s="52"/>
      <c r="X950" s="52"/>
      <c r="Y950" s="52"/>
      <c r="Z950" s="52"/>
    </row>
    <row r="951">
      <c r="A951" s="52"/>
      <c r="B951" s="52"/>
      <c r="C951" s="52"/>
      <c r="D951" s="52"/>
      <c r="E951" s="52"/>
      <c r="F951" s="52"/>
      <c r="G951" s="52"/>
      <c r="H951" s="52"/>
      <c r="I951" s="52"/>
      <c r="J951" s="53" t="str">
        <f>IFERROR(__xludf.DUMMYFUNCTION("""COMPUTED_VALUE"""),"")</f>
        <v/>
      </c>
      <c r="K951" s="52"/>
      <c r="L951" s="52"/>
      <c r="M951" s="52"/>
      <c r="N951" s="52"/>
      <c r="O951" s="52"/>
      <c r="P951" s="52"/>
      <c r="Q951" s="52"/>
      <c r="R951" s="52"/>
      <c r="S951" s="52"/>
      <c r="T951" s="52"/>
      <c r="U951" s="52"/>
      <c r="V951" s="52"/>
      <c r="W951" s="52"/>
      <c r="X951" s="52"/>
      <c r="Y951" s="52"/>
      <c r="Z951" s="52"/>
    </row>
    <row r="952">
      <c r="A952" s="52"/>
      <c r="B952" s="52"/>
      <c r="C952" s="52"/>
      <c r="D952" s="52"/>
      <c r="E952" s="52"/>
      <c r="F952" s="52"/>
      <c r="G952" s="52"/>
      <c r="H952" s="52"/>
      <c r="I952" s="52"/>
      <c r="J952" s="53" t="str">
        <f>IFERROR(__xludf.DUMMYFUNCTION("""COMPUTED_VALUE"""),"")</f>
        <v/>
      </c>
      <c r="K952" s="52"/>
      <c r="L952" s="52"/>
      <c r="M952" s="52"/>
      <c r="N952" s="52"/>
      <c r="O952" s="52"/>
      <c r="P952" s="52"/>
      <c r="Q952" s="52"/>
      <c r="R952" s="52"/>
      <c r="S952" s="52"/>
      <c r="T952" s="52"/>
      <c r="U952" s="52"/>
      <c r="V952" s="52"/>
      <c r="W952" s="52"/>
      <c r="X952" s="52"/>
      <c r="Y952" s="52"/>
      <c r="Z952" s="52"/>
    </row>
    <row r="953">
      <c r="A953" s="52"/>
      <c r="B953" s="52"/>
      <c r="C953" s="52"/>
      <c r="D953" s="52"/>
      <c r="E953" s="52"/>
      <c r="F953" s="52"/>
      <c r="G953" s="52"/>
      <c r="H953" s="52"/>
      <c r="I953" s="52"/>
      <c r="J953" s="53" t="str">
        <f>IFERROR(__xludf.DUMMYFUNCTION("""COMPUTED_VALUE"""),"")</f>
        <v/>
      </c>
      <c r="K953" s="52"/>
      <c r="L953" s="52"/>
      <c r="M953" s="52"/>
      <c r="N953" s="52"/>
      <c r="O953" s="52"/>
      <c r="P953" s="52"/>
      <c r="Q953" s="52"/>
      <c r="R953" s="52"/>
      <c r="S953" s="52"/>
      <c r="T953" s="52"/>
      <c r="U953" s="52"/>
      <c r="V953" s="52"/>
      <c r="W953" s="52"/>
      <c r="X953" s="52"/>
      <c r="Y953" s="52"/>
      <c r="Z953" s="52"/>
    </row>
    <row r="954">
      <c r="A954" s="52"/>
      <c r="B954" s="52"/>
      <c r="C954" s="52"/>
      <c r="D954" s="52"/>
      <c r="E954" s="52"/>
      <c r="F954" s="52"/>
      <c r="G954" s="52"/>
      <c r="H954" s="52"/>
      <c r="I954" s="52"/>
      <c r="J954" s="53" t="str">
        <f>IFERROR(__xludf.DUMMYFUNCTION("""COMPUTED_VALUE"""),"")</f>
        <v/>
      </c>
      <c r="K954" s="52"/>
      <c r="L954" s="52"/>
      <c r="M954" s="52"/>
      <c r="N954" s="52"/>
      <c r="O954" s="52"/>
      <c r="P954" s="52"/>
      <c r="Q954" s="52"/>
      <c r="R954" s="52"/>
      <c r="S954" s="52"/>
      <c r="T954" s="52"/>
      <c r="U954" s="52"/>
      <c r="V954" s="52"/>
      <c r="W954" s="52"/>
      <c r="X954" s="52"/>
      <c r="Y954" s="52"/>
      <c r="Z954" s="52"/>
    </row>
    <row r="955">
      <c r="A955" s="52"/>
      <c r="B955" s="52"/>
      <c r="C955" s="52"/>
      <c r="D955" s="52"/>
      <c r="E955" s="52"/>
      <c r="F955" s="52"/>
      <c r="G955" s="52"/>
      <c r="H955" s="52"/>
      <c r="I955" s="52"/>
      <c r="J955" s="53" t="str">
        <f>IFERROR(__xludf.DUMMYFUNCTION("""COMPUTED_VALUE"""),"")</f>
        <v/>
      </c>
      <c r="K955" s="52"/>
      <c r="L955" s="52"/>
      <c r="M955" s="52"/>
      <c r="N955" s="52"/>
      <c r="O955" s="52"/>
      <c r="P955" s="52"/>
      <c r="Q955" s="52"/>
      <c r="R955" s="52"/>
      <c r="S955" s="52"/>
      <c r="T955" s="52"/>
      <c r="U955" s="52"/>
      <c r="V955" s="52"/>
      <c r="W955" s="52"/>
      <c r="X955" s="52"/>
      <c r="Y955" s="52"/>
      <c r="Z955" s="52"/>
    </row>
    <row r="956">
      <c r="A956" s="52"/>
      <c r="B956" s="52"/>
      <c r="C956" s="52"/>
      <c r="D956" s="52"/>
      <c r="E956" s="52"/>
      <c r="F956" s="52"/>
      <c r="G956" s="52"/>
      <c r="H956" s="52"/>
      <c r="I956" s="52"/>
      <c r="J956" s="53" t="str">
        <f>IFERROR(__xludf.DUMMYFUNCTION("""COMPUTED_VALUE"""),"")</f>
        <v/>
      </c>
      <c r="K956" s="52"/>
      <c r="L956" s="52"/>
      <c r="M956" s="52"/>
      <c r="N956" s="52"/>
      <c r="O956" s="52"/>
      <c r="P956" s="52"/>
      <c r="Q956" s="52"/>
      <c r="R956" s="52"/>
      <c r="S956" s="52"/>
      <c r="T956" s="52"/>
      <c r="U956" s="52"/>
      <c r="V956" s="52"/>
      <c r="W956" s="52"/>
      <c r="X956" s="52"/>
      <c r="Y956" s="52"/>
      <c r="Z956" s="52"/>
    </row>
    <row r="957">
      <c r="A957" s="52"/>
      <c r="B957" s="52"/>
      <c r="C957" s="52"/>
      <c r="D957" s="52"/>
      <c r="E957" s="52"/>
      <c r="F957" s="52"/>
      <c r="G957" s="52"/>
      <c r="H957" s="52"/>
      <c r="I957" s="52"/>
      <c r="J957" s="53" t="str">
        <f>IFERROR(__xludf.DUMMYFUNCTION("""COMPUTED_VALUE"""),"")</f>
        <v/>
      </c>
      <c r="K957" s="52"/>
      <c r="L957" s="52"/>
      <c r="M957" s="52"/>
      <c r="N957" s="52"/>
      <c r="O957" s="52"/>
      <c r="P957" s="52"/>
      <c r="Q957" s="52"/>
      <c r="R957" s="52"/>
      <c r="S957" s="52"/>
      <c r="T957" s="52"/>
      <c r="U957" s="52"/>
      <c r="V957" s="52"/>
      <c r="W957" s="52"/>
      <c r="X957" s="52"/>
      <c r="Y957" s="52"/>
      <c r="Z957" s="52"/>
    </row>
    <row r="958">
      <c r="A958" s="52"/>
      <c r="B958" s="52"/>
      <c r="C958" s="52"/>
      <c r="D958" s="52"/>
      <c r="E958" s="52"/>
      <c r="F958" s="52"/>
      <c r="G958" s="52"/>
      <c r="H958" s="52"/>
      <c r="I958" s="52"/>
      <c r="J958" s="53" t="str">
        <f>IFERROR(__xludf.DUMMYFUNCTION("""COMPUTED_VALUE"""),"")</f>
        <v/>
      </c>
      <c r="K958" s="52"/>
      <c r="L958" s="52"/>
      <c r="M958" s="52"/>
      <c r="N958" s="52"/>
      <c r="O958" s="52"/>
      <c r="P958" s="52"/>
      <c r="Q958" s="52"/>
      <c r="R958" s="52"/>
      <c r="S958" s="52"/>
      <c r="T958" s="52"/>
      <c r="U958" s="52"/>
      <c r="V958" s="52"/>
      <c r="W958" s="52"/>
      <c r="X958" s="52"/>
      <c r="Y958" s="52"/>
      <c r="Z958" s="52"/>
    </row>
    <row r="959">
      <c r="A959" s="52"/>
      <c r="B959" s="52"/>
      <c r="C959" s="52"/>
      <c r="D959" s="52"/>
      <c r="E959" s="52"/>
      <c r="F959" s="52"/>
      <c r="G959" s="52"/>
      <c r="H959" s="52"/>
      <c r="I959" s="52"/>
      <c r="J959" s="53" t="str">
        <f>IFERROR(__xludf.DUMMYFUNCTION("""COMPUTED_VALUE"""),"")</f>
        <v/>
      </c>
      <c r="K959" s="52"/>
      <c r="L959" s="52"/>
      <c r="M959" s="52"/>
      <c r="N959" s="52"/>
      <c r="O959" s="52"/>
      <c r="P959" s="52"/>
      <c r="Q959" s="52"/>
      <c r="R959" s="52"/>
      <c r="S959" s="52"/>
      <c r="T959" s="52"/>
      <c r="U959" s="52"/>
      <c r="V959" s="52"/>
      <c r="W959" s="52"/>
      <c r="X959" s="52"/>
      <c r="Y959" s="52"/>
      <c r="Z959" s="52"/>
    </row>
    <row r="960">
      <c r="A960" s="52"/>
      <c r="B960" s="52"/>
      <c r="C960" s="52"/>
      <c r="D960" s="52"/>
      <c r="E960" s="52"/>
      <c r="F960" s="52"/>
      <c r="G960" s="52"/>
      <c r="H960" s="52"/>
      <c r="I960" s="52"/>
      <c r="J960" s="53" t="str">
        <f>IFERROR(__xludf.DUMMYFUNCTION("""COMPUTED_VALUE"""),"")</f>
        <v/>
      </c>
      <c r="K960" s="52"/>
      <c r="L960" s="52"/>
      <c r="M960" s="52"/>
      <c r="N960" s="52"/>
      <c r="O960" s="52"/>
      <c r="P960" s="52"/>
      <c r="Q960" s="52"/>
      <c r="R960" s="52"/>
      <c r="S960" s="52"/>
      <c r="T960" s="52"/>
      <c r="U960" s="52"/>
      <c r="V960" s="52"/>
      <c r="W960" s="52"/>
      <c r="X960" s="52"/>
      <c r="Y960" s="52"/>
      <c r="Z960" s="52"/>
    </row>
    <row r="961">
      <c r="A961" s="52"/>
      <c r="B961" s="52"/>
      <c r="C961" s="52"/>
      <c r="D961" s="52"/>
      <c r="E961" s="52"/>
      <c r="F961" s="52"/>
      <c r="G961" s="52"/>
      <c r="H961" s="52"/>
      <c r="I961" s="52"/>
      <c r="J961" s="53" t="str">
        <f>IFERROR(__xludf.DUMMYFUNCTION("""COMPUTED_VALUE"""),"")</f>
        <v/>
      </c>
      <c r="K961" s="52"/>
      <c r="L961" s="52"/>
      <c r="M961" s="52"/>
      <c r="N961" s="52"/>
      <c r="O961" s="52"/>
      <c r="P961" s="52"/>
      <c r="Q961" s="52"/>
      <c r="R961" s="52"/>
      <c r="S961" s="52"/>
      <c r="T961" s="52"/>
      <c r="U961" s="52"/>
      <c r="V961" s="52"/>
      <c r="W961" s="52"/>
      <c r="X961" s="52"/>
      <c r="Y961" s="52"/>
      <c r="Z961" s="52"/>
    </row>
    <row r="962">
      <c r="A962" s="52"/>
      <c r="B962" s="52"/>
      <c r="C962" s="52"/>
      <c r="D962" s="52"/>
      <c r="E962" s="52"/>
      <c r="F962" s="52"/>
      <c r="G962" s="52"/>
      <c r="H962" s="52"/>
      <c r="I962" s="52"/>
      <c r="J962" s="53" t="str">
        <f>IFERROR(__xludf.DUMMYFUNCTION("""COMPUTED_VALUE"""),"")</f>
        <v/>
      </c>
      <c r="K962" s="52"/>
      <c r="L962" s="52"/>
      <c r="M962" s="52"/>
      <c r="N962" s="52"/>
      <c r="O962" s="52"/>
      <c r="P962" s="52"/>
      <c r="Q962" s="52"/>
      <c r="R962" s="52"/>
      <c r="S962" s="52"/>
      <c r="T962" s="52"/>
      <c r="U962" s="52"/>
      <c r="V962" s="52"/>
      <c r="W962" s="52"/>
      <c r="X962" s="52"/>
      <c r="Y962" s="52"/>
      <c r="Z962" s="52"/>
    </row>
    <row r="963">
      <c r="A963" s="52"/>
      <c r="B963" s="52"/>
      <c r="C963" s="52"/>
      <c r="D963" s="52"/>
      <c r="E963" s="52"/>
      <c r="F963" s="52"/>
      <c r="G963" s="52"/>
      <c r="H963" s="52"/>
      <c r="I963" s="52"/>
      <c r="J963" s="53" t="str">
        <f>IFERROR(__xludf.DUMMYFUNCTION("""COMPUTED_VALUE"""),"")</f>
        <v/>
      </c>
      <c r="K963" s="52"/>
      <c r="L963" s="52"/>
      <c r="M963" s="52"/>
      <c r="N963" s="52"/>
      <c r="O963" s="52"/>
      <c r="P963" s="52"/>
      <c r="Q963" s="52"/>
      <c r="R963" s="52"/>
      <c r="S963" s="52"/>
      <c r="T963" s="52"/>
      <c r="U963" s="52"/>
      <c r="V963" s="52"/>
      <c r="W963" s="52"/>
      <c r="X963" s="52"/>
      <c r="Y963" s="52"/>
      <c r="Z963" s="52"/>
    </row>
    <row r="964">
      <c r="A964" s="52"/>
      <c r="B964" s="52"/>
      <c r="C964" s="52"/>
      <c r="D964" s="52"/>
      <c r="E964" s="52"/>
      <c r="F964" s="52"/>
      <c r="G964" s="52"/>
      <c r="H964" s="52"/>
      <c r="I964" s="52"/>
      <c r="J964" s="53" t="str">
        <f>IFERROR(__xludf.DUMMYFUNCTION("""COMPUTED_VALUE"""),"")</f>
        <v/>
      </c>
      <c r="K964" s="52"/>
      <c r="L964" s="52"/>
      <c r="M964" s="52"/>
      <c r="N964" s="52"/>
      <c r="O964" s="52"/>
      <c r="P964" s="52"/>
      <c r="Q964" s="52"/>
      <c r="R964" s="52"/>
      <c r="S964" s="52"/>
      <c r="T964" s="52"/>
      <c r="U964" s="52"/>
      <c r="V964" s="52"/>
      <c r="W964" s="52"/>
      <c r="X964" s="52"/>
      <c r="Y964" s="52"/>
      <c r="Z964" s="52"/>
    </row>
    <row r="965">
      <c r="A965" s="52"/>
      <c r="B965" s="52"/>
      <c r="C965" s="52"/>
      <c r="D965" s="52"/>
      <c r="E965" s="52"/>
      <c r="F965" s="52"/>
      <c r="G965" s="52"/>
      <c r="H965" s="52"/>
      <c r="I965" s="52"/>
      <c r="J965" s="53" t="str">
        <f>IFERROR(__xludf.DUMMYFUNCTION("""COMPUTED_VALUE"""),"")</f>
        <v/>
      </c>
      <c r="K965" s="52"/>
      <c r="L965" s="52"/>
      <c r="M965" s="52"/>
      <c r="N965" s="52"/>
      <c r="O965" s="52"/>
      <c r="P965" s="52"/>
      <c r="Q965" s="52"/>
      <c r="R965" s="52"/>
      <c r="S965" s="52"/>
      <c r="T965" s="52"/>
      <c r="U965" s="52"/>
      <c r="V965" s="52"/>
      <c r="W965" s="52"/>
      <c r="X965" s="52"/>
      <c r="Y965" s="52"/>
      <c r="Z965" s="52"/>
    </row>
    <row r="966">
      <c r="A966" s="52"/>
      <c r="B966" s="52"/>
      <c r="C966" s="52"/>
      <c r="D966" s="52"/>
      <c r="E966" s="52"/>
      <c r="F966" s="52"/>
      <c r="G966" s="52"/>
      <c r="H966" s="52"/>
      <c r="I966" s="52"/>
      <c r="J966" s="53" t="str">
        <f>IFERROR(__xludf.DUMMYFUNCTION("""COMPUTED_VALUE"""),"")</f>
        <v/>
      </c>
      <c r="K966" s="52"/>
      <c r="L966" s="52"/>
      <c r="M966" s="52"/>
      <c r="N966" s="52"/>
      <c r="O966" s="52"/>
      <c r="P966" s="52"/>
      <c r="Q966" s="52"/>
      <c r="R966" s="52"/>
      <c r="S966" s="52"/>
      <c r="T966" s="52"/>
      <c r="U966" s="52"/>
      <c r="V966" s="52"/>
      <c r="W966" s="52"/>
      <c r="X966" s="52"/>
      <c r="Y966" s="52"/>
      <c r="Z966" s="52"/>
    </row>
    <row r="967">
      <c r="A967" s="52"/>
      <c r="B967" s="52"/>
      <c r="C967" s="52"/>
      <c r="D967" s="52"/>
      <c r="E967" s="52"/>
      <c r="F967" s="52"/>
      <c r="G967" s="52"/>
      <c r="H967" s="52"/>
      <c r="I967" s="52"/>
      <c r="J967" s="53" t="str">
        <f>IFERROR(__xludf.DUMMYFUNCTION("""COMPUTED_VALUE"""),"")</f>
        <v/>
      </c>
      <c r="K967" s="52"/>
      <c r="L967" s="52"/>
      <c r="M967" s="52"/>
      <c r="N967" s="52"/>
      <c r="O967" s="52"/>
      <c r="P967" s="52"/>
      <c r="Q967" s="52"/>
      <c r="R967" s="52"/>
      <c r="S967" s="52"/>
      <c r="T967" s="52"/>
      <c r="U967" s="52"/>
      <c r="V967" s="52"/>
      <c r="W967" s="52"/>
      <c r="X967" s="52"/>
      <c r="Y967" s="52"/>
      <c r="Z967" s="52"/>
    </row>
    <row r="968">
      <c r="A968" s="52"/>
      <c r="B968" s="52"/>
      <c r="C968" s="52"/>
      <c r="D968" s="52"/>
      <c r="E968" s="52"/>
      <c r="F968" s="52"/>
      <c r="G968" s="52"/>
      <c r="H968" s="52"/>
      <c r="I968" s="52"/>
      <c r="J968" s="53" t="str">
        <f>IFERROR(__xludf.DUMMYFUNCTION("""COMPUTED_VALUE"""),"")</f>
        <v/>
      </c>
      <c r="K968" s="52"/>
      <c r="L968" s="52"/>
      <c r="M968" s="52"/>
      <c r="N968" s="52"/>
      <c r="O968" s="52"/>
      <c r="P968" s="52"/>
      <c r="Q968" s="52"/>
      <c r="R968" s="52"/>
      <c r="S968" s="52"/>
      <c r="T968" s="52"/>
      <c r="U968" s="52"/>
      <c r="V968" s="52"/>
      <c r="W968" s="52"/>
      <c r="X968" s="52"/>
      <c r="Y968" s="52"/>
      <c r="Z968" s="52"/>
    </row>
    <row r="969">
      <c r="A969" s="52"/>
      <c r="B969" s="52"/>
      <c r="C969" s="52"/>
      <c r="D969" s="52"/>
      <c r="E969" s="52"/>
      <c r="F969" s="52"/>
      <c r="G969" s="52"/>
      <c r="H969" s="52"/>
      <c r="I969" s="52"/>
      <c r="J969" s="53" t="str">
        <f>IFERROR(__xludf.DUMMYFUNCTION("""COMPUTED_VALUE"""),"")</f>
        <v/>
      </c>
      <c r="K969" s="52"/>
      <c r="L969" s="52"/>
      <c r="M969" s="52"/>
      <c r="N969" s="52"/>
      <c r="O969" s="52"/>
      <c r="P969" s="52"/>
      <c r="Q969" s="52"/>
      <c r="R969" s="52"/>
      <c r="S969" s="52"/>
      <c r="T969" s="52"/>
      <c r="U969" s="52"/>
      <c r="V969" s="52"/>
      <c r="W969" s="52"/>
      <c r="X969" s="52"/>
      <c r="Y969" s="52"/>
      <c r="Z969" s="52"/>
    </row>
    <row r="970">
      <c r="A970" s="52"/>
      <c r="B970" s="52"/>
      <c r="C970" s="52"/>
      <c r="D970" s="52"/>
      <c r="E970" s="52"/>
      <c r="F970" s="52"/>
      <c r="G970" s="52"/>
      <c r="H970" s="52"/>
      <c r="I970" s="52"/>
      <c r="J970" s="53" t="str">
        <f>IFERROR(__xludf.DUMMYFUNCTION("""COMPUTED_VALUE"""),"")</f>
        <v/>
      </c>
      <c r="K970" s="52"/>
      <c r="L970" s="52"/>
      <c r="M970" s="52"/>
      <c r="N970" s="52"/>
      <c r="O970" s="52"/>
      <c r="P970" s="52"/>
      <c r="Q970" s="52"/>
      <c r="R970" s="52"/>
      <c r="S970" s="52"/>
      <c r="T970" s="52"/>
      <c r="U970" s="52"/>
      <c r="V970" s="52"/>
      <c r="W970" s="52"/>
      <c r="X970" s="52"/>
      <c r="Y970" s="52"/>
      <c r="Z970" s="52"/>
    </row>
    <row r="971">
      <c r="A971" s="52"/>
      <c r="B971" s="52"/>
      <c r="C971" s="52"/>
      <c r="D971" s="52"/>
      <c r="E971" s="52"/>
      <c r="F971" s="52"/>
      <c r="G971" s="52"/>
      <c r="H971" s="52"/>
      <c r="I971" s="52"/>
      <c r="J971" s="53" t="str">
        <f>IFERROR(__xludf.DUMMYFUNCTION("""COMPUTED_VALUE"""),"")</f>
        <v/>
      </c>
      <c r="K971" s="52"/>
      <c r="L971" s="52"/>
      <c r="M971" s="52"/>
      <c r="N971" s="52"/>
      <c r="O971" s="52"/>
      <c r="P971" s="52"/>
      <c r="Q971" s="52"/>
      <c r="R971" s="52"/>
      <c r="S971" s="52"/>
      <c r="T971" s="52"/>
      <c r="U971" s="52"/>
      <c r="V971" s="52"/>
      <c r="W971" s="52"/>
      <c r="X971" s="52"/>
      <c r="Y971" s="52"/>
      <c r="Z971" s="52"/>
    </row>
    <row r="972">
      <c r="A972" s="52"/>
      <c r="B972" s="52"/>
      <c r="C972" s="52"/>
      <c r="D972" s="52"/>
      <c r="E972" s="52"/>
      <c r="F972" s="52"/>
      <c r="G972" s="52"/>
      <c r="H972" s="52"/>
      <c r="I972" s="52"/>
      <c r="J972" s="53" t="str">
        <f>IFERROR(__xludf.DUMMYFUNCTION("""COMPUTED_VALUE"""),"")</f>
        <v/>
      </c>
      <c r="K972" s="52"/>
      <c r="L972" s="52"/>
      <c r="M972" s="52"/>
      <c r="N972" s="52"/>
      <c r="O972" s="52"/>
      <c r="P972" s="52"/>
      <c r="Q972" s="52"/>
      <c r="R972" s="52"/>
      <c r="S972" s="52"/>
      <c r="T972" s="52"/>
      <c r="U972" s="52"/>
      <c r="V972" s="52"/>
      <c r="W972" s="52"/>
      <c r="X972" s="52"/>
      <c r="Y972" s="52"/>
      <c r="Z972" s="52"/>
    </row>
    <row r="973">
      <c r="A973" s="52"/>
      <c r="B973" s="52"/>
      <c r="C973" s="52"/>
      <c r="D973" s="52"/>
      <c r="E973" s="52"/>
      <c r="F973" s="52"/>
      <c r="G973" s="52"/>
      <c r="H973" s="52"/>
      <c r="I973" s="52"/>
      <c r="J973" s="53" t="str">
        <f>IFERROR(__xludf.DUMMYFUNCTION("""COMPUTED_VALUE"""),"")</f>
        <v/>
      </c>
      <c r="K973" s="52"/>
      <c r="L973" s="52"/>
      <c r="M973" s="52"/>
      <c r="N973" s="52"/>
      <c r="O973" s="52"/>
      <c r="P973" s="52"/>
      <c r="Q973" s="52"/>
      <c r="R973" s="52"/>
      <c r="S973" s="52"/>
      <c r="T973" s="52"/>
      <c r="U973" s="52"/>
      <c r="V973" s="52"/>
      <c r="W973" s="52"/>
      <c r="X973" s="52"/>
      <c r="Y973" s="52"/>
      <c r="Z973" s="52"/>
    </row>
    <row r="974">
      <c r="A974" s="52"/>
      <c r="B974" s="52"/>
      <c r="C974" s="52"/>
      <c r="D974" s="52"/>
      <c r="E974" s="52"/>
      <c r="F974" s="52"/>
      <c r="G974" s="52"/>
      <c r="H974" s="52"/>
      <c r="I974" s="52"/>
      <c r="J974" s="53" t="str">
        <f>IFERROR(__xludf.DUMMYFUNCTION("""COMPUTED_VALUE"""),"")</f>
        <v/>
      </c>
      <c r="K974" s="52"/>
      <c r="L974" s="52"/>
      <c r="M974" s="52"/>
      <c r="N974" s="52"/>
      <c r="O974" s="52"/>
      <c r="P974" s="52"/>
      <c r="Q974" s="52"/>
      <c r="R974" s="52"/>
      <c r="S974" s="52"/>
      <c r="T974" s="52"/>
      <c r="U974" s="52"/>
      <c r="V974" s="52"/>
      <c r="W974" s="52"/>
      <c r="X974" s="52"/>
      <c r="Y974" s="52"/>
      <c r="Z974" s="52"/>
    </row>
    <row r="975">
      <c r="A975" s="52"/>
      <c r="B975" s="52"/>
      <c r="C975" s="52"/>
      <c r="D975" s="52"/>
      <c r="E975" s="52"/>
      <c r="F975" s="52"/>
      <c r="G975" s="52"/>
      <c r="H975" s="52"/>
      <c r="I975" s="52"/>
      <c r="J975" s="53" t="str">
        <f>IFERROR(__xludf.DUMMYFUNCTION("""COMPUTED_VALUE"""),"")</f>
        <v/>
      </c>
      <c r="K975" s="52"/>
      <c r="L975" s="52"/>
      <c r="M975" s="52"/>
      <c r="N975" s="52"/>
      <c r="O975" s="52"/>
      <c r="P975" s="52"/>
      <c r="Q975" s="52"/>
      <c r="R975" s="52"/>
      <c r="S975" s="52"/>
      <c r="T975" s="52"/>
      <c r="U975" s="52"/>
      <c r="V975" s="52"/>
      <c r="W975" s="52"/>
      <c r="X975" s="52"/>
      <c r="Y975" s="52"/>
      <c r="Z975" s="52"/>
    </row>
    <row r="976">
      <c r="A976" s="52"/>
      <c r="B976" s="52"/>
      <c r="C976" s="52"/>
      <c r="D976" s="52"/>
      <c r="E976" s="52"/>
      <c r="F976" s="52"/>
      <c r="G976" s="52"/>
      <c r="H976" s="52"/>
      <c r="I976" s="52"/>
      <c r="J976" s="53" t="str">
        <f>IFERROR(__xludf.DUMMYFUNCTION("""COMPUTED_VALUE"""),"")</f>
        <v/>
      </c>
      <c r="K976" s="52"/>
      <c r="L976" s="52"/>
      <c r="M976" s="52"/>
      <c r="N976" s="52"/>
      <c r="O976" s="52"/>
      <c r="P976" s="52"/>
      <c r="Q976" s="52"/>
      <c r="R976" s="52"/>
      <c r="S976" s="52"/>
      <c r="T976" s="52"/>
      <c r="U976" s="52"/>
      <c r="V976" s="52"/>
      <c r="W976" s="52"/>
      <c r="X976" s="52"/>
      <c r="Y976" s="52"/>
      <c r="Z976" s="52"/>
    </row>
    <row r="977">
      <c r="A977" s="52"/>
      <c r="B977" s="52"/>
      <c r="C977" s="52"/>
      <c r="D977" s="52"/>
      <c r="E977" s="52"/>
      <c r="F977" s="52"/>
      <c r="G977" s="52"/>
      <c r="H977" s="52"/>
      <c r="I977" s="52"/>
      <c r="J977" s="53" t="str">
        <f>IFERROR(__xludf.DUMMYFUNCTION("""COMPUTED_VALUE"""),"")</f>
        <v/>
      </c>
      <c r="K977" s="52"/>
      <c r="L977" s="52"/>
      <c r="M977" s="52"/>
      <c r="N977" s="52"/>
      <c r="O977" s="52"/>
      <c r="P977" s="52"/>
      <c r="Q977" s="52"/>
      <c r="R977" s="52"/>
      <c r="S977" s="52"/>
      <c r="T977" s="52"/>
      <c r="U977" s="52"/>
      <c r="V977" s="52"/>
      <c r="W977" s="52"/>
      <c r="X977" s="52"/>
      <c r="Y977" s="52"/>
      <c r="Z977" s="52"/>
    </row>
    <row r="978">
      <c r="A978" s="52"/>
      <c r="B978" s="52"/>
      <c r="C978" s="52"/>
      <c r="D978" s="52"/>
      <c r="E978" s="52"/>
      <c r="F978" s="52"/>
      <c r="G978" s="52"/>
      <c r="H978" s="52"/>
      <c r="I978" s="52"/>
      <c r="J978" s="53" t="str">
        <f>IFERROR(__xludf.DUMMYFUNCTION("""COMPUTED_VALUE"""),"")</f>
        <v/>
      </c>
      <c r="K978" s="52"/>
      <c r="L978" s="52"/>
      <c r="M978" s="52"/>
      <c r="N978" s="52"/>
      <c r="O978" s="52"/>
      <c r="P978" s="52"/>
      <c r="Q978" s="52"/>
      <c r="R978" s="52"/>
      <c r="S978" s="52"/>
      <c r="T978" s="52"/>
      <c r="U978" s="52"/>
      <c r="V978" s="52"/>
      <c r="W978" s="52"/>
      <c r="X978" s="52"/>
      <c r="Y978" s="52"/>
      <c r="Z978" s="52"/>
    </row>
    <row r="979">
      <c r="A979" s="52"/>
      <c r="B979" s="52"/>
      <c r="C979" s="52"/>
      <c r="D979" s="52"/>
      <c r="E979" s="52"/>
      <c r="F979" s="52"/>
      <c r="G979" s="52"/>
      <c r="H979" s="52"/>
      <c r="I979" s="52"/>
      <c r="J979" s="53" t="str">
        <f>IFERROR(__xludf.DUMMYFUNCTION("""COMPUTED_VALUE"""),"")</f>
        <v/>
      </c>
      <c r="K979" s="52"/>
      <c r="L979" s="52"/>
      <c r="M979" s="52"/>
      <c r="N979" s="52"/>
      <c r="O979" s="52"/>
      <c r="P979" s="52"/>
      <c r="Q979" s="52"/>
      <c r="R979" s="52"/>
      <c r="S979" s="52"/>
      <c r="T979" s="52"/>
      <c r="U979" s="52"/>
      <c r="V979" s="52"/>
      <c r="W979" s="52"/>
      <c r="X979" s="52"/>
      <c r="Y979" s="52"/>
      <c r="Z979" s="52"/>
    </row>
    <row r="980">
      <c r="A980" s="52"/>
      <c r="B980" s="52"/>
      <c r="C980" s="52"/>
      <c r="D980" s="52"/>
      <c r="E980" s="52"/>
      <c r="F980" s="52"/>
      <c r="G980" s="52"/>
      <c r="H980" s="52"/>
      <c r="I980" s="52"/>
      <c r="J980" s="53" t="str">
        <f>IFERROR(__xludf.DUMMYFUNCTION("""COMPUTED_VALUE"""),"")</f>
        <v/>
      </c>
      <c r="K980" s="52"/>
      <c r="L980" s="52"/>
      <c r="M980" s="52"/>
      <c r="N980" s="52"/>
      <c r="O980" s="52"/>
      <c r="P980" s="52"/>
      <c r="Q980" s="52"/>
      <c r="R980" s="52"/>
      <c r="S980" s="52"/>
      <c r="T980" s="52"/>
      <c r="U980" s="52"/>
      <c r="V980" s="52"/>
      <c r="W980" s="52"/>
      <c r="X980" s="52"/>
      <c r="Y980" s="52"/>
      <c r="Z980" s="52"/>
    </row>
    <row r="981">
      <c r="A981" s="52"/>
      <c r="B981" s="52"/>
      <c r="C981" s="52"/>
      <c r="D981" s="52"/>
      <c r="E981" s="52"/>
      <c r="F981" s="52"/>
      <c r="G981" s="52"/>
      <c r="H981" s="52"/>
      <c r="I981" s="52"/>
      <c r="J981" s="53" t="str">
        <f>IFERROR(__xludf.DUMMYFUNCTION("""COMPUTED_VALUE"""),"")</f>
        <v/>
      </c>
      <c r="K981" s="52"/>
      <c r="L981" s="52"/>
      <c r="M981" s="52"/>
      <c r="N981" s="52"/>
      <c r="O981" s="52"/>
      <c r="P981" s="52"/>
      <c r="Q981" s="52"/>
      <c r="R981" s="52"/>
      <c r="S981" s="52"/>
      <c r="T981" s="52"/>
      <c r="U981" s="52"/>
      <c r="V981" s="52"/>
      <c r="W981" s="52"/>
      <c r="X981" s="52"/>
      <c r="Y981" s="52"/>
      <c r="Z981" s="52"/>
    </row>
    <row r="982">
      <c r="A982" s="52"/>
      <c r="B982" s="52"/>
      <c r="C982" s="52"/>
      <c r="D982" s="52"/>
      <c r="E982" s="52"/>
      <c r="F982" s="52"/>
      <c r="G982" s="52"/>
      <c r="H982" s="52"/>
      <c r="I982" s="52"/>
      <c r="J982" s="53" t="str">
        <f>IFERROR(__xludf.DUMMYFUNCTION("""COMPUTED_VALUE"""),"")</f>
        <v/>
      </c>
      <c r="K982" s="52"/>
      <c r="L982" s="52"/>
      <c r="M982" s="52"/>
      <c r="N982" s="52"/>
      <c r="O982" s="52"/>
      <c r="P982" s="52"/>
      <c r="Q982" s="52"/>
      <c r="R982" s="52"/>
      <c r="S982" s="52"/>
      <c r="T982" s="52"/>
      <c r="U982" s="52"/>
      <c r="V982" s="52"/>
      <c r="W982" s="52"/>
      <c r="X982" s="52"/>
      <c r="Y982" s="52"/>
      <c r="Z982" s="52"/>
    </row>
    <row r="983">
      <c r="A983" s="52"/>
      <c r="B983" s="52"/>
      <c r="C983" s="52"/>
      <c r="D983" s="52"/>
      <c r="E983" s="52"/>
      <c r="F983" s="52"/>
      <c r="G983" s="52"/>
      <c r="H983" s="52"/>
      <c r="I983" s="52"/>
      <c r="J983" s="53" t="str">
        <f>IFERROR(__xludf.DUMMYFUNCTION("""COMPUTED_VALUE"""),"")</f>
        <v/>
      </c>
      <c r="K983" s="52"/>
      <c r="L983" s="52"/>
      <c r="M983" s="52"/>
      <c r="N983" s="52"/>
      <c r="O983" s="52"/>
      <c r="P983" s="52"/>
      <c r="Q983" s="52"/>
      <c r="R983" s="52"/>
      <c r="S983" s="52"/>
      <c r="T983" s="52"/>
      <c r="U983" s="52"/>
      <c r="V983" s="52"/>
      <c r="W983" s="52"/>
      <c r="X983" s="52"/>
      <c r="Y983" s="52"/>
      <c r="Z983" s="52"/>
    </row>
    <row r="984">
      <c r="A984" s="52"/>
      <c r="B984" s="52"/>
      <c r="C984" s="52"/>
      <c r="D984" s="52"/>
      <c r="E984" s="52"/>
      <c r="F984" s="52"/>
      <c r="G984" s="52"/>
      <c r="H984" s="52"/>
      <c r="I984" s="52"/>
      <c r="J984" s="53" t="str">
        <f>IFERROR(__xludf.DUMMYFUNCTION("""COMPUTED_VALUE"""),"")</f>
        <v/>
      </c>
      <c r="K984" s="52"/>
      <c r="L984" s="52"/>
      <c r="M984" s="52"/>
      <c r="N984" s="52"/>
      <c r="O984" s="52"/>
      <c r="P984" s="52"/>
      <c r="Q984" s="52"/>
      <c r="R984" s="52"/>
      <c r="S984" s="52"/>
      <c r="T984" s="52"/>
      <c r="U984" s="52"/>
      <c r="V984" s="52"/>
      <c r="W984" s="52"/>
      <c r="X984" s="52"/>
      <c r="Y984" s="52"/>
      <c r="Z984" s="52"/>
    </row>
    <row r="985">
      <c r="A985" s="52"/>
      <c r="B985" s="52"/>
      <c r="C985" s="52"/>
      <c r="D985" s="52"/>
      <c r="E985" s="52"/>
      <c r="F985" s="52"/>
      <c r="G985" s="52"/>
      <c r="H985" s="52"/>
      <c r="I985" s="52"/>
      <c r="J985" s="53" t="str">
        <f>IFERROR(__xludf.DUMMYFUNCTION("""COMPUTED_VALUE"""),"")</f>
        <v/>
      </c>
      <c r="K985" s="52"/>
      <c r="L985" s="52"/>
      <c r="M985" s="52"/>
      <c r="N985" s="52"/>
      <c r="O985" s="52"/>
      <c r="P985" s="52"/>
      <c r="Q985" s="52"/>
      <c r="R985" s="52"/>
      <c r="S985" s="52"/>
      <c r="T985" s="52"/>
      <c r="U985" s="52"/>
      <c r="V985" s="52"/>
      <c r="W985" s="52"/>
      <c r="X985" s="52"/>
      <c r="Y985" s="52"/>
      <c r="Z985" s="52"/>
    </row>
    <row r="986">
      <c r="A986" s="52"/>
      <c r="B986" s="52"/>
      <c r="C986" s="52"/>
      <c r="D986" s="52"/>
      <c r="E986" s="52"/>
      <c r="F986" s="52"/>
      <c r="G986" s="52"/>
      <c r="H986" s="52"/>
      <c r="I986" s="52"/>
      <c r="J986" s="53" t="str">
        <f>IFERROR(__xludf.DUMMYFUNCTION("""COMPUTED_VALUE"""),"")</f>
        <v/>
      </c>
      <c r="K986" s="52"/>
      <c r="L986" s="52"/>
      <c r="M986" s="52"/>
      <c r="N986" s="52"/>
      <c r="O986" s="52"/>
      <c r="P986" s="52"/>
      <c r="Q986" s="52"/>
      <c r="R986" s="52"/>
      <c r="S986" s="52"/>
      <c r="T986" s="52"/>
      <c r="U986" s="52"/>
      <c r="V986" s="52"/>
      <c r="W986" s="52"/>
      <c r="X986" s="52"/>
      <c r="Y986" s="52"/>
      <c r="Z986" s="52"/>
    </row>
    <row r="987">
      <c r="A987" s="52"/>
      <c r="B987" s="52"/>
      <c r="C987" s="52"/>
      <c r="D987" s="52"/>
      <c r="E987" s="52"/>
      <c r="F987" s="52"/>
      <c r="G987" s="52"/>
      <c r="H987" s="52"/>
      <c r="I987" s="52"/>
      <c r="J987" s="53" t="str">
        <f>IFERROR(__xludf.DUMMYFUNCTION("""COMPUTED_VALUE"""),"")</f>
        <v/>
      </c>
      <c r="K987" s="52"/>
      <c r="L987" s="52"/>
      <c r="M987" s="52"/>
      <c r="N987" s="52"/>
      <c r="O987" s="52"/>
      <c r="P987" s="52"/>
      <c r="Q987" s="52"/>
      <c r="R987" s="52"/>
      <c r="S987" s="52"/>
      <c r="T987" s="52"/>
      <c r="U987" s="52"/>
      <c r="V987" s="52"/>
      <c r="W987" s="52"/>
      <c r="X987" s="52"/>
      <c r="Y987" s="52"/>
      <c r="Z987" s="52"/>
    </row>
    <row r="988">
      <c r="A988" s="52"/>
      <c r="B988" s="52"/>
      <c r="C988" s="52"/>
      <c r="D988" s="52"/>
      <c r="E988" s="52"/>
      <c r="F988" s="52"/>
      <c r="G988" s="52"/>
      <c r="H988" s="52"/>
      <c r="I988" s="52"/>
      <c r="J988" s="53" t="str">
        <f>IFERROR(__xludf.DUMMYFUNCTION("""COMPUTED_VALUE"""),"")</f>
        <v/>
      </c>
      <c r="K988" s="52"/>
      <c r="L988" s="52"/>
      <c r="M988" s="52"/>
      <c r="N988" s="52"/>
      <c r="O988" s="52"/>
      <c r="P988" s="52"/>
      <c r="Q988" s="52"/>
      <c r="R988" s="52"/>
      <c r="S988" s="52"/>
      <c r="T988" s="52"/>
      <c r="U988" s="52"/>
      <c r="V988" s="52"/>
      <c r="W988" s="52"/>
      <c r="X988" s="52"/>
      <c r="Y988" s="52"/>
      <c r="Z988" s="52"/>
    </row>
    <row r="989">
      <c r="A989" s="52"/>
      <c r="B989" s="52"/>
      <c r="C989" s="52"/>
      <c r="D989" s="52"/>
      <c r="E989" s="52"/>
      <c r="F989" s="52"/>
      <c r="G989" s="52"/>
      <c r="H989" s="52"/>
      <c r="I989" s="52"/>
      <c r="J989" s="53" t="str">
        <f>IFERROR(__xludf.DUMMYFUNCTION("""COMPUTED_VALUE"""),"")</f>
        <v/>
      </c>
      <c r="K989" s="52"/>
      <c r="L989" s="52"/>
      <c r="M989" s="52"/>
      <c r="N989" s="52"/>
      <c r="O989" s="52"/>
      <c r="P989" s="52"/>
      <c r="Q989" s="52"/>
      <c r="R989" s="52"/>
      <c r="S989" s="52"/>
      <c r="T989" s="52"/>
      <c r="U989" s="52"/>
      <c r="V989" s="52"/>
      <c r="W989" s="52"/>
      <c r="X989" s="52"/>
      <c r="Y989" s="52"/>
      <c r="Z989" s="52"/>
    </row>
    <row r="990">
      <c r="A990" s="52"/>
      <c r="B990" s="52"/>
      <c r="C990" s="52"/>
      <c r="D990" s="52"/>
      <c r="E990" s="52"/>
      <c r="F990" s="52"/>
      <c r="G990" s="52"/>
      <c r="H990" s="52"/>
      <c r="I990" s="52"/>
      <c r="J990" s="53" t="str">
        <f>IFERROR(__xludf.DUMMYFUNCTION("""COMPUTED_VALUE"""),"")</f>
        <v/>
      </c>
      <c r="K990" s="52"/>
      <c r="L990" s="52"/>
      <c r="M990" s="52"/>
      <c r="N990" s="52"/>
      <c r="O990" s="52"/>
      <c r="P990" s="52"/>
      <c r="Q990" s="52"/>
      <c r="R990" s="52"/>
      <c r="S990" s="52"/>
      <c r="T990" s="52"/>
      <c r="U990" s="52"/>
      <c r="V990" s="52"/>
      <c r="W990" s="52"/>
      <c r="X990" s="52"/>
      <c r="Y990" s="52"/>
      <c r="Z990" s="52"/>
    </row>
    <row r="991">
      <c r="A991" s="52"/>
      <c r="B991" s="52"/>
      <c r="C991" s="52"/>
      <c r="D991" s="52"/>
      <c r="E991" s="52"/>
      <c r="F991" s="52"/>
      <c r="G991" s="52"/>
      <c r="H991" s="52"/>
      <c r="I991" s="52"/>
      <c r="J991" s="53" t="str">
        <f>IFERROR(__xludf.DUMMYFUNCTION("""COMPUTED_VALUE"""),"")</f>
        <v/>
      </c>
      <c r="K991" s="52"/>
      <c r="L991" s="52"/>
      <c r="M991" s="52"/>
      <c r="N991" s="52"/>
      <c r="O991" s="52"/>
      <c r="P991" s="52"/>
      <c r="Q991" s="52"/>
      <c r="R991" s="52"/>
      <c r="S991" s="52"/>
      <c r="T991" s="52"/>
      <c r="U991" s="52"/>
      <c r="V991" s="52"/>
      <c r="W991" s="52"/>
      <c r="X991" s="52"/>
      <c r="Y991" s="52"/>
      <c r="Z991" s="52"/>
    </row>
    <row r="992">
      <c r="A992" s="52"/>
      <c r="B992" s="52"/>
      <c r="C992" s="52"/>
      <c r="D992" s="52"/>
      <c r="E992" s="52"/>
      <c r="F992" s="52"/>
      <c r="G992" s="52"/>
      <c r="H992" s="52"/>
      <c r="I992" s="52"/>
      <c r="J992" s="53" t="str">
        <f>IFERROR(__xludf.DUMMYFUNCTION("""COMPUTED_VALUE"""),"")</f>
        <v/>
      </c>
      <c r="K992" s="52"/>
      <c r="L992" s="52"/>
      <c r="M992" s="52"/>
      <c r="N992" s="52"/>
      <c r="O992" s="52"/>
      <c r="P992" s="52"/>
      <c r="Q992" s="52"/>
      <c r="R992" s="52"/>
      <c r="S992" s="52"/>
      <c r="T992" s="52"/>
      <c r="U992" s="52"/>
      <c r="V992" s="52"/>
      <c r="W992" s="52"/>
      <c r="X992" s="52"/>
      <c r="Y992" s="52"/>
      <c r="Z992" s="52"/>
    </row>
    <row r="993">
      <c r="A993" s="52"/>
      <c r="B993" s="52"/>
      <c r="C993" s="52"/>
      <c r="D993" s="52"/>
      <c r="E993" s="52"/>
      <c r="F993" s="52"/>
      <c r="G993" s="52"/>
      <c r="H993" s="52"/>
      <c r="I993" s="52"/>
      <c r="J993" s="53" t="str">
        <f>IFERROR(__xludf.DUMMYFUNCTION("""COMPUTED_VALUE"""),"")</f>
        <v/>
      </c>
      <c r="K993" s="52"/>
      <c r="L993" s="52"/>
      <c r="M993" s="52"/>
      <c r="N993" s="52"/>
      <c r="O993" s="52"/>
      <c r="P993" s="52"/>
      <c r="Q993" s="52"/>
      <c r="R993" s="52"/>
      <c r="S993" s="52"/>
      <c r="T993" s="52"/>
      <c r="U993" s="52"/>
      <c r="V993" s="52"/>
      <c r="W993" s="52"/>
      <c r="X993" s="52"/>
      <c r="Y993" s="52"/>
      <c r="Z993" s="52"/>
    </row>
    <row r="994">
      <c r="A994" s="52"/>
      <c r="B994" s="52"/>
      <c r="C994" s="52"/>
      <c r="D994" s="52"/>
      <c r="E994" s="52"/>
      <c r="F994" s="52"/>
      <c r="G994" s="52"/>
      <c r="H994" s="52"/>
      <c r="I994" s="52"/>
      <c r="J994" s="53" t="str">
        <f>IFERROR(__xludf.DUMMYFUNCTION("""COMPUTED_VALUE"""),"")</f>
        <v/>
      </c>
      <c r="K994" s="52"/>
      <c r="L994" s="52"/>
      <c r="M994" s="52"/>
      <c r="N994" s="52"/>
      <c r="O994" s="52"/>
      <c r="P994" s="52"/>
      <c r="Q994" s="52"/>
      <c r="R994" s="52"/>
      <c r="S994" s="52"/>
      <c r="T994" s="52"/>
      <c r="U994" s="52"/>
      <c r="V994" s="52"/>
      <c r="W994" s="52"/>
      <c r="X994" s="52"/>
      <c r="Y994" s="52"/>
      <c r="Z994" s="52"/>
    </row>
    <row r="995">
      <c r="A995" s="52"/>
      <c r="B995" s="52"/>
      <c r="C995" s="52"/>
      <c r="D995" s="52"/>
      <c r="E995" s="52"/>
      <c r="F995" s="52"/>
      <c r="G995" s="52"/>
      <c r="H995" s="52"/>
      <c r="I995" s="52"/>
      <c r="J995" s="53" t="str">
        <f>IFERROR(__xludf.DUMMYFUNCTION("""COMPUTED_VALUE"""),"")</f>
        <v/>
      </c>
      <c r="K995" s="52"/>
      <c r="L995" s="52"/>
      <c r="M995" s="52"/>
      <c r="N995" s="52"/>
      <c r="O995" s="52"/>
      <c r="P995" s="52"/>
      <c r="Q995" s="52"/>
      <c r="R995" s="52"/>
      <c r="S995" s="52"/>
      <c r="T995" s="52"/>
      <c r="U995" s="52"/>
      <c r="V995" s="52"/>
      <c r="W995" s="52"/>
      <c r="X995" s="52"/>
      <c r="Y995" s="52"/>
      <c r="Z995" s="52"/>
    </row>
    <row r="996">
      <c r="A996" s="52"/>
      <c r="B996" s="52"/>
      <c r="C996" s="52"/>
      <c r="D996" s="52"/>
      <c r="E996" s="52"/>
      <c r="F996" s="52"/>
      <c r="G996" s="52"/>
      <c r="H996" s="52"/>
      <c r="I996" s="52"/>
      <c r="J996" s="53" t="str">
        <f>IFERROR(__xludf.DUMMYFUNCTION("""COMPUTED_VALUE"""),"")</f>
        <v/>
      </c>
      <c r="K996" s="52"/>
      <c r="L996" s="52"/>
      <c r="M996" s="52"/>
      <c r="N996" s="52"/>
      <c r="O996" s="52"/>
      <c r="P996" s="52"/>
      <c r="Q996" s="52"/>
      <c r="R996" s="52"/>
      <c r="S996" s="52"/>
      <c r="T996" s="52"/>
      <c r="U996" s="52"/>
      <c r="V996" s="52"/>
      <c r="W996" s="52"/>
      <c r="X996" s="52"/>
      <c r="Y996" s="52"/>
      <c r="Z996" s="52"/>
    </row>
    <row r="997">
      <c r="A997" s="52"/>
      <c r="B997" s="52"/>
      <c r="C997" s="52"/>
      <c r="D997" s="52"/>
      <c r="E997" s="52"/>
      <c r="F997" s="52"/>
      <c r="G997" s="52"/>
      <c r="H997" s="52"/>
      <c r="I997" s="52"/>
      <c r="J997" s="53" t="str">
        <f>IFERROR(__xludf.DUMMYFUNCTION("""COMPUTED_VALUE"""),"")</f>
        <v/>
      </c>
      <c r="K997" s="52"/>
      <c r="L997" s="52"/>
      <c r="M997" s="52"/>
      <c r="N997" s="52"/>
      <c r="O997" s="52"/>
      <c r="P997" s="52"/>
      <c r="Q997" s="52"/>
      <c r="R997" s="52"/>
      <c r="S997" s="52"/>
      <c r="T997" s="52"/>
      <c r="U997" s="52"/>
      <c r="V997" s="52"/>
      <c r="W997" s="52"/>
      <c r="X997" s="52"/>
      <c r="Y997" s="52"/>
      <c r="Z997" s="52"/>
    </row>
    <row r="998">
      <c r="A998" s="52"/>
      <c r="B998" s="52"/>
      <c r="C998" s="52"/>
      <c r="D998" s="52"/>
      <c r="E998" s="52"/>
      <c r="F998" s="52"/>
      <c r="G998" s="52"/>
      <c r="H998" s="52"/>
      <c r="I998" s="52"/>
      <c r="J998" s="53" t="str">
        <f>IFERROR(__xludf.DUMMYFUNCTION("""COMPUTED_VALUE"""),"")</f>
        <v/>
      </c>
      <c r="K998" s="52"/>
      <c r="L998" s="52"/>
      <c r="M998" s="52"/>
      <c r="N998" s="52"/>
      <c r="O998" s="52"/>
      <c r="P998" s="52"/>
      <c r="Q998" s="52"/>
      <c r="R998" s="52"/>
      <c r="S998" s="52"/>
      <c r="T998" s="52"/>
      <c r="U998" s="52"/>
      <c r="V998" s="52"/>
      <c r="W998" s="52"/>
      <c r="X998" s="52"/>
      <c r="Y998" s="52"/>
      <c r="Z998" s="52"/>
    </row>
    <row r="999">
      <c r="A999" s="52"/>
      <c r="B999" s="52"/>
      <c r="C999" s="52"/>
      <c r="D999" s="52"/>
      <c r="E999" s="52"/>
      <c r="F999" s="52"/>
      <c r="G999" s="52"/>
      <c r="H999" s="52"/>
      <c r="I999" s="52"/>
      <c r="J999" s="53" t="str">
        <f>IFERROR(__xludf.DUMMYFUNCTION("""COMPUTED_VALUE"""),"")</f>
        <v/>
      </c>
      <c r="K999" s="52"/>
      <c r="L999" s="52"/>
      <c r="M999" s="52"/>
      <c r="N999" s="52"/>
      <c r="O999" s="52"/>
      <c r="P999" s="52"/>
      <c r="Q999" s="52"/>
      <c r="R999" s="52"/>
      <c r="S999" s="52"/>
      <c r="T999" s="52"/>
      <c r="U999" s="52"/>
      <c r="V999" s="52"/>
      <c r="W999" s="52"/>
      <c r="X999" s="52"/>
      <c r="Y999" s="52"/>
      <c r="Z999" s="52"/>
    </row>
    <row r="1000">
      <c r="A1000" s="52"/>
      <c r="B1000" s="52"/>
      <c r="C1000" s="52"/>
      <c r="D1000" s="52"/>
      <c r="E1000" s="52"/>
      <c r="F1000" s="52"/>
      <c r="G1000" s="52"/>
      <c r="H1000" s="52"/>
      <c r="I1000" s="52"/>
      <c r="J1000" s="53" t="str">
        <f>IFERROR(__xludf.DUMMYFUNCTION("""COMPUTED_VALUE"""),"")</f>
        <v/>
      </c>
      <c r="K1000" s="52"/>
      <c r="L1000" s="52"/>
      <c r="M1000" s="52"/>
      <c r="N1000" s="52"/>
      <c r="O1000" s="52"/>
      <c r="P1000" s="52"/>
      <c r="Q1000" s="52"/>
      <c r="R1000" s="52"/>
      <c r="S1000" s="52"/>
      <c r="T1000" s="52"/>
      <c r="U1000" s="52"/>
      <c r="V1000" s="52"/>
      <c r="W1000" s="52"/>
      <c r="X1000" s="52"/>
      <c r="Y1000" s="52"/>
      <c r="Z1000" s="5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4.75"/>
  </cols>
  <sheetData>
    <row r="1">
      <c r="A1" s="56" t="s">
        <v>264</v>
      </c>
      <c r="B1" s="57" t="s">
        <v>265</v>
      </c>
      <c r="C1" s="52"/>
      <c r="D1" s="52"/>
      <c r="E1" s="52"/>
      <c r="F1" s="52"/>
      <c r="G1" s="52"/>
      <c r="H1" s="52"/>
      <c r="I1" s="52"/>
      <c r="J1" s="52"/>
      <c r="K1" s="52"/>
      <c r="L1" s="52"/>
      <c r="M1" s="52"/>
      <c r="N1" s="52"/>
      <c r="O1" s="52"/>
      <c r="P1" s="52"/>
      <c r="Q1" s="52"/>
      <c r="R1" s="52"/>
      <c r="S1" s="52"/>
      <c r="T1" s="52"/>
      <c r="U1" s="52"/>
      <c r="V1" s="52"/>
      <c r="W1" s="52"/>
      <c r="X1" s="52"/>
      <c r="Y1" s="52"/>
      <c r="Z1" s="52"/>
    </row>
    <row r="2">
      <c r="A2" s="52">
        <f>if(B2="","",0)</f>
        <v>0</v>
      </c>
      <c r="B2" s="27" t="s">
        <v>266</v>
      </c>
      <c r="C2" s="52"/>
      <c r="D2" s="52"/>
      <c r="E2" s="52"/>
      <c r="F2" s="52"/>
      <c r="G2" s="52"/>
      <c r="H2" s="52"/>
      <c r="I2" s="52"/>
      <c r="J2" s="52"/>
      <c r="K2" s="52"/>
      <c r="L2" s="52"/>
      <c r="M2" s="52"/>
      <c r="N2" s="52"/>
      <c r="O2" s="52"/>
      <c r="P2" s="52"/>
      <c r="Q2" s="52"/>
      <c r="R2" s="52"/>
      <c r="S2" s="52"/>
      <c r="T2" s="52"/>
      <c r="U2" s="52"/>
      <c r="V2" s="52"/>
      <c r="W2" s="52"/>
      <c r="X2" s="52"/>
      <c r="Y2" s="52"/>
      <c r="Z2" s="52"/>
    </row>
    <row r="3">
      <c r="A3" s="58">
        <f t="shared" ref="A3:A150" si="1">if(B3="","",A2+1)</f>
        <v>1</v>
      </c>
      <c r="B3" s="27" t="s">
        <v>267</v>
      </c>
      <c r="C3" s="52"/>
      <c r="D3" s="52"/>
      <c r="E3" s="52"/>
      <c r="F3" s="52"/>
      <c r="G3" s="52"/>
      <c r="H3" s="52"/>
      <c r="I3" s="52"/>
      <c r="J3" s="52"/>
      <c r="K3" s="52"/>
      <c r="L3" s="52"/>
      <c r="M3" s="52"/>
      <c r="N3" s="52"/>
      <c r="O3" s="52"/>
      <c r="P3" s="52"/>
      <c r="Q3" s="52"/>
      <c r="R3" s="52"/>
      <c r="S3" s="52"/>
      <c r="T3" s="52"/>
      <c r="U3" s="52"/>
      <c r="V3" s="52"/>
      <c r="W3" s="52"/>
      <c r="X3" s="52"/>
      <c r="Y3" s="52"/>
      <c r="Z3" s="52"/>
    </row>
    <row r="4">
      <c r="A4" s="58">
        <f t="shared" si="1"/>
        <v>2</v>
      </c>
      <c r="B4" s="27" t="s">
        <v>99</v>
      </c>
      <c r="C4" s="52"/>
      <c r="D4" s="52"/>
      <c r="E4" s="52"/>
      <c r="F4" s="52"/>
      <c r="G4" s="52"/>
      <c r="H4" s="52"/>
      <c r="I4" s="52"/>
      <c r="J4" s="52"/>
      <c r="K4" s="52"/>
      <c r="L4" s="52"/>
      <c r="M4" s="52"/>
      <c r="N4" s="52"/>
      <c r="O4" s="52"/>
      <c r="P4" s="52"/>
      <c r="Q4" s="52"/>
      <c r="R4" s="52"/>
      <c r="S4" s="52"/>
      <c r="T4" s="52"/>
      <c r="U4" s="52"/>
      <c r="V4" s="52"/>
      <c r="W4" s="52"/>
      <c r="X4" s="52"/>
      <c r="Y4" s="52"/>
      <c r="Z4" s="52"/>
    </row>
    <row r="5">
      <c r="A5" s="58">
        <f t="shared" si="1"/>
        <v>3</v>
      </c>
      <c r="B5" s="27" t="s">
        <v>268</v>
      </c>
      <c r="C5" s="52"/>
      <c r="D5" s="52"/>
      <c r="E5" s="52"/>
      <c r="F5" s="52"/>
      <c r="G5" s="52"/>
      <c r="H5" s="52"/>
      <c r="I5" s="52"/>
      <c r="J5" s="52"/>
      <c r="K5" s="52"/>
      <c r="L5" s="52"/>
      <c r="M5" s="52"/>
      <c r="N5" s="52"/>
      <c r="O5" s="52"/>
      <c r="P5" s="52"/>
      <c r="Q5" s="52"/>
      <c r="R5" s="52"/>
      <c r="S5" s="52"/>
      <c r="T5" s="52"/>
      <c r="U5" s="52"/>
      <c r="V5" s="52"/>
      <c r="W5" s="52"/>
      <c r="X5" s="52"/>
      <c r="Y5" s="52"/>
      <c r="Z5" s="52"/>
    </row>
    <row r="6">
      <c r="A6" s="58">
        <f t="shared" si="1"/>
        <v>4</v>
      </c>
      <c r="B6" s="27" t="s">
        <v>25</v>
      </c>
      <c r="C6" s="52"/>
      <c r="D6" s="52"/>
      <c r="E6" s="52"/>
      <c r="F6" s="52"/>
      <c r="G6" s="52"/>
      <c r="H6" s="52"/>
      <c r="I6" s="52"/>
      <c r="J6" s="52"/>
      <c r="K6" s="52"/>
      <c r="L6" s="52"/>
      <c r="M6" s="52"/>
      <c r="N6" s="52"/>
      <c r="O6" s="52"/>
      <c r="P6" s="52"/>
      <c r="Q6" s="52"/>
      <c r="R6" s="52"/>
      <c r="S6" s="52"/>
      <c r="T6" s="52"/>
      <c r="U6" s="52"/>
      <c r="V6" s="52"/>
      <c r="W6" s="52"/>
      <c r="X6" s="52"/>
      <c r="Y6" s="52"/>
      <c r="Z6" s="52"/>
    </row>
    <row r="7">
      <c r="A7" s="58">
        <f t="shared" si="1"/>
        <v>5</v>
      </c>
      <c r="B7" s="27" t="s">
        <v>269</v>
      </c>
      <c r="C7" s="52"/>
      <c r="D7" s="52"/>
      <c r="E7" s="52"/>
      <c r="F7" s="52"/>
      <c r="G7" s="52"/>
      <c r="H7" s="52"/>
      <c r="I7" s="52"/>
      <c r="J7" s="52"/>
      <c r="K7" s="52"/>
      <c r="L7" s="52"/>
      <c r="M7" s="52"/>
      <c r="N7" s="52"/>
      <c r="O7" s="52"/>
      <c r="P7" s="52"/>
      <c r="Q7" s="52"/>
      <c r="R7" s="52"/>
      <c r="S7" s="52"/>
      <c r="T7" s="52"/>
      <c r="U7" s="52"/>
      <c r="V7" s="52"/>
      <c r="W7" s="52"/>
      <c r="X7" s="52"/>
      <c r="Y7" s="52"/>
      <c r="Z7" s="52"/>
    </row>
    <row r="8">
      <c r="A8" s="58">
        <f t="shared" si="1"/>
        <v>6</v>
      </c>
      <c r="B8" s="27" t="s">
        <v>270</v>
      </c>
      <c r="C8" s="52"/>
      <c r="D8" s="52"/>
      <c r="E8" s="52"/>
      <c r="F8" s="52"/>
      <c r="G8" s="52"/>
      <c r="H8" s="52"/>
      <c r="I8" s="52"/>
      <c r="J8" s="52"/>
      <c r="K8" s="52"/>
      <c r="L8" s="52"/>
      <c r="M8" s="52"/>
      <c r="N8" s="52"/>
      <c r="O8" s="52"/>
      <c r="P8" s="52"/>
      <c r="Q8" s="52"/>
      <c r="R8" s="52"/>
      <c r="S8" s="52"/>
      <c r="T8" s="52"/>
      <c r="U8" s="52"/>
      <c r="V8" s="52"/>
      <c r="W8" s="52"/>
      <c r="X8" s="52"/>
      <c r="Y8" s="52"/>
      <c r="Z8" s="52"/>
    </row>
    <row r="9">
      <c r="A9" s="58">
        <f t="shared" si="1"/>
        <v>7</v>
      </c>
      <c r="B9" s="27" t="s">
        <v>32</v>
      </c>
      <c r="C9" s="52"/>
      <c r="D9" s="52"/>
      <c r="E9" s="52"/>
      <c r="F9" s="52"/>
      <c r="G9" s="52"/>
      <c r="H9" s="52"/>
      <c r="I9" s="52"/>
      <c r="J9" s="52"/>
      <c r="K9" s="52"/>
      <c r="L9" s="52"/>
      <c r="M9" s="52"/>
      <c r="N9" s="52"/>
      <c r="O9" s="52"/>
      <c r="P9" s="52"/>
      <c r="Q9" s="52"/>
      <c r="R9" s="52"/>
      <c r="S9" s="52"/>
      <c r="T9" s="52"/>
      <c r="U9" s="52"/>
      <c r="V9" s="52"/>
      <c r="W9" s="52"/>
      <c r="X9" s="52"/>
      <c r="Y9" s="52"/>
      <c r="Z9" s="52"/>
    </row>
    <row r="10">
      <c r="A10" s="58" t="str">
        <f t="shared" si="1"/>
        <v/>
      </c>
      <c r="B10" s="34"/>
      <c r="C10" s="52"/>
      <c r="D10" s="52"/>
      <c r="E10" s="52"/>
      <c r="F10" s="52"/>
      <c r="G10" s="52"/>
      <c r="H10" s="52"/>
      <c r="I10" s="52"/>
      <c r="J10" s="52"/>
      <c r="K10" s="52"/>
      <c r="L10" s="52"/>
      <c r="M10" s="52"/>
      <c r="N10" s="52"/>
      <c r="O10" s="52"/>
      <c r="P10" s="52"/>
      <c r="Q10" s="52"/>
      <c r="R10" s="52"/>
      <c r="S10" s="52"/>
      <c r="T10" s="52"/>
      <c r="U10" s="52"/>
      <c r="V10" s="52"/>
      <c r="W10" s="52"/>
      <c r="X10" s="52"/>
      <c r="Y10" s="52"/>
      <c r="Z10" s="52"/>
    </row>
    <row r="11">
      <c r="A11" s="58" t="str">
        <f t="shared" si="1"/>
        <v/>
      </c>
      <c r="B11" s="34"/>
      <c r="C11" s="52"/>
      <c r="D11" s="52"/>
      <c r="E11" s="52"/>
      <c r="F11" s="52"/>
      <c r="G11" s="52"/>
      <c r="H11" s="52"/>
      <c r="I11" s="52"/>
      <c r="J11" s="52"/>
      <c r="K11" s="52"/>
      <c r="L11" s="52"/>
      <c r="M11" s="52"/>
      <c r="N11" s="52"/>
      <c r="O11" s="52"/>
      <c r="P11" s="52"/>
      <c r="Q11" s="52"/>
      <c r="R11" s="52"/>
      <c r="S11" s="52"/>
      <c r="T11" s="52"/>
      <c r="U11" s="52"/>
      <c r="V11" s="52"/>
      <c r="W11" s="52"/>
      <c r="X11" s="52"/>
      <c r="Y11" s="52"/>
      <c r="Z11" s="52"/>
    </row>
    <row r="12">
      <c r="A12" s="58" t="str">
        <f t="shared" si="1"/>
        <v/>
      </c>
      <c r="B12" s="34"/>
      <c r="C12" s="52"/>
      <c r="D12" s="52"/>
      <c r="E12" s="52"/>
      <c r="F12" s="52"/>
      <c r="G12" s="52"/>
      <c r="H12" s="52"/>
      <c r="I12" s="52"/>
      <c r="J12" s="52"/>
      <c r="K12" s="52"/>
      <c r="L12" s="52"/>
      <c r="M12" s="52"/>
      <c r="N12" s="52"/>
      <c r="O12" s="52"/>
      <c r="P12" s="52"/>
      <c r="Q12" s="52"/>
      <c r="R12" s="52"/>
      <c r="S12" s="52"/>
      <c r="T12" s="52"/>
      <c r="U12" s="52"/>
      <c r="V12" s="52"/>
      <c r="W12" s="52"/>
      <c r="X12" s="52"/>
      <c r="Y12" s="52"/>
      <c r="Z12" s="52"/>
    </row>
    <row r="13">
      <c r="A13" s="58" t="str">
        <f t="shared" si="1"/>
        <v/>
      </c>
      <c r="B13" s="34"/>
      <c r="C13" s="52"/>
      <c r="D13" s="52"/>
      <c r="E13" s="52"/>
      <c r="F13" s="52"/>
      <c r="G13" s="52"/>
      <c r="H13" s="52"/>
      <c r="I13" s="52"/>
      <c r="J13" s="52"/>
      <c r="K13" s="52"/>
      <c r="L13" s="52"/>
      <c r="M13" s="52"/>
      <c r="N13" s="52"/>
      <c r="O13" s="52"/>
      <c r="P13" s="52"/>
      <c r="Q13" s="52"/>
      <c r="R13" s="52"/>
      <c r="S13" s="52"/>
      <c r="T13" s="52"/>
      <c r="U13" s="52"/>
      <c r="V13" s="52"/>
      <c r="W13" s="52"/>
      <c r="X13" s="52"/>
      <c r="Y13" s="52"/>
      <c r="Z13" s="52"/>
    </row>
    <row r="14">
      <c r="A14" s="58" t="str">
        <f t="shared" si="1"/>
        <v/>
      </c>
      <c r="B14" s="34"/>
      <c r="C14" s="52"/>
      <c r="D14" s="52"/>
      <c r="E14" s="52"/>
      <c r="F14" s="52"/>
      <c r="G14" s="52"/>
      <c r="H14" s="52"/>
      <c r="I14" s="52"/>
      <c r="J14" s="52"/>
      <c r="K14" s="52"/>
      <c r="L14" s="52"/>
      <c r="M14" s="52"/>
      <c r="N14" s="52"/>
      <c r="O14" s="52"/>
      <c r="P14" s="52"/>
      <c r="Q14" s="52"/>
      <c r="R14" s="52"/>
      <c r="S14" s="52"/>
      <c r="T14" s="52"/>
      <c r="U14" s="52"/>
      <c r="V14" s="52"/>
      <c r="W14" s="52"/>
      <c r="X14" s="52"/>
      <c r="Y14" s="52"/>
      <c r="Z14" s="52"/>
    </row>
    <row r="15">
      <c r="A15" s="58" t="str">
        <f t="shared" si="1"/>
        <v/>
      </c>
      <c r="B15" s="34"/>
      <c r="C15" s="52"/>
      <c r="D15" s="52"/>
      <c r="E15" s="52"/>
      <c r="F15" s="52"/>
      <c r="G15" s="52"/>
      <c r="H15" s="52"/>
      <c r="I15" s="52"/>
      <c r="J15" s="52"/>
      <c r="K15" s="52"/>
      <c r="L15" s="52"/>
      <c r="M15" s="52"/>
      <c r="N15" s="52"/>
      <c r="O15" s="52"/>
      <c r="P15" s="52"/>
      <c r="Q15" s="52"/>
      <c r="R15" s="52"/>
      <c r="S15" s="52"/>
      <c r="T15" s="52"/>
      <c r="U15" s="52"/>
      <c r="V15" s="52"/>
      <c r="W15" s="52"/>
      <c r="X15" s="52"/>
      <c r="Y15" s="52"/>
      <c r="Z15" s="52"/>
    </row>
    <row r="16">
      <c r="A16" s="58" t="str">
        <f t="shared" si="1"/>
        <v/>
      </c>
      <c r="B16" s="34"/>
      <c r="C16" s="52"/>
      <c r="D16" s="52"/>
      <c r="E16" s="52"/>
      <c r="F16" s="52"/>
      <c r="G16" s="52"/>
      <c r="H16" s="52"/>
      <c r="I16" s="52"/>
      <c r="J16" s="52"/>
      <c r="K16" s="52"/>
      <c r="L16" s="52"/>
      <c r="M16" s="52"/>
      <c r="N16" s="52"/>
      <c r="O16" s="52"/>
      <c r="P16" s="52"/>
      <c r="Q16" s="52"/>
      <c r="R16" s="52"/>
      <c r="S16" s="52"/>
      <c r="T16" s="52"/>
      <c r="U16" s="52"/>
      <c r="V16" s="52"/>
      <c r="W16" s="52"/>
      <c r="X16" s="52"/>
      <c r="Y16" s="52"/>
      <c r="Z16" s="52"/>
    </row>
    <row r="17">
      <c r="A17" s="58" t="str">
        <f t="shared" si="1"/>
        <v/>
      </c>
      <c r="B17" s="34"/>
      <c r="C17" s="52"/>
      <c r="D17" s="52"/>
      <c r="E17" s="52"/>
      <c r="F17" s="52"/>
      <c r="G17" s="52"/>
      <c r="H17" s="52"/>
      <c r="I17" s="52"/>
      <c r="J17" s="52"/>
      <c r="K17" s="52"/>
      <c r="L17" s="52"/>
      <c r="M17" s="52"/>
      <c r="N17" s="52"/>
      <c r="O17" s="52"/>
      <c r="P17" s="52"/>
      <c r="Q17" s="52"/>
      <c r="R17" s="52"/>
      <c r="S17" s="52"/>
      <c r="T17" s="52"/>
      <c r="U17" s="52"/>
      <c r="V17" s="52"/>
      <c r="W17" s="52"/>
      <c r="X17" s="52"/>
      <c r="Y17" s="52"/>
      <c r="Z17" s="52"/>
    </row>
    <row r="18">
      <c r="A18" s="58" t="str">
        <f t="shared" si="1"/>
        <v/>
      </c>
      <c r="B18" s="34"/>
      <c r="C18" s="52"/>
      <c r="D18" s="52"/>
      <c r="E18" s="52"/>
      <c r="F18" s="52"/>
      <c r="G18" s="52"/>
      <c r="H18" s="52"/>
      <c r="I18" s="52"/>
      <c r="J18" s="52"/>
      <c r="K18" s="52"/>
      <c r="L18" s="52"/>
      <c r="M18" s="52"/>
      <c r="N18" s="52"/>
      <c r="O18" s="52"/>
      <c r="P18" s="52"/>
      <c r="Q18" s="52"/>
      <c r="R18" s="52"/>
      <c r="S18" s="52"/>
      <c r="T18" s="52"/>
      <c r="U18" s="52"/>
      <c r="V18" s="52"/>
      <c r="W18" s="52"/>
      <c r="X18" s="52"/>
      <c r="Y18" s="52"/>
      <c r="Z18" s="52"/>
    </row>
    <row r="19">
      <c r="A19" s="58" t="str">
        <f t="shared" si="1"/>
        <v/>
      </c>
      <c r="B19" s="34"/>
      <c r="C19" s="52"/>
      <c r="D19" s="52"/>
      <c r="E19" s="52"/>
      <c r="F19" s="52"/>
      <c r="G19" s="52"/>
      <c r="H19" s="52"/>
      <c r="I19" s="52"/>
      <c r="J19" s="52"/>
      <c r="K19" s="52"/>
      <c r="L19" s="52"/>
      <c r="M19" s="52"/>
      <c r="N19" s="52"/>
      <c r="O19" s="52"/>
      <c r="P19" s="52"/>
      <c r="Q19" s="52"/>
      <c r="R19" s="52"/>
      <c r="S19" s="52"/>
      <c r="T19" s="52"/>
      <c r="U19" s="52"/>
      <c r="V19" s="52"/>
      <c r="W19" s="52"/>
      <c r="X19" s="52"/>
      <c r="Y19" s="52"/>
      <c r="Z19" s="52"/>
    </row>
    <row r="20">
      <c r="A20" s="58" t="str">
        <f t="shared" si="1"/>
        <v/>
      </c>
      <c r="B20" s="34"/>
      <c r="C20" s="52"/>
      <c r="D20" s="52"/>
      <c r="E20" s="52"/>
      <c r="F20" s="52"/>
      <c r="G20" s="52"/>
      <c r="H20" s="52"/>
      <c r="I20" s="52"/>
      <c r="J20" s="52"/>
      <c r="K20" s="52"/>
      <c r="L20" s="52"/>
      <c r="M20" s="52"/>
      <c r="N20" s="52"/>
      <c r="O20" s="52"/>
      <c r="P20" s="52"/>
      <c r="Q20" s="52"/>
      <c r="R20" s="52"/>
      <c r="S20" s="52"/>
      <c r="T20" s="52"/>
      <c r="U20" s="52"/>
      <c r="V20" s="52"/>
      <c r="W20" s="52"/>
      <c r="X20" s="52"/>
      <c r="Y20" s="52"/>
      <c r="Z20" s="52"/>
    </row>
    <row r="21">
      <c r="A21" s="58" t="str">
        <f t="shared" si="1"/>
        <v/>
      </c>
      <c r="B21" s="34"/>
      <c r="C21" s="52"/>
      <c r="D21" s="52"/>
      <c r="E21" s="52"/>
      <c r="F21" s="52"/>
      <c r="G21" s="52"/>
      <c r="H21" s="52"/>
      <c r="I21" s="52"/>
      <c r="J21" s="52"/>
      <c r="K21" s="52"/>
      <c r="L21" s="52"/>
      <c r="M21" s="52"/>
      <c r="N21" s="52"/>
      <c r="O21" s="52"/>
      <c r="P21" s="52"/>
      <c r="Q21" s="52"/>
      <c r="R21" s="52"/>
      <c r="S21" s="52"/>
      <c r="T21" s="52"/>
      <c r="U21" s="52"/>
      <c r="V21" s="52"/>
      <c r="W21" s="52"/>
      <c r="X21" s="52"/>
      <c r="Y21" s="52"/>
      <c r="Z21" s="52"/>
    </row>
    <row r="22">
      <c r="A22" s="58" t="str">
        <f t="shared" si="1"/>
        <v/>
      </c>
      <c r="B22" s="34"/>
      <c r="C22" s="52"/>
      <c r="D22" s="52"/>
      <c r="E22" s="52"/>
      <c r="F22" s="52"/>
      <c r="G22" s="52"/>
      <c r="H22" s="52"/>
      <c r="I22" s="52"/>
      <c r="J22" s="52"/>
      <c r="K22" s="52"/>
      <c r="L22" s="52"/>
      <c r="M22" s="52"/>
      <c r="N22" s="52"/>
      <c r="O22" s="52"/>
      <c r="P22" s="52"/>
      <c r="Q22" s="52"/>
      <c r="R22" s="52"/>
      <c r="S22" s="52"/>
      <c r="T22" s="52"/>
      <c r="U22" s="52"/>
      <c r="V22" s="52"/>
      <c r="W22" s="52"/>
      <c r="X22" s="52"/>
      <c r="Y22" s="52"/>
      <c r="Z22" s="52"/>
    </row>
    <row r="23">
      <c r="A23" s="58" t="str">
        <f t="shared" si="1"/>
        <v/>
      </c>
      <c r="B23" s="34"/>
      <c r="C23" s="52"/>
      <c r="D23" s="52"/>
      <c r="E23" s="52"/>
      <c r="F23" s="52"/>
      <c r="G23" s="52"/>
      <c r="H23" s="52"/>
      <c r="I23" s="52"/>
      <c r="J23" s="52"/>
      <c r="K23" s="52"/>
      <c r="L23" s="52"/>
      <c r="M23" s="52"/>
      <c r="N23" s="52"/>
      <c r="O23" s="52"/>
      <c r="P23" s="52"/>
      <c r="Q23" s="52"/>
      <c r="R23" s="52"/>
      <c r="S23" s="52"/>
      <c r="T23" s="52"/>
      <c r="U23" s="52"/>
      <c r="V23" s="52"/>
      <c r="W23" s="52"/>
      <c r="X23" s="52"/>
      <c r="Y23" s="52"/>
      <c r="Z23" s="52"/>
    </row>
    <row r="24">
      <c r="A24" s="58" t="str">
        <f t="shared" si="1"/>
        <v/>
      </c>
      <c r="B24" s="34"/>
      <c r="C24" s="52"/>
      <c r="D24" s="52"/>
      <c r="E24" s="52"/>
      <c r="F24" s="52"/>
      <c r="G24" s="52"/>
      <c r="H24" s="52"/>
      <c r="I24" s="52"/>
      <c r="J24" s="52"/>
      <c r="K24" s="52"/>
      <c r="L24" s="52"/>
      <c r="M24" s="52"/>
      <c r="N24" s="52"/>
      <c r="O24" s="52"/>
      <c r="P24" s="52"/>
      <c r="Q24" s="52"/>
      <c r="R24" s="52"/>
      <c r="S24" s="52"/>
      <c r="T24" s="52"/>
      <c r="U24" s="52"/>
      <c r="V24" s="52"/>
      <c r="W24" s="52"/>
      <c r="X24" s="52"/>
      <c r="Y24" s="52"/>
      <c r="Z24" s="52"/>
    </row>
    <row r="25">
      <c r="A25" s="58" t="str">
        <f t="shared" si="1"/>
        <v/>
      </c>
      <c r="B25" s="34"/>
      <c r="C25" s="52"/>
      <c r="D25" s="52"/>
      <c r="E25" s="52"/>
      <c r="F25" s="52"/>
      <c r="G25" s="52"/>
      <c r="H25" s="52"/>
      <c r="I25" s="52"/>
      <c r="J25" s="52"/>
      <c r="K25" s="52"/>
      <c r="L25" s="52"/>
      <c r="M25" s="52"/>
      <c r="N25" s="52"/>
      <c r="O25" s="52"/>
      <c r="P25" s="52"/>
      <c r="Q25" s="52"/>
      <c r="R25" s="52"/>
      <c r="S25" s="52"/>
      <c r="T25" s="52"/>
      <c r="U25" s="52"/>
      <c r="V25" s="52"/>
      <c r="W25" s="52"/>
      <c r="X25" s="52"/>
      <c r="Y25" s="52"/>
      <c r="Z25" s="52"/>
    </row>
    <row r="26">
      <c r="A26" s="58" t="str">
        <f t="shared" si="1"/>
        <v/>
      </c>
      <c r="B26" s="34"/>
      <c r="C26" s="52"/>
      <c r="D26" s="52"/>
      <c r="E26" s="52"/>
      <c r="F26" s="52"/>
      <c r="G26" s="52"/>
      <c r="H26" s="52"/>
      <c r="I26" s="52"/>
      <c r="J26" s="52"/>
      <c r="K26" s="52"/>
      <c r="L26" s="52"/>
      <c r="M26" s="52"/>
      <c r="N26" s="52"/>
      <c r="O26" s="52"/>
      <c r="P26" s="52"/>
      <c r="Q26" s="52"/>
      <c r="R26" s="52"/>
      <c r="S26" s="52"/>
      <c r="T26" s="52"/>
      <c r="U26" s="52"/>
      <c r="V26" s="52"/>
      <c r="W26" s="52"/>
      <c r="X26" s="52"/>
      <c r="Y26" s="52"/>
      <c r="Z26" s="52"/>
    </row>
    <row r="27">
      <c r="A27" s="58" t="str">
        <f t="shared" si="1"/>
        <v/>
      </c>
      <c r="B27" s="34"/>
      <c r="C27" s="52"/>
      <c r="D27" s="52"/>
      <c r="E27" s="52"/>
      <c r="F27" s="52"/>
      <c r="G27" s="52"/>
      <c r="H27" s="52"/>
      <c r="I27" s="52"/>
      <c r="J27" s="52"/>
      <c r="K27" s="52"/>
      <c r="L27" s="52"/>
      <c r="M27" s="52"/>
      <c r="N27" s="52"/>
      <c r="O27" s="52"/>
      <c r="P27" s="52"/>
      <c r="Q27" s="52"/>
      <c r="R27" s="52"/>
      <c r="S27" s="52"/>
      <c r="T27" s="52"/>
      <c r="U27" s="52"/>
      <c r="V27" s="52"/>
      <c r="W27" s="52"/>
      <c r="X27" s="52"/>
      <c r="Y27" s="52"/>
      <c r="Z27" s="52"/>
    </row>
    <row r="28">
      <c r="A28" s="58" t="str">
        <f t="shared" si="1"/>
        <v/>
      </c>
      <c r="B28" s="34"/>
      <c r="C28" s="52"/>
      <c r="D28" s="52"/>
      <c r="E28" s="52"/>
      <c r="F28" s="52"/>
      <c r="G28" s="52"/>
      <c r="H28" s="52"/>
      <c r="I28" s="52"/>
      <c r="J28" s="52"/>
      <c r="K28" s="52"/>
      <c r="L28" s="52"/>
      <c r="M28" s="52"/>
      <c r="N28" s="52"/>
      <c r="O28" s="52"/>
      <c r="P28" s="52"/>
      <c r="Q28" s="52"/>
      <c r="R28" s="52"/>
      <c r="S28" s="52"/>
      <c r="T28" s="52"/>
      <c r="U28" s="52"/>
      <c r="V28" s="52"/>
      <c r="W28" s="52"/>
      <c r="X28" s="52"/>
      <c r="Y28" s="52"/>
      <c r="Z28" s="52"/>
    </row>
    <row r="29">
      <c r="A29" s="58" t="str">
        <f t="shared" si="1"/>
        <v/>
      </c>
      <c r="B29" s="34"/>
      <c r="C29" s="52"/>
      <c r="D29" s="52"/>
      <c r="E29" s="52"/>
      <c r="F29" s="52"/>
      <c r="G29" s="52"/>
      <c r="H29" s="52"/>
      <c r="I29" s="52"/>
      <c r="J29" s="52"/>
      <c r="K29" s="52"/>
      <c r="L29" s="52"/>
      <c r="M29" s="52"/>
      <c r="N29" s="52"/>
      <c r="O29" s="52"/>
      <c r="P29" s="52"/>
      <c r="Q29" s="52"/>
      <c r="R29" s="52"/>
      <c r="S29" s="52"/>
      <c r="T29" s="52"/>
      <c r="U29" s="52"/>
      <c r="V29" s="52"/>
      <c r="W29" s="52"/>
      <c r="X29" s="52"/>
      <c r="Y29" s="52"/>
      <c r="Z29" s="52"/>
    </row>
    <row r="30">
      <c r="A30" s="58" t="str">
        <f t="shared" si="1"/>
        <v/>
      </c>
      <c r="B30" s="34"/>
      <c r="C30" s="52"/>
      <c r="D30" s="52"/>
      <c r="E30" s="52"/>
      <c r="F30" s="52"/>
      <c r="G30" s="52"/>
      <c r="H30" s="52"/>
      <c r="I30" s="52"/>
      <c r="J30" s="52"/>
      <c r="K30" s="52"/>
      <c r="L30" s="52"/>
      <c r="M30" s="52"/>
      <c r="N30" s="52"/>
      <c r="O30" s="52"/>
      <c r="P30" s="52"/>
      <c r="Q30" s="52"/>
      <c r="R30" s="52"/>
      <c r="S30" s="52"/>
      <c r="T30" s="52"/>
      <c r="U30" s="52"/>
      <c r="V30" s="52"/>
      <c r="W30" s="52"/>
      <c r="X30" s="52"/>
      <c r="Y30" s="52"/>
      <c r="Z30" s="52"/>
    </row>
    <row r="31">
      <c r="A31" s="58" t="str">
        <f t="shared" si="1"/>
        <v/>
      </c>
      <c r="B31" s="34"/>
      <c r="C31" s="52"/>
      <c r="D31" s="52"/>
      <c r="E31" s="52"/>
      <c r="F31" s="52"/>
      <c r="G31" s="52"/>
      <c r="H31" s="52"/>
      <c r="I31" s="52"/>
      <c r="J31" s="52"/>
      <c r="K31" s="52"/>
      <c r="L31" s="52"/>
      <c r="M31" s="52"/>
      <c r="N31" s="52"/>
      <c r="O31" s="52"/>
      <c r="P31" s="52"/>
      <c r="Q31" s="52"/>
      <c r="R31" s="52"/>
      <c r="S31" s="52"/>
      <c r="T31" s="52"/>
      <c r="U31" s="52"/>
      <c r="V31" s="52"/>
      <c r="W31" s="52"/>
      <c r="X31" s="52"/>
      <c r="Y31" s="52"/>
      <c r="Z31" s="52"/>
    </row>
    <row r="32">
      <c r="A32" s="58" t="str">
        <f t="shared" si="1"/>
        <v/>
      </c>
      <c r="B32" s="34"/>
      <c r="C32" s="52"/>
      <c r="D32" s="52"/>
      <c r="E32" s="52"/>
      <c r="F32" s="52"/>
      <c r="G32" s="52"/>
      <c r="H32" s="52"/>
      <c r="I32" s="52"/>
      <c r="J32" s="52"/>
      <c r="K32" s="52"/>
      <c r="L32" s="52"/>
      <c r="M32" s="52"/>
      <c r="N32" s="52"/>
      <c r="O32" s="52"/>
      <c r="P32" s="52"/>
      <c r="Q32" s="52"/>
      <c r="R32" s="52"/>
      <c r="S32" s="52"/>
      <c r="T32" s="52"/>
      <c r="U32" s="52"/>
      <c r="V32" s="52"/>
      <c r="W32" s="52"/>
      <c r="X32" s="52"/>
      <c r="Y32" s="52"/>
      <c r="Z32" s="52"/>
    </row>
    <row r="33">
      <c r="A33" s="58" t="str">
        <f t="shared" si="1"/>
        <v/>
      </c>
      <c r="B33" s="34"/>
      <c r="C33" s="52"/>
      <c r="D33" s="52"/>
      <c r="E33" s="52"/>
      <c r="F33" s="52"/>
      <c r="G33" s="52"/>
      <c r="H33" s="52"/>
      <c r="I33" s="52"/>
      <c r="J33" s="52"/>
      <c r="K33" s="52"/>
      <c r="L33" s="52"/>
      <c r="M33" s="52"/>
      <c r="N33" s="52"/>
      <c r="O33" s="52"/>
      <c r="P33" s="52"/>
      <c r="Q33" s="52"/>
      <c r="R33" s="52"/>
      <c r="S33" s="52"/>
      <c r="T33" s="52"/>
      <c r="U33" s="52"/>
      <c r="V33" s="52"/>
      <c r="W33" s="52"/>
      <c r="X33" s="52"/>
      <c r="Y33" s="52"/>
      <c r="Z33" s="52"/>
    </row>
    <row r="34">
      <c r="A34" s="58" t="str">
        <f t="shared" si="1"/>
        <v/>
      </c>
      <c r="B34" s="34"/>
      <c r="C34" s="52"/>
      <c r="D34" s="52"/>
      <c r="E34" s="52"/>
      <c r="F34" s="52"/>
      <c r="G34" s="52"/>
      <c r="H34" s="52"/>
      <c r="I34" s="52"/>
      <c r="J34" s="52"/>
      <c r="K34" s="52"/>
      <c r="L34" s="52"/>
      <c r="M34" s="52"/>
      <c r="N34" s="52"/>
      <c r="O34" s="52"/>
      <c r="P34" s="52"/>
      <c r="Q34" s="52"/>
      <c r="R34" s="52"/>
      <c r="S34" s="52"/>
      <c r="T34" s="52"/>
      <c r="U34" s="52"/>
      <c r="V34" s="52"/>
      <c r="W34" s="52"/>
      <c r="X34" s="52"/>
      <c r="Y34" s="52"/>
      <c r="Z34" s="52"/>
    </row>
    <row r="35">
      <c r="A35" s="58" t="str">
        <f t="shared" si="1"/>
        <v/>
      </c>
      <c r="B35" s="34"/>
      <c r="C35" s="52"/>
      <c r="D35" s="52"/>
      <c r="E35" s="52"/>
      <c r="F35" s="52"/>
      <c r="G35" s="52"/>
      <c r="H35" s="52"/>
      <c r="I35" s="52"/>
      <c r="J35" s="52"/>
      <c r="K35" s="52"/>
      <c r="L35" s="52"/>
      <c r="M35" s="52"/>
      <c r="N35" s="52"/>
      <c r="O35" s="52"/>
      <c r="P35" s="52"/>
      <c r="Q35" s="52"/>
      <c r="R35" s="52"/>
      <c r="S35" s="52"/>
      <c r="T35" s="52"/>
      <c r="U35" s="52"/>
      <c r="V35" s="52"/>
      <c r="W35" s="52"/>
      <c r="X35" s="52"/>
      <c r="Y35" s="52"/>
      <c r="Z35" s="52"/>
    </row>
    <row r="36">
      <c r="A36" s="58" t="str">
        <f t="shared" si="1"/>
        <v/>
      </c>
      <c r="B36" s="34"/>
      <c r="C36" s="52"/>
      <c r="D36" s="52"/>
      <c r="E36" s="52"/>
      <c r="F36" s="52"/>
      <c r="G36" s="52"/>
      <c r="H36" s="52"/>
      <c r="I36" s="52"/>
      <c r="J36" s="52"/>
      <c r="K36" s="52"/>
      <c r="L36" s="52"/>
      <c r="M36" s="52"/>
      <c r="N36" s="52"/>
      <c r="O36" s="52"/>
      <c r="P36" s="52"/>
      <c r="Q36" s="52"/>
      <c r="R36" s="52"/>
      <c r="S36" s="52"/>
      <c r="T36" s="52"/>
      <c r="U36" s="52"/>
      <c r="V36" s="52"/>
      <c r="W36" s="52"/>
      <c r="X36" s="52"/>
      <c r="Y36" s="52"/>
      <c r="Z36" s="52"/>
    </row>
    <row r="37">
      <c r="A37" s="58" t="str">
        <f t="shared" si="1"/>
        <v/>
      </c>
      <c r="B37" s="34"/>
      <c r="C37" s="52"/>
      <c r="D37" s="52"/>
      <c r="E37" s="52"/>
      <c r="F37" s="52"/>
      <c r="G37" s="52"/>
      <c r="H37" s="52"/>
      <c r="I37" s="52"/>
      <c r="J37" s="52"/>
      <c r="K37" s="52"/>
      <c r="L37" s="52"/>
      <c r="M37" s="52"/>
      <c r="N37" s="52"/>
      <c r="O37" s="52"/>
      <c r="P37" s="52"/>
      <c r="Q37" s="52"/>
      <c r="R37" s="52"/>
      <c r="S37" s="52"/>
      <c r="T37" s="52"/>
      <c r="U37" s="52"/>
      <c r="V37" s="52"/>
      <c r="W37" s="52"/>
      <c r="X37" s="52"/>
      <c r="Y37" s="52"/>
      <c r="Z37" s="52"/>
    </row>
    <row r="38">
      <c r="A38" s="58" t="str">
        <f t="shared" si="1"/>
        <v/>
      </c>
      <c r="B38" s="34"/>
      <c r="C38" s="52"/>
      <c r="D38" s="52"/>
      <c r="E38" s="52"/>
      <c r="F38" s="52"/>
      <c r="G38" s="52"/>
      <c r="H38" s="52"/>
      <c r="I38" s="52"/>
      <c r="J38" s="52"/>
      <c r="K38" s="52"/>
      <c r="L38" s="52"/>
      <c r="M38" s="52"/>
      <c r="N38" s="52"/>
      <c r="O38" s="52"/>
      <c r="P38" s="52"/>
      <c r="Q38" s="52"/>
      <c r="R38" s="52"/>
      <c r="S38" s="52"/>
      <c r="T38" s="52"/>
      <c r="U38" s="52"/>
      <c r="V38" s="52"/>
      <c r="W38" s="52"/>
      <c r="X38" s="52"/>
      <c r="Y38" s="52"/>
      <c r="Z38" s="52"/>
    </row>
    <row r="39">
      <c r="A39" s="58" t="str">
        <f t="shared" si="1"/>
        <v/>
      </c>
      <c r="B39" s="34"/>
      <c r="C39" s="52"/>
      <c r="D39" s="52"/>
      <c r="E39" s="52"/>
      <c r="F39" s="52"/>
      <c r="G39" s="52"/>
      <c r="H39" s="52"/>
      <c r="I39" s="52"/>
      <c r="J39" s="52"/>
      <c r="K39" s="52"/>
      <c r="L39" s="52"/>
      <c r="M39" s="52"/>
      <c r="N39" s="52"/>
      <c r="O39" s="52"/>
      <c r="P39" s="52"/>
      <c r="Q39" s="52"/>
      <c r="R39" s="52"/>
      <c r="S39" s="52"/>
      <c r="T39" s="52"/>
      <c r="U39" s="52"/>
      <c r="V39" s="52"/>
      <c r="W39" s="52"/>
      <c r="X39" s="52"/>
      <c r="Y39" s="52"/>
      <c r="Z39" s="52"/>
    </row>
    <row r="40">
      <c r="A40" s="58" t="str">
        <f t="shared" si="1"/>
        <v/>
      </c>
      <c r="B40" s="34"/>
      <c r="C40" s="52"/>
      <c r="D40" s="52"/>
      <c r="E40" s="52"/>
      <c r="F40" s="52"/>
      <c r="G40" s="52"/>
      <c r="H40" s="52"/>
      <c r="I40" s="52"/>
      <c r="J40" s="52"/>
      <c r="K40" s="52"/>
      <c r="L40" s="52"/>
      <c r="M40" s="52"/>
      <c r="N40" s="52"/>
      <c r="O40" s="52"/>
      <c r="P40" s="52"/>
      <c r="Q40" s="52"/>
      <c r="R40" s="52"/>
      <c r="S40" s="52"/>
      <c r="T40" s="52"/>
      <c r="U40" s="52"/>
      <c r="V40" s="52"/>
      <c r="W40" s="52"/>
      <c r="X40" s="52"/>
      <c r="Y40" s="52"/>
      <c r="Z40" s="52"/>
    </row>
    <row r="41">
      <c r="A41" s="58" t="str">
        <f t="shared" si="1"/>
        <v/>
      </c>
      <c r="B41" s="34"/>
      <c r="C41" s="52"/>
      <c r="D41" s="52"/>
      <c r="E41" s="52"/>
      <c r="F41" s="52"/>
      <c r="G41" s="52"/>
      <c r="H41" s="52"/>
      <c r="I41" s="52"/>
      <c r="J41" s="52"/>
      <c r="K41" s="52"/>
      <c r="L41" s="52"/>
      <c r="M41" s="52"/>
      <c r="N41" s="52"/>
      <c r="O41" s="52"/>
      <c r="P41" s="52"/>
      <c r="Q41" s="52"/>
      <c r="R41" s="52"/>
      <c r="S41" s="52"/>
      <c r="T41" s="52"/>
      <c r="U41" s="52"/>
      <c r="V41" s="52"/>
      <c r="W41" s="52"/>
      <c r="X41" s="52"/>
      <c r="Y41" s="52"/>
      <c r="Z41" s="52"/>
    </row>
    <row r="42">
      <c r="A42" s="58" t="str">
        <f t="shared" si="1"/>
        <v/>
      </c>
      <c r="B42" s="34"/>
      <c r="C42" s="52"/>
      <c r="D42" s="52"/>
      <c r="E42" s="52"/>
      <c r="F42" s="52"/>
      <c r="G42" s="52"/>
      <c r="H42" s="52"/>
      <c r="I42" s="52"/>
      <c r="J42" s="52"/>
      <c r="K42" s="52"/>
      <c r="L42" s="52"/>
      <c r="M42" s="52"/>
      <c r="N42" s="52"/>
      <c r="O42" s="52"/>
      <c r="P42" s="52"/>
      <c r="Q42" s="52"/>
      <c r="R42" s="52"/>
      <c r="S42" s="52"/>
      <c r="T42" s="52"/>
      <c r="U42" s="52"/>
      <c r="V42" s="52"/>
      <c r="W42" s="52"/>
      <c r="X42" s="52"/>
      <c r="Y42" s="52"/>
      <c r="Z42" s="52"/>
    </row>
    <row r="43">
      <c r="A43" s="58" t="str">
        <f t="shared" si="1"/>
        <v/>
      </c>
      <c r="B43" s="34"/>
      <c r="C43" s="52"/>
      <c r="D43" s="52"/>
      <c r="E43" s="52"/>
      <c r="F43" s="52"/>
      <c r="G43" s="52"/>
      <c r="H43" s="52"/>
      <c r="I43" s="52"/>
      <c r="J43" s="52"/>
      <c r="K43" s="52"/>
      <c r="L43" s="52"/>
      <c r="M43" s="52"/>
      <c r="N43" s="52"/>
      <c r="O43" s="52"/>
      <c r="P43" s="52"/>
      <c r="Q43" s="52"/>
      <c r="R43" s="52"/>
      <c r="S43" s="52"/>
      <c r="T43" s="52"/>
      <c r="U43" s="52"/>
      <c r="V43" s="52"/>
      <c r="W43" s="52"/>
      <c r="X43" s="52"/>
      <c r="Y43" s="52"/>
      <c r="Z43" s="52"/>
    </row>
    <row r="44">
      <c r="A44" s="58" t="str">
        <f t="shared" si="1"/>
        <v/>
      </c>
      <c r="B44" s="34"/>
      <c r="C44" s="52"/>
      <c r="D44" s="52"/>
      <c r="E44" s="52"/>
      <c r="F44" s="52"/>
      <c r="G44" s="52"/>
      <c r="H44" s="52"/>
      <c r="I44" s="52"/>
      <c r="J44" s="52"/>
      <c r="K44" s="52"/>
      <c r="L44" s="52"/>
      <c r="M44" s="52"/>
      <c r="N44" s="52"/>
      <c r="O44" s="52"/>
      <c r="P44" s="52"/>
      <c r="Q44" s="52"/>
      <c r="R44" s="52"/>
      <c r="S44" s="52"/>
      <c r="T44" s="52"/>
      <c r="U44" s="52"/>
      <c r="V44" s="52"/>
      <c r="W44" s="52"/>
      <c r="X44" s="52"/>
      <c r="Y44" s="52"/>
      <c r="Z44" s="52"/>
    </row>
    <row r="45">
      <c r="A45" s="58" t="str">
        <f t="shared" si="1"/>
        <v/>
      </c>
      <c r="B45" s="34"/>
      <c r="C45" s="52"/>
      <c r="D45" s="52"/>
      <c r="E45" s="52"/>
      <c r="F45" s="52"/>
      <c r="G45" s="52"/>
      <c r="H45" s="52"/>
      <c r="I45" s="52"/>
      <c r="J45" s="52"/>
      <c r="K45" s="52"/>
      <c r="L45" s="52"/>
      <c r="M45" s="52"/>
      <c r="N45" s="52"/>
      <c r="O45" s="52"/>
      <c r="P45" s="52"/>
      <c r="Q45" s="52"/>
      <c r="R45" s="52"/>
      <c r="S45" s="52"/>
      <c r="T45" s="52"/>
      <c r="U45" s="52"/>
      <c r="V45" s="52"/>
      <c r="W45" s="52"/>
      <c r="X45" s="52"/>
      <c r="Y45" s="52"/>
      <c r="Z45" s="52"/>
    </row>
    <row r="46">
      <c r="A46" s="58" t="str">
        <f t="shared" si="1"/>
        <v/>
      </c>
      <c r="B46" s="34"/>
      <c r="C46" s="52"/>
      <c r="D46" s="52"/>
      <c r="E46" s="52"/>
      <c r="F46" s="52"/>
      <c r="G46" s="52"/>
      <c r="H46" s="52"/>
      <c r="I46" s="52"/>
      <c r="J46" s="52"/>
      <c r="K46" s="52"/>
      <c r="L46" s="52"/>
      <c r="M46" s="52"/>
      <c r="N46" s="52"/>
      <c r="O46" s="52"/>
      <c r="P46" s="52"/>
      <c r="Q46" s="52"/>
      <c r="R46" s="52"/>
      <c r="S46" s="52"/>
      <c r="T46" s="52"/>
      <c r="U46" s="52"/>
      <c r="V46" s="52"/>
      <c r="W46" s="52"/>
      <c r="X46" s="52"/>
      <c r="Y46" s="52"/>
      <c r="Z46" s="52"/>
    </row>
    <row r="47">
      <c r="A47" s="58" t="str">
        <f t="shared" si="1"/>
        <v/>
      </c>
      <c r="B47" s="34"/>
      <c r="C47" s="52"/>
      <c r="D47" s="52"/>
      <c r="E47" s="52"/>
      <c r="F47" s="52"/>
      <c r="G47" s="52"/>
      <c r="H47" s="52"/>
      <c r="I47" s="52"/>
      <c r="J47" s="52"/>
      <c r="K47" s="52"/>
      <c r="L47" s="52"/>
      <c r="M47" s="52"/>
      <c r="N47" s="52"/>
      <c r="O47" s="52"/>
      <c r="P47" s="52"/>
      <c r="Q47" s="52"/>
      <c r="R47" s="52"/>
      <c r="S47" s="52"/>
      <c r="T47" s="52"/>
      <c r="U47" s="52"/>
      <c r="V47" s="52"/>
      <c r="W47" s="52"/>
      <c r="X47" s="52"/>
      <c r="Y47" s="52"/>
      <c r="Z47" s="52"/>
    </row>
    <row r="48">
      <c r="A48" s="58" t="str">
        <f t="shared" si="1"/>
        <v/>
      </c>
      <c r="B48" s="34"/>
      <c r="C48" s="52"/>
      <c r="D48" s="52"/>
      <c r="E48" s="52"/>
      <c r="F48" s="52"/>
      <c r="G48" s="52"/>
      <c r="H48" s="52"/>
      <c r="I48" s="52"/>
      <c r="J48" s="52"/>
      <c r="K48" s="52"/>
      <c r="L48" s="52"/>
      <c r="M48" s="52"/>
      <c r="N48" s="52"/>
      <c r="O48" s="52"/>
      <c r="P48" s="52"/>
      <c r="Q48" s="52"/>
      <c r="R48" s="52"/>
      <c r="S48" s="52"/>
      <c r="T48" s="52"/>
      <c r="U48" s="52"/>
      <c r="V48" s="52"/>
      <c r="W48" s="52"/>
      <c r="X48" s="52"/>
      <c r="Y48" s="52"/>
      <c r="Z48" s="52"/>
    </row>
    <row r="49">
      <c r="A49" s="58" t="str">
        <f t="shared" si="1"/>
        <v/>
      </c>
      <c r="B49" s="34"/>
      <c r="C49" s="52"/>
      <c r="D49" s="52"/>
      <c r="E49" s="52"/>
      <c r="F49" s="52"/>
      <c r="G49" s="52"/>
      <c r="H49" s="52"/>
      <c r="I49" s="52"/>
      <c r="J49" s="52"/>
      <c r="K49" s="52"/>
      <c r="L49" s="52"/>
      <c r="M49" s="52"/>
      <c r="N49" s="52"/>
      <c r="O49" s="52"/>
      <c r="P49" s="52"/>
      <c r="Q49" s="52"/>
      <c r="R49" s="52"/>
      <c r="S49" s="52"/>
      <c r="T49" s="52"/>
      <c r="U49" s="52"/>
      <c r="V49" s="52"/>
      <c r="W49" s="52"/>
      <c r="X49" s="52"/>
      <c r="Y49" s="52"/>
      <c r="Z49" s="52"/>
    </row>
    <row r="50">
      <c r="A50" s="58" t="str">
        <f t="shared" si="1"/>
        <v/>
      </c>
      <c r="B50" s="34"/>
      <c r="C50" s="52"/>
      <c r="D50" s="52"/>
      <c r="E50" s="52"/>
      <c r="F50" s="52"/>
      <c r="G50" s="52"/>
      <c r="H50" s="52"/>
      <c r="I50" s="52"/>
      <c r="J50" s="52"/>
      <c r="K50" s="52"/>
      <c r="L50" s="52"/>
      <c r="M50" s="52"/>
      <c r="N50" s="52"/>
      <c r="O50" s="52"/>
      <c r="P50" s="52"/>
      <c r="Q50" s="52"/>
      <c r="R50" s="52"/>
      <c r="S50" s="52"/>
      <c r="T50" s="52"/>
      <c r="U50" s="52"/>
      <c r="V50" s="52"/>
      <c r="W50" s="52"/>
      <c r="X50" s="52"/>
      <c r="Y50" s="52"/>
      <c r="Z50" s="52"/>
    </row>
    <row r="51">
      <c r="A51" s="58" t="str">
        <f t="shared" si="1"/>
        <v/>
      </c>
      <c r="B51" s="34"/>
      <c r="C51" s="52"/>
      <c r="D51" s="52"/>
      <c r="E51" s="52"/>
      <c r="F51" s="52"/>
      <c r="G51" s="52"/>
      <c r="H51" s="52"/>
      <c r="I51" s="52"/>
      <c r="J51" s="52"/>
      <c r="K51" s="52"/>
      <c r="L51" s="52"/>
      <c r="M51" s="52"/>
      <c r="N51" s="52"/>
      <c r="O51" s="52"/>
      <c r="P51" s="52"/>
      <c r="Q51" s="52"/>
      <c r="R51" s="52"/>
      <c r="S51" s="52"/>
      <c r="T51" s="52"/>
      <c r="U51" s="52"/>
      <c r="V51" s="52"/>
      <c r="W51" s="52"/>
      <c r="X51" s="52"/>
      <c r="Y51" s="52"/>
      <c r="Z51" s="52"/>
    </row>
    <row r="52">
      <c r="A52" s="58" t="str">
        <f t="shared" si="1"/>
        <v/>
      </c>
      <c r="B52" s="34"/>
      <c r="C52" s="52"/>
      <c r="D52" s="52"/>
      <c r="E52" s="52"/>
      <c r="F52" s="52"/>
      <c r="G52" s="52"/>
      <c r="H52" s="52"/>
      <c r="I52" s="52"/>
      <c r="J52" s="52"/>
      <c r="K52" s="52"/>
      <c r="L52" s="52"/>
      <c r="M52" s="52"/>
      <c r="N52" s="52"/>
      <c r="O52" s="52"/>
      <c r="P52" s="52"/>
      <c r="Q52" s="52"/>
      <c r="R52" s="52"/>
      <c r="S52" s="52"/>
      <c r="T52" s="52"/>
      <c r="U52" s="52"/>
      <c r="V52" s="52"/>
      <c r="W52" s="52"/>
      <c r="X52" s="52"/>
      <c r="Y52" s="52"/>
      <c r="Z52" s="52"/>
    </row>
    <row r="53">
      <c r="A53" s="58" t="str">
        <f t="shared" si="1"/>
        <v/>
      </c>
      <c r="B53" s="34"/>
      <c r="C53" s="52"/>
      <c r="D53" s="52"/>
      <c r="E53" s="52"/>
      <c r="F53" s="52"/>
      <c r="G53" s="52"/>
      <c r="H53" s="52"/>
      <c r="I53" s="52"/>
      <c r="J53" s="52"/>
      <c r="K53" s="52"/>
      <c r="L53" s="52"/>
      <c r="M53" s="52"/>
      <c r="N53" s="52"/>
      <c r="O53" s="52"/>
      <c r="P53" s="52"/>
      <c r="Q53" s="52"/>
      <c r="R53" s="52"/>
      <c r="S53" s="52"/>
      <c r="T53" s="52"/>
      <c r="U53" s="52"/>
      <c r="V53" s="52"/>
      <c r="W53" s="52"/>
      <c r="X53" s="52"/>
      <c r="Y53" s="52"/>
      <c r="Z53" s="52"/>
    </row>
    <row r="54">
      <c r="A54" s="58" t="str">
        <f t="shared" si="1"/>
        <v/>
      </c>
      <c r="B54" s="34"/>
      <c r="C54" s="52"/>
      <c r="D54" s="52"/>
      <c r="E54" s="52"/>
      <c r="F54" s="52"/>
      <c r="G54" s="52"/>
      <c r="H54" s="52"/>
      <c r="I54" s="52"/>
      <c r="J54" s="52"/>
      <c r="K54" s="52"/>
      <c r="L54" s="52"/>
      <c r="M54" s="52"/>
      <c r="N54" s="52"/>
      <c r="O54" s="52"/>
      <c r="P54" s="52"/>
      <c r="Q54" s="52"/>
      <c r="R54" s="52"/>
      <c r="S54" s="52"/>
      <c r="T54" s="52"/>
      <c r="U54" s="52"/>
      <c r="V54" s="52"/>
      <c r="W54" s="52"/>
      <c r="X54" s="52"/>
      <c r="Y54" s="52"/>
      <c r="Z54" s="52"/>
    </row>
    <row r="55">
      <c r="A55" s="58" t="str">
        <f t="shared" si="1"/>
        <v/>
      </c>
      <c r="B55" s="34"/>
      <c r="C55" s="52"/>
      <c r="D55" s="52"/>
      <c r="E55" s="52"/>
      <c r="F55" s="52"/>
      <c r="G55" s="52"/>
      <c r="H55" s="52"/>
      <c r="I55" s="52"/>
      <c r="J55" s="52"/>
      <c r="K55" s="52"/>
      <c r="L55" s="52"/>
      <c r="M55" s="52"/>
      <c r="N55" s="52"/>
      <c r="O55" s="52"/>
      <c r="P55" s="52"/>
      <c r="Q55" s="52"/>
      <c r="R55" s="52"/>
      <c r="S55" s="52"/>
      <c r="T55" s="52"/>
      <c r="U55" s="52"/>
      <c r="V55" s="52"/>
      <c r="W55" s="52"/>
      <c r="X55" s="52"/>
      <c r="Y55" s="52"/>
      <c r="Z55" s="52"/>
    </row>
    <row r="56">
      <c r="A56" s="58" t="str">
        <f t="shared" si="1"/>
        <v/>
      </c>
      <c r="B56" s="34"/>
      <c r="C56" s="52"/>
      <c r="D56" s="52"/>
      <c r="E56" s="52"/>
      <c r="F56" s="52"/>
      <c r="G56" s="52"/>
      <c r="H56" s="52"/>
      <c r="I56" s="52"/>
      <c r="J56" s="52"/>
      <c r="K56" s="52"/>
      <c r="L56" s="52"/>
      <c r="M56" s="52"/>
      <c r="N56" s="52"/>
      <c r="O56" s="52"/>
      <c r="P56" s="52"/>
      <c r="Q56" s="52"/>
      <c r="R56" s="52"/>
      <c r="S56" s="52"/>
      <c r="T56" s="52"/>
      <c r="U56" s="52"/>
      <c r="V56" s="52"/>
      <c r="W56" s="52"/>
      <c r="X56" s="52"/>
      <c r="Y56" s="52"/>
      <c r="Z56" s="52"/>
    </row>
    <row r="57">
      <c r="A57" s="58" t="str">
        <f t="shared" si="1"/>
        <v/>
      </c>
      <c r="B57" s="34"/>
      <c r="C57" s="52"/>
      <c r="D57" s="52"/>
      <c r="E57" s="52"/>
      <c r="F57" s="52"/>
      <c r="G57" s="52"/>
      <c r="H57" s="52"/>
      <c r="I57" s="52"/>
      <c r="J57" s="52"/>
      <c r="K57" s="52"/>
      <c r="L57" s="52"/>
      <c r="M57" s="52"/>
      <c r="N57" s="52"/>
      <c r="O57" s="52"/>
      <c r="P57" s="52"/>
      <c r="Q57" s="52"/>
      <c r="R57" s="52"/>
      <c r="S57" s="52"/>
      <c r="T57" s="52"/>
      <c r="U57" s="52"/>
      <c r="V57" s="52"/>
      <c r="W57" s="52"/>
      <c r="X57" s="52"/>
      <c r="Y57" s="52"/>
      <c r="Z57" s="52"/>
    </row>
    <row r="58">
      <c r="A58" s="58" t="str">
        <f t="shared" si="1"/>
        <v/>
      </c>
      <c r="B58" s="34"/>
      <c r="C58" s="52"/>
      <c r="D58" s="52"/>
      <c r="E58" s="52"/>
      <c r="F58" s="52"/>
      <c r="G58" s="52"/>
      <c r="H58" s="52"/>
      <c r="I58" s="52"/>
      <c r="J58" s="52"/>
      <c r="K58" s="52"/>
      <c r="L58" s="52"/>
      <c r="M58" s="52"/>
      <c r="N58" s="52"/>
      <c r="O58" s="52"/>
      <c r="P58" s="52"/>
      <c r="Q58" s="52"/>
      <c r="R58" s="52"/>
      <c r="S58" s="52"/>
      <c r="T58" s="52"/>
      <c r="U58" s="52"/>
      <c r="V58" s="52"/>
      <c r="W58" s="52"/>
      <c r="X58" s="52"/>
      <c r="Y58" s="52"/>
      <c r="Z58" s="52"/>
    </row>
    <row r="59">
      <c r="A59" s="58" t="str">
        <f t="shared" si="1"/>
        <v/>
      </c>
      <c r="B59" s="34"/>
      <c r="C59" s="52"/>
      <c r="D59" s="52"/>
      <c r="E59" s="52"/>
      <c r="F59" s="52"/>
      <c r="G59" s="52"/>
      <c r="H59" s="52"/>
      <c r="I59" s="52"/>
      <c r="J59" s="52"/>
      <c r="K59" s="52"/>
      <c r="L59" s="52"/>
      <c r="M59" s="52"/>
      <c r="N59" s="52"/>
      <c r="O59" s="52"/>
      <c r="P59" s="52"/>
      <c r="Q59" s="52"/>
      <c r="R59" s="52"/>
      <c r="S59" s="52"/>
      <c r="T59" s="52"/>
      <c r="U59" s="52"/>
      <c r="V59" s="52"/>
      <c r="W59" s="52"/>
      <c r="X59" s="52"/>
      <c r="Y59" s="52"/>
      <c r="Z59" s="52"/>
    </row>
    <row r="60">
      <c r="A60" s="58" t="str">
        <f t="shared" si="1"/>
        <v/>
      </c>
      <c r="B60" s="34"/>
      <c r="C60" s="52"/>
      <c r="D60" s="52"/>
      <c r="E60" s="52"/>
      <c r="F60" s="52"/>
      <c r="G60" s="52"/>
      <c r="H60" s="52"/>
      <c r="I60" s="52"/>
      <c r="J60" s="52"/>
      <c r="K60" s="52"/>
      <c r="L60" s="52"/>
      <c r="M60" s="52"/>
      <c r="N60" s="52"/>
      <c r="O60" s="52"/>
      <c r="P60" s="52"/>
      <c r="Q60" s="52"/>
      <c r="R60" s="52"/>
      <c r="S60" s="52"/>
      <c r="T60" s="52"/>
      <c r="U60" s="52"/>
      <c r="V60" s="52"/>
      <c r="W60" s="52"/>
      <c r="X60" s="52"/>
      <c r="Y60" s="52"/>
      <c r="Z60" s="52"/>
    </row>
    <row r="61">
      <c r="A61" s="58" t="str">
        <f t="shared" si="1"/>
        <v/>
      </c>
      <c r="B61" s="34"/>
      <c r="C61" s="52"/>
      <c r="D61" s="52"/>
      <c r="E61" s="52"/>
      <c r="F61" s="52"/>
      <c r="G61" s="52"/>
      <c r="H61" s="52"/>
      <c r="I61" s="52"/>
      <c r="J61" s="52"/>
      <c r="K61" s="52"/>
      <c r="L61" s="52"/>
      <c r="M61" s="52"/>
      <c r="N61" s="52"/>
      <c r="O61" s="52"/>
      <c r="P61" s="52"/>
      <c r="Q61" s="52"/>
      <c r="R61" s="52"/>
      <c r="S61" s="52"/>
      <c r="T61" s="52"/>
      <c r="U61" s="52"/>
      <c r="V61" s="52"/>
      <c r="W61" s="52"/>
      <c r="X61" s="52"/>
      <c r="Y61" s="52"/>
      <c r="Z61" s="52"/>
    </row>
    <row r="62">
      <c r="A62" s="58" t="str">
        <f t="shared" si="1"/>
        <v/>
      </c>
      <c r="B62" s="34"/>
      <c r="C62" s="52"/>
      <c r="D62" s="52"/>
      <c r="E62" s="52"/>
      <c r="F62" s="52"/>
      <c r="G62" s="52"/>
      <c r="H62" s="52"/>
      <c r="I62" s="52"/>
      <c r="J62" s="52"/>
      <c r="K62" s="52"/>
      <c r="L62" s="52"/>
      <c r="M62" s="52"/>
      <c r="N62" s="52"/>
      <c r="O62" s="52"/>
      <c r="P62" s="52"/>
      <c r="Q62" s="52"/>
      <c r="R62" s="52"/>
      <c r="S62" s="52"/>
      <c r="T62" s="52"/>
      <c r="U62" s="52"/>
      <c r="V62" s="52"/>
      <c r="W62" s="52"/>
      <c r="X62" s="52"/>
      <c r="Y62" s="52"/>
      <c r="Z62" s="52"/>
    </row>
    <row r="63">
      <c r="A63" s="58" t="str">
        <f t="shared" si="1"/>
        <v/>
      </c>
      <c r="B63" s="34"/>
      <c r="C63" s="52"/>
      <c r="D63" s="52"/>
      <c r="E63" s="52"/>
      <c r="F63" s="52"/>
      <c r="G63" s="52"/>
      <c r="H63" s="52"/>
      <c r="I63" s="52"/>
      <c r="J63" s="52"/>
      <c r="K63" s="52"/>
      <c r="L63" s="52"/>
      <c r="M63" s="52"/>
      <c r="N63" s="52"/>
      <c r="O63" s="52"/>
      <c r="P63" s="52"/>
      <c r="Q63" s="52"/>
      <c r="R63" s="52"/>
      <c r="S63" s="52"/>
      <c r="T63" s="52"/>
      <c r="U63" s="52"/>
      <c r="V63" s="52"/>
      <c r="W63" s="52"/>
      <c r="X63" s="52"/>
      <c r="Y63" s="52"/>
      <c r="Z63" s="52"/>
    </row>
    <row r="64">
      <c r="A64" s="58" t="str">
        <f t="shared" si="1"/>
        <v/>
      </c>
      <c r="B64" s="34"/>
      <c r="C64" s="52"/>
      <c r="D64" s="52"/>
      <c r="E64" s="52"/>
      <c r="F64" s="52"/>
      <c r="G64" s="52"/>
      <c r="H64" s="52"/>
      <c r="I64" s="52"/>
      <c r="J64" s="52"/>
      <c r="K64" s="52"/>
      <c r="L64" s="52"/>
      <c r="M64" s="52"/>
      <c r="N64" s="52"/>
      <c r="O64" s="52"/>
      <c r="P64" s="52"/>
      <c r="Q64" s="52"/>
      <c r="R64" s="52"/>
      <c r="S64" s="52"/>
      <c r="T64" s="52"/>
      <c r="U64" s="52"/>
      <c r="V64" s="52"/>
      <c r="W64" s="52"/>
      <c r="X64" s="52"/>
      <c r="Y64" s="52"/>
      <c r="Z64" s="52"/>
    </row>
    <row r="65">
      <c r="A65" s="58" t="str">
        <f t="shared" si="1"/>
        <v/>
      </c>
      <c r="B65" s="34"/>
      <c r="C65" s="52"/>
      <c r="D65" s="52"/>
      <c r="E65" s="52"/>
      <c r="F65" s="52"/>
      <c r="G65" s="52"/>
      <c r="H65" s="52"/>
      <c r="I65" s="52"/>
      <c r="J65" s="52"/>
      <c r="K65" s="52"/>
      <c r="L65" s="52"/>
      <c r="M65" s="52"/>
      <c r="N65" s="52"/>
      <c r="O65" s="52"/>
      <c r="P65" s="52"/>
      <c r="Q65" s="52"/>
      <c r="R65" s="52"/>
      <c r="S65" s="52"/>
      <c r="T65" s="52"/>
      <c r="U65" s="52"/>
      <c r="V65" s="52"/>
      <c r="W65" s="52"/>
      <c r="X65" s="52"/>
      <c r="Y65" s="52"/>
      <c r="Z65" s="52"/>
    </row>
    <row r="66">
      <c r="A66" s="58" t="str">
        <f t="shared" si="1"/>
        <v/>
      </c>
      <c r="B66" s="34"/>
      <c r="C66" s="52"/>
      <c r="D66" s="52"/>
      <c r="E66" s="52"/>
      <c r="F66" s="52"/>
      <c r="G66" s="52"/>
      <c r="H66" s="52"/>
      <c r="I66" s="52"/>
      <c r="J66" s="52"/>
      <c r="K66" s="52"/>
      <c r="L66" s="52"/>
      <c r="M66" s="52"/>
      <c r="N66" s="52"/>
      <c r="O66" s="52"/>
      <c r="P66" s="52"/>
      <c r="Q66" s="52"/>
      <c r="R66" s="52"/>
      <c r="S66" s="52"/>
      <c r="T66" s="52"/>
      <c r="U66" s="52"/>
      <c r="V66" s="52"/>
      <c r="W66" s="52"/>
      <c r="X66" s="52"/>
      <c r="Y66" s="52"/>
      <c r="Z66" s="52"/>
    </row>
    <row r="67">
      <c r="A67" s="58" t="str">
        <f t="shared" si="1"/>
        <v/>
      </c>
      <c r="B67" s="34"/>
      <c r="C67" s="52"/>
      <c r="D67" s="52"/>
      <c r="E67" s="52"/>
      <c r="F67" s="52"/>
      <c r="G67" s="52"/>
      <c r="H67" s="52"/>
      <c r="I67" s="52"/>
      <c r="J67" s="52"/>
      <c r="K67" s="52"/>
      <c r="L67" s="52"/>
      <c r="M67" s="52"/>
      <c r="N67" s="52"/>
      <c r="O67" s="52"/>
      <c r="P67" s="52"/>
      <c r="Q67" s="52"/>
      <c r="R67" s="52"/>
      <c r="S67" s="52"/>
      <c r="T67" s="52"/>
      <c r="U67" s="52"/>
      <c r="V67" s="52"/>
      <c r="W67" s="52"/>
      <c r="X67" s="52"/>
      <c r="Y67" s="52"/>
      <c r="Z67" s="52"/>
    </row>
    <row r="68">
      <c r="A68" s="58" t="str">
        <f t="shared" si="1"/>
        <v/>
      </c>
      <c r="B68" s="34"/>
      <c r="C68" s="52"/>
      <c r="D68" s="52"/>
      <c r="E68" s="52"/>
      <c r="F68" s="52"/>
      <c r="G68" s="52"/>
      <c r="H68" s="52"/>
      <c r="I68" s="52"/>
      <c r="J68" s="52"/>
      <c r="K68" s="52"/>
      <c r="L68" s="52"/>
      <c r="M68" s="52"/>
      <c r="N68" s="52"/>
      <c r="O68" s="52"/>
      <c r="P68" s="52"/>
      <c r="Q68" s="52"/>
      <c r="R68" s="52"/>
      <c r="S68" s="52"/>
      <c r="T68" s="52"/>
      <c r="U68" s="52"/>
      <c r="V68" s="52"/>
      <c r="W68" s="52"/>
      <c r="X68" s="52"/>
      <c r="Y68" s="52"/>
      <c r="Z68" s="52"/>
    </row>
    <row r="69">
      <c r="A69" s="58" t="str">
        <f t="shared" si="1"/>
        <v/>
      </c>
      <c r="B69" s="34"/>
      <c r="C69" s="52"/>
      <c r="D69" s="52"/>
      <c r="E69" s="52"/>
      <c r="F69" s="52"/>
      <c r="G69" s="52"/>
      <c r="H69" s="52"/>
      <c r="I69" s="52"/>
      <c r="J69" s="52"/>
      <c r="K69" s="52"/>
      <c r="L69" s="52"/>
      <c r="M69" s="52"/>
      <c r="N69" s="52"/>
      <c r="O69" s="52"/>
      <c r="P69" s="52"/>
      <c r="Q69" s="52"/>
      <c r="R69" s="52"/>
      <c r="S69" s="52"/>
      <c r="T69" s="52"/>
      <c r="U69" s="52"/>
      <c r="V69" s="52"/>
      <c r="W69" s="52"/>
      <c r="X69" s="52"/>
      <c r="Y69" s="52"/>
      <c r="Z69" s="52"/>
    </row>
    <row r="70">
      <c r="A70" s="58" t="str">
        <f t="shared" si="1"/>
        <v/>
      </c>
      <c r="B70" s="34"/>
      <c r="C70" s="52"/>
      <c r="D70" s="52"/>
      <c r="E70" s="52"/>
      <c r="F70" s="52"/>
      <c r="G70" s="52"/>
      <c r="H70" s="52"/>
      <c r="I70" s="52"/>
      <c r="J70" s="52"/>
      <c r="K70" s="52"/>
      <c r="L70" s="52"/>
      <c r="M70" s="52"/>
      <c r="N70" s="52"/>
      <c r="O70" s="52"/>
      <c r="P70" s="52"/>
      <c r="Q70" s="52"/>
      <c r="R70" s="52"/>
      <c r="S70" s="52"/>
      <c r="T70" s="52"/>
      <c r="U70" s="52"/>
      <c r="V70" s="52"/>
      <c r="W70" s="52"/>
      <c r="X70" s="52"/>
      <c r="Y70" s="52"/>
      <c r="Z70" s="52"/>
    </row>
    <row r="71">
      <c r="A71" s="58" t="str">
        <f t="shared" si="1"/>
        <v/>
      </c>
      <c r="B71" s="34"/>
      <c r="C71" s="52"/>
      <c r="D71" s="52"/>
      <c r="E71" s="52"/>
      <c r="F71" s="52"/>
      <c r="G71" s="52"/>
      <c r="H71" s="52"/>
      <c r="I71" s="52"/>
      <c r="J71" s="52"/>
      <c r="K71" s="52"/>
      <c r="L71" s="52"/>
      <c r="M71" s="52"/>
      <c r="N71" s="52"/>
      <c r="O71" s="52"/>
      <c r="P71" s="52"/>
      <c r="Q71" s="52"/>
      <c r="R71" s="52"/>
      <c r="S71" s="52"/>
      <c r="T71" s="52"/>
      <c r="U71" s="52"/>
      <c r="V71" s="52"/>
      <c r="W71" s="52"/>
      <c r="X71" s="52"/>
      <c r="Y71" s="52"/>
      <c r="Z71" s="52"/>
    </row>
    <row r="72">
      <c r="A72" s="58" t="str">
        <f t="shared" si="1"/>
        <v/>
      </c>
      <c r="B72" s="34"/>
      <c r="C72" s="52"/>
      <c r="D72" s="52"/>
      <c r="E72" s="52"/>
      <c r="F72" s="52"/>
      <c r="G72" s="52"/>
      <c r="H72" s="52"/>
      <c r="I72" s="52"/>
      <c r="J72" s="52"/>
      <c r="K72" s="52"/>
      <c r="L72" s="52"/>
      <c r="M72" s="52"/>
      <c r="N72" s="52"/>
      <c r="O72" s="52"/>
      <c r="P72" s="52"/>
      <c r="Q72" s="52"/>
      <c r="R72" s="52"/>
      <c r="S72" s="52"/>
      <c r="T72" s="52"/>
      <c r="U72" s="52"/>
      <c r="V72" s="52"/>
      <c r="W72" s="52"/>
      <c r="X72" s="52"/>
      <c r="Y72" s="52"/>
      <c r="Z72" s="52"/>
    </row>
    <row r="73">
      <c r="A73" s="58" t="str">
        <f t="shared" si="1"/>
        <v/>
      </c>
      <c r="B73" s="34"/>
      <c r="C73" s="52"/>
      <c r="D73" s="52"/>
      <c r="E73" s="52"/>
      <c r="F73" s="52"/>
      <c r="G73" s="52"/>
      <c r="H73" s="52"/>
      <c r="I73" s="52"/>
      <c r="J73" s="52"/>
      <c r="K73" s="52"/>
      <c r="L73" s="52"/>
      <c r="M73" s="52"/>
      <c r="N73" s="52"/>
      <c r="O73" s="52"/>
      <c r="P73" s="52"/>
      <c r="Q73" s="52"/>
      <c r="R73" s="52"/>
      <c r="S73" s="52"/>
      <c r="T73" s="52"/>
      <c r="U73" s="52"/>
      <c r="V73" s="52"/>
      <c r="W73" s="52"/>
      <c r="X73" s="52"/>
      <c r="Y73" s="52"/>
      <c r="Z73" s="52"/>
    </row>
    <row r="74">
      <c r="A74" s="58" t="str">
        <f t="shared" si="1"/>
        <v/>
      </c>
      <c r="B74" s="34"/>
      <c r="C74" s="52"/>
      <c r="D74" s="52"/>
      <c r="E74" s="52"/>
      <c r="F74" s="52"/>
      <c r="G74" s="52"/>
      <c r="H74" s="52"/>
      <c r="I74" s="52"/>
      <c r="J74" s="52"/>
      <c r="K74" s="52"/>
      <c r="L74" s="52"/>
      <c r="M74" s="52"/>
      <c r="N74" s="52"/>
      <c r="O74" s="52"/>
      <c r="P74" s="52"/>
      <c r="Q74" s="52"/>
      <c r="R74" s="52"/>
      <c r="S74" s="52"/>
      <c r="T74" s="52"/>
      <c r="U74" s="52"/>
      <c r="V74" s="52"/>
      <c r="W74" s="52"/>
      <c r="X74" s="52"/>
      <c r="Y74" s="52"/>
      <c r="Z74" s="52"/>
    </row>
    <row r="75">
      <c r="A75" s="58" t="str">
        <f t="shared" si="1"/>
        <v/>
      </c>
      <c r="B75" s="34"/>
      <c r="C75" s="52"/>
      <c r="D75" s="52"/>
      <c r="E75" s="52"/>
      <c r="F75" s="52"/>
      <c r="G75" s="52"/>
      <c r="H75" s="52"/>
      <c r="I75" s="52"/>
      <c r="J75" s="52"/>
      <c r="K75" s="52"/>
      <c r="L75" s="52"/>
      <c r="M75" s="52"/>
      <c r="N75" s="52"/>
      <c r="O75" s="52"/>
      <c r="P75" s="52"/>
      <c r="Q75" s="52"/>
      <c r="R75" s="52"/>
      <c r="S75" s="52"/>
      <c r="T75" s="52"/>
      <c r="U75" s="52"/>
      <c r="V75" s="52"/>
      <c r="W75" s="52"/>
      <c r="X75" s="52"/>
      <c r="Y75" s="52"/>
      <c r="Z75" s="52"/>
    </row>
    <row r="76">
      <c r="A76" s="58" t="str">
        <f t="shared" si="1"/>
        <v/>
      </c>
      <c r="B76" s="34"/>
      <c r="C76" s="52"/>
      <c r="D76" s="52"/>
      <c r="E76" s="52"/>
      <c r="F76" s="52"/>
      <c r="G76" s="52"/>
      <c r="H76" s="52"/>
      <c r="I76" s="52"/>
      <c r="J76" s="52"/>
      <c r="K76" s="52"/>
      <c r="L76" s="52"/>
      <c r="M76" s="52"/>
      <c r="N76" s="52"/>
      <c r="O76" s="52"/>
      <c r="P76" s="52"/>
      <c r="Q76" s="52"/>
      <c r="R76" s="52"/>
      <c r="S76" s="52"/>
      <c r="T76" s="52"/>
      <c r="U76" s="52"/>
      <c r="V76" s="52"/>
      <c r="W76" s="52"/>
      <c r="X76" s="52"/>
      <c r="Y76" s="52"/>
      <c r="Z76" s="52"/>
    </row>
    <row r="77">
      <c r="A77" s="58" t="str">
        <f t="shared" si="1"/>
        <v/>
      </c>
      <c r="B77" s="34"/>
      <c r="C77" s="52"/>
      <c r="D77" s="52"/>
      <c r="E77" s="52"/>
      <c r="F77" s="52"/>
      <c r="G77" s="52"/>
      <c r="H77" s="52"/>
      <c r="I77" s="52"/>
      <c r="J77" s="52"/>
      <c r="K77" s="52"/>
      <c r="L77" s="52"/>
      <c r="M77" s="52"/>
      <c r="N77" s="52"/>
      <c r="O77" s="52"/>
      <c r="P77" s="52"/>
      <c r="Q77" s="52"/>
      <c r="R77" s="52"/>
      <c r="S77" s="52"/>
      <c r="T77" s="52"/>
      <c r="U77" s="52"/>
      <c r="V77" s="52"/>
      <c r="W77" s="52"/>
      <c r="X77" s="52"/>
      <c r="Y77" s="52"/>
      <c r="Z77" s="52"/>
    </row>
    <row r="78">
      <c r="A78" s="58" t="str">
        <f t="shared" si="1"/>
        <v/>
      </c>
      <c r="B78" s="34"/>
      <c r="C78" s="52"/>
      <c r="D78" s="52"/>
      <c r="E78" s="52"/>
      <c r="F78" s="52"/>
      <c r="G78" s="52"/>
      <c r="H78" s="52"/>
      <c r="I78" s="52"/>
      <c r="J78" s="52"/>
      <c r="K78" s="52"/>
      <c r="L78" s="52"/>
      <c r="M78" s="52"/>
      <c r="N78" s="52"/>
      <c r="O78" s="52"/>
      <c r="P78" s="52"/>
      <c r="Q78" s="52"/>
      <c r="R78" s="52"/>
      <c r="S78" s="52"/>
      <c r="T78" s="52"/>
      <c r="U78" s="52"/>
      <c r="V78" s="52"/>
      <c r="W78" s="52"/>
      <c r="X78" s="52"/>
      <c r="Y78" s="52"/>
      <c r="Z78" s="52"/>
    </row>
    <row r="79">
      <c r="A79" s="58" t="str">
        <f t="shared" si="1"/>
        <v/>
      </c>
      <c r="B79" s="34"/>
      <c r="C79" s="52"/>
      <c r="D79" s="52"/>
      <c r="E79" s="52"/>
      <c r="F79" s="52"/>
      <c r="G79" s="52"/>
      <c r="H79" s="52"/>
      <c r="I79" s="52"/>
      <c r="J79" s="52"/>
      <c r="K79" s="52"/>
      <c r="L79" s="52"/>
      <c r="M79" s="52"/>
      <c r="N79" s="52"/>
      <c r="O79" s="52"/>
      <c r="P79" s="52"/>
      <c r="Q79" s="52"/>
      <c r="R79" s="52"/>
      <c r="S79" s="52"/>
      <c r="T79" s="52"/>
      <c r="U79" s="52"/>
      <c r="V79" s="52"/>
      <c r="W79" s="52"/>
      <c r="X79" s="52"/>
      <c r="Y79" s="52"/>
      <c r="Z79" s="52"/>
    </row>
    <row r="80">
      <c r="A80" s="58" t="str">
        <f t="shared" si="1"/>
        <v/>
      </c>
      <c r="B80" s="34"/>
      <c r="C80" s="52"/>
      <c r="D80" s="52"/>
      <c r="E80" s="52"/>
      <c r="F80" s="52"/>
      <c r="G80" s="52"/>
      <c r="H80" s="52"/>
      <c r="I80" s="52"/>
      <c r="J80" s="52"/>
      <c r="K80" s="52"/>
      <c r="L80" s="52"/>
      <c r="M80" s="52"/>
      <c r="N80" s="52"/>
      <c r="O80" s="52"/>
      <c r="P80" s="52"/>
      <c r="Q80" s="52"/>
      <c r="R80" s="52"/>
      <c r="S80" s="52"/>
      <c r="T80" s="52"/>
      <c r="U80" s="52"/>
      <c r="V80" s="52"/>
      <c r="W80" s="52"/>
      <c r="X80" s="52"/>
      <c r="Y80" s="52"/>
      <c r="Z80" s="52"/>
    </row>
    <row r="81">
      <c r="A81" s="58" t="str">
        <f t="shared" si="1"/>
        <v/>
      </c>
      <c r="B81" s="34"/>
      <c r="C81" s="52"/>
      <c r="D81" s="52"/>
      <c r="E81" s="52"/>
      <c r="F81" s="52"/>
      <c r="G81" s="52"/>
      <c r="H81" s="52"/>
      <c r="I81" s="52"/>
      <c r="J81" s="52"/>
      <c r="K81" s="52"/>
      <c r="L81" s="52"/>
      <c r="M81" s="52"/>
      <c r="N81" s="52"/>
      <c r="O81" s="52"/>
      <c r="P81" s="52"/>
      <c r="Q81" s="52"/>
      <c r="R81" s="52"/>
      <c r="S81" s="52"/>
      <c r="T81" s="52"/>
      <c r="U81" s="52"/>
      <c r="V81" s="52"/>
      <c r="W81" s="52"/>
      <c r="X81" s="52"/>
      <c r="Y81" s="52"/>
      <c r="Z81" s="52"/>
    </row>
    <row r="82">
      <c r="A82" s="58" t="str">
        <f t="shared" si="1"/>
        <v/>
      </c>
      <c r="B82" s="34"/>
      <c r="C82" s="52"/>
      <c r="D82" s="52"/>
      <c r="E82" s="52"/>
      <c r="F82" s="52"/>
      <c r="G82" s="52"/>
      <c r="H82" s="52"/>
      <c r="I82" s="52"/>
      <c r="J82" s="52"/>
      <c r="K82" s="52"/>
      <c r="L82" s="52"/>
      <c r="M82" s="52"/>
      <c r="N82" s="52"/>
      <c r="O82" s="52"/>
      <c r="P82" s="52"/>
      <c r="Q82" s="52"/>
      <c r="R82" s="52"/>
      <c r="S82" s="52"/>
      <c r="T82" s="52"/>
      <c r="U82" s="52"/>
      <c r="V82" s="52"/>
      <c r="W82" s="52"/>
      <c r="X82" s="52"/>
      <c r="Y82" s="52"/>
      <c r="Z82" s="52"/>
    </row>
    <row r="83">
      <c r="A83" s="58" t="str">
        <f t="shared" si="1"/>
        <v/>
      </c>
      <c r="B83" s="34"/>
      <c r="C83" s="52"/>
      <c r="D83" s="52"/>
      <c r="E83" s="52"/>
      <c r="F83" s="52"/>
      <c r="G83" s="52"/>
      <c r="H83" s="52"/>
      <c r="I83" s="52"/>
      <c r="J83" s="52"/>
      <c r="K83" s="52"/>
      <c r="L83" s="52"/>
      <c r="M83" s="52"/>
      <c r="N83" s="52"/>
      <c r="O83" s="52"/>
      <c r="P83" s="52"/>
      <c r="Q83" s="52"/>
      <c r="R83" s="52"/>
      <c r="S83" s="52"/>
      <c r="T83" s="52"/>
      <c r="U83" s="52"/>
      <c r="V83" s="52"/>
      <c r="W83" s="52"/>
      <c r="X83" s="52"/>
      <c r="Y83" s="52"/>
      <c r="Z83" s="52"/>
    </row>
    <row r="84">
      <c r="A84" s="58" t="str">
        <f t="shared" si="1"/>
        <v/>
      </c>
      <c r="B84" s="34"/>
      <c r="C84" s="52"/>
      <c r="D84" s="52"/>
      <c r="E84" s="52"/>
      <c r="F84" s="52"/>
      <c r="G84" s="52"/>
      <c r="H84" s="52"/>
      <c r="I84" s="52"/>
      <c r="J84" s="52"/>
      <c r="K84" s="52"/>
      <c r="L84" s="52"/>
      <c r="M84" s="52"/>
      <c r="N84" s="52"/>
      <c r="O84" s="52"/>
      <c r="P84" s="52"/>
      <c r="Q84" s="52"/>
      <c r="R84" s="52"/>
      <c r="S84" s="52"/>
      <c r="T84" s="52"/>
      <c r="U84" s="52"/>
      <c r="V84" s="52"/>
      <c r="W84" s="52"/>
      <c r="X84" s="52"/>
      <c r="Y84" s="52"/>
      <c r="Z84" s="52"/>
    </row>
    <row r="85">
      <c r="A85" s="58" t="str">
        <f t="shared" si="1"/>
        <v/>
      </c>
      <c r="B85" s="34"/>
      <c r="C85" s="52"/>
      <c r="D85" s="52"/>
      <c r="E85" s="52"/>
      <c r="F85" s="52"/>
      <c r="G85" s="52"/>
      <c r="H85" s="52"/>
      <c r="I85" s="52"/>
      <c r="J85" s="52"/>
      <c r="K85" s="52"/>
      <c r="L85" s="52"/>
      <c r="M85" s="52"/>
      <c r="N85" s="52"/>
      <c r="O85" s="52"/>
      <c r="P85" s="52"/>
      <c r="Q85" s="52"/>
      <c r="R85" s="52"/>
      <c r="S85" s="52"/>
      <c r="T85" s="52"/>
      <c r="U85" s="52"/>
      <c r="V85" s="52"/>
      <c r="W85" s="52"/>
      <c r="X85" s="52"/>
      <c r="Y85" s="52"/>
      <c r="Z85" s="52"/>
    </row>
    <row r="86">
      <c r="A86" s="58" t="str">
        <f t="shared" si="1"/>
        <v/>
      </c>
      <c r="B86" s="34"/>
      <c r="C86" s="52"/>
      <c r="D86" s="52"/>
      <c r="E86" s="52"/>
      <c r="F86" s="52"/>
      <c r="G86" s="52"/>
      <c r="H86" s="52"/>
      <c r="I86" s="52"/>
      <c r="J86" s="52"/>
      <c r="K86" s="52"/>
      <c r="L86" s="52"/>
      <c r="M86" s="52"/>
      <c r="N86" s="52"/>
      <c r="O86" s="52"/>
      <c r="P86" s="52"/>
      <c r="Q86" s="52"/>
      <c r="R86" s="52"/>
      <c r="S86" s="52"/>
      <c r="T86" s="52"/>
      <c r="U86" s="52"/>
      <c r="V86" s="52"/>
      <c r="W86" s="52"/>
      <c r="X86" s="52"/>
      <c r="Y86" s="52"/>
      <c r="Z86" s="52"/>
    </row>
    <row r="87">
      <c r="A87" s="58" t="str">
        <f t="shared" si="1"/>
        <v/>
      </c>
      <c r="B87" s="34"/>
      <c r="C87" s="52"/>
      <c r="D87" s="52"/>
      <c r="E87" s="52"/>
      <c r="F87" s="52"/>
      <c r="G87" s="52"/>
      <c r="H87" s="52"/>
      <c r="I87" s="52"/>
      <c r="J87" s="52"/>
      <c r="K87" s="52"/>
      <c r="L87" s="52"/>
      <c r="M87" s="52"/>
      <c r="N87" s="52"/>
      <c r="O87" s="52"/>
      <c r="P87" s="52"/>
      <c r="Q87" s="52"/>
      <c r="R87" s="52"/>
      <c r="S87" s="52"/>
      <c r="T87" s="52"/>
      <c r="U87" s="52"/>
      <c r="V87" s="52"/>
      <c r="W87" s="52"/>
      <c r="X87" s="52"/>
      <c r="Y87" s="52"/>
      <c r="Z87" s="52"/>
    </row>
    <row r="88">
      <c r="A88" s="58" t="str">
        <f t="shared" si="1"/>
        <v/>
      </c>
      <c r="B88" s="34"/>
      <c r="C88" s="52"/>
      <c r="D88" s="52"/>
      <c r="E88" s="52"/>
      <c r="F88" s="52"/>
      <c r="G88" s="52"/>
      <c r="H88" s="52"/>
      <c r="I88" s="52"/>
      <c r="J88" s="52"/>
      <c r="K88" s="52"/>
      <c r="L88" s="52"/>
      <c r="M88" s="52"/>
      <c r="N88" s="52"/>
      <c r="O88" s="52"/>
      <c r="P88" s="52"/>
      <c r="Q88" s="52"/>
      <c r="R88" s="52"/>
      <c r="S88" s="52"/>
      <c r="T88" s="52"/>
      <c r="U88" s="52"/>
      <c r="V88" s="52"/>
      <c r="W88" s="52"/>
      <c r="X88" s="52"/>
      <c r="Y88" s="52"/>
      <c r="Z88" s="52"/>
    </row>
    <row r="89">
      <c r="A89" s="58" t="str">
        <f t="shared" si="1"/>
        <v/>
      </c>
      <c r="B89" s="34"/>
      <c r="C89" s="52"/>
      <c r="D89" s="52"/>
      <c r="E89" s="52"/>
      <c r="F89" s="52"/>
      <c r="G89" s="52"/>
      <c r="H89" s="52"/>
      <c r="I89" s="52"/>
      <c r="J89" s="52"/>
      <c r="K89" s="52"/>
      <c r="L89" s="52"/>
      <c r="M89" s="52"/>
      <c r="N89" s="52"/>
      <c r="O89" s="52"/>
      <c r="P89" s="52"/>
      <c r="Q89" s="52"/>
      <c r="R89" s="52"/>
      <c r="S89" s="52"/>
      <c r="T89" s="52"/>
      <c r="U89" s="52"/>
      <c r="V89" s="52"/>
      <c r="W89" s="52"/>
      <c r="X89" s="52"/>
      <c r="Y89" s="52"/>
      <c r="Z89" s="52"/>
    </row>
    <row r="90">
      <c r="A90" s="58" t="str">
        <f t="shared" si="1"/>
        <v/>
      </c>
      <c r="B90" s="34"/>
      <c r="C90" s="52"/>
      <c r="D90" s="52"/>
      <c r="E90" s="52"/>
      <c r="F90" s="52"/>
      <c r="G90" s="52"/>
      <c r="H90" s="52"/>
      <c r="I90" s="52"/>
      <c r="J90" s="52"/>
      <c r="K90" s="52"/>
      <c r="L90" s="52"/>
      <c r="M90" s="52"/>
      <c r="N90" s="52"/>
      <c r="O90" s="52"/>
      <c r="P90" s="52"/>
      <c r="Q90" s="52"/>
      <c r="R90" s="52"/>
      <c r="S90" s="52"/>
      <c r="T90" s="52"/>
      <c r="U90" s="52"/>
      <c r="V90" s="52"/>
      <c r="W90" s="52"/>
      <c r="X90" s="52"/>
      <c r="Y90" s="52"/>
      <c r="Z90" s="52"/>
    </row>
    <row r="91">
      <c r="A91" s="58" t="str">
        <f t="shared" si="1"/>
        <v/>
      </c>
      <c r="B91" s="34"/>
      <c r="C91" s="52"/>
      <c r="D91" s="52"/>
      <c r="E91" s="52"/>
      <c r="F91" s="52"/>
      <c r="G91" s="52"/>
      <c r="H91" s="52"/>
      <c r="I91" s="52"/>
      <c r="J91" s="52"/>
      <c r="K91" s="52"/>
      <c r="L91" s="52"/>
      <c r="M91" s="52"/>
      <c r="N91" s="52"/>
      <c r="O91" s="52"/>
      <c r="P91" s="52"/>
      <c r="Q91" s="52"/>
      <c r="R91" s="52"/>
      <c r="S91" s="52"/>
      <c r="T91" s="52"/>
      <c r="U91" s="52"/>
      <c r="V91" s="52"/>
      <c r="W91" s="52"/>
      <c r="X91" s="52"/>
      <c r="Y91" s="52"/>
      <c r="Z91" s="52"/>
    </row>
    <row r="92">
      <c r="A92" s="58" t="str">
        <f t="shared" si="1"/>
        <v/>
      </c>
      <c r="B92" s="34"/>
      <c r="C92" s="52"/>
      <c r="D92" s="52"/>
      <c r="E92" s="52"/>
      <c r="F92" s="52"/>
      <c r="G92" s="52"/>
      <c r="H92" s="52"/>
      <c r="I92" s="52"/>
      <c r="J92" s="52"/>
      <c r="K92" s="52"/>
      <c r="L92" s="52"/>
      <c r="M92" s="52"/>
      <c r="N92" s="52"/>
      <c r="O92" s="52"/>
      <c r="P92" s="52"/>
      <c r="Q92" s="52"/>
      <c r="R92" s="52"/>
      <c r="S92" s="52"/>
      <c r="T92" s="52"/>
      <c r="U92" s="52"/>
      <c r="V92" s="52"/>
      <c r="W92" s="52"/>
      <c r="X92" s="52"/>
      <c r="Y92" s="52"/>
      <c r="Z92" s="52"/>
    </row>
    <row r="93">
      <c r="A93" s="58" t="str">
        <f t="shared" si="1"/>
        <v/>
      </c>
      <c r="B93" s="34"/>
      <c r="C93" s="52"/>
      <c r="D93" s="52"/>
      <c r="E93" s="52"/>
      <c r="F93" s="52"/>
      <c r="G93" s="52"/>
      <c r="H93" s="52"/>
      <c r="I93" s="52"/>
      <c r="J93" s="52"/>
      <c r="K93" s="52"/>
      <c r="L93" s="52"/>
      <c r="M93" s="52"/>
      <c r="N93" s="52"/>
      <c r="O93" s="52"/>
      <c r="P93" s="52"/>
      <c r="Q93" s="52"/>
      <c r="R93" s="52"/>
      <c r="S93" s="52"/>
      <c r="T93" s="52"/>
      <c r="U93" s="52"/>
      <c r="V93" s="52"/>
      <c r="W93" s="52"/>
      <c r="X93" s="52"/>
      <c r="Y93" s="52"/>
      <c r="Z93" s="52"/>
    </row>
    <row r="94">
      <c r="A94" s="58" t="str">
        <f t="shared" si="1"/>
        <v/>
      </c>
      <c r="B94" s="34"/>
      <c r="C94" s="52"/>
      <c r="D94" s="52"/>
      <c r="E94" s="52"/>
      <c r="F94" s="52"/>
      <c r="G94" s="52"/>
      <c r="H94" s="52"/>
      <c r="I94" s="52"/>
      <c r="J94" s="52"/>
      <c r="K94" s="52"/>
      <c r="L94" s="52"/>
      <c r="M94" s="52"/>
      <c r="N94" s="52"/>
      <c r="O94" s="52"/>
      <c r="P94" s="52"/>
      <c r="Q94" s="52"/>
      <c r="R94" s="52"/>
      <c r="S94" s="52"/>
      <c r="T94" s="52"/>
      <c r="U94" s="52"/>
      <c r="V94" s="52"/>
      <c r="W94" s="52"/>
      <c r="X94" s="52"/>
      <c r="Y94" s="52"/>
      <c r="Z94" s="52"/>
    </row>
    <row r="95">
      <c r="A95" s="58" t="str">
        <f t="shared" si="1"/>
        <v/>
      </c>
      <c r="B95" s="34"/>
      <c r="C95" s="52"/>
      <c r="D95" s="52"/>
      <c r="E95" s="52"/>
      <c r="F95" s="52"/>
      <c r="G95" s="52"/>
      <c r="H95" s="52"/>
      <c r="I95" s="52"/>
      <c r="J95" s="52"/>
      <c r="K95" s="52"/>
      <c r="L95" s="52"/>
      <c r="M95" s="52"/>
      <c r="N95" s="52"/>
      <c r="O95" s="52"/>
      <c r="P95" s="52"/>
      <c r="Q95" s="52"/>
      <c r="R95" s="52"/>
      <c r="S95" s="52"/>
      <c r="T95" s="52"/>
      <c r="U95" s="52"/>
      <c r="V95" s="52"/>
      <c r="W95" s="52"/>
      <c r="X95" s="52"/>
      <c r="Y95" s="52"/>
      <c r="Z95" s="52"/>
    </row>
    <row r="96">
      <c r="A96" s="58" t="str">
        <f t="shared" si="1"/>
        <v/>
      </c>
      <c r="B96" s="34"/>
      <c r="C96" s="52"/>
      <c r="D96" s="52"/>
      <c r="E96" s="52"/>
      <c r="F96" s="52"/>
      <c r="G96" s="52"/>
      <c r="H96" s="52"/>
      <c r="I96" s="52"/>
      <c r="J96" s="52"/>
      <c r="K96" s="52"/>
      <c r="L96" s="52"/>
      <c r="M96" s="52"/>
      <c r="N96" s="52"/>
      <c r="O96" s="52"/>
      <c r="P96" s="52"/>
      <c r="Q96" s="52"/>
      <c r="R96" s="52"/>
      <c r="S96" s="52"/>
      <c r="T96" s="52"/>
      <c r="U96" s="52"/>
      <c r="V96" s="52"/>
      <c r="W96" s="52"/>
      <c r="X96" s="52"/>
      <c r="Y96" s="52"/>
      <c r="Z96" s="52"/>
    </row>
    <row r="97">
      <c r="A97" s="58" t="str">
        <f t="shared" si="1"/>
        <v/>
      </c>
      <c r="B97" s="34"/>
      <c r="C97" s="52"/>
      <c r="D97" s="52"/>
      <c r="E97" s="52"/>
      <c r="F97" s="52"/>
      <c r="G97" s="52"/>
      <c r="H97" s="52"/>
      <c r="I97" s="52"/>
      <c r="J97" s="52"/>
      <c r="K97" s="52"/>
      <c r="L97" s="52"/>
      <c r="M97" s="52"/>
      <c r="N97" s="52"/>
      <c r="O97" s="52"/>
      <c r="P97" s="52"/>
      <c r="Q97" s="52"/>
      <c r="R97" s="52"/>
      <c r="S97" s="52"/>
      <c r="T97" s="52"/>
      <c r="U97" s="52"/>
      <c r="V97" s="52"/>
      <c r="W97" s="52"/>
      <c r="X97" s="52"/>
      <c r="Y97" s="52"/>
      <c r="Z97" s="52"/>
    </row>
    <row r="98">
      <c r="A98" s="58" t="str">
        <f t="shared" si="1"/>
        <v/>
      </c>
      <c r="B98" s="34"/>
      <c r="C98" s="52"/>
      <c r="D98" s="52"/>
      <c r="E98" s="52"/>
      <c r="F98" s="52"/>
      <c r="G98" s="52"/>
      <c r="H98" s="52"/>
      <c r="I98" s="52"/>
      <c r="J98" s="52"/>
      <c r="K98" s="52"/>
      <c r="L98" s="52"/>
      <c r="M98" s="52"/>
      <c r="N98" s="52"/>
      <c r="O98" s="52"/>
      <c r="P98" s="52"/>
      <c r="Q98" s="52"/>
      <c r="R98" s="52"/>
      <c r="S98" s="52"/>
      <c r="T98" s="52"/>
      <c r="U98" s="52"/>
      <c r="V98" s="52"/>
      <c r="W98" s="52"/>
      <c r="X98" s="52"/>
      <c r="Y98" s="52"/>
      <c r="Z98" s="52"/>
    </row>
    <row r="99">
      <c r="A99" s="58" t="str">
        <f t="shared" si="1"/>
        <v/>
      </c>
      <c r="B99" s="34"/>
      <c r="C99" s="52"/>
      <c r="D99" s="52"/>
      <c r="E99" s="52"/>
      <c r="F99" s="52"/>
      <c r="G99" s="52"/>
      <c r="H99" s="52"/>
      <c r="I99" s="52"/>
      <c r="J99" s="52"/>
      <c r="K99" s="52"/>
      <c r="L99" s="52"/>
      <c r="M99" s="52"/>
      <c r="N99" s="52"/>
      <c r="O99" s="52"/>
      <c r="P99" s="52"/>
      <c r="Q99" s="52"/>
      <c r="R99" s="52"/>
      <c r="S99" s="52"/>
      <c r="T99" s="52"/>
      <c r="U99" s="52"/>
      <c r="V99" s="52"/>
      <c r="W99" s="52"/>
      <c r="X99" s="52"/>
      <c r="Y99" s="52"/>
      <c r="Z99" s="52"/>
    </row>
    <row r="100">
      <c r="A100" s="58" t="str">
        <f t="shared" si="1"/>
        <v/>
      </c>
      <c r="B100" s="34"/>
      <c r="C100" s="52"/>
      <c r="D100" s="52"/>
      <c r="E100" s="52"/>
      <c r="F100" s="52"/>
      <c r="G100" s="52"/>
      <c r="H100" s="52"/>
      <c r="I100" s="52"/>
      <c r="J100" s="52"/>
      <c r="K100" s="52"/>
      <c r="L100" s="52"/>
      <c r="M100" s="52"/>
      <c r="N100" s="52"/>
      <c r="O100" s="52"/>
      <c r="P100" s="52"/>
      <c r="Q100" s="52"/>
      <c r="R100" s="52"/>
      <c r="S100" s="52"/>
      <c r="T100" s="52"/>
      <c r="U100" s="52"/>
      <c r="V100" s="52"/>
      <c r="W100" s="52"/>
      <c r="X100" s="52"/>
      <c r="Y100" s="52"/>
      <c r="Z100" s="52"/>
    </row>
    <row r="101">
      <c r="A101" s="58" t="str">
        <f t="shared" si="1"/>
        <v/>
      </c>
      <c r="B101" s="34"/>
      <c r="C101" s="52"/>
      <c r="D101" s="52"/>
      <c r="E101" s="52"/>
      <c r="F101" s="52"/>
      <c r="G101" s="52"/>
      <c r="H101" s="52"/>
      <c r="I101" s="52"/>
      <c r="J101" s="52"/>
      <c r="K101" s="52"/>
      <c r="L101" s="52"/>
      <c r="M101" s="52"/>
      <c r="N101" s="52"/>
      <c r="O101" s="52"/>
      <c r="P101" s="52"/>
      <c r="Q101" s="52"/>
      <c r="R101" s="52"/>
      <c r="S101" s="52"/>
      <c r="T101" s="52"/>
      <c r="U101" s="52"/>
      <c r="V101" s="52"/>
      <c r="W101" s="52"/>
      <c r="X101" s="52"/>
      <c r="Y101" s="52"/>
      <c r="Z101" s="52"/>
    </row>
    <row r="102">
      <c r="A102" s="58" t="str">
        <f t="shared" si="1"/>
        <v/>
      </c>
      <c r="B102" s="34"/>
      <c r="C102" s="52"/>
      <c r="D102" s="52"/>
      <c r="E102" s="52"/>
      <c r="F102" s="52"/>
      <c r="G102" s="52"/>
      <c r="H102" s="52"/>
      <c r="I102" s="52"/>
      <c r="J102" s="52"/>
      <c r="K102" s="52"/>
      <c r="L102" s="52"/>
      <c r="M102" s="52"/>
      <c r="N102" s="52"/>
      <c r="O102" s="52"/>
      <c r="P102" s="52"/>
      <c r="Q102" s="52"/>
      <c r="R102" s="52"/>
      <c r="S102" s="52"/>
      <c r="T102" s="52"/>
      <c r="U102" s="52"/>
      <c r="V102" s="52"/>
      <c r="W102" s="52"/>
      <c r="X102" s="52"/>
      <c r="Y102" s="52"/>
      <c r="Z102" s="52"/>
    </row>
    <row r="103">
      <c r="A103" s="58" t="str">
        <f t="shared" si="1"/>
        <v/>
      </c>
      <c r="B103" s="34"/>
      <c r="C103" s="52"/>
      <c r="D103" s="52"/>
      <c r="E103" s="52"/>
      <c r="F103" s="52"/>
      <c r="G103" s="52"/>
      <c r="H103" s="52"/>
      <c r="I103" s="52"/>
      <c r="J103" s="52"/>
      <c r="K103" s="52"/>
      <c r="L103" s="52"/>
      <c r="M103" s="52"/>
      <c r="N103" s="52"/>
      <c r="O103" s="52"/>
      <c r="P103" s="52"/>
      <c r="Q103" s="52"/>
      <c r="R103" s="52"/>
      <c r="S103" s="52"/>
      <c r="T103" s="52"/>
      <c r="U103" s="52"/>
      <c r="V103" s="52"/>
      <c r="W103" s="52"/>
      <c r="X103" s="52"/>
      <c r="Y103" s="52"/>
      <c r="Z103" s="52"/>
    </row>
    <row r="104">
      <c r="A104" s="58" t="str">
        <f t="shared" si="1"/>
        <v/>
      </c>
      <c r="B104" s="34"/>
      <c r="C104" s="52"/>
      <c r="D104" s="52"/>
      <c r="E104" s="52"/>
      <c r="F104" s="52"/>
      <c r="G104" s="52"/>
      <c r="H104" s="52"/>
      <c r="I104" s="52"/>
      <c r="J104" s="52"/>
      <c r="K104" s="52"/>
      <c r="L104" s="52"/>
      <c r="M104" s="52"/>
      <c r="N104" s="52"/>
      <c r="O104" s="52"/>
      <c r="P104" s="52"/>
      <c r="Q104" s="52"/>
      <c r="R104" s="52"/>
      <c r="S104" s="52"/>
      <c r="T104" s="52"/>
      <c r="U104" s="52"/>
      <c r="V104" s="52"/>
      <c r="W104" s="52"/>
      <c r="X104" s="52"/>
      <c r="Y104" s="52"/>
      <c r="Z104" s="52"/>
    </row>
    <row r="105">
      <c r="A105" s="58" t="str">
        <f t="shared" si="1"/>
        <v/>
      </c>
      <c r="B105" s="34"/>
      <c r="C105" s="52"/>
      <c r="D105" s="52"/>
      <c r="E105" s="52"/>
      <c r="F105" s="52"/>
      <c r="G105" s="52"/>
      <c r="H105" s="52"/>
      <c r="I105" s="52"/>
      <c r="J105" s="52"/>
      <c r="K105" s="52"/>
      <c r="L105" s="52"/>
      <c r="M105" s="52"/>
      <c r="N105" s="52"/>
      <c r="O105" s="52"/>
      <c r="P105" s="52"/>
      <c r="Q105" s="52"/>
      <c r="R105" s="52"/>
      <c r="S105" s="52"/>
      <c r="T105" s="52"/>
      <c r="U105" s="52"/>
      <c r="V105" s="52"/>
      <c r="W105" s="52"/>
      <c r="X105" s="52"/>
      <c r="Y105" s="52"/>
      <c r="Z105" s="52"/>
    </row>
    <row r="106">
      <c r="A106" s="58" t="str">
        <f t="shared" si="1"/>
        <v/>
      </c>
      <c r="B106" s="34"/>
      <c r="C106" s="52"/>
      <c r="D106" s="52"/>
      <c r="E106" s="52"/>
      <c r="F106" s="52"/>
      <c r="G106" s="52"/>
      <c r="H106" s="52"/>
      <c r="I106" s="52"/>
      <c r="J106" s="52"/>
      <c r="K106" s="52"/>
      <c r="L106" s="52"/>
      <c r="M106" s="52"/>
      <c r="N106" s="52"/>
      <c r="O106" s="52"/>
      <c r="P106" s="52"/>
      <c r="Q106" s="52"/>
      <c r="R106" s="52"/>
      <c r="S106" s="52"/>
      <c r="T106" s="52"/>
      <c r="U106" s="52"/>
      <c r="V106" s="52"/>
      <c r="W106" s="52"/>
      <c r="X106" s="52"/>
      <c r="Y106" s="52"/>
      <c r="Z106" s="52"/>
    </row>
    <row r="107">
      <c r="A107" s="58" t="str">
        <f t="shared" si="1"/>
        <v/>
      </c>
      <c r="B107" s="34"/>
      <c r="C107" s="52"/>
      <c r="D107" s="52"/>
      <c r="E107" s="52"/>
      <c r="F107" s="52"/>
      <c r="G107" s="52"/>
      <c r="H107" s="52"/>
      <c r="I107" s="52"/>
      <c r="J107" s="52"/>
      <c r="K107" s="52"/>
      <c r="L107" s="52"/>
      <c r="M107" s="52"/>
      <c r="N107" s="52"/>
      <c r="O107" s="52"/>
      <c r="P107" s="52"/>
      <c r="Q107" s="52"/>
      <c r="R107" s="52"/>
      <c r="S107" s="52"/>
      <c r="T107" s="52"/>
      <c r="U107" s="52"/>
      <c r="V107" s="52"/>
      <c r="W107" s="52"/>
      <c r="X107" s="52"/>
      <c r="Y107" s="52"/>
      <c r="Z107" s="52"/>
    </row>
    <row r="108">
      <c r="A108" s="58" t="str">
        <f t="shared" si="1"/>
        <v/>
      </c>
      <c r="B108" s="34"/>
      <c r="C108" s="52"/>
      <c r="D108" s="52"/>
      <c r="E108" s="52"/>
      <c r="F108" s="52"/>
      <c r="G108" s="52"/>
      <c r="H108" s="52"/>
      <c r="I108" s="52"/>
      <c r="J108" s="52"/>
      <c r="K108" s="52"/>
      <c r="L108" s="52"/>
      <c r="M108" s="52"/>
      <c r="N108" s="52"/>
      <c r="O108" s="52"/>
      <c r="P108" s="52"/>
      <c r="Q108" s="52"/>
      <c r="R108" s="52"/>
      <c r="S108" s="52"/>
      <c r="T108" s="52"/>
      <c r="U108" s="52"/>
      <c r="V108" s="52"/>
      <c r="W108" s="52"/>
      <c r="X108" s="52"/>
      <c r="Y108" s="52"/>
      <c r="Z108" s="52"/>
    </row>
    <row r="109">
      <c r="A109" s="58" t="str">
        <f t="shared" si="1"/>
        <v/>
      </c>
      <c r="B109" s="34"/>
      <c r="C109" s="52"/>
      <c r="D109" s="52"/>
      <c r="E109" s="52"/>
      <c r="F109" s="52"/>
      <c r="G109" s="52"/>
      <c r="H109" s="52"/>
      <c r="I109" s="52"/>
      <c r="J109" s="52"/>
      <c r="K109" s="52"/>
      <c r="L109" s="52"/>
      <c r="M109" s="52"/>
      <c r="N109" s="52"/>
      <c r="O109" s="52"/>
      <c r="P109" s="52"/>
      <c r="Q109" s="52"/>
      <c r="R109" s="52"/>
      <c r="S109" s="52"/>
      <c r="T109" s="52"/>
      <c r="U109" s="52"/>
      <c r="V109" s="52"/>
      <c r="W109" s="52"/>
      <c r="X109" s="52"/>
      <c r="Y109" s="52"/>
      <c r="Z109" s="52"/>
    </row>
    <row r="110">
      <c r="A110" s="58" t="str">
        <f t="shared" si="1"/>
        <v/>
      </c>
      <c r="B110" s="34"/>
      <c r="C110" s="52"/>
      <c r="D110" s="52"/>
      <c r="E110" s="52"/>
      <c r="F110" s="52"/>
      <c r="G110" s="52"/>
      <c r="H110" s="52"/>
      <c r="I110" s="52"/>
      <c r="J110" s="52"/>
      <c r="K110" s="52"/>
      <c r="L110" s="52"/>
      <c r="M110" s="52"/>
      <c r="N110" s="52"/>
      <c r="O110" s="52"/>
      <c r="P110" s="52"/>
      <c r="Q110" s="52"/>
      <c r="R110" s="52"/>
      <c r="S110" s="52"/>
      <c r="T110" s="52"/>
      <c r="U110" s="52"/>
      <c r="V110" s="52"/>
      <c r="W110" s="52"/>
      <c r="X110" s="52"/>
      <c r="Y110" s="52"/>
      <c r="Z110" s="52"/>
    </row>
    <row r="111">
      <c r="A111" s="58" t="str">
        <f t="shared" si="1"/>
        <v/>
      </c>
      <c r="B111" s="34"/>
      <c r="C111" s="52"/>
      <c r="D111" s="52"/>
      <c r="E111" s="52"/>
      <c r="F111" s="52"/>
      <c r="G111" s="52"/>
      <c r="H111" s="52"/>
      <c r="I111" s="52"/>
      <c r="J111" s="52"/>
      <c r="K111" s="52"/>
      <c r="L111" s="52"/>
      <c r="M111" s="52"/>
      <c r="N111" s="52"/>
      <c r="O111" s="52"/>
      <c r="P111" s="52"/>
      <c r="Q111" s="52"/>
      <c r="R111" s="52"/>
      <c r="S111" s="52"/>
      <c r="T111" s="52"/>
      <c r="U111" s="52"/>
      <c r="V111" s="52"/>
      <c r="W111" s="52"/>
      <c r="X111" s="52"/>
      <c r="Y111" s="52"/>
      <c r="Z111" s="52"/>
    </row>
    <row r="112">
      <c r="A112" s="58" t="str">
        <f t="shared" si="1"/>
        <v/>
      </c>
      <c r="B112" s="34"/>
      <c r="C112" s="52"/>
      <c r="D112" s="52"/>
      <c r="E112" s="52"/>
      <c r="F112" s="52"/>
      <c r="G112" s="52"/>
      <c r="H112" s="52"/>
      <c r="I112" s="52"/>
      <c r="J112" s="52"/>
      <c r="K112" s="52"/>
      <c r="L112" s="52"/>
      <c r="M112" s="52"/>
      <c r="N112" s="52"/>
      <c r="O112" s="52"/>
      <c r="P112" s="52"/>
      <c r="Q112" s="52"/>
      <c r="R112" s="52"/>
      <c r="S112" s="52"/>
      <c r="T112" s="52"/>
      <c r="U112" s="52"/>
      <c r="V112" s="52"/>
      <c r="W112" s="52"/>
      <c r="X112" s="52"/>
      <c r="Y112" s="52"/>
      <c r="Z112" s="52"/>
    </row>
    <row r="113">
      <c r="A113" s="58" t="str">
        <f t="shared" si="1"/>
        <v/>
      </c>
      <c r="B113" s="34"/>
      <c r="C113" s="52"/>
      <c r="D113" s="52"/>
      <c r="E113" s="52"/>
      <c r="F113" s="52"/>
      <c r="G113" s="52"/>
      <c r="H113" s="52"/>
      <c r="I113" s="52"/>
      <c r="J113" s="52"/>
      <c r="K113" s="52"/>
      <c r="L113" s="52"/>
      <c r="M113" s="52"/>
      <c r="N113" s="52"/>
      <c r="O113" s="52"/>
      <c r="P113" s="52"/>
      <c r="Q113" s="52"/>
      <c r="R113" s="52"/>
      <c r="S113" s="52"/>
      <c r="T113" s="52"/>
      <c r="U113" s="52"/>
      <c r="V113" s="52"/>
      <c r="W113" s="52"/>
      <c r="X113" s="52"/>
      <c r="Y113" s="52"/>
      <c r="Z113" s="52"/>
    </row>
    <row r="114">
      <c r="A114" s="58" t="str">
        <f t="shared" si="1"/>
        <v/>
      </c>
      <c r="B114" s="34"/>
      <c r="C114" s="52"/>
      <c r="D114" s="52"/>
      <c r="E114" s="52"/>
      <c r="F114" s="52"/>
      <c r="G114" s="52"/>
      <c r="H114" s="52"/>
      <c r="I114" s="52"/>
      <c r="J114" s="52"/>
      <c r="K114" s="52"/>
      <c r="L114" s="52"/>
      <c r="M114" s="52"/>
      <c r="N114" s="52"/>
      <c r="O114" s="52"/>
      <c r="P114" s="52"/>
      <c r="Q114" s="52"/>
      <c r="R114" s="52"/>
      <c r="S114" s="52"/>
      <c r="T114" s="52"/>
      <c r="U114" s="52"/>
      <c r="V114" s="52"/>
      <c r="W114" s="52"/>
      <c r="X114" s="52"/>
      <c r="Y114" s="52"/>
      <c r="Z114" s="52"/>
    </row>
    <row r="115">
      <c r="A115" s="58" t="str">
        <f t="shared" si="1"/>
        <v/>
      </c>
      <c r="B115" s="34"/>
      <c r="C115" s="52"/>
      <c r="D115" s="52"/>
      <c r="E115" s="52"/>
      <c r="F115" s="52"/>
      <c r="G115" s="52"/>
      <c r="H115" s="52"/>
      <c r="I115" s="52"/>
      <c r="J115" s="52"/>
      <c r="K115" s="52"/>
      <c r="L115" s="52"/>
      <c r="M115" s="52"/>
      <c r="N115" s="52"/>
      <c r="O115" s="52"/>
      <c r="P115" s="52"/>
      <c r="Q115" s="52"/>
      <c r="R115" s="52"/>
      <c r="S115" s="52"/>
      <c r="T115" s="52"/>
      <c r="U115" s="52"/>
      <c r="V115" s="52"/>
      <c r="W115" s="52"/>
      <c r="X115" s="52"/>
      <c r="Y115" s="52"/>
      <c r="Z115" s="52"/>
    </row>
    <row r="116">
      <c r="A116" s="58" t="str">
        <f t="shared" si="1"/>
        <v/>
      </c>
      <c r="B116" s="34"/>
      <c r="C116" s="52"/>
      <c r="D116" s="52"/>
      <c r="E116" s="52"/>
      <c r="F116" s="52"/>
      <c r="G116" s="52"/>
      <c r="H116" s="52"/>
      <c r="I116" s="52"/>
      <c r="J116" s="52"/>
      <c r="K116" s="52"/>
      <c r="L116" s="52"/>
      <c r="M116" s="52"/>
      <c r="N116" s="52"/>
      <c r="O116" s="52"/>
      <c r="P116" s="52"/>
      <c r="Q116" s="52"/>
      <c r="R116" s="52"/>
      <c r="S116" s="52"/>
      <c r="T116" s="52"/>
      <c r="U116" s="52"/>
      <c r="V116" s="52"/>
      <c r="W116" s="52"/>
      <c r="X116" s="52"/>
      <c r="Y116" s="52"/>
      <c r="Z116" s="52"/>
    </row>
    <row r="117">
      <c r="A117" s="58" t="str">
        <f t="shared" si="1"/>
        <v/>
      </c>
      <c r="B117" s="34"/>
      <c r="C117" s="52"/>
      <c r="D117" s="52"/>
      <c r="E117" s="52"/>
      <c r="F117" s="52"/>
      <c r="G117" s="52"/>
      <c r="H117" s="52"/>
      <c r="I117" s="52"/>
      <c r="J117" s="52"/>
      <c r="K117" s="52"/>
      <c r="L117" s="52"/>
      <c r="M117" s="52"/>
      <c r="N117" s="52"/>
      <c r="O117" s="52"/>
      <c r="P117" s="52"/>
      <c r="Q117" s="52"/>
      <c r="R117" s="52"/>
      <c r="S117" s="52"/>
      <c r="T117" s="52"/>
      <c r="U117" s="52"/>
      <c r="V117" s="52"/>
      <c r="W117" s="52"/>
      <c r="X117" s="52"/>
      <c r="Y117" s="52"/>
      <c r="Z117" s="52"/>
    </row>
    <row r="118">
      <c r="A118" s="58" t="str">
        <f t="shared" si="1"/>
        <v/>
      </c>
      <c r="B118" s="34"/>
      <c r="C118" s="52"/>
      <c r="D118" s="52"/>
      <c r="E118" s="52"/>
      <c r="F118" s="52"/>
      <c r="G118" s="52"/>
      <c r="H118" s="52"/>
      <c r="I118" s="52"/>
      <c r="J118" s="52"/>
      <c r="K118" s="52"/>
      <c r="L118" s="52"/>
      <c r="M118" s="52"/>
      <c r="N118" s="52"/>
      <c r="O118" s="52"/>
      <c r="P118" s="52"/>
      <c r="Q118" s="52"/>
      <c r="R118" s="52"/>
      <c r="S118" s="52"/>
      <c r="T118" s="52"/>
      <c r="U118" s="52"/>
      <c r="V118" s="52"/>
      <c r="W118" s="52"/>
      <c r="X118" s="52"/>
      <c r="Y118" s="52"/>
      <c r="Z118" s="52"/>
    </row>
    <row r="119">
      <c r="A119" s="58" t="str">
        <f t="shared" si="1"/>
        <v/>
      </c>
      <c r="B119" s="34"/>
      <c r="C119" s="52"/>
      <c r="D119" s="52"/>
      <c r="E119" s="52"/>
      <c r="F119" s="52"/>
      <c r="G119" s="52"/>
      <c r="H119" s="52"/>
      <c r="I119" s="52"/>
      <c r="J119" s="52"/>
      <c r="K119" s="52"/>
      <c r="L119" s="52"/>
      <c r="M119" s="52"/>
      <c r="N119" s="52"/>
      <c r="O119" s="52"/>
      <c r="P119" s="52"/>
      <c r="Q119" s="52"/>
      <c r="R119" s="52"/>
      <c r="S119" s="52"/>
      <c r="T119" s="52"/>
      <c r="U119" s="52"/>
      <c r="V119" s="52"/>
      <c r="W119" s="52"/>
      <c r="X119" s="52"/>
      <c r="Y119" s="52"/>
      <c r="Z119" s="52"/>
    </row>
    <row r="120">
      <c r="A120" s="58" t="str">
        <f t="shared" si="1"/>
        <v/>
      </c>
      <c r="B120" s="34"/>
      <c r="C120" s="52"/>
      <c r="D120" s="52"/>
      <c r="E120" s="52"/>
      <c r="F120" s="52"/>
      <c r="G120" s="52"/>
      <c r="H120" s="52"/>
      <c r="I120" s="52"/>
      <c r="J120" s="52"/>
      <c r="K120" s="52"/>
      <c r="L120" s="52"/>
      <c r="M120" s="52"/>
      <c r="N120" s="52"/>
      <c r="O120" s="52"/>
      <c r="P120" s="52"/>
      <c r="Q120" s="52"/>
      <c r="R120" s="52"/>
      <c r="S120" s="52"/>
      <c r="T120" s="52"/>
      <c r="U120" s="52"/>
      <c r="V120" s="52"/>
      <c r="W120" s="52"/>
      <c r="X120" s="52"/>
      <c r="Y120" s="52"/>
      <c r="Z120" s="52"/>
    </row>
    <row r="121">
      <c r="A121" s="58" t="str">
        <f t="shared" si="1"/>
        <v/>
      </c>
      <c r="B121" s="34"/>
      <c r="C121" s="52"/>
      <c r="D121" s="52"/>
      <c r="E121" s="52"/>
      <c r="F121" s="52"/>
      <c r="G121" s="52"/>
      <c r="H121" s="52"/>
      <c r="I121" s="52"/>
      <c r="J121" s="52"/>
      <c r="K121" s="52"/>
      <c r="L121" s="52"/>
      <c r="M121" s="52"/>
      <c r="N121" s="52"/>
      <c r="O121" s="52"/>
      <c r="P121" s="52"/>
      <c r="Q121" s="52"/>
      <c r="R121" s="52"/>
      <c r="S121" s="52"/>
      <c r="T121" s="52"/>
      <c r="U121" s="52"/>
      <c r="V121" s="52"/>
      <c r="W121" s="52"/>
      <c r="X121" s="52"/>
      <c r="Y121" s="52"/>
      <c r="Z121" s="52"/>
    </row>
    <row r="122">
      <c r="A122" s="58" t="str">
        <f t="shared" si="1"/>
        <v/>
      </c>
      <c r="B122" s="34"/>
      <c r="C122" s="52"/>
      <c r="D122" s="52"/>
      <c r="E122" s="52"/>
      <c r="F122" s="52"/>
      <c r="G122" s="52"/>
      <c r="H122" s="52"/>
      <c r="I122" s="52"/>
      <c r="J122" s="52"/>
      <c r="K122" s="52"/>
      <c r="L122" s="52"/>
      <c r="M122" s="52"/>
      <c r="N122" s="52"/>
      <c r="O122" s="52"/>
      <c r="P122" s="52"/>
      <c r="Q122" s="52"/>
      <c r="R122" s="52"/>
      <c r="S122" s="52"/>
      <c r="T122" s="52"/>
      <c r="U122" s="52"/>
      <c r="V122" s="52"/>
      <c r="W122" s="52"/>
      <c r="X122" s="52"/>
      <c r="Y122" s="52"/>
      <c r="Z122" s="52"/>
    </row>
    <row r="123">
      <c r="A123" s="58" t="str">
        <f t="shared" si="1"/>
        <v/>
      </c>
      <c r="B123" s="34"/>
      <c r="C123" s="52"/>
      <c r="D123" s="52"/>
      <c r="E123" s="52"/>
      <c r="F123" s="52"/>
      <c r="G123" s="52"/>
      <c r="H123" s="52"/>
      <c r="I123" s="52"/>
      <c r="J123" s="52"/>
      <c r="K123" s="52"/>
      <c r="L123" s="52"/>
      <c r="M123" s="52"/>
      <c r="N123" s="52"/>
      <c r="O123" s="52"/>
      <c r="P123" s="52"/>
      <c r="Q123" s="52"/>
      <c r="R123" s="52"/>
      <c r="S123" s="52"/>
      <c r="T123" s="52"/>
      <c r="U123" s="52"/>
      <c r="V123" s="52"/>
      <c r="W123" s="52"/>
      <c r="X123" s="52"/>
      <c r="Y123" s="52"/>
      <c r="Z123" s="52"/>
    </row>
    <row r="124">
      <c r="A124" s="58" t="str">
        <f t="shared" si="1"/>
        <v/>
      </c>
      <c r="B124" s="34"/>
      <c r="C124" s="52"/>
      <c r="D124" s="52"/>
      <c r="E124" s="52"/>
      <c r="F124" s="52"/>
      <c r="G124" s="52"/>
      <c r="H124" s="52"/>
      <c r="I124" s="52"/>
      <c r="J124" s="52"/>
      <c r="K124" s="52"/>
      <c r="L124" s="52"/>
      <c r="M124" s="52"/>
      <c r="N124" s="52"/>
      <c r="O124" s="52"/>
      <c r="P124" s="52"/>
      <c r="Q124" s="52"/>
      <c r="R124" s="52"/>
      <c r="S124" s="52"/>
      <c r="T124" s="52"/>
      <c r="U124" s="52"/>
      <c r="V124" s="52"/>
      <c r="W124" s="52"/>
      <c r="X124" s="52"/>
      <c r="Y124" s="52"/>
      <c r="Z124" s="52"/>
    </row>
    <row r="125">
      <c r="A125" s="58" t="str">
        <f t="shared" si="1"/>
        <v/>
      </c>
      <c r="B125" s="34"/>
      <c r="C125" s="52"/>
      <c r="D125" s="52"/>
      <c r="E125" s="52"/>
      <c r="F125" s="52"/>
      <c r="G125" s="52"/>
      <c r="H125" s="52"/>
      <c r="I125" s="52"/>
      <c r="J125" s="52"/>
      <c r="K125" s="52"/>
      <c r="L125" s="52"/>
      <c r="M125" s="52"/>
      <c r="N125" s="52"/>
      <c r="O125" s="52"/>
      <c r="P125" s="52"/>
      <c r="Q125" s="52"/>
      <c r="R125" s="52"/>
      <c r="S125" s="52"/>
      <c r="T125" s="52"/>
      <c r="U125" s="52"/>
      <c r="V125" s="52"/>
      <c r="W125" s="52"/>
      <c r="X125" s="52"/>
      <c r="Y125" s="52"/>
      <c r="Z125" s="52"/>
    </row>
    <row r="126">
      <c r="A126" s="58" t="str">
        <f t="shared" si="1"/>
        <v/>
      </c>
      <c r="B126" s="34"/>
      <c r="C126" s="52"/>
      <c r="D126" s="52"/>
      <c r="E126" s="52"/>
      <c r="F126" s="52"/>
      <c r="G126" s="52"/>
      <c r="H126" s="52"/>
      <c r="I126" s="52"/>
      <c r="J126" s="52"/>
      <c r="K126" s="52"/>
      <c r="L126" s="52"/>
      <c r="M126" s="52"/>
      <c r="N126" s="52"/>
      <c r="O126" s="52"/>
      <c r="P126" s="52"/>
      <c r="Q126" s="52"/>
      <c r="R126" s="52"/>
      <c r="S126" s="52"/>
      <c r="T126" s="52"/>
      <c r="U126" s="52"/>
      <c r="V126" s="52"/>
      <c r="W126" s="52"/>
      <c r="X126" s="52"/>
      <c r="Y126" s="52"/>
      <c r="Z126" s="52"/>
    </row>
    <row r="127">
      <c r="A127" s="58" t="str">
        <f t="shared" si="1"/>
        <v/>
      </c>
      <c r="B127" s="34"/>
      <c r="C127" s="52"/>
      <c r="D127" s="52"/>
      <c r="E127" s="52"/>
      <c r="F127" s="52"/>
      <c r="G127" s="52"/>
      <c r="H127" s="52"/>
      <c r="I127" s="52"/>
      <c r="J127" s="52"/>
      <c r="K127" s="52"/>
      <c r="L127" s="52"/>
      <c r="M127" s="52"/>
      <c r="N127" s="52"/>
      <c r="O127" s="52"/>
      <c r="P127" s="52"/>
      <c r="Q127" s="52"/>
      <c r="R127" s="52"/>
      <c r="S127" s="52"/>
      <c r="T127" s="52"/>
      <c r="U127" s="52"/>
      <c r="V127" s="52"/>
      <c r="W127" s="52"/>
      <c r="X127" s="52"/>
      <c r="Y127" s="52"/>
      <c r="Z127" s="52"/>
    </row>
    <row r="128">
      <c r="A128" s="58" t="str">
        <f t="shared" si="1"/>
        <v/>
      </c>
      <c r="B128" s="34"/>
      <c r="C128" s="52"/>
      <c r="D128" s="52"/>
      <c r="E128" s="52"/>
      <c r="F128" s="52"/>
      <c r="G128" s="52"/>
      <c r="H128" s="52"/>
      <c r="I128" s="52"/>
      <c r="J128" s="52"/>
      <c r="K128" s="52"/>
      <c r="L128" s="52"/>
      <c r="M128" s="52"/>
      <c r="N128" s="52"/>
      <c r="O128" s="52"/>
      <c r="P128" s="52"/>
      <c r="Q128" s="52"/>
      <c r="R128" s="52"/>
      <c r="S128" s="52"/>
      <c r="T128" s="52"/>
      <c r="U128" s="52"/>
      <c r="V128" s="52"/>
      <c r="W128" s="52"/>
      <c r="X128" s="52"/>
      <c r="Y128" s="52"/>
      <c r="Z128" s="52"/>
    </row>
    <row r="129">
      <c r="A129" s="58" t="str">
        <f t="shared" si="1"/>
        <v/>
      </c>
      <c r="B129" s="34"/>
      <c r="C129" s="52"/>
      <c r="D129" s="52"/>
      <c r="E129" s="52"/>
      <c r="F129" s="52"/>
      <c r="G129" s="52"/>
      <c r="H129" s="52"/>
      <c r="I129" s="52"/>
      <c r="J129" s="52"/>
      <c r="K129" s="52"/>
      <c r="L129" s="52"/>
      <c r="M129" s="52"/>
      <c r="N129" s="52"/>
      <c r="O129" s="52"/>
      <c r="P129" s="52"/>
      <c r="Q129" s="52"/>
      <c r="R129" s="52"/>
      <c r="S129" s="52"/>
      <c r="T129" s="52"/>
      <c r="U129" s="52"/>
      <c r="V129" s="52"/>
      <c r="W129" s="52"/>
      <c r="X129" s="52"/>
      <c r="Y129" s="52"/>
      <c r="Z129" s="52"/>
    </row>
    <row r="130">
      <c r="A130" s="58" t="str">
        <f t="shared" si="1"/>
        <v/>
      </c>
      <c r="B130" s="34"/>
      <c r="C130" s="52"/>
      <c r="D130" s="52"/>
      <c r="E130" s="52"/>
      <c r="F130" s="52"/>
      <c r="G130" s="52"/>
      <c r="H130" s="52"/>
      <c r="I130" s="52"/>
      <c r="J130" s="52"/>
      <c r="K130" s="52"/>
      <c r="L130" s="52"/>
      <c r="M130" s="52"/>
      <c r="N130" s="52"/>
      <c r="O130" s="52"/>
      <c r="P130" s="52"/>
      <c r="Q130" s="52"/>
      <c r="R130" s="52"/>
      <c r="S130" s="52"/>
      <c r="T130" s="52"/>
      <c r="U130" s="52"/>
      <c r="V130" s="52"/>
      <c r="W130" s="52"/>
      <c r="X130" s="52"/>
      <c r="Y130" s="52"/>
      <c r="Z130" s="52"/>
    </row>
    <row r="131">
      <c r="A131" s="58" t="str">
        <f t="shared" si="1"/>
        <v/>
      </c>
      <c r="B131" s="34"/>
      <c r="C131" s="52"/>
      <c r="D131" s="52"/>
      <c r="E131" s="52"/>
      <c r="F131" s="52"/>
      <c r="G131" s="52"/>
      <c r="H131" s="52"/>
      <c r="I131" s="52"/>
      <c r="J131" s="52"/>
      <c r="K131" s="52"/>
      <c r="L131" s="52"/>
      <c r="M131" s="52"/>
      <c r="N131" s="52"/>
      <c r="O131" s="52"/>
      <c r="P131" s="52"/>
      <c r="Q131" s="52"/>
      <c r="R131" s="52"/>
      <c r="S131" s="52"/>
      <c r="T131" s="52"/>
      <c r="U131" s="52"/>
      <c r="V131" s="52"/>
      <c r="W131" s="52"/>
      <c r="X131" s="52"/>
      <c r="Y131" s="52"/>
      <c r="Z131" s="52"/>
    </row>
    <row r="132">
      <c r="A132" s="58" t="str">
        <f t="shared" si="1"/>
        <v/>
      </c>
      <c r="B132" s="34"/>
      <c r="C132" s="52"/>
      <c r="D132" s="52"/>
      <c r="E132" s="52"/>
      <c r="F132" s="52"/>
      <c r="G132" s="52"/>
      <c r="H132" s="52"/>
      <c r="I132" s="52"/>
      <c r="J132" s="52"/>
      <c r="K132" s="52"/>
      <c r="L132" s="52"/>
      <c r="M132" s="52"/>
      <c r="N132" s="52"/>
      <c r="O132" s="52"/>
      <c r="P132" s="52"/>
      <c r="Q132" s="52"/>
      <c r="R132" s="52"/>
      <c r="S132" s="52"/>
      <c r="T132" s="52"/>
      <c r="U132" s="52"/>
      <c r="V132" s="52"/>
      <c r="W132" s="52"/>
      <c r="X132" s="52"/>
      <c r="Y132" s="52"/>
      <c r="Z132" s="52"/>
    </row>
    <row r="133">
      <c r="A133" s="58" t="str">
        <f t="shared" si="1"/>
        <v/>
      </c>
      <c r="B133" s="34"/>
      <c r="C133" s="52"/>
      <c r="D133" s="52"/>
      <c r="E133" s="52"/>
      <c r="F133" s="52"/>
      <c r="G133" s="52"/>
      <c r="H133" s="52"/>
      <c r="I133" s="52"/>
      <c r="J133" s="52"/>
      <c r="K133" s="52"/>
      <c r="L133" s="52"/>
      <c r="M133" s="52"/>
      <c r="N133" s="52"/>
      <c r="O133" s="52"/>
      <c r="P133" s="52"/>
      <c r="Q133" s="52"/>
      <c r="R133" s="52"/>
      <c r="S133" s="52"/>
      <c r="T133" s="52"/>
      <c r="U133" s="52"/>
      <c r="V133" s="52"/>
      <c r="W133" s="52"/>
      <c r="X133" s="52"/>
      <c r="Y133" s="52"/>
      <c r="Z133" s="52"/>
    </row>
    <row r="134">
      <c r="A134" s="58" t="str">
        <f t="shared" si="1"/>
        <v/>
      </c>
      <c r="B134" s="34"/>
      <c r="C134" s="52"/>
      <c r="D134" s="52"/>
      <c r="E134" s="52"/>
      <c r="F134" s="52"/>
      <c r="G134" s="52"/>
      <c r="H134" s="52"/>
      <c r="I134" s="52"/>
      <c r="J134" s="52"/>
      <c r="K134" s="52"/>
      <c r="L134" s="52"/>
      <c r="M134" s="52"/>
      <c r="N134" s="52"/>
      <c r="O134" s="52"/>
      <c r="P134" s="52"/>
      <c r="Q134" s="52"/>
      <c r="R134" s="52"/>
      <c r="S134" s="52"/>
      <c r="T134" s="52"/>
      <c r="U134" s="52"/>
      <c r="V134" s="52"/>
      <c r="W134" s="52"/>
      <c r="X134" s="52"/>
      <c r="Y134" s="52"/>
      <c r="Z134" s="52"/>
    </row>
    <row r="135">
      <c r="A135" s="58" t="str">
        <f t="shared" si="1"/>
        <v/>
      </c>
      <c r="B135" s="34"/>
      <c r="C135" s="52"/>
      <c r="D135" s="52"/>
      <c r="E135" s="52"/>
      <c r="F135" s="52"/>
      <c r="G135" s="52"/>
      <c r="H135" s="52"/>
      <c r="I135" s="52"/>
      <c r="J135" s="52"/>
      <c r="K135" s="52"/>
      <c r="L135" s="52"/>
      <c r="M135" s="52"/>
      <c r="N135" s="52"/>
      <c r="O135" s="52"/>
      <c r="P135" s="52"/>
      <c r="Q135" s="52"/>
      <c r="R135" s="52"/>
      <c r="S135" s="52"/>
      <c r="T135" s="52"/>
      <c r="U135" s="52"/>
      <c r="V135" s="52"/>
      <c r="W135" s="52"/>
      <c r="X135" s="52"/>
      <c r="Y135" s="52"/>
      <c r="Z135" s="52"/>
    </row>
    <row r="136">
      <c r="A136" s="58" t="str">
        <f t="shared" si="1"/>
        <v/>
      </c>
      <c r="B136" s="34"/>
      <c r="C136" s="52"/>
      <c r="D136" s="52"/>
      <c r="E136" s="52"/>
      <c r="F136" s="52"/>
      <c r="G136" s="52"/>
      <c r="H136" s="52"/>
      <c r="I136" s="52"/>
      <c r="J136" s="52"/>
      <c r="K136" s="52"/>
      <c r="L136" s="52"/>
      <c r="M136" s="52"/>
      <c r="N136" s="52"/>
      <c r="O136" s="52"/>
      <c r="P136" s="52"/>
      <c r="Q136" s="52"/>
      <c r="R136" s="52"/>
      <c r="S136" s="52"/>
      <c r="T136" s="52"/>
      <c r="U136" s="52"/>
      <c r="V136" s="52"/>
      <c r="W136" s="52"/>
      <c r="X136" s="52"/>
      <c r="Y136" s="52"/>
      <c r="Z136" s="52"/>
    </row>
    <row r="137">
      <c r="A137" s="58" t="str">
        <f t="shared" si="1"/>
        <v/>
      </c>
      <c r="B137" s="34"/>
      <c r="C137" s="52"/>
      <c r="D137" s="52"/>
      <c r="E137" s="52"/>
      <c r="F137" s="52"/>
      <c r="G137" s="52"/>
      <c r="H137" s="52"/>
      <c r="I137" s="52"/>
      <c r="J137" s="52"/>
      <c r="K137" s="52"/>
      <c r="L137" s="52"/>
      <c r="M137" s="52"/>
      <c r="N137" s="52"/>
      <c r="O137" s="52"/>
      <c r="P137" s="52"/>
      <c r="Q137" s="52"/>
      <c r="R137" s="52"/>
      <c r="S137" s="52"/>
      <c r="T137" s="52"/>
      <c r="U137" s="52"/>
      <c r="V137" s="52"/>
      <c r="W137" s="52"/>
      <c r="X137" s="52"/>
      <c r="Y137" s="52"/>
      <c r="Z137" s="52"/>
    </row>
    <row r="138">
      <c r="A138" s="58" t="str">
        <f t="shared" si="1"/>
        <v/>
      </c>
      <c r="B138" s="34"/>
      <c r="C138" s="52"/>
      <c r="D138" s="52"/>
      <c r="E138" s="52"/>
      <c r="F138" s="52"/>
      <c r="G138" s="52"/>
      <c r="H138" s="52"/>
      <c r="I138" s="52"/>
      <c r="J138" s="52"/>
      <c r="K138" s="52"/>
      <c r="L138" s="52"/>
      <c r="M138" s="52"/>
      <c r="N138" s="52"/>
      <c r="O138" s="52"/>
      <c r="P138" s="52"/>
      <c r="Q138" s="52"/>
      <c r="R138" s="52"/>
      <c r="S138" s="52"/>
      <c r="T138" s="52"/>
      <c r="U138" s="52"/>
      <c r="V138" s="52"/>
      <c r="W138" s="52"/>
      <c r="X138" s="52"/>
      <c r="Y138" s="52"/>
      <c r="Z138" s="52"/>
    </row>
    <row r="139">
      <c r="A139" s="58" t="str">
        <f t="shared" si="1"/>
        <v/>
      </c>
      <c r="B139" s="34"/>
      <c r="C139" s="52"/>
      <c r="D139" s="52"/>
      <c r="E139" s="52"/>
      <c r="F139" s="52"/>
      <c r="G139" s="52"/>
      <c r="H139" s="52"/>
      <c r="I139" s="52"/>
      <c r="J139" s="52"/>
      <c r="K139" s="52"/>
      <c r="L139" s="52"/>
      <c r="M139" s="52"/>
      <c r="N139" s="52"/>
      <c r="O139" s="52"/>
      <c r="P139" s="52"/>
      <c r="Q139" s="52"/>
      <c r="R139" s="52"/>
      <c r="S139" s="52"/>
      <c r="T139" s="52"/>
      <c r="U139" s="52"/>
      <c r="V139" s="52"/>
      <c r="W139" s="52"/>
      <c r="X139" s="52"/>
      <c r="Y139" s="52"/>
      <c r="Z139" s="52"/>
    </row>
    <row r="140">
      <c r="A140" s="58" t="str">
        <f t="shared" si="1"/>
        <v/>
      </c>
      <c r="B140" s="34"/>
      <c r="C140" s="52"/>
      <c r="D140" s="52"/>
      <c r="E140" s="52"/>
      <c r="F140" s="52"/>
      <c r="G140" s="52"/>
      <c r="H140" s="52"/>
      <c r="I140" s="52"/>
      <c r="J140" s="52"/>
      <c r="K140" s="52"/>
      <c r="L140" s="52"/>
      <c r="M140" s="52"/>
      <c r="N140" s="52"/>
      <c r="O140" s="52"/>
      <c r="P140" s="52"/>
      <c r="Q140" s="52"/>
      <c r="R140" s="52"/>
      <c r="S140" s="52"/>
      <c r="T140" s="52"/>
      <c r="U140" s="52"/>
      <c r="V140" s="52"/>
      <c r="W140" s="52"/>
      <c r="X140" s="52"/>
      <c r="Y140" s="52"/>
      <c r="Z140" s="52"/>
    </row>
    <row r="141">
      <c r="A141" s="58" t="str">
        <f t="shared" si="1"/>
        <v/>
      </c>
      <c r="B141" s="34"/>
      <c r="C141" s="52"/>
      <c r="D141" s="52"/>
      <c r="E141" s="52"/>
      <c r="F141" s="52"/>
      <c r="G141" s="52"/>
      <c r="H141" s="52"/>
      <c r="I141" s="52"/>
      <c r="J141" s="52"/>
      <c r="K141" s="52"/>
      <c r="L141" s="52"/>
      <c r="M141" s="52"/>
      <c r="N141" s="52"/>
      <c r="O141" s="52"/>
      <c r="P141" s="52"/>
      <c r="Q141" s="52"/>
      <c r="R141" s="52"/>
      <c r="S141" s="52"/>
      <c r="T141" s="52"/>
      <c r="U141" s="52"/>
      <c r="V141" s="52"/>
      <c r="W141" s="52"/>
      <c r="X141" s="52"/>
      <c r="Y141" s="52"/>
      <c r="Z141" s="52"/>
    </row>
    <row r="142">
      <c r="A142" s="58" t="str">
        <f t="shared" si="1"/>
        <v/>
      </c>
      <c r="B142" s="34"/>
      <c r="C142" s="52"/>
      <c r="D142" s="52"/>
      <c r="E142" s="52"/>
      <c r="F142" s="52"/>
      <c r="G142" s="52"/>
      <c r="H142" s="52"/>
      <c r="I142" s="52"/>
      <c r="J142" s="52"/>
      <c r="K142" s="52"/>
      <c r="L142" s="52"/>
      <c r="M142" s="52"/>
      <c r="N142" s="52"/>
      <c r="O142" s="52"/>
      <c r="P142" s="52"/>
      <c r="Q142" s="52"/>
      <c r="R142" s="52"/>
      <c r="S142" s="52"/>
      <c r="T142" s="52"/>
      <c r="U142" s="52"/>
      <c r="V142" s="52"/>
      <c r="W142" s="52"/>
      <c r="X142" s="52"/>
      <c r="Y142" s="52"/>
      <c r="Z142" s="52"/>
    </row>
    <row r="143">
      <c r="A143" s="58" t="str">
        <f t="shared" si="1"/>
        <v/>
      </c>
      <c r="B143" s="34"/>
      <c r="C143" s="52"/>
      <c r="D143" s="52"/>
      <c r="E143" s="52"/>
      <c r="F143" s="52"/>
      <c r="G143" s="52"/>
      <c r="H143" s="52"/>
      <c r="I143" s="52"/>
      <c r="J143" s="52"/>
      <c r="K143" s="52"/>
      <c r="L143" s="52"/>
      <c r="M143" s="52"/>
      <c r="N143" s="52"/>
      <c r="O143" s="52"/>
      <c r="P143" s="52"/>
      <c r="Q143" s="52"/>
      <c r="R143" s="52"/>
      <c r="S143" s="52"/>
      <c r="T143" s="52"/>
      <c r="U143" s="52"/>
      <c r="V143" s="52"/>
      <c r="W143" s="52"/>
      <c r="X143" s="52"/>
      <c r="Y143" s="52"/>
      <c r="Z143" s="52"/>
    </row>
    <row r="144">
      <c r="A144" s="58" t="str">
        <f t="shared" si="1"/>
        <v/>
      </c>
      <c r="B144" s="34"/>
      <c r="C144" s="52"/>
      <c r="D144" s="52"/>
      <c r="E144" s="52"/>
      <c r="F144" s="52"/>
      <c r="G144" s="52"/>
      <c r="H144" s="52"/>
      <c r="I144" s="52"/>
      <c r="J144" s="52"/>
      <c r="K144" s="52"/>
      <c r="L144" s="52"/>
      <c r="M144" s="52"/>
      <c r="N144" s="52"/>
      <c r="O144" s="52"/>
      <c r="P144" s="52"/>
      <c r="Q144" s="52"/>
      <c r="R144" s="52"/>
      <c r="S144" s="52"/>
      <c r="T144" s="52"/>
      <c r="U144" s="52"/>
      <c r="V144" s="52"/>
      <c r="W144" s="52"/>
      <c r="X144" s="52"/>
      <c r="Y144" s="52"/>
      <c r="Z144" s="52"/>
    </row>
    <row r="145">
      <c r="A145" s="58" t="str">
        <f t="shared" si="1"/>
        <v/>
      </c>
      <c r="B145" s="34"/>
      <c r="C145" s="52"/>
      <c r="D145" s="52"/>
      <c r="E145" s="52"/>
      <c r="F145" s="52"/>
      <c r="G145" s="52"/>
      <c r="H145" s="52"/>
      <c r="I145" s="52"/>
      <c r="J145" s="52"/>
      <c r="K145" s="52"/>
      <c r="L145" s="52"/>
      <c r="M145" s="52"/>
      <c r="N145" s="52"/>
      <c r="O145" s="52"/>
      <c r="P145" s="52"/>
      <c r="Q145" s="52"/>
      <c r="R145" s="52"/>
      <c r="S145" s="52"/>
      <c r="T145" s="52"/>
      <c r="U145" s="52"/>
      <c r="V145" s="52"/>
      <c r="W145" s="52"/>
      <c r="X145" s="52"/>
      <c r="Y145" s="52"/>
      <c r="Z145" s="52"/>
    </row>
    <row r="146">
      <c r="A146" s="58" t="str">
        <f t="shared" si="1"/>
        <v/>
      </c>
      <c r="B146" s="34"/>
      <c r="C146" s="52"/>
      <c r="D146" s="52"/>
      <c r="E146" s="52"/>
      <c r="F146" s="52"/>
      <c r="G146" s="52"/>
      <c r="H146" s="52"/>
      <c r="I146" s="52"/>
      <c r="J146" s="52"/>
      <c r="K146" s="52"/>
      <c r="L146" s="52"/>
      <c r="M146" s="52"/>
      <c r="N146" s="52"/>
      <c r="O146" s="52"/>
      <c r="P146" s="52"/>
      <c r="Q146" s="52"/>
      <c r="R146" s="52"/>
      <c r="S146" s="52"/>
      <c r="T146" s="52"/>
      <c r="U146" s="52"/>
      <c r="V146" s="52"/>
      <c r="W146" s="52"/>
      <c r="X146" s="52"/>
      <c r="Y146" s="52"/>
      <c r="Z146" s="52"/>
    </row>
    <row r="147">
      <c r="A147" s="58" t="str">
        <f t="shared" si="1"/>
        <v/>
      </c>
      <c r="B147" s="34"/>
      <c r="C147" s="52"/>
      <c r="D147" s="52"/>
      <c r="E147" s="52"/>
      <c r="F147" s="52"/>
      <c r="G147" s="52"/>
      <c r="H147" s="52"/>
      <c r="I147" s="52"/>
      <c r="J147" s="52"/>
      <c r="K147" s="52"/>
      <c r="L147" s="52"/>
      <c r="M147" s="52"/>
      <c r="N147" s="52"/>
      <c r="O147" s="52"/>
      <c r="P147" s="52"/>
      <c r="Q147" s="52"/>
      <c r="R147" s="52"/>
      <c r="S147" s="52"/>
      <c r="T147" s="52"/>
      <c r="U147" s="52"/>
      <c r="V147" s="52"/>
      <c r="W147" s="52"/>
      <c r="X147" s="52"/>
      <c r="Y147" s="52"/>
      <c r="Z147" s="52"/>
    </row>
    <row r="148">
      <c r="A148" s="58" t="str">
        <f t="shared" si="1"/>
        <v/>
      </c>
      <c r="B148" s="34"/>
      <c r="C148" s="52"/>
      <c r="D148" s="52"/>
      <c r="E148" s="52"/>
      <c r="F148" s="52"/>
      <c r="G148" s="52"/>
      <c r="H148" s="52"/>
      <c r="I148" s="52"/>
      <c r="J148" s="52"/>
      <c r="K148" s="52"/>
      <c r="L148" s="52"/>
      <c r="M148" s="52"/>
      <c r="N148" s="52"/>
      <c r="O148" s="52"/>
      <c r="P148" s="52"/>
      <c r="Q148" s="52"/>
      <c r="R148" s="52"/>
      <c r="S148" s="52"/>
      <c r="T148" s="52"/>
      <c r="U148" s="52"/>
      <c r="V148" s="52"/>
      <c r="W148" s="52"/>
      <c r="X148" s="52"/>
      <c r="Y148" s="52"/>
      <c r="Z148" s="52"/>
    </row>
    <row r="149">
      <c r="A149" s="58" t="str">
        <f t="shared" si="1"/>
        <v/>
      </c>
      <c r="B149" s="34"/>
      <c r="C149" s="52"/>
      <c r="D149" s="52"/>
      <c r="E149" s="52"/>
      <c r="F149" s="52"/>
      <c r="G149" s="52"/>
      <c r="H149" s="52"/>
      <c r="I149" s="52"/>
      <c r="J149" s="52"/>
      <c r="K149" s="52"/>
      <c r="L149" s="52"/>
      <c r="M149" s="52"/>
      <c r="N149" s="52"/>
      <c r="O149" s="52"/>
      <c r="P149" s="52"/>
      <c r="Q149" s="52"/>
      <c r="R149" s="52"/>
      <c r="S149" s="52"/>
      <c r="T149" s="52"/>
      <c r="U149" s="52"/>
      <c r="V149" s="52"/>
      <c r="W149" s="52"/>
      <c r="X149" s="52"/>
      <c r="Y149" s="52"/>
      <c r="Z149" s="52"/>
    </row>
    <row r="150">
      <c r="A150" s="58" t="str">
        <f t="shared" si="1"/>
        <v/>
      </c>
      <c r="B150" s="34"/>
      <c r="C150" s="52"/>
      <c r="D150" s="52"/>
      <c r="E150" s="52"/>
      <c r="F150" s="52"/>
      <c r="G150" s="52"/>
      <c r="H150" s="52"/>
      <c r="I150" s="52"/>
      <c r="J150" s="52"/>
      <c r="K150" s="52"/>
      <c r="L150" s="52"/>
      <c r="M150" s="52"/>
      <c r="N150" s="52"/>
      <c r="O150" s="52"/>
      <c r="P150" s="52"/>
      <c r="Q150" s="52"/>
      <c r="R150" s="52"/>
      <c r="S150" s="52"/>
      <c r="T150" s="52"/>
      <c r="U150" s="52"/>
      <c r="V150" s="52"/>
      <c r="W150" s="52"/>
      <c r="X150" s="52"/>
      <c r="Y150" s="52"/>
      <c r="Z150" s="52"/>
    </row>
    <row r="151">
      <c r="A151" s="59"/>
      <c r="B151" s="34"/>
      <c r="C151" s="52"/>
      <c r="D151" s="52"/>
      <c r="E151" s="52"/>
      <c r="F151" s="52"/>
      <c r="G151" s="52"/>
      <c r="H151" s="52"/>
      <c r="I151" s="52"/>
      <c r="J151" s="52"/>
      <c r="K151" s="52"/>
      <c r="L151" s="52"/>
      <c r="M151" s="52"/>
      <c r="N151" s="52"/>
      <c r="O151" s="52"/>
      <c r="P151" s="52"/>
      <c r="Q151" s="52"/>
      <c r="R151" s="52"/>
      <c r="S151" s="52"/>
      <c r="T151" s="52"/>
      <c r="U151" s="52"/>
      <c r="V151" s="52"/>
      <c r="W151" s="52"/>
      <c r="X151" s="52"/>
      <c r="Y151" s="52"/>
      <c r="Z151" s="52"/>
    </row>
    <row r="152">
      <c r="A152" s="59"/>
      <c r="B152" s="34"/>
      <c r="C152" s="52"/>
      <c r="D152" s="52"/>
      <c r="E152" s="52"/>
      <c r="F152" s="52"/>
      <c r="G152" s="52"/>
      <c r="H152" s="52"/>
      <c r="I152" s="52"/>
      <c r="J152" s="52"/>
      <c r="K152" s="52"/>
      <c r="L152" s="52"/>
      <c r="M152" s="52"/>
      <c r="N152" s="52"/>
      <c r="O152" s="52"/>
      <c r="P152" s="52"/>
      <c r="Q152" s="52"/>
      <c r="R152" s="52"/>
      <c r="S152" s="52"/>
      <c r="T152" s="52"/>
      <c r="U152" s="52"/>
      <c r="V152" s="52"/>
      <c r="W152" s="52"/>
      <c r="X152" s="52"/>
      <c r="Y152" s="52"/>
      <c r="Z152" s="52"/>
    </row>
    <row r="153">
      <c r="A153" s="59"/>
      <c r="B153" s="34"/>
      <c r="C153" s="52"/>
      <c r="D153" s="52"/>
      <c r="E153" s="52"/>
      <c r="F153" s="52"/>
      <c r="G153" s="52"/>
      <c r="H153" s="52"/>
      <c r="I153" s="52"/>
      <c r="J153" s="52"/>
      <c r="K153" s="52"/>
      <c r="L153" s="52"/>
      <c r="M153" s="52"/>
      <c r="N153" s="52"/>
      <c r="O153" s="52"/>
      <c r="P153" s="52"/>
      <c r="Q153" s="52"/>
      <c r="R153" s="52"/>
      <c r="S153" s="52"/>
      <c r="T153" s="52"/>
      <c r="U153" s="52"/>
      <c r="V153" s="52"/>
      <c r="W153" s="52"/>
      <c r="X153" s="52"/>
      <c r="Y153" s="52"/>
      <c r="Z153" s="52"/>
    </row>
    <row r="154">
      <c r="A154" s="59"/>
      <c r="B154" s="34"/>
      <c r="C154" s="52"/>
      <c r="D154" s="52"/>
      <c r="E154" s="52"/>
      <c r="F154" s="52"/>
      <c r="G154" s="52"/>
      <c r="H154" s="52"/>
      <c r="I154" s="52"/>
      <c r="J154" s="52"/>
      <c r="K154" s="52"/>
      <c r="L154" s="52"/>
      <c r="M154" s="52"/>
      <c r="N154" s="52"/>
      <c r="O154" s="52"/>
      <c r="P154" s="52"/>
      <c r="Q154" s="52"/>
      <c r="R154" s="52"/>
      <c r="S154" s="52"/>
      <c r="T154" s="52"/>
      <c r="U154" s="52"/>
      <c r="V154" s="52"/>
      <c r="W154" s="52"/>
      <c r="X154" s="52"/>
      <c r="Y154" s="52"/>
      <c r="Z154" s="52"/>
    </row>
    <row r="155">
      <c r="A155" s="59"/>
      <c r="B155" s="34"/>
      <c r="C155" s="52"/>
      <c r="D155" s="52"/>
      <c r="E155" s="52"/>
      <c r="F155" s="52"/>
      <c r="G155" s="52"/>
      <c r="H155" s="52"/>
      <c r="I155" s="52"/>
      <c r="J155" s="52"/>
      <c r="K155" s="52"/>
      <c r="L155" s="52"/>
      <c r="M155" s="52"/>
      <c r="N155" s="52"/>
      <c r="O155" s="52"/>
      <c r="P155" s="52"/>
      <c r="Q155" s="52"/>
      <c r="R155" s="52"/>
      <c r="S155" s="52"/>
      <c r="T155" s="52"/>
      <c r="U155" s="52"/>
      <c r="V155" s="52"/>
      <c r="W155" s="52"/>
      <c r="X155" s="52"/>
      <c r="Y155" s="52"/>
      <c r="Z155" s="52"/>
    </row>
    <row r="156">
      <c r="A156" s="59"/>
      <c r="B156" s="34"/>
      <c r="C156" s="52"/>
      <c r="D156" s="52"/>
      <c r="E156" s="52"/>
      <c r="F156" s="52"/>
      <c r="G156" s="52"/>
      <c r="H156" s="52"/>
      <c r="I156" s="52"/>
      <c r="J156" s="52"/>
      <c r="K156" s="52"/>
      <c r="L156" s="52"/>
      <c r="M156" s="52"/>
      <c r="N156" s="52"/>
      <c r="O156" s="52"/>
      <c r="P156" s="52"/>
      <c r="Q156" s="52"/>
      <c r="R156" s="52"/>
      <c r="S156" s="52"/>
      <c r="T156" s="52"/>
      <c r="U156" s="52"/>
      <c r="V156" s="52"/>
      <c r="W156" s="52"/>
      <c r="X156" s="52"/>
      <c r="Y156" s="52"/>
      <c r="Z156" s="52"/>
    </row>
    <row r="157">
      <c r="A157" s="59"/>
      <c r="B157" s="34"/>
      <c r="C157" s="52"/>
      <c r="D157" s="52"/>
      <c r="E157" s="52"/>
      <c r="F157" s="52"/>
      <c r="G157" s="52"/>
      <c r="H157" s="52"/>
      <c r="I157" s="52"/>
      <c r="J157" s="52"/>
      <c r="K157" s="52"/>
      <c r="L157" s="52"/>
      <c r="M157" s="52"/>
      <c r="N157" s="52"/>
      <c r="O157" s="52"/>
      <c r="P157" s="52"/>
      <c r="Q157" s="52"/>
      <c r="R157" s="52"/>
      <c r="S157" s="52"/>
      <c r="T157" s="52"/>
      <c r="U157" s="52"/>
      <c r="V157" s="52"/>
      <c r="W157" s="52"/>
      <c r="X157" s="52"/>
      <c r="Y157" s="52"/>
      <c r="Z157" s="52"/>
    </row>
    <row r="158">
      <c r="A158" s="59"/>
      <c r="B158" s="34"/>
      <c r="C158" s="52"/>
      <c r="D158" s="52"/>
      <c r="E158" s="52"/>
      <c r="F158" s="52"/>
      <c r="G158" s="52"/>
      <c r="H158" s="52"/>
      <c r="I158" s="52"/>
      <c r="J158" s="52"/>
      <c r="K158" s="52"/>
      <c r="L158" s="52"/>
      <c r="M158" s="52"/>
      <c r="N158" s="52"/>
      <c r="O158" s="52"/>
      <c r="P158" s="52"/>
      <c r="Q158" s="52"/>
      <c r="R158" s="52"/>
      <c r="S158" s="52"/>
      <c r="T158" s="52"/>
      <c r="U158" s="52"/>
      <c r="V158" s="52"/>
      <c r="W158" s="52"/>
      <c r="X158" s="52"/>
      <c r="Y158" s="52"/>
      <c r="Z158" s="52"/>
    </row>
    <row r="159">
      <c r="A159" s="59"/>
      <c r="B159" s="34"/>
      <c r="C159" s="52"/>
      <c r="D159" s="52"/>
      <c r="E159" s="52"/>
      <c r="F159" s="52"/>
      <c r="G159" s="52"/>
      <c r="H159" s="52"/>
      <c r="I159" s="52"/>
      <c r="J159" s="52"/>
      <c r="K159" s="52"/>
      <c r="L159" s="52"/>
      <c r="M159" s="52"/>
      <c r="N159" s="52"/>
      <c r="O159" s="52"/>
      <c r="P159" s="52"/>
      <c r="Q159" s="52"/>
      <c r="R159" s="52"/>
      <c r="S159" s="52"/>
      <c r="T159" s="52"/>
      <c r="U159" s="52"/>
      <c r="V159" s="52"/>
      <c r="W159" s="52"/>
      <c r="X159" s="52"/>
      <c r="Y159" s="52"/>
      <c r="Z159" s="52"/>
    </row>
    <row r="160">
      <c r="A160" s="59"/>
      <c r="B160" s="34"/>
      <c r="C160" s="52"/>
      <c r="D160" s="52"/>
      <c r="E160" s="52"/>
      <c r="F160" s="52"/>
      <c r="G160" s="52"/>
      <c r="H160" s="52"/>
      <c r="I160" s="52"/>
      <c r="J160" s="52"/>
      <c r="K160" s="52"/>
      <c r="L160" s="52"/>
      <c r="M160" s="52"/>
      <c r="N160" s="52"/>
      <c r="O160" s="52"/>
      <c r="P160" s="52"/>
      <c r="Q160" s="52"/>
      <c r="R160" s="52"/>
      <c r="S160" s="52"/>
      <c r="T160" s="52"/>
      <c r="U160" s="52"/>
      <c r="V160" s="52"/>
      <c r="W160" s="52"/>
      <c r="X160" s="52"/>
      <c r="Y160" s="52"/>
      <c r="Z160" s="52"/>
    </row>
    <row r="161">
      <c r="A161" s="59"/>
      <c r="B161" s="34"/>
      <c r="C161" s="52"/>
      <c r="D161" s="52"/>
      <c r="E161" s="52"/>
      <c r="F161" s="52"/>
      <c r="G161" s="52"/>
      <c r="H161" s="52"/>
      <c r="I161" s="52"/>
      <c r="J161" s="52"/>
      <c r="K161" s="52"/>
      <c r="L161" s="52"/>
      <c r="M161" s="52"/>
      <c r="N161" s="52"/>
      <c r="O161" s="52"/>
      <c r="P161" s="52"/>
      <c r="Q161" s="52"/>
      <c r="R161" s="52"/>
      <c r="S161" s="52"/>
      <c r="T161" s="52"/>
      <c r="U161" s="52"/>
      <c r="V161" s="52"/>
      <c r="W161" s="52"/>
      <c r="X161" s="52"/>
      <c r="Y161" s="52"/>
      <c r="Z161" s="52"/>
    </row>
    <row r="162">
      <c r="A162" s="59"/>
      <c r="B162" s="34"/>
      <c r="C162" s="52"/>
      <c r="D162" s="52"/>
      <c r="E162" s="52"/>
      <c r="F162" s="52"/>
      <c r="G162" s="52"/>
      <c r="H162" s="52"/>
      <c r="I162" s="52"/>
      <c r="J162" s="52"/>
      <c r="K162" s="52"/>
      <c r="L162" s="52"/>
      <c r="M162" s="52"/>
      <c r="N162" s="52"/>
      <c r="O162" s="52"/>
      <c r="P162" s="52"/>
      <c r="Q162" s="52"/>
      <c r="R162" s="52"/>
      <c r="S162" s="52"/>
      <c r="T162" s="52"/>
      <c r="U162" s="52"/>
      <c r="V162" s="52"/>
      <c r="W162" s="52"/>
      <c r="X162" s="52"/>
      <c r="Y162" s="52"/>
      <c r="Z162" s="52"/>
    </row>
    <row r="163">
      <c r="A163" s="59"/>
      <c r="B163" s="34"/>
      <c r="C163" s="52"/>
      <c r="D163" s="52"/>
      <c r="E163" s="52"/>
      <c r="F163" s="52"/>
      <c r="G163" s="52"/>
      <c r="H163" s="52"/>
      <c r="I163" s="52"/>
      <c r="J163" s="52"/>
      <c r="K163" s="52"/>
      <c r="L163" s="52"/>
      <c r="M163" s="52"/>
      <c r="N163" s="52"/>
      <c r="O163" s="52"/>
      <c r="P163" s="52"/>
      <c r="Q163" s="52"/>
      <c r="R163" s="52"/>
      <c r="S163" s="52"/>
      <c r="T163" s="52"/>
      <c r="U163" s="52"/>
      <c r="V163" s="52"/>
      <c r="W163" s="52"/>
      <c r="X163" s="52"/>
      <c r="Y163" s="52"/>
      <c r="Z163" s="52"/>
    </row>
    <row r="164">
      <c r="A164" s="59"/>
      <c r="B164" s="34"/>
      <c r="C164" s="52"/>
      <c r="D164" s="52"/>
      <c r="E164" s="52"/>
      <c r="F164" s="52"/>
      <c r="G164" s="52"/>
      <c r="H164" s="52"/>
      <c r="I164" s="52"/>
      <c r="J164" s="52"/>
      <c r="K164" s="52"/>
      <c r="L164" s="52"/>
      <c r="M164" s="52"/>
      <c r="N164" s="52"/>
      <c r="O164" s="52"/>
      <c r="P164" s="52"/>
      <c r="Q164" s="52"/>
      <c r="R164" s="52"/>
      <c r="S164" s="52"/>
      <c r="T164" s="52"/>
      <c r="U164" s="52"/>
      <c r="V164" s="52"/>
      <c r="W164" s="52"/>
      <c r="X164" s="52"/>
      <c r="Y164" s="52"/>
      <c r="Z164" s="52"/>
    </row>
    <row r="165">
      <c r="A165" s="59"/>
      <c r="B165" s="34"/>
      <c r="C165" s="52"/>
      <c r="D165" s="52"/>
      <c r="E165" s="52"/>
      <c r="F165" s="52"/>
      <c r="G165" s="52"/>
      <c r="H165" s="52"/>
      <c r="I165" s="52"/>
      <c r="J165" s="52"/>
      <c r="K165" s="52"/>
      <c r="L165" s="52"/>
      <c r="M165" s="52"/>
      <c r="N165" s="52"/>
      <c r="O165" s="52"/>
      <c r="P165" s="52"/>
      <c r="Q165" s="52"/>
      <c r="R165" s="52"/>
      <c r="S165" s="52"/>
      <c r="T165" s="52"/>
      <c r="U165" s="52"/>
      <c r="V165" s="52"/>
      <c r="W165" s="52"/>
      <c r="X165" s="52"/>
      <c r="Y165" s="52"/>
      <c r="Z165" s="52"/>
    </row>
    <row r="166">
      <c r="A166" s="59"/>
      <c r="B166" s="34"/>
      <c r="C166" s="52"/>
      <c r="D166" s="52"/>
      <c r="E166" s="52"/>
      <c r="F166" s="52"/>
      <c r="G166" s="52"/>
      <c r="H166" s="52"/>
      <c r="I166" s="52"/>
      <c r="J166" s="52"/>
      <c r="K166" s="52"/>
      <c r="L166" s="52"/>
      <c r="M166" s="52"/>
      <c r="N166" s="52"/>
      <c r="O166" s="52"/>
      <c r="P166" s="52"/>
      <c r="Q166" s="52"/>
      <c r="R166" s="52"/>
      <c r="S166" s="52"/>
      <c r="T166" s="52"/>
      <c r="U166" s="52"/>
      <c r="V166" s="52"/>
      <c r="W166" s="52"/>
      <c r="X166" s="52"/>
      <c r="Y166" s="52"/>
      <c r="Z166" s="52"/>
    </row>
    <row r="167">
      <c r="A167" s="59"/>
      <c r="B167" s="34"/>
      <c r="C167" s="52"/>
      <c r="D167" s="52"/>
      <c r="E167" s="52"/>
      <c r="F167" s="52"/>
      <c r="G167" s="52"/>
      <c r="H167" s="52"/>
      <c r="I167" s="52"/>
      <c r="J167" s="52"/>
      <c r="K167" s="52"/>
      <c r="L167" s="52"/>
      <c r="M167" s="52"/>
      <c r="N167" s="52"/>
      <c r="O167" s="52"/>
      <c r="P167" s="52"/>
      <c r="Q167" s="52"/>
      <c r="R167" s="52"/>
      <c r="S167" s="52"/>
      <c r="T167" s="52"/>
      <c r="U167" s="52"/>
      <c r="V167" s="52"/>
      <c r="W167" s="52"/>
      <c r="X167" s="52"/>
      <c r="Y167" s="52"/>
      <c r="Z167" s="52"/>
    </row>
    <row r="168">
      <c r="A168" s="59"/>
      <c r="B168" s="34"/>
      <c r="C168" s="52"/>
      <c r="D168" s="52"/>
      <c r="E168" s="52"/>
      <c r="F168" s="52"/>
      <c r="G168" s="52"/>
      <c r="H168" s="52"/>
      <c r="I168" s="52"/>
      <c r="J168" s="52"/>
      <c r="K168" s="52"/>
      <c r="L168" s="52"/>
      <c r="M168" s="52"/>
      <c r="N168" s="52"/>
      <c r="O168" s="52"/>
      <c r="P168" s="52"/>
      <c r="Q168" s="52"/>
      <c r="R168" s="52"/>
      <c r="S168" s="52"/>
      <c r="T168" s="52"/>
      <c r="U168" s="52"/>
      <c r="V168" s="52"/>
      <c r="W168" s="52"/>
      <c r="X168" s="52"/>
      <c r="Y168" s="52"/>
      <c r="Z168" s="52"/>
    </row>
    <row r="169">
      <c r="A169" s="59"/>
      <c r="B169" s="34"/>
      <c r="C169" s="52"/>
      <c r="D169" s="52"/>
      <c r="E169" s="52"/>
      <c r="F169" s="52"/>
      <c r="G169" s="52"/>
      <c r="H169" s="52"/>
      <c r="I169" s="52"/>
      <c r="J169" s="52"/>
      <c r="K169" s="52"/>
      <c r="L169" s="52"/>
      <c r="M169" s="52"/>
      <c r="N169" s="52"/>
      <c r="O169" s="52"/>
      <c r="P169" s="52"/>
      <c r="Q169" s="52"/>
      <c r="R169" s="52"/>
      <c r="S169" s="52"/>
      <c r="T169" s="52"/>
      <c r="U169" s="52"/>
      <c r="V169" s="52"/>
      <c r="W169" s="52"/>
      <c r="X169" s="52"/>
      <c r="Y169" s="52"/>
      <c r="Z169" s="52"/>
    </row>
    <row r="170">
      <c r="A170" s="59"/>
      <c r="B170" s="34"/>
      <c r="C170" s="52"/>
      <c r="D170" s="52"/>
      <c r="E170" s="52"/>
      <c r="F170" s="52"/>
      <c r="G170" s="52"/>
      <c r="H170" s="52"/>
      <c r="I170" s="52"/>
      <c r="J170" s="52"/>
      <c r="K170" s="52"/>
      <c r="L170" s="52"/>
      <c r="M170" s="52"/>
      <c r="N170" s="52"/>
      <c r="O170" s="52"/>
      <c r="P170" s="52"/>
      <c r="Q170" s="52"/>
      <c r="R170" s="52"/>
      <c r="S170" s="52"/>
      <c r="T170" s="52"/>
      <c r="U170" s="52"/>
      <c r="V170" s="52"/>
      <c r="W170" s="52"/>
      <c r="X170" s="52"/>
      <c r="Y170" s="52"/>
      <c r="Z170" s="52"/>
    </row>
    <row r="171">
      <c r="A171" s="59"/>
      <c r="B171" s="34"/>
      <c r="C171" s="52"/>
      <c r="D171" s="52"/>
      <c r="E171" s="52"/>
      <c r="F171" s="52"/>
      <c r="G171" s="52"/>
      <c r="H171" s="52"/>
      <c r="I171" s="52"/>
      <c r="J171" s="52"/>
      <c r="K171" s="52"/>
      <c r="L171" s="52"/>
      <c r="M171" s="52"/>
      <c r="N171" s="52"/>
      <c r="O171" s="52"/>
      <c r="P171" s="52"/>
      <c r="Q171" s="52"/>
      <c r="R171" s="52"/>
      <c r="S171" s="52"/>
      <c r="T171" s="52"/>
      <c r="U171" s="52"/>
      <c r="V171" s="52"/>
      <c r="W171" s="52"/>
      <c r="X171" s="52"/>
      <c r="Y171" s="52"/>
      <c r="Z171" s="52"/>
    </row>
    <row r="172">
      <c r="A172" s="59"/>
      <c r="B172" s="34"/>
      <c r="C172" s="52"/>
      <c r="D172" s="52"/>
      <c r="E172" s="52"/>
      <c r="F172" s="52"/>
      <c r="G172" s="52"/>
      <c r="H172" s="52"/>
      <c r="I172" s="52"/>
      <c r="J172" s="52"/>
      <c r="K172" s="52"/>
      <c r="L172" s="52"/>
      <c r="M172" s="52"/>
      <c r="N172" s="52"/>
      <c r="O172" s="52"/>
      <c r="P172" s="52"/>
      <c r="Q172" s="52"/>
      <c r="R172" s="52"/>
      <c r="S172" s="52"/>
      <c r="T172" s="52"/>
      <c r="U172" s="52"/>
      <c r="V172" s="52"/>
      <c r="W172" s="52"/>
      <c r="X172" s="52"/>
      <c r="Y172" s="52"/>
      <c r="Z172" s="52"/>
    </row>
    <row r="173">
      <c r="A173" s="59"/>
      <c r="B173" s="34"/>
      <c r="C173" s="52"/>
      <c r="D173" s="52"/>
      <c r="E173" s="52"/>
      <c r="F173" s="52"/>
      <c r="G173" s="52"/>
      <c r="H173" s="52"/>
      <c r="I173" s="52"/>
      <c r="J173" s="52"/>
      <c r="K173" s="52"/>
      <c r="L173" s="52"/>
      <c r="M173" s="52"/>
      <c r="N173" s="52"/>
      <c r="O173" s="52"/>
      <c r="P173" s="52"/>
      <c r="Q173" s="52"/>
      <c r="R173" s="52"/>
      <c r="S173" s="52"/>
      <c r="T173" s="52"/>
      <c r="U173" s="52"/>
      <c r="V173" s="52"/>
      <c r="W173" s="52"/>
      <c r="X173" s="52"/>
      <c r="Y173" s="52"/>
      <c r="Z173" s="52"/>
    </row>
    <row r="174">
      <c r="A174" s="59"/>
      <c r="B174" s="34"/>
      <c r="C174" s="52"/>
      <c r="D174" s="52"/>
      <c r="E174" s="52"/>
      <c r="F174" s="52"/>
      <c r="G174" s="52"/>
      <c r="H174" s="52"/>
      <c r="I174" s="52"/>
      <c r="J174" s="52"/>
      <c r="K174" s="52"/>
      <c r="L174" s="52"/>
      <c r="M174" s="52"/>
      <c r="N174" s="52"/>
      <c r="O174" s="52"/>
      <c r="P174" s="52"/>
      <c r="Q174" s="52"/>
      <c r="R174" s="52"/>
      <c r="S174" s="52"/>
      <c r="T174" s="52"/>
      <c r="U174" s="52"/>
      <c r="V174" s="52"/>
      <c r="W174" s="52"/>
      <c r="X174" s="52"/>
      <c r="Y174" s="52"/>
      <c r="Z174" s="52"/>
    </row>
    <row r="175">
      <c r="A175" s="59"/>
      <c r="B175" s="34"/>
      <c r="C175" s="52"/>
      <c r="D175" s="52"/>
      <c r="E175" s="52"/>
      <c r="F175" s="52"/>
      <c r="G175" s="52"/>
      <c r="H175" s="52"/>
      <c r="I175" s="52"/>
      <c r="J175" s="52"/>
      <c r="K175" s="52"/>
      <c r="L175" s="52"/>
      <c r="M175" s="52"/>
      <c r="N175" s="52"/>
      <c r="O175" s="52"/>
      <c r="P175" s="52"/>
      <c r="Q175" s="52"/>
      <c r="R175" s="52"/>
      <c r="S175" s="52"/>
      <c r="T175" s="52"/>
      <c r="U175" s="52"/>
      <c r="V175" s="52"/>
      <c r="W175" s="52"/>
      <c r="X175" s="52"/>
      <c r="Y175" s="52"/>
      <c r="Z175" s="52"/>
    </row>
    <row r="176">
      <c r="A176" s="59"/>
      <c r="B176" s="34"/>
      <c r="C176" s="52"/>
      <c r="D176" s="52"/>
      <c r="E176" s="52"/>
      <c r="F176" s="52"/>
      <c r="G176" s="52"/>
      <c r="H176" s="52"/>
      <c r="I176" s="52"/>
      <c r="J176" s="52"/>
      <c r="K176" s="52"/>
      <c r="L176" s="52"/>
      <c r="M176" s="52"/>
      <c r="N176" s="52"/>
      <c r="O176" s="52"/>
      <c r="P176" s="52"/>
      <c r="Q176" s="52"/>
      <c r="R176" s="52"/>
      <c r="S176" s="52"/>
      <c r="T176" s="52"/>
      <c r="U176" s="52"/>
      <c r="V176" s="52"/>
      <c r="W176" s="52"/>
      <c r="X176" s="52"/>
      <c r="Y176" s="52"/>
      <c r="Z176" s="52"/>
    </row>
    <row r="177">
      <c r="A177" s="59"/>
      <c r="B177" s="34"/>
      <c r="C177" s="52"/>
      <c r="D177" s="52"/>
      <c r="E177" s="52"/>
      <c r="F177" s="52"/>
      <c r="G177" s="52"/>
      <c r="H177" s="52"/>
      <c r="I177" s="52"/>
      <c r="J177" s="52"/>
      <c r="K177" s="52"/>
      <c r="L177" s="52"/>
      <c r="M177" s="52"/>
      <c r="N177" s="52"/>
      <c r="O177" s="52"/>
      <c r="P177" s="52"/>
      <c r="Q177" s="52"/>
      <c r="R177" s="52"/>
      <c r="S177" s="52"/>
      <c r="T177" s="52"/>
      <c r="U177" s="52"/>
      <c r="V177" s="52"/>
      <c r="W177" s="52"/>
      <c r="X177" s="52"/>
      <c r="Y177" s="52"/>
      <c r="Z177" s="52"/>
    </row>
    <row r="178">
      <c r="A178" s="59"/>
      <c r="B178" s="34"/>
      <c r="C178" s="52"/>
      <c r="D178" s="52"/>
      <c r="E178" s="52"/>
      <c r="F178" s="52"/>
      <c r="G178" s="52"/>
      <c r="H178" s="52"/>
      <c r="I178" s="52"/>
      <c r="J178" s="52"/>
      <c r="K178" s="52"/>
      <c r="L178" s="52"/>
      <c r="M178" s="52"/>
      <c r="N178" s="52"/>
      <c r="O178" s="52"/>
      <c r="P178" s="52"/>
      <c r="Q178" s="52"/>
      <c r="R178" s="52"/>
      <c r="S178" s="52"/>
      <c r="T178" s="52"/>
      <c r="U178" s="52"/>
      <c r="V178" s="52"/>
      <c r="W178" s="52"/>
      <c r="X178" s="52"/>
      <c r="Y178" s="52"/>
      <c r="Z178" s="52"/>
    </row>
    <row r="179">
      <c r="A179" s="59"/>
      <c r="B179" s="34"/>
      <c r="C179" s="52"/>
      <c r="D179" s="52"/>
      <c r="E179" s="52"/>
      <c r="F179" s="52"/>
      <c r="G179" s="52"/>
      <c r="H179" s="52"/>
      <c r="I179" s="52"/>
      <c r="J179" s="52"/>
      <c r="K179" s="52"/>
      <c r="L179" s="52"/>
      <c r="M179" s="52"/>
      <c r="N179" s="52"/>
      <c r="O179" s="52"/>
      <c r="P179" s="52"/>
      <c r="Q179" s="52"/>
      <c r="R179" s="52"/>
      <c r="S179" s="52"/>
      <c r="T179" s="52"/>
      <c r="U179" s="52"/>
      <c r="V179" s="52"/>
      <c r="W179" s="52"/>
      <c r="X179" s="52"/>
      <c r="Y179" s="52"/>
      <c r="Z179" s="52"/>
    </row>
    <row r="180">
      <c r="A180" s="59"/>
      <c r="B180" s="34"/>
      <c r="C180" s="52"/>
      <c r="D180" s="52"/>
      <c r="E180" s="52"/>
      <c r="F180" s="52"/>
      <c r="G180" s="52"/>
      <c r="H180" s="52"/>
      <c r="I180" s="52"/>
      <c r="J180" s="52"/>
      <c r="K180" s="52"/>
      <c r="L180" s="52"/>
      <c r="M180" s="52"/>
      <c r="N180" s="52"/>
      <c r="O180" s="52"/>
      <c r="P180" s="52"/>
      <c r="Q180" s="52"/>
      <c r="R180" s="52"/>
      <c r="S180" s="52"/>
      <c r="T180" s="52"/>
      <c r="U180" s="52"/>
      <c r="V180" s="52"/>
      <c r="W180" s="52"/>
      <c r="X180" s="52"/>
      <c r="Y180" s="52"/>
      <c r="Z180" s="52"/>
    </row>
    <row r="181">
      <c r="A181" s="59"/>
      <c r="B181" s="34"/>
      <c r="C181" s="52"/>
      <c r="D181" s="52"/>
      <c r="E181" s="52"/>
      <c r="F181" s="52"/>
      <c r="G181" s="52"/>
      <c r="H181" s="52"/>
      <c r="I181" s="52"/>
      <c r="J181" s="52"/>
      <c r="K181" s="52"/>
      <c r="L181" s="52"/>
      <c r="M181" s="52"/>
      <c r="N181" s="52"/>
      <c r="O181" s="52"/>
      <c r="P181" s="52"/>
      <c r="Q181" s="52"/>
      <c r="R181" s="52"/>
      <c r="S181" s="52"/>
      <c r="T181" s="52"/>
      <c r="U181" s="52"/>
      <c r="V181" s="52"/>
      <c r="W181" s="52"/>
      <c r="X181" s="52"/>
      <c r="Y181" s="52"/>
      <c r="Z181" s="52"/>
    </row>
    <row r="182">
      <c r="A182" s="59"/>
      <c r="B182" s="34"/>
      <c r="C182" s="52"/>
      <c r="D182" s="52"/>
      <c r="E182" s="52"/>
      <c r="F182" s="52"/>
      <c r="G182" s="52"/>
      <c r="H182" s="52"/>
      <c r="I182" s="52"/>
      <c r="J182" s="52"/>
      <c r="K182" s="52"/>
      <c r="L182" s="52"/>
      <c r="M182" s="52"/>
      <c r="N182" s="52"/>
      <c r="O182" s="52"/>
      <c r="P182" s="52"/>
      <c r="Q182" s="52"/>
      <c r="R182" s="52"/>
      <c r="S182" s="52"/>
      <c r="T182" s="52"/>
      <c r="U182" s="52"/>
      <c r="V182" s="52"/>
      <c r="W182" s="52"/>
      <c r="X182" s="52"/>
      <c r="Y182" s="52"/>
      <c r="Z182" s="52"/>
    </row>
    <row r="183">
      <c r="A183" s="59"/>
      <c r="B183" s="34"/>
      <c r="C183" s="52"/>
      <c r="D183" s="52"/>
      <c r="E183" s="52"/>
      <c r="F183" s="52"/>
      <c r="G183" s="52"/>
      <c r="H183" s="52"/>
      <c r="I183" s="52"/>
      <c r="J183" s="52"/>
      <c r="K183" s="52"/>
      <c r="L183" s="52"/>
      <c r="M183" s="52"/>
      <c r="N183" s="52"/>
      <c r="O183" s="52"/>
      <c r="P183" s="52"/>
      <c r="Q183" s="52"/>
      <c r="R183" s="52"/>
      <c r="S183" s="52"/>
      <c r="T183" s="52"/>
      <c r="U183" s="52"/>
      <c r="V183" s="52"/>
      <c r="W183" s="52"/>
      <c r="X183" s="52"/>
      <c r="Y183" s="52"/>
      <c r="Z183" s="52"/>
    </row>
    <row r="184">
      <c r="A184" s="59"/>
      <c r="B184" s="34"/>
      <c r="C184" s="52"/>
      <c r="D184" s="52"/>
      <c r="E184" s="52"/>
      <c r="F184" s="52"/>
      <c r="G184" s="52"/>
      <c r="H184" s="52"/>
      <c r="I184" s="52"/>
      <c r="J184" s="52"/>
      <c r="K184" s="52"/>
      <c r="L184" s="52"/>
      <c r="M184" s="52"/>
      <c r="N184" s="52"/>
      <c r="O184" s="52"/>
      <c r="P184" s="52"/>
      <c r="Q184" s="52"/>
      <c r="R184" s="52"/>
      <c r="S184" s="52"/>
      <c r="T184" s="52"/>
      <c r="U184" s="52"/>
      <c r="V184" s="52"/>
      <c r="W184" s="52"/>
      <c r="X184" s="52"/>
      <c r="Y184" s="52"/>
      <c r="Z184" s="52"/>
    </row>
    <row r="185">
      <c r="A185" s="59"/>
      <c r="B185" s="34"/>
      <c r="C185" s="52"/>
      <c r="D185" s="52"/>
      <c r="E185" s="52"/>
      <c r="F185" s="52"/>
      <c r="G185" s="52"/>
      <c r="H185" s="52"/>
      <c r="I185" s="52"/>
      <c r="J185" s="52"/>
      <c r="K185" s="52"/>
      <c r="L185" s="52"/>
      <c r="M185" s="52"/>
      <c r="N185" s="52"/>
      <c r="O185" s="52"/>
      <c r="P185" s="52"/>
      <c r="Q185" s="52"/>
      <c r="R185" s="52"/>
      <c r="S185" s="52"/>
      <c r="T185" s="52"/>
      <c r="U185" s="52"/>
      <c r="V185" s="52"/>
      <c r="W185" s="52"/>
      <c r="X185" s="52"/>
      <c r="Y185" s="52"/>
      <c r="Z185" s="52"/>
    </row>
    <row r="186">
      <c r="A186" s="59"/>
      <c r="B186" s="34"/>
      <c r="C186" s="52"/>
      <c r="D186" s="52"/>
      <c r="E186" s="52"/>
      <c r="F186" s="52"/>
      <c r="G186" s="52"/>
      <c r="H186" s="52"/>
      <c r="I186" s="52"/>
      <c r="J186" s="52"/>
      <c r="K186" s="52"/>
      <c r="L186" s="52"/>
      <c r="M186" s="52"/>
      <c r="N186" s="52"/>
      <c r="O186" s="52"/>
      <c r="P186" s="52"/>
      <c r="Q186" s="52"/>
      <c r="R186" s="52"/>
      <c r="S186" s="52"/>
      <c r="T186" s="52"/>
      <c r="U186" s="52"/>
      <c r="V186" s="52"/>
      <c r="W186" s="52"/>
      <c r="X186" s="52"/>
      <c r="Y186" s="52"/>
      <c r="Z186" s="52"/>
    </row>
    <row r="187">
      <c r="A187" s="59"/>
      <c r="B187" s="34"/>
      <c r="C187" s="52"/>
      <c r="D187" s="52"/>
      <c r="E187" s="52"/>
      <c r="F187" s="52"/>
      <c r="G187" s="52"/>
      <c r="H187" s="52"/>
      <c r="I187" s="52"/>
      <c r="J187" s="52"/>
      <c r="K187" s="52"/>
      <c r="L187" s="52"/>
      <c r="M187" s="52"/>
      <c r="N187" s="52"/>
      <c r="O187" s="52"/>
      <c r="P187" s="52"/>
      <c r="Q187" s="52"/>
      <c r="R187" s="52"/>
      <c r="S187" s="52"/>
      <c r="T187" s="52"/>
      <c r="U187" s="52"/>
      <c r="V187" s="52"/>
      <c r="W187" s="52"/>
      <c r="X187" s="52"/>
      <c r="Y187" s="52"/>
      <c r="Z187" s="52"/>
    </row>
    <row r="188">
      <c r="A188" s="59"/>
      <c r="B188" s="34"/>
      <c r="C188" s="52"/>
      <c r="D188" s="52"/>
      <c r="E188" s="52"/>
      <c r="F188" s="52"/>
      <c r="G188" s="52"/>
      <c r="H188" s="52"/>
      <c r="I188" s="52"/>
      <c r="J188" s="52"/>
      <c r="K188" s="52"/>
      <c r="L188" s="52"/>
      <c r="M188" s="52"/>
      <c r="N188" s="52"/>
      <c r="O188" s="52"/>
      <c r="P188" s="52"/>
      <c r="Q188" s="52"/>
      <c r="R188" s="52"/>
      <c r="S188" s="52"/>
      <c r="T188" s="52"/>
      <c r="U188" s="52"/>
      <c r="V188" s="52"/>
      <c r="W188" s="52"/>
      <c r="X188" s="52"/>
      <c r="Y188" s="52"/>
      <c r="Z188" s="52"/>
    </row>
    <row r="189">
      <c r="A189" s="59"/>
      <c r="B189" s="34"/>
      <c r="C189" s="52"/>
      <c r="D189" s="52"/>
      <c r="E189" s="52"/>
      <c r="F189" s="52"/>
      <c r="G189" s="52"/>
      <c r="H189" s="52"/>
      <c r="I189" s="52"/>
      <c r="J189" s="52"/>
      <c r="K189" s="52"/>
      <c r="L189" s="52"/>
      <c r="M189" s="52"/>
      <c r="N189" s="52"/>
      <c r="O189" s="52"/>
      <c r="P189" s="52"/>
      <c r="Q189" s="52"/>
      <c r="R189" s="52"/>
      <c r="S189" s="52"/>
      <c r="T189" s="52"/>
      <c r="U189" s="52"/>
      <c r="V189" s="52"/>
      <c r="W189" s="52"/>
      <c r="X189" s="52"/>
      <c r="Y189" s="52"/>
      <c r="Z189" s="52"/>
    </row>
    <row r="190">
      <c r="A190" s="59"/>
      <c r="B190" s="34"/>
      <c r="C190" s="52"/>
      <c r="D190" s="52"/>
      <c r="E190" s="52"/>
      <c r="F190" s="52"/>
      <c r="G190" s="52"/>
      <c r="H190" s="52"/>
      <c r="I190" s="52"/>
      <c r="J190" s="52"/>
      <c r="K190" s="52"/>
      <c r="L190" s="52"/>
      <c r="M190" s="52"/>
      <c r="N190" s="52"/>
      <c r="O190" s="52"/>
      <c r="P190" s="52"/>
      <c r="Q190" s="52"/>
      <c r="R190" s="52"/>
      <c r="S190" s="52"/>
      <c r="T190" s="52"/>
      <c r="U190" s="52"/>
      <c r="V190" s="52"/>
      <c r="W190" s="52"/>
      <c r="X190" s="52"/>
      <c r="Y190" s="52"/>
      <c r="Z190" s="52"/>
    </row>
    <row r="191">
      <c r="A191" s="59"/>
      <c r="B191" s="34"/>
      <c r="C191" s="52"/>
      <c r="D191" s="52"/>
      <c r="E191" s="52"/>
      <c r="F191" s="52"/>
      <c r="G191" s="52"/>
      <c r="H191" s="52"/>
      <c r="I191" s="52"/>
      <c r="J191" s="52"/>
      <c r="K191" s="52"/>
      <c r="L191" s="52"/>
      <c r="M191" s="52"/>
      <c r="N191" s="52"/>
      <c r="O191" s="52"/>
      <c r="P191" s="52"/>
      <c r="Q191" s="52"/>
      <c r="R191" s="52"/>
      <c r="S191" s="52"/>
      <c r="T191" s="52"/>
      <c r="U191" s="52"/>
      <c r="V191" s="52"/>
      <c r="W191" s="52"/>
      <c r="X191" s="52"/>
      <c r="Y191" s="52"/>
      <c r="Z191" s="52"/>
    </row>
    <row r="192">
      <c r="A192" s="59"/>
      <c r="B192" s="34"/>
      <c r="C192" s="52"/>
      <c r="D192" s="52"/>
      <c r="E192" s="52"/>
      <c r="F192" s="52"/>
      <c r="G192" s="52"/>
      <c r="H192" s="52"/>
      <c r="I192" s="52"/>
      <c r="J192" s="52"/>
      <c r="K192" s="52"/>
      <c r="L192" s="52"/>
      <c r="M192" s="52"/>
      <c r="N192" s="52"/>
      <c r="O192" s="52"/>
      <c r="P192" s="52"/>
      <c r="Q192" s="52"/>
      <c r="R192" s="52"/>
      <c r="S192" s="52"/>
      <c r="T192" s="52"/>
      <c r="U192" s="52"/>
      <c r="V192" s="52"/>
      <c r="W192" s="52"/>
      <c r="X192" s="52"/>
      <c r="Y192" s="52"/>
      <c r="Z192" s="52"/>
    </row>
    <row r="193">
      <c r="A193" s="59"/>
      <c r="B193" s="34"/>
      <c r="C193" s="52"/>
      <c r="D193" s="52"/>
      <c r="E193" s="52"/>
      <c r="F193" s="52"/>
      <c r="G193" s="52"/>
      <c r="H193" s="52"/>
      <c r="I193" s="52"/>
      <c r="J193" s="52"/>
      <c r="K193" s="52"/>
      <c r="L193" s="52"/>
      <c r="M193" s="52"/>
      <c r="N193" s="52"/>
      <c r="O193" s="52"/>
      <c r="P193" s="52"/>
      <c r="Q193" s="52"/>
      <c r="R193" s="52"/>
      <c r="S193" s="52"/>
      <c r="T193" s="52"/>
      <c r="U193" s="52"/>
      <c r="V193" s="52"/>
      <c r="W193" s="52"/>
      <c r="X193" s="52"/>
      <c r="Y193" s="52"/>
      <c r="Z193" s="52"/>
    </row>
    <row r="194">
      <c r="A194" s="59"/>
      <c r="B194" s="34"/>
      <c r="C194" s="52"/>
      <c r="D194" s="52"/>
      <c r="E194" s="52"/>
      <c r="F194" s="52"/>
      <c r="G194" s="52"/>
      <c r="H194" s="52"/>
      <c r="I194" s="52"/>
      <c r="J194" s="52"/>
      <c r="K194" s="52"/>
      <c r="L194" s="52"/>
      <c r="M194" s="52"/>
      <c r="N194" s="52"/>
      <c r="O194" s="52"/>
      <c r="P194" s="52"/>
      <c r="Q194" s="52"/>
      <c r="R194" s="52"/>
      <c r="S194" s="52"/>
      <c r="T194" s="52"/>
      <c r="U194" s="52"/>
      <c r="V194" s="52"/>
      <c r="W194" s="52"/>
      <c r="X194" s="52"/>
      <c r="Y194" s="52"/>
      <c r="Z194" s="52"/>
    </row>
    <row r="195">
      <c r="A195" s="59"/>
      <c r="B195" s="34"/>
      <c r="C195" s="52"/>
      <c r="D195" s="52"/>
      <c r="E195" s="52"/>
      <c r="F195" s="52"/>
      <c r="G195" s="52"/>
      <c r="H195" s="52"/>
      <c r="I195" s="52"/>
      <c r="J195" s="52"/>
      <c r="K195" s="52"/>
      <c r="L195" s="52"/>
      <c r="M195" s="52"/>
      <c r="N195" s="52"/>
      <c r="O195" s="52"/>
      <c r="P195" s="52"/>
      <c r="Q195" s="52"/>
      <c r="R195" s="52"/>
      <c r="S195" s="52"/>
      <c r="T195" s="52"/>
      <c r="U195" s="52"/>
      <c r="V195" s="52"/>
      <c r="W195" s="52"/>
      <c r="X195" s="52"/>
      <c r="Y195" s="52"/>
      <c r="Z195" s="52"/>
    </row>
    <row r="196">
      <c r="A196" s="59"/>
      <c r="B196" s="34"/>
      <c r="C196" s="52"/>
      <c r="D196" s="52"/>
      <c r="E196" s="52"/>
      <c r="F196" s="52"/>
      <c r="G196" s="52"/>
      <c r="H196" s="52"/>
      <c r="I196" s="52"/>
      <c r="J196" s="52"/>
      <c r="K196" s="52"/>
      <c r="L196" s="52"/>
      <c r="M196" s="52"/>
      <c r="N196" s="52"/>
      <c r="O196" s="52"/>
      <c r="P196" s="52"/>
      <c r="Q196" s="52"/>
      <c r="R196" s="52"/>
      <c r="S196" s="52"/>
      <c r="T196" s="52"/>
      <c r="U196" s="52"/>
      <c r="V196" s="52"/>
      <c r="W196" s="52"/>
      <c r="X196" s="52"/>
      <c r="Y196" s="52"/>
      <c r="Z196" s="52"/>
    </row>
    <row r="197">
      <c r="A197" s="59"/>
      <c r="B197" s="34"/>
      <c r="C197" s="52"/>
      <c r="D197" s="52"/>
      <c r="E197" s="52"/>
      <c r="F197" s="52"/>
      <c r="G197" s="52"/>
      <c r="H197" s="52"/>
      <c r="I197" s="52"/>
      <c r="J197" s="52"/>
      <c r="K197" s="52"/>
      <c r="L197" s="52"/>
      <c r="M197" s="52"/>
      <c r="N197" s="52"/>
      <c r="O197" s="52"/>
      <c r="P197" s="52"/>
      <c r="Q197" s="52"/>
      <c r="R197" s="52"/>
      <c r="S197" s="52"/>
      <c r="T197" s="52"/>
      <c r="U197" s="52"/>
      <c r="V197" s="52"/>
      <c r="W197" s="52"/>
      <c r="X197" s="52"/>
      <c r="Y197" s="52"/>
      <c r="Z197" s="52"/>
    </row>
    <row r="198">
      <c r="A198" s="59"/>
      <c r="B198" s="34"/>
      <c r="C198" s="52"/>
      <c r="D198" s="52"/>
      <c r="E198" s="52"/>
      <c r="F198" s="52"/>
      <c r="G198" s="52"/>
      <c r="H198" s="52"/>
      <c r="I198" s="52"/>
      <c r="J198" s="52"/>
      <c r="K198" s="52"/>
      <c r="L198" s="52"/>
      <c r="M198" s="52"/>
      <c r="N198" s="52"/>
      <c r="O198" s="52"/>
      <c r="P198" s="52"/>
      <c r="Q198" s="52"/>
      <c r="R198" s="52"/>
      <c r="S198" s="52"/>
      <c r="T198" s="52"/>
      <c r="U198" s="52"/>
      <c r="V198" s="52"/>
      <c r="W198" s="52"/>
      <c r="X198" s="52"/>
      <c r="Y198" s="52"/>
      <c r="Z198" s="52"/>
    </row>
    <row r="199">
      <c r="A199" s="59"/>
      <c r="B199" s="34"/>
      <c r="C199" s="52"/>
      <c r="D199" s="52"/>
      <c r="E199" s="52"/>
      <c r="F199" s="52"/>
      <c r="G199" s="52"/>
      <c r="H199" s="52"/>
      <c r="I199" s="52"/>
      <c r="J199" s="52"/>
      <c r="K199" s="52"/>
      <c r="L199" s="52"/>
      <c r="M199" s="52"/>
      <c r="N199" s="52"/>
      <c r="O199" s="52"/>
      <c r="P199" s="52"/>
      <c r="Q199" s="52"/>
      <c r="R199" s="52"/>
      <c r="S199" s="52"/>
      <c r="T199" s="52"/>
      <c r="U199" s="52"/>
      <c r="V199" s="52"/>
      <c r="W199" s="52"/>
      <c r="X199" s="52"/>
      <c r="Y199" s="52"/>
      <c r="Z199" s="52"/>
    </row>
    <row r="200">
      <c r="A200" s="59"/>
      <c r="B200" s="34"/>
      <c r="C200" s="52"/>
      <c r="D200" s="52"/>
      <c r="E200" s="52"/>
      <c r="F200" s="52"/>
      <c r="G200" s="52"/>
      <c r="H200" s="52"/>
      <c r="I200" s="52"/>
      <c r="J200" s="52"/>
      <c r="K200" s="52"/>
      <c r="L200" s="52"/>
      <c r="M200" s="52"/>
      <c r="N200" s="52"/>
      <c r="O200" s="52"/>
      <c r="P200" s="52"/>
      <c r="Q200" s="52"/>
      <c r="R200" s="52"/>
      <c r="S200" s="52"/>
      <c r="T200" s="52"/>
      <c r="U200" s="52"/>
      <c r="V200" s="52"/>
      <c r="W200" s="52"/>
      <c r="X200" s="52"/>
      <c r="Y200" s="52"/>
      <c r="Z200" s="52"/>
    </row>
    <row r="201">
      <c r="A201" s="59"/>
      <c r="B201" s="34"/>
      <c r="C201" s="52"/>
      <c r="D201" s="52"/>
      <c r="E201" s="52"/>
      <c r="F201" s="52"/>
      <c r="G201" s="52"/>
      <c r="H201" s="52"/>
      <c r="I201" s="52"/>
      <c r="J201" s="52"/>
      <c r="K201" s="52"/>
      <c r="L201" s="52"/>
      <c r="M201" s="52"/>
      <c r="N201" s="52"/>
      <c r="O201" s="52"/>
      <c r="P201" s="52"/>
      <c r="Q201" s="52"/>
      <c r="R201" s="52"/>
      <c r="S201" s="52"/>
      <c r="T201" s="52"/>
      <c r="U201" s="52"/>
      <c r="V201" s="52"/>
      <c r="W201" s="52"/>
      <c r="X201" s="52"/>
      <c r="Y201" s="52"/>
      <c r="Z201" s="52"/>
    </row>
    <row r="202">
      <c r="A202" s="59"/>
      <c r="B202" s="34"/>
      <c r="C202" s="52"/>
      <c r="D202" s="52"/>
      <c r="E202" s="52"/>
      <c r="F202" s="52"/>
      <c r="G202" s="52"/>
      <c r="H202" s="52"/>
      <c r="I202" s="52"/>
      <c r="J202" s="52"/>
      <c r="K202" s="52"/>
      <c r="L202" s="52"/>
      <c r="M202" s="52"/>
      <c r="N202" s="52"/>
      <c r="O202" s="52"/>
      <c r="P202" s="52"/>
      <c r="Q202" s="52"/>
      <c r="R202" s="52"/>
      <c r="S202" s="52"/>
      <c r="T202" s="52"/>
      <c r="U202" s="52"/>
      <c r="V202" s="52"/>
      <c r="W202" s="52"/>
      <c r="X202" s="52"/>
      <c r="Y202" s="52"/>
      <c r="Z202" s="52"/>
    </row>
    <row r="203">
      <c r="A203" s="59"/>
      <c r="B203" s="34"/>
      <c r="C203" s="52"/>
      <c r="D203" s="52"/>
      <c r="E203" s="52"/>
      <c r="F203" s="52"/>
      <c r="G203" s="52"/>
      <c r="H203" s="52"/>
      <c r="I203" s="52"/>
      <c r="J203" s="52"/>
      <c r="K203" s="52"/>
      <c r="L203" s="52"/>
      <c r="M203" s="52"/>
      <c r="N203" s="52"/>
      <c r="O203" s="52"/>
      <c r="P203" s="52"/>
      <c r="Q203" s="52"/>
      <c r="R203" s="52"/>
      <c r="S203" s="52"/>
      <c r="T203" s="52"/>
      <c r="U203" s="52"/>
      <c r="V203" s="52"/>
      <c r="W203" s="52"/>
      <c r="X203" s="52"/>
      <c r="Y203" s="52"/>
      <c r="Z203" s="52"/>
    </row>
    <row r="204">
      <c r="A204" s="59"/>
      <c r="B204" s="34"/>
      <c r="C204" s="52"/>
      <c r="D204" s="52"/>
      <c r="E204" s="52"/>
      <c r="F204" s="52"/>
      <c r="G204" s="52"/>
      <c r="H204" s="52"/>
      <c r="I204" s="52"/>
      <c r="J204" s="52"/>
      <c r="K204" s="52"/>
      <c r="L204" s="52"/>
      <c r="M204" s="52"/>
      <c r="N204" s="52"/>
      <c r="O204" s="52"/>
      <c r="P204" s="52"/>
      <c r="Q204" s="52"/>
      <c r="R204" s="52"/>
      <c r="S204" s="52"/>
      <c r="T204" s="52"/>
      <c r="U204" s="52"/>
      <c r="V204" s="52"/>
      <c r="W204" s="52"/>
      <c r="X204" s="52"/>
      <c r="Y204" s="52"/>
      <c r="Z204" s="52"/>
    </row>
    <row r="205">
      <c r="A205" s="59"/>
      <c r="B205" s="34"/>
      <c r="C205" s="52"/>
      <c r="D205" s="52"/>
      <c r="E205" s="52"/>
      <c r="F205" s="52"/>
      <c r="G205" s="52"/>
      <c r="H205" s="52"/>
      <c r="I205" s="52"/>
      <c r="J205" s="52"/>
      <c r="K205" s="52"/>
      <c r="L205" s="52"/>
      <c r="M205" s="52"/>
      <c r="N205" s="52"/>
      <c r="O205" s="52"/>
      <c r="P205" s="52"/>
      <c r="Q205" s="52"/>
      <c r="R205" s="52"/>
      <c r="S205" s="52"/>
      <c r="T205" s="52"/>
      <c r="U205" s="52"/>
      <c r="V205" s="52"/>
      <c r="W205" s="52"/>
      <c r="X205" s="52"/>
      <c r="Y205" s="52"/>
      <c r="Z205" s="52"/>
    </row>
    <row r="206">
      <c r="A206" s="59"/>
      <c r="B206" s="34"/>
      <c r="C206" s="52"/>
      <c r="D206" s="52"/>
      <c r="E206" s="52"/>
      <c r="F206" s="52"/>
      <c r="G206" s="52"/>
      <c r="H206" s="52"/>
      <c r="I206" s="52"/>
      <c r="J206" s="52"/>
      <c r="K206" s="52"/>
      <c r="L206" s="52"/>
      <c r="M206" s="52"/>
      <c r="N206" s="52"/>
      <c r="O206" s="52"/>
      <c r="P206" s="52"/>
      <c r="Q206" s="52"/>
      <c r="R206" s="52"/>
      <c r="S206" s="52"/>
      <c r="T206" s="52"/>
      <c r="U206" s="52"/>
      <c r="V206" s="52"/>
      <c r="W206" s="52"/>
      <c r="X206" s="52"/>
      <c r="Y206" s="52"/>
      <c r="Z206" s="52"/>
    </row>
    <row r="207">
      <c r="A207" s="59"/>
      <c r="B207" s="34"/>
      <c r="C207" s="52"/>
      <c r="D207" s="52"/>
      <c r="E207" s="52"/>
      <c r="F207" s="52"/>
      <c r="G207" s="52"/>
      <c r="H207" s="52"/>
      <c r="I207" s="52"/>
      <c r="J207" s="52"/>
      <c r="K207" s="52"/>
      <c r="L207" s="52"/>
      <c r="M207" s="52"/>
      <c r="N207" s="52"/>
      <c r="O207" s="52"/>
      <c r="P207" s="52"/>
      <c r="Q207" s="52"/>
      <c r="R207" s="52"/>
      <c r="S207" s="52"/>
      <c r="T207" s="52"/>
      <c r="U207" s="52"/>
      <c r="V207" s="52"/>
      <c r="W207" s="52"/>
      <c r="X207" s="52"/>
      <c r="Y207" s="52"/>
      <c r="Z207" s="52"/>
    </row>
    <row r="208">
      <c r="A208" s="59"/>
      <c r="B208" s="34"/>
      <c r="C208" s="52"/>
      <c r="D208" s="52"/>
      <c r="E208" s="52"/>
      <c r="F208" s="52"/>
      <c r="G208" s="52"/>
      <c r="H208" s="52"/>
      <c r="I208" s="52"/>
      <c r="J208" s="52"/>
      <c r="K208" s="52"/>
      <c r="L208" s="52"/>
      <c r="M208" s="52"/>
      <c r="N208" s="52"/>
      <c r="O208" s="52"/>
      <c r="P208" s="52"/>
      <c r="Q208" s="52"/>
      <c r="R208" s="52"/>
      <c r="S208" s="52"/>
      <c r="T208" s="52"/>
      <c r="U208" s="52"/>
      <c r="V208" s="52"/>
      <c r="W208" s="52"/>
      <c r="X208" s="52"/>
      <c r="Y208" s="52"/>
      <c r="Z208" s="52"/>
    </row>
    <row r="209">
      <c r="A209" s="59"/>
      <c r="B209" s="34"/>
      <c r="C209" s="52"/>
      <c r="D209" s="52"/>
      <c r="E209" s="52"/>
      <c r="F209" s="52"/>
      <c r="G209" s="52"/>
      <c r="H209" s="52"/>
      <c r="I209" s="52"/>
      <c r="J209" s="52"/>
      <c r="K209" s="52"/>
      <c r="L209" s="52"/>
      <c r="M209" s="52"/>
      <c r="N209" s="52"/>
      <c r="O209" s="52"/>
      <c r="P209" s="52"/>
      <c r="Q209" s="52"/>
      <c r="R209" s="52"/>
      <c r="S209" s="52"/>
      <c r="T209" s="52"/>
      <c r="U209" s="52"/>
      <c r="V209" s="52"/>
      <c r="W209" s="52"/>
      <c r="X209" s="52"/>
      <c r="Y209" s="52"/>
      <c r="Z209" s="52"/>
    </row>
    <row r="210">
      <c r="A210" s="59"/>
      <c r="B210" s="34"/>
      <c r="C210" s="52"/>
      <c r="D210" s="52"/>
      <c r="E210" s="52"/>
      <c r="F210" s="52"/>
      <c r="G210" s="52"/>
      <c r="H210" s="52"/>
      <c r="I210" s="52"/>
      <c r="J210" s="52"/>
      <c r="K210" s="52"/>
      <c r="L210" s="52"/>
      <c r="M210" s="52"/>
      <c r="N210" s="52"/>
      <c r="O210" s="52"/>
      <c r="P210" s="52"/>
      <c r="Q210" s="52"/>
      <c r="R210" s="52"/>
      <c r="S210" s="52"/>
      <c r="T210" s="52"/>
      <c r="U210" s="52"/>
      <c r="V210" s="52"/>
      <c r="W210" s="52"/>
      <c r="X210" s="52"/>
      <c r="Y210" s="52"/>
      <c r="Z210" s="52"/>
    </row>
    <row r="211">
      <c r="A211" s="59"/>
      <c r="B211" s="34"/>
      <c r="C211" s="52"/>
      <c r="D211" s="52"/>
      <c r="E211" s="52"/>
      <c r="F211" s="52"/>
      <c r="G211" s="52"/>
      <c r="H211" s="52"/>
      <c r="I211" s="52"/>
      <c r="J211" s="52"/>
      <c r="K211" s="52"/>
      <c r="L211" s="52"/>
      <c r="M211" s="52"/>
      <c r="N211" s="52"/>
      <c r="O211" s="52"/>
      <c r="P211" s="52"/>
      <c r="Q211" s="52"/>
      <c r="R211" s="52"/>
      <c r="S211" s="52"/>
      <c r="T211" s="52"/>
      <c r="U211" s="52"/>
      <c r="V211" s="52"/>
      <c r="W211" s="52"/>
      <c r="X211" s="52"/>
      <c r="Y211" s="52"/>
      <c r="Z211" s="52"/>
    </row>
    <row r="212">
      <c r="A212" s="59"/>
      <c r="B212" s="34"/>
      <c r="C212" s="52"/>
      <c r="D212" s="52"/>
      <c r="E212" s="52"/>
      <c r="F212" s="52"/>
      <c r="G212" s="52"/>
      <c r="H212" s="52"/>
      <c r="I212" s="52"/>
      <c r="J212" s="52"/>
      <c r="K212" s="52"/>
      <c r="L212" s="52"/>
      <c r="M212" s="52"/>
      <c r="N212" s="52"/>
      <c r="O212" s="52"/>
      <c r="P212" s="52"/>
      <c r="Q212" s="52"/>
      <c r="R212" s="52"/>
      <c r="S212" s="52"/>
      <c r="T212" s="52"/>
      <c r="U212" s="52"/>
      <c r="V212" s="52"/>
      <c r="W212" s="52"/>
      <c r="X212" s="52"/>
      <c r="Y212" s="52"/>
      <c r="Z212" s="52"/>
    </row>
    <row r="213">
      <c r="A213" s="59"/>
      <c r="B213" s="34"/>
      <c r="C213" s="52"/>
      <c r="D213" s="52"/>
      <c r="E213" s="52"/>
      <c r="F213" s="52"/>
      <c r="G213" s="52"/>
      <c r="H213" s="52"/>
      <c r="I213" s="52"/>
      <c r="J213" s="52"/>
      <c r="K213" s="52"/>
      <c r="L213" s="52"/>
      <c r="M213" s="52"/>
      <c r="N213" s="52"/>
      <c r="O213" s="52"/>
      <c r="P213" s="52"/>
      <c r="Q213" s="52"/>
      <c r="R213" s="52"/>
      <c r="S213" s="52"/>
      <c r="T213" s="52"/>
      <c r="U213" s="52"/>
      <c r="V213" s="52"/>
      <c r="W213" s="52"/>
      <c r="X213" s="52"/>
      <c r="Y213" s="52"/>
      <c r="Z213" s="52"/>
    </row>
    <row r="214">
      <c r="A214" s="59"/>
      <c r="B214" s="34"/>
      <c r="C214" s="52"/>
      <c r="D214" s="52"/>
      <c r="E214" s="52"/>
      <c r="F214" s="52"/>
      <c r="G214" s="52"/>
      <c r="H214" s="52"/>
      <c r="I214" s="52"/>
      <c r="J214" s="52"/>
      <c r="K214" s="52"/>
      <c r="L214" s="52"/>
      <c r="M214" s="52"/>
      <c r="N214" s="52"/>
      <c r="O214" s="52"/>
      <c r="P214" s="52"/>
      <c r="Q214" s="52"/>
      <c r="R214" s="52"/>
      <c r="S214" s="52"/>
      <c r="T214" s="52"/>
      <c r="U214" s="52"/>
      <c r="V214" s="52"/>
      <c r="W214" s="52"/>
      <c r="X214" s="52"/>
      <c r="Y214" s="52"/>
      <c r="Z214" s="52"/>
    </row>
    <row r="215">
      <c r="A215" s="59"/>
      <c r="B215" s="34"/>
      <c r="C215" s="52"/>
      <c r="D215" s="52"/>
      <c r="E215" s="52"/>
      <c r="F215" s="52"/>
      <c r="G215" s="52"/>
      <c r="H215" s="52"/>
      <c r="I215" s="52"/>
      <c r="J215" s="52"/>
      <c r="K215" s="52"/>
      <c r="L215" s="52"/>
      <c r="M215" s="52"/>
      <c r="N215" s="52"/>
      <c r="O215" s="52"/>
      <c r="P215" s="52"/>
      <c r="Q215" s="52"/>
      <c r="R215" s="52"/>
      <c r="S215" s="52"/>
      <c r="T215" s="52"/>
      <c r="U215" s="52"/>
      <c r="V215" s="52"/>
      <c r="W215" s="52"/>
      <c r="X215" s="52"/>
      <c r="Y215" s="52"/>
      <c r="Z215" s="52"/>
    </row>
    <row r="216">
      <c r="A216" s="59"/>
      <c r="B216" s="34"/>
      <c r="C216" s="52"/>
      <c r="D216" s="52"/>
      <c r="E216" s="52"/>
      <c r="F216" s="52"/>
      <c r="G216" s="52"/>
      <c r="H216" s="52"/>
      <c r="I216" s="52"/>
      <c r="J216" s="52"/>
      <c r="K216" s="52"/>
      <c r="L216" s="52"/>
      <c r="M216" s="52"/>
      <c r="N216" s="52"/>
      <c r="O216" s="52"/>
      <c r="P216" s="52"/>
      <c r="Q216" s="52"/>
      <c r="R216" s="52"/>
      <c r="S216" s="52"/>
      <c r="T216" s="52"/>
      <c r="U216" s="52"/>
      <c r="V216" s="52"/>
      <c r="W216" s="52"/>
      <c r="X216" s="52"/>
      <c r="Y216" s="52"/>
      <c r="Z216" s="52"/>
    </row>
    <row r="217">
      <c r="A217" s="59"/>
      <c r="B217" s="34"/>
      <c r="C217" s="52"/>
      <c r="D217" s="52"/>
      <c r="E217" s="52"/>
      <c r="F217" s="52"/>
      <c r="G217" s="52"/>
      <c r="H217" s="52"/>
      <c r="I217" s="52"/>
      <c r="J217" s="52"/>
      <c r="K217" s="52"/>
      <c r="L217" s="52"/>
      <c r="M217" s="52"/>
      <c r="N217" s="52"/>
      <c r="O217" s="52"/>
      <c r="P217" s="52"/>
      <c r="Q217" s="52"/>
      <c r="R217" s="52"/>
      <c r="S217" s="52"/>
      <c r="T217" s="52"/>
      <c r="U217" s="52"/>
      <c r="V217" s="52"/>
      <c r="W217" s="52"/>
      <c r="X217" s="52"/>
      <c r="Y217" s="52"/>
      <c r="Z217" s="52"/>
    </row>
    <row r="218">
      <c r="A218" s="59"/>
      <c r="B218" s="34"/>
      <c r="C218" s="52"/>
      <c r="D218" s="52"/>
      <c r="E218" s="52"/>
      <c r="F218" s="52"/>
      <c r="G218" s="52"/>
      <c r="H218" s="52"/>
      <c r="I218" s="52"/>
      <c r="J218" s="52"/>
      <c r="K218" s="52"/>
      <c r="L218" s="52"/>
      <c r="M218" s="52"/>
      <c r="N218" s="52"/>
      <c r="O218" s="52"/>
      <c r="P218" s="52"/>
      <c r="Q218" s="52"/>
      <c r="R218" s="52"/>
      <c r="S218" s="52"/>
      <c r="T218" s="52"/>
      <c r="U218" s="52"/>
      <c r="V218" s="52"/>
      <c r="W218" s="52"/>
      <c r="X218" s="52"/>
      <c r="Y218" s="52"/>
      <c r="Z218" s="52"/>
    </row>
    <row r="219">
      <c r="A219" s="59"/>
      <c r="B219" s="34"/>
      <c r="C219" s="52"/>
      <c r="D219" s="52"/>
      <c r="E219" s="52"/>
      <c r="F219" s="52"/>
      <c r="G219" s="52"/>
      <c r="H219" s="52"/>
      <c r="I219" s="52"/>
      <c r="J219" s="52"/>
      <c r="K219" s="52"/>
      <c r="L219" s="52"/>
      <c r="M219" s="52"/>
      <c r="N219" s="52"/>
      <c r="O219" s="52"/>
      <c r="P219" s="52"/>
      <c r="Q219" s="52"/>
      <c r="R219" s="52"/>
      <c r="S219" s="52"/>
      <c r="T219" s="52"/>
      <c r="U219" s="52"/>
      <c r="V219" s="52"/>
      <c r="W219" s="52"/>
      <c r="X219" s="52"/>
      <c r="Y219" s="52"/>
      <c r="Z219" s="52"/>
    </row>
    <row r="220">
      <c r="A220" s="59"/>
      <c r="B220" s="34"/>
      <c r="C220" s="52"/>
      <c r="D220" s="52"/>
      <c r="E220" s="52"/>
      <c r="F220" s="52"/>
      <c r="G220" s="52"/>
      <c r="H220" s="52"/>
      <c r="I220" s="52"/>
      <c r="J220" s="52"/>
      <c r="K220" s="52"/>
      <c r="L220" s="52"/>
      <c r="M220" s="52"/>
      <c r="N220" s="52"/>
      <c r="O220" s="52"/>
      <c r="P220" s="52"/>
      <c r="Q220" s="52"/>
      <c r="R220" s="52"/>
      <c r="S220" s="52"/>
      <c r="T220" s="52"/>
      <c r="U220" s="52"/>
      <c r="V220" s="52"/>
      <c r="W220" s="52"/>
      <c r="X220" s="52"/>
      <c r="Y220" s="52"/>
      <c r="Z220" s="52"/>
    </row>
    <row r="221">
      <c r="A221" s="59"/>
      <c r="B221" s="34"/>
      <c r="C221" s="52"/>
      <c r="D221" s="52"/>
      <c r="E221" s="52"/>
      <c r="F221" s="52"/>
      <c r="G221" s="52"/>
      <c r="H221" s="52"/>
      <c r="I221" s="52"/>
      <c r="J221" s="52"/>
      <c r="K221" s="52"/>
      <c r="L221" s="52"/>
      <c r="M221" s="52"/>
      <c r="N221" s="52"/>
      <c r="O221" s="52"/>
      <c r="P221" s="52"/>
      <c r="Q221" s="52"/>
      <c r="R221" s="52"/>
      <c r="S221" s="52"/>
      <c r="T221" s="52"/>
      <c r="U221" s="52"/>
      <c r="V221" s="52"/>
      <c r="W221" s="52"/>
      <c r="X221" s="52"/>
      <c r="Y221" s="52"/>
      <c r="Z221" s="52"/>
    </row>
    <row r="222">
      <c r="A222" s="59"/>
      <c r="B222" s="34"/>
      <c r="C222" s="52"/>
      <c r="D222" s="52"/>
      <c r="E222" s="52"/>
      <c r="F222" s="52"/>
      <c r="G222" s="52"/>
      <c r="H222" s="52"/>
      <c r="I222" s="52"/>
      <c r="J222" s="52"/>
      <c r="K222" s="52"/>
      <c r="L222" s="52"/>
      <c r="M222" s="52"/>
      <c r="N222" s="52"/>
      <c r="O222" s="52"/>
      <c r="P222" s="52"/>
      <c r="Q222" s="52"/>
      <c r="R222" s="52"/>
      <c r="S222" s="52"/>
      <c r="T222" s="52"/>
      <c r="U222" s="52"/>
      <c r="V222" s="52"/>
      <c r="W222" s="52"/>
      <c r="X222" s="52"/>
      <c r="Y222" s="52"/>
      <c r="Z222" s="52"/>
    </row>
    <row r="223">
      <c r="A223" s="59"/>
      <c r="B223" s="34"/>
      <c r="C223" s="52"/>
      <c r="D223" s="52"/>
      <c r="E223" s="52"/>
      <c r="F223" s="52"/>
      <c r="G223" s="52"/>
      <c r="H223" s="52"/>
      <c r="I223" s="52"/>
      <c r="J223" s="52"/>
      <c r="K223" s="52"/>
      <c r="L223" s="52"/>
      <c r="M223" s="52"/>
      <c r="N223" s="52"/>
      <c r="O223" s="52"/>
      <c r="P223" s="52"/>
      <c r="Q223" s="52"/>
      <c r="R223" s="52"/>
      <c r="S223" s="52"/>
      <c r="T223" s="52"/>
      <c r="U223" s="52"/>
      <c r="V223" s="52"/>
      <c r="W223" s="52"/>
      <c r="X223" s="52"/>
      <c r="Y223" s="52"/>
      <c r="Z223" s="52"/>
    </row>
    <row r="224">
      <c r="A224" s="59"/>
      <c r="B224" s="34"/>
      <c r="C224" s="52"/>
      <c r="D224" s="52"/>
      <c r="E224" s="52"/>
      <c r="F224" s="52"/>
      <c r="G224" s="52"/>
      <c r="H224" s="52"/>
      <c r="I224" s="52"/>
      <c r="J224" s="52"/>
      <c r="K224" s="52"/>
      <c r="L224" s="52"/>
      <c r="M224" s="52"/>
      <c r="N224" s="52"/>
      <c r="O224" s="52"/>
      <c r="P224" s="52"/>
      <c r="Q224" s="52"/>
      <c r="R224" s="52"/>
      <c r="S224" s="52"/>
      <c r="T224" s="52"/>
      <c r="U224" s="52"/>
      <c r="V224" s="52"/>
      <c r="W224" s="52"/>
      <c r="X224" s="52"/>
      <c r="Y224" s="52"/>
      <c r="Z224" s="52"/>
    </row>
    <row r="225">
      <c r="A225" s="59"/>
      <c r="B225" s="34"/>
      <c r="C225" s="52"/>
      <c r="D225" s="52"/>
      <c r="E225" s="52"/>
      <c r="F225" s="52"/>
      <c r="G225" s="52"/>
      <c r="H225" s="52"/>
      <c r="I225" s="52"/>
      <c r="J225" s="52"/>
      <c r="K225" s="52"/>
      <c r="L225" s="52"/>
      <c r="M225" s="52"/>
      <c r="N225" s="52"/>
      <c r="O225" s="52"/>
      <c r="P225" s="52"/>
      <c r="Q225" s="52"/>
      <c r="R225" s="52"/>
      <c r="S225" s="52"/>
      <c r="T225" s="52"/>
      <c r="U225" s="52"/>
      <c r="V225" s="52"/>
      <c r="W225" s="52"/>
      <c r="X225" s="52"/>
      <c r="Y225" s="52"/>
      <c r="Z225" s="52"/>
    </row>
    <row r="226">
      <c r="A226" s="59"/>
      <c r="B226" s="34"/>
      <c r="C226" s="52"/>
      <c r="D226" s="52"/>
      <c r="E226" s="52"/>
      <c r="F226" s="52"/>
      <c r="G226" s="52"/>
      <c r="H226" s="52"/>
      <c r="I226" s="52"/>
      <c r="J226" s="52"/>
      <c r="K226" s="52"/>
      <c r="L226" s="52"/>
      <c r="M226" s="52"/>
      <c r="N226" s="52"/>
      <c r="O226" s="52"/>
      <c r="P226" s="52"/>
      <c r="Q226" s="52"/>
      <c r="R226" s="52"/>
      <c r="S226" s="52"/>
      <c r="T226" s="52"/>
      <c r="U226" s="52"/>
      <c r="V226" s="52"/>
      <c r="W226" s="52"/>
      <c r="X226" s="52"/>
      <c r="Y226" s="52"/>
      <c r="Z226" s="52"/>
    </row>
    <row r="227">
      <c r="A227" s="59"/>
      <c r="B227" s="34"/>
      <c r="C227" s="52"/>
      <c r="D227" s="52"/>
      <c r="E227" s="52"/>
      <c r="F227" s="52"/>
      <c r="G227" s="52"/>
      <c r="H227" s="52"/>
      <c r="I227" s="52"/>
      <c r="J227" s="52"/>
      <c r="K227" s="52"/>
      <c r="L227" s="52"/>
      <c r="M227" s="52"/>
      <c r="N227" s="52"/>
      <c r="O227" s="52"/>
      <c r="P227" s="52"/>
      <c r="Q227" s="52"/>
      <c r="R227" s="52"/>
      <c r="S227" s="52"/>
      <c r="T227" s="52"/>
      <c r="U227" s="52"/>
      <c r="V227" s="52"/>
      <c r="W227" s="52"/>
      <c r="X227" s="52"/>
      <c r="Y227" s="52"/>
      <c r="Z227" s="52"/>
    </row>
    <row r="228">
      <c r="A228" s="59"/>
      <c r="B228" s="34"/>
      <c r="C228" s="52"/>
      <c r="D228" s="52"/>
      <c r="E228" s="52"/>
      <c r="F228" s="52"/>
      <c r="G228" s="52"/>
      <c r="H228" s="52"/>
      <c r="I228" s="52"/>
      <c r="J228" s="52"/>
      <c r="K228" s="52"/>
      <c r="L228" s="52"/>
      <c r="M228" s="52"/>
      <c r="N228" s="52"/>
      <c r="O228" s="52"/>
      <c r="P228" s="52"/>
      <c r="Q228" s="52"/>
      <c r="R228" s="52"/>
      <c r="S228" s="52"/>
      <c r="T228" s="52"/>
      <c r="U228" s="52"/>
      <c r="V228" s="52"/>
      <c r="W228" s="52"/>
      <c r="X228" s="52"/>
      <c r="Y228" s="52"/>
      <c r="Z228" s="52"/>
    </row>
    <row r="229">
      <c r="A229" s="59"/>
      <c r="B229" s="34"/>
      <c r="C229" s="52"/>
      <c r="D229" s="52"/>
      <c r="E229" s="52"/>
      <c r="F229" s="52"/>
      <c r="G229" s="52"/>
      <c r="H229" s="52"/>
      <c r="I229" s="52"/>
      <c r="J229" s="52"/>
      <c r="K229" s="52"/>
      <c r="L229" s="52"/>
      <c r="M229" s="52"/>
      <c r="N229" s="52"/>
      <c r="O229" s="52"/>
      <c r="P229" s="52"/>
      <c r="Q229" s="52"/>
      <c r="R229" s="52"/>
      <c r="S229" s="52"/>
      <c r="T229" s="52"/>
      <c r="U229" s="52"/>
      <c r="V229" s="52"/>
      <c r="W229" s="52"/>
      <c r="X229" s="52"/>
      <c r="Y229" s="52"/>
      <c r="Z229" s="52"/>
    </row>
    <row r="230">
      <c r="A230" s="59"/>
      <c r="B230" s="34"/>
      <c r="C230" s="52"/>
      <c r="D230" s="52"/>
      <c r="E230" s="52"/>
      <c r="F230" s="52"/>
      <c r="G230" s="52"/>
      <c r="H230" s="52"/>
      <c r="I230" s="52"/>
      <c r="J230" s="52"/>
      <c r="K230" s="52"/>
      <c r="L230" s="52"/>
      <c r="M230" s="52"/>
      <c r="N230" s="52"/>
      <c r="O230" s="52"/>
      <c r="P230" s="52"/>
      <c r="Q230" s="52"/>
      <c r="R230" s="52"/>
      <c r="S230" s="52"/>
      <c r="T230" s="52"/>
      <c r="U230" s="52"/>
      <c r="V230" s="52"/>
      <c r="W230" s="52"/>
      <c r="X230" s="52"/>
      <c r="Y230" s="52"/>
      <c r="Z230" s="52"/>
    </row>
    <row r="231">
      <c r="A231" s="59"/>
      <c r="B231" s="34"/>
      <c r="C231" s="52"/>
      <c r="D231" s="52"/>
      <c r="E231" s="52"/>
      <c r="F231" s="52"/>
      <c r="G231" s="52"/>
      <c r="H231" s="52"/>
      <c r="I231" s="52"/>
      <c r="J231" s="52"/>
      <c r="K231" s="52"/>
      <c r="L231" s="52"/>
      <c r="M231" s="52"/>
      <c r="N231" s="52"/>
      <c r="O231" s="52"/>
      <c r="P231" s="52"/>
      <c r="Q231" s="52"/>
      <c r="R231" s="52"/>
      <c r="S231" s="52"/>
      <c r="T231" s="52"/>
      <c r="U231" s="52"/>
      <c r="V231" s="52"/>
      <c r="W231" s="52"/>
      <c r="X231" s="52"/>
      <c r="Y231" s="52"/>
      <c r="Z231" s="52"/>
    </row>
    <row r="232">
      <c r="A232" s="59"/>
      <c r="B232" s="34"/>
      <c r="C232" s="52"/>
      <c r="D232" s="52"/>
      <c r="E232" s="52"/>
      <c r="F232" s="52"/>
      <c r="G232" s="52"/>
      <c r="H232" s="52"/>
      <c r="I232" s="52"/>
      <c r="J232" s="52"/>
      <c r="K232" s="52"/>
      <c r="L232" s="52"/>
      <c r="M232" s="52"/>
      <c r="N232" s="52"/>
      <c r="O232" s="52"/>
      <c r="P232" s="52"/>
      <c r="Q232" s="52"/>
      <c r="R232" s="52"/>
      <c r="S232" s="52"/>
      <c r="T232" s="52"/>
      <c r="U232" s="52"/>
      <c r="V232" s="52"/>
      <c r="W232" s="52"/>
      <c r="X232" s="52"/>
      <c r="Y232" s="52"/>
      <c r="Z232" s="52"/>
    </row>
    <row r="233">
      <c r="A233" s="59"/>
      <c r="B233" s="34"/>
      <c r="C233" s="52"/>
      <c r="D233" s="52"/>
      <c r="E233" s="52"/>
      <c r="F233" s="52"/>
      <c r="G233" s="52"/>
      <c r="H233" s="52"/>
      <c r="I233" s="52"/>
      <c r="J233" s="52"/>
      <c r="K233" s="52"/>
      <c r="L233" s="52"/>
      <c r="M233" s="52"/>
      <c r="N233" s="52"/>
      <c r="O233" s="52"/>
      <c r="P233" s="52"/>
      <c r="Q233" s="52"/>
      <c r="R233" s="52"/>
      <c r="S233" s="52"/>
      <c r="T233" s="52"/>
      <c r="U233" s="52"/>
      <c r="V233" s="52"/>
      <c r="W233" s="52"/>
      <c r="X233" s="52"/>
      <c r="Y233" s="52"/>
      <c r="Z233" s="52"/>
    </row>
    <row r="234">
      <c r="A234" s="59"/>
      <c r="B234" s="34"/>
      <c r="C234" s="52"/>
      <c r="D234" s="52"/>
      <c r="E234" s="52"/>
      <c r="F234" s="52"/>
      <c r="G234" s="52"/>
      <c r="H234" s="52"/>
      <c r="I234" s="52"/>
      <c r="J234" s="52"/>
      <c r="K234" s="52"/>
      <c r="L234" s="52"/>
      <c r="M234" s="52"/>
      <c r="N234" s="52"/>
      <c r="O234" s="52"/>
      <c r="P234" s="52"/>
      <c r="Q234" s="52"/>
      <c r="R234" s="52"/>
      <c r="S234" s="52"/>
      <c r="T234" s="52"/>
      <c r="U234" s="52"/>
      <c r="V234" s="52"/>
      <c r="W234" s="52"/>
      <c r="X234" s="52"/>
      <c r="Y234" s="52"/>
      <c r="Z234" s="52"/>
    </row>
    <row r="235">
      <c r="A235" s="59"/>
      <c r="B235" s="34"/>
      <c r="C235" s="52"/>
      <c r="D235" s="52"/>
      <c r="E235" s="52"/>
      <c r="F235" s="52"/>
      <c r="G235" s="52"/>
      <c r="H235" s="52"/>
      <c r="I235" s="52"/>
      <c r="J235" s="52"/>
      <c r="K235" s="52"/>
      <c r="L235" s="52"/>
      <c r="M235" s="52"/>
      <c r="N235" s="52"/>
      <c r="O235" s="52"/>
      <c r="P235" s="52"/>
      <c r="Q235" s="52"/>
      <c r="R235" s="52"/>
      <c r="S235" s="52"/>
      <c r="T235" s="52"/>
      <c r="U235" s="52"/>
      <c r="V235" s="52"/>
      <c r="W235" s="52"/>
      <c r="X235" s="52"/>
      <c r="Y235" s="52"/>
      <c r="Z235" s="52"/>
    </row>
    <row r="236">
      <c r="A236" s="59"/>
      <c r="B236" s="34"/>
      <c r="C236" s="52"/>
      <c r="D236" s="52"/>
      <c r="E236" s="52"/>
      <c r="F236" s="52"/>
      <c r="G236" s="52"/>
      <c r="H236" s="52"/>
      <c r="I236" s="52"/>
      <c r="J236" s="52"/>
      <c r="K236" s="52"/>
      <c r="L236" s="52"/>
      <c r="M236" s="52"/>
      <c r="N236" s="52"/>
      <c r="O236" s="52"/>
      <c r="P236" s="52"/>
      <c r="Q236" s="52"/>
      <c r="R236" s="52"/>
      <c r="S236" s="52"/>
      <c r="T236" s="52"/>
      <c r="U236" s="52"/>
      <c r="V236" s="52"/>
      <c r="W236" s="52"/>
      <c r="X236" s="52"/>
      <c r="Y236" s="52"/>
      <c r="Z236" s="52"/>
    </row>
    <row r="237">
      <c r="A237" s="59"/>
      <c r="B237" s="34"/>
      <c r="C237" s="52"/>
      <c r="D237" s="52"/>
      <c r="E237" s="52"/>
      <c r="F237" s="52"/>
      <c r="G237" s="52"/>
      <c r="H237" s="52"/>
      <c r="I237" s="52"/>
      <c r="J237" s="52"/>
      <c r="K237" s="52"/>
      <c r="L237" s="52"/>
      <c r="M237" s="52"/>
      <c r="N237" s="52"/>
      <c r="O237" s="52"/>
      <c r="P237" s="52"/>
      <c r="Q237" s="52"/>
      <c r="R237" s="52"/>
      <c r="S237" s="52"/>
      <c r="T237" s="52"/>
      <c r="U237" s="52"/>
      <c r="V237" s="52"/>
      <c r="W237" s="52"/>
      <c r="X237" s="52"/>
      <c r="Y237" s="52"/>
      <c r="Z237" s="52"/>
    </row>
    <row r="238">
      <c r="A238" s="59"/>
      <c r="B238" s="34"/>
      <c r="C238" s="52"/>
      <c r="D238" s="52"/>
      <c r="E238" s="52"/>
      <c r="F238" s="52"/>
      <c r="G238" s="52"/>
      <c r="H238" s="52"/>
      <c r="I238" s="52"/>
      <c r="J238" s="52"/>
      <c r="K238" s="52"/>
      <c r="L238" s="52"/>
      <c r="M238" s="52"/>
      <c r="N238" s="52"/>
      <c r="O238" s="52"/>
      <c r="P238" s="52"/>
      <c r="Q238" s="52"/>
      <c r="R238" s="52"/>
      <c r="S238" s="52"/>
      <c r="T238" s="52"/>
      <c r="U238" s="52"/>
      <c r="V238" s="52"/>
      <c r="W238" s="52"/>
      <c r="X238" s="52"/>
      <c r="Y238" s="52"/>
      <c r="Z238" s="52"/>
    </row>
    <row r="239">
      <c r="A239" s="59"/>
      <c r="B239" s="34"/>
      <c r="C239" s="52"/>
      <c r="D239" s="52"/>
      <c r="E239" s="52"/>
      <c r="F239" s="52"/>
      <c r="G239" s="52"/>
      <c r="H239" s="52"/>
      <c r="I239" s="52"/>
      <c r="J239" s="52"/>
      <c r="K239" s="52"/>
      <c r="L239" s="52"/>
      <c r="M239" s="52"/>
      <c r="N239" s="52"/>
      <c r="O239" s="52"/>
      <c r="P239" s="52"/>
      <c r="Q239" s="52"/>
      <c r="R239" s="52"/>
      <c r="S239" s="52"/>
      <c r="T239" s="52"/>
      <c r="U239" s="52"/>
      <c r="V239" s="52"/>
      <c r="W239" s="52"/>
      <c r="X239" s="52"/>
      <c r="Y239" s="52"/>
      <c r="Z239" s="52"/>
    </row>
    <row r="240">
      <c r="A240" s="59"/>
      <c r="B240" s="34"/>
      <c r="C240" s="52"/>
      <c r="D240" s="52"/>
      <c r="E240" s="52"/>
      <c r="F240" s="52"/>
      <c r="G240" s="52"/>
      <c r="H240" s="52"/>
      <c r="I240" s="52"/>
      <c r="J240" s="52"/>
      <c r="K240" s="52"/>
      <c r="L240" s="52"/>
      <c r="M240" s="52"/>
      <c r="N240" s="52"/>
      <c r="O240" s="52"/>
      <c r="P240" s="52"/>
      <c r="Q240" s="52"/>
      <c r="R240" s="52"/>
      <c r="S240" s="52"/>
      <c r="T240" s="52"/>
      <c r="U240" s="52"/>
      <c r="V240" s="52"/>
      <c r="W240" s="52"/>
      <c r="X240" s="52"/>
      <c r="Y240" s="52"/>
      <c r="Z240" s="52"/>
    </row>
    <row r="241">
      <c r="A241" s="59"/>
      <c r="B241" s="34"/>
      <c r="C241" s="52"/>
      <c r="D241" s="52"/>
      <c r="E241" s="52"/>
      <c r="F241" s="52"/>
      <c r="G241" s="52"/>
      <c r="H241" s="52"/>
      <c r="I241" s="52"/>
      <c r="J241" s="52"/>
      <c r="K241" s="52"/>
      <c r="L241" s="52"/>
      <c r="M241" s="52"/>
      <c r="N241" s="52"/>
      <c r="O241" s="52"/>
      <c r="P241" s="52"/>
      <c r="Q241" s="52"/>
      <c r="R241" s="52"/>
      <c r="S241" s="52"/>
      <c r="T241" s="52"/>
      <c r="U241" s="52"/>
      <c r="V241" s="52"/>
      <c r="W241" s="52"/>
      <c r="X241" s="52"/>
      <c r="Y241" s="52"/>
      <c r="Z241" s="52"/>
    </row>
    <row r="242">
      <c r="A242" s="59"/>
      <c r="B242" s="34"/>
      <c r="C242" s="52"/>
      <c r="D242" s="52"/>
      <c r="E242" s="52"/>
      <c r="F242" s="52"/>
      <c r="G242" s="52"/>
      <c r="H242" s="52"/>
      <c r="I242" s="52"/>
      <c r="J242" s="52"/>
      <c r="K242" s="52"/>
      <c r="L242" s="52"/>
      <c r="M242" s="52"/>
      <c r="N242" s="52"/>
      <c r="O242" s="52"/>
      <c r="P242" s="52"/>
      <c r="Q242" s="52"/>
      <c r="R242" s="52"/>
      <c r="S242" s="52"/>
      <c r="T242" s="52"/>
      <c r="U242" s="52"/>
      <c r="V242" s="52"/>
      <c r="W242" s="52"/>
      <c r="X242" s="52"/>
      <c r="Y242" s="52"/>
      <c r="Z242" s="52"/>
    </row>
    <row r="243">
      <c r="A243" s="59"/>
      <c r="B243" s="34"/>
      <c r="C243" s="52"/>
      <c r="D243" s="52"/>
      <c r="E243" s="52"/>
      <c r="F243" s="52"/>
      <c r="G243" s="52"/>
      <c r="H243" s="52"/>
      <c r="I243" s="52"/>
      <c r="J243" s="52"/>
      <c r="K243" s="52"/>
      <c r="L243" s="52"/>
      <c r="M243" s="52"/>
      <c r="N243" s="52"/>
      <c r="O243" s="52"/>
      <c r="P243" s="52"/>
      <c r="Q243" s="52"/>
      <c r="R243" s="52"/>
      <c r="S243" s="52"/>
      <c r="T243" s="52"/>
      <c r="U243" s="52"/>
      <c r="V243" s="52"/>
      <c r="W243" s="52"/>
      <c r="X243" s="52"/>
      <c r="Y243" s="52"/>
      <c r="Z243" s="52"/>
    </row>
    <row r="244">
      <c r="A244" s="59"/>
      <c r="B244" s="34"/>
      <c r="C244" s="52"/>
      <c r="D244" s="52"/>
      <c r="E244" s="52"/>
      <c r="F244" s="52"/>
      <c r="G244" s="52"/>
      <c r="H244" s="52"/>
      <c r="I244" s="52"/>
      <c r="J244" s="52"/>
      <c r="K244" s="52"/>
      <c r="L244" s="52"/>
      <c r="M244" s="52"/>
      <c r="N244" s="52"/>
      <c r="O244" s="52"/>
      <c r="P244" s="52"/>
      <c r="Q244" s="52"/>
      <c r="R244" s="52"/>
      <c r="S244" s="52"/>
      <c r="T244" s="52"/>
      <c r="U244" s="52"/>
      <c r="V244" s="52"/>
      <c r="W244" s="52"/>
      <c r="X244" s="52"/>
      <c r="Y244" s="52"/>
      <c r="Z244" s="52"/>
    </row>
    <row r="245">
      <c r="A245" s="59"/>
      <c r="B245" s="34"/>
      <c r="C245" s="52"/>
      <c r="D245" s="52"/>
      <c r="E245" s="52"/>
      <c r="F245" s="52"/>
      <c r="G245" s="52"/>
      <c r="H245" s="52"/>
      <c r="I245" s="52"/>
      <c r="J245" s="52"/>
      <c r="K245" s="52"/>
      <c r="L245" s="52"/>
      <c r="M245" s="52"/>
      <c r="N245" s="52"/>
      <c r="O245" s="52"/>
      <c r="P245" s="52"/>
      <c r="Q245" s="52"/>
      <c r="R245" s="52"/>
      <c r="S245" s="52"/>
      <c r="T245" s="52"/>
      <c r="U245" s="52"/>
      <c r="V245" s="52"/>
      <c r="W245" s="52"/>
      <c r="X245" s="52"/>
      <c r="Y245" s="52"/>
      <c r="Z245" s="52"/>
    </row>
    <row r="246">
      <c r="A246" s="59"/>
      <c r="B246" s="34"/>
      <c r="C246" s="52"/>
      <c r="D246" s="52"/>
      <c r="E246" s="52"/>
      <c r="F246" s="52"/>
      <c r="G246" s="52"/>
      <c r="H246" s="52"/>
      <c r="I246" s="52"/>
      <c r="J246" s="52"/>
      <c r="K246" s="52"/>
      <c r="L246" s="52"/>
      <c r="M246" s="52"/>
      <c r="N246" s="52"/>
      <c r="O246" s="52"/>
      <c r="P246" s="52"/>
      <c r="Q246" s="52"/>
      <c r="R246" s="52"/>
      <c r="S246" s="52"/>
      <c r="T246" s="52"/>
      <c r="U246" s="52"/>
      <c r="V246" s="52"/>
      <c r="W246" s="52"/>
      <c r="X246" s="52"/>
      <c r="Y246" s="52"/>
      <c r="Z246" s="52"/>
    </row>
    <row r="247">
      <c r="A247" s="59"/>
      <c r="B247" s="34"/>
      <c r="C247" s="52"/>
      <c r="D247" s="52"/>
      <c r="E247" s="52"/>
      <c r="F247" s="52"/>
      <c r="G247" s="52"/>
      <c r="H247" s="52"/>
      <c r="I247" s="52"/>
      <c r="J247" s="52"/>
      <c r="K247" s="52"/>
      <c r="L247" s="52"/>
      <c r="M247" s="52"/>
      <c r="N247" s="52"/>
      <c r="O247" s="52"/>
      <c r="P247" s="52"/>
      <c r="Q247" s="52"/>
      <c r="R247" s="52"/>
      <c r="S247" s="52"/>
      <c r="T247" s="52"/>
      <c r="U247" s="52"/>
      <c r="V247" s="52"/>
      <c r="W247" s="52"/>
      <c r="X247" s="52"/>
      <c r="Y247" s="52"/>
      <c r="Z247" s="52"/>
    </row>
    <row r="248">
      <c r="A248" s="59"/>
      <c r="B248" s="34"/>
      <c r="C248" s="52"/>
      <c r="D248" s="52"/>
      <c r="E248" s="52"/>
      <c r="F248" s="52"/>
      <c r="G248" s="52"/>
      <c r="H248" s="52"/>
      <c r="I248" s="52"/>
      <c r="J248" s="52"/>
      <c r="K248" s="52"/>
      <c r="L248" s="52"/>
      <c r="M248" s="52"/>
      <c r="N248" s="52"/>
      <c r="O248" s="52"/>
      <c r="P248" s="52"/>
      <c r="Q248" s="52"/>
      <c r="R248" s="52"/>
      <c r="S248" s="52"/>
      <c r="T248" s="52"/>
      <c r="U248" s="52"/>
      <c r="V248" s="52"/>
      <c r="W248" s="52"/>
      <c r="X248" s="52"/>
      <c r="Y248" s="52"/>
      <c r="Z248" s="52"/>
    </row>
    <row r="249">
      <c r="A249" s="59"/>
      <c r="B249" s="34"/>
      <c r="C249" s="52"/>
      <c r="D249" s="52"/>
      <c r="E249" s="52"/>
      <c r="F249" s="52"/>
      <c r="G249" s="52"/>
      <c r="H249" s="52"/>
      <c r="I249" s="52"/>
      <c r="J249" s="52"/>
      <c r="K249" s="52"/>
      <c r="L249" s="52"/>
      <c r="M249" s="52"/>
      <c r="N249" s="52"/>
      <c r="O249" s="52"/>
      <c r="P249" s="52"/>
      <c r="Q249" s="52"/>
      <c r="R249" s="52"/>
      <c r="S249" s="52"/>
      <c r="T249" s="52"/>
      <c r="U249" s="52"/>
      <c r="V249" s="52"/>
      <c r="W249" s="52"/>
      <c r="X249" s="52"/>
      <c r="Y249" s="52"/>
      <c r="Z249" s="52"/>
    </row>
    <row r="250">
      <c r="A250" s="59"/>
      <c r="B250" s="34"/>
      <c r="C250" s="52"/>
      <c r="D250" s="52"/>
      <c r="E250" s="52"/>
      <c r="F250" s="52"/>
      <c r="G250" s="52"/>
      <c r="H250" s="52"/>
      <c r="I250" s="52"/>
      <c r="J250" s="52"/>
      <c r="K250" s="52"/>
      <c r="L250" s="52"/>
      <c r="M250" s="52"/>
      <c r="N250" s="52"/>
      <c r="O250" s="52"/>
      <c r="P250" s="52"/>
      <c r="Q250" s="52"/>
      <c r="R250" s="52"/>
      <c r="S250" s="52"/>
      <c r="T250" s="52"/>
      <c r="U250" s="52"/>
      <c r="V250" s="52"/>
      <c r="W250" s="52"/>
      <c r="X250" s="52"/>
      <c r="Y250" s="52"/>
      <c r="Z250" s="52"/>
    </row>
    <row r="251">
      <c r="A251" s="59"/>
      <c r="B251" s="34"/>
      <c r="C251" s="52"/>
      <c r="D251" s="52"/>
      <c r="E251" s="52"/>
      <c r="F251" s="52"/>
      <c r="G251" s="52"/>
      <c r="H251" s="52"/>
      <c r="I251" s="52"/>
      <c r="J251" s="52"/>
      <c r="K251" s="52"/>
      <c r="L251" s="52"/>
      <c r="M251" s="52"/>
      <c r="N251" s="52"/>
      <c r="O251" s="52"/>
      <c r="P251" s="52"/>
      <c r="Q251" s="52"/>
      <c r="R251" s="52"/>
      <c r="S251" s="52"/>
      <c r="T251" s="52"/>
      <c r="U251" s="52"/>
      <c r="V251" s="52"/>
      <c r="W251" s="52"/>
      <c r="X251" s="52"/>
      <c r="Y251" s="52"/>
      <c r="Z251" s="52"/>
    </row>
    <row r="252">
      <c r="A252" s="59"/>
      <c r="B252" s="34"/>
      <c r="C252" s="52"/>
      <c r="D252" s="52"/>
      <c r="E252" s="52"/>
      <c r="F252" s="52"/>
      <c r="G252" s="52"/>
      <c r="H252" s="52"/>
      <c r="I252" s="52"/>
      <c r="J252" s="52"/>
      <c r="K252" s="52"/>
      <c r="L252" s="52"/>
      <c r="M252" s="52"/>
      <c r="N252" s="52"/>
      <c r="O252" s="52"/>
      <c r="P252" s="52"/>
      <c r="Q252" s="52"/>
      <c r="R252" s="52"/>
      <c r="S252" s="52"/>
      <c r="T252" s="52"/>
      <c r="U252" s="52"/>
      <c r="V252" s="52"/>
      <c r="W252" s="52"/>
      <c r="X252" s="52"/>
      <c r="Y252" s="52"/>
      <c r="Z252" s="52"/>
    </row>
    <row r="253">
      <c r="A253" s="59"/>
      <c r="B253" s="34"/>
      <c r="C253" s="52"/>
      <c r="D253" s="52"/>
      <c r="E253" s="52"/>
      <c r="F253" s="52"/>
      <c r="G253" s="52"/>
      <c r="H253" s="52"/>
      <c r="I253" s="52"/>
      <c r="J253" s="52"/>
      <c r="K253" s="52"/>
      <c r="L253" s="52"/>
      <c r="M253" s="52"/>
      <c r="N253" s="52"/>
      <c r="O253" s="52"/>
      <c r="P253" s="52"/>
      <c r="Q253" s="52"/>
      <c r="R253" s="52"/>
      <c r="S253" s="52"/>
      <c r="T253" s="52"/>
      <c r="U253" s="52"/>
      <c r="V253" s="52"/>
      <c r="W253" s="52"/>
      <c r="X253" s="52"/>
      <c r="Y253" s="52"/>
      <c r="Z253" s="52"/>
    </row>
    <row r="254">
      <c r="A254" s="59"/>
      <c r="B254" s="34"/>
      <c r="C254" s="52"/>
      <c r="D254" s="52"/>
      <c r="E254" s="52"/>
      <c r="F254" s="52"/>
      <c r="G254" s="52"/>
      <c r="H254" s="52"/>
      <c r="I254" s="52"/>
      <c r="J254" s="52"/>
      <c r="K254" s="52"/>
      <c r="L254" s="52"/>
      <c r="M254" s="52"/>
      <c r="N254" s="52"/>
      <c r="O254" s="52"/>
      <c r="P254" s="52"/>
      <c r="Q254" s="52"/>
      <c r="R254" s="52"/>
      <c r="S254" s="52"/>
      <c r="T254" s="52"/>
      <c r="U254" s="52"/>
      <c r="V254" s="52"/>
      <c r="W254" s="52"/>
      <c r="X254" s="52"/>
      <c r="Y254" s="52"/>
      <c r="Z254" s="52"/>
    </row>
    <row r="255">
      <c r="A255" s="59"/>
      <c r="B255" s="34"/>
      <c r="C255" s="52"/>
      <c r="D255" s="52"/>
      <c r="E255" s="52"/>
      <c r="F255" s="52"/>
      <c r="G255" s="52"/>
      <c r="H255" s="52"/>
      <c r="I255" s="52"/>
      <c r="J255" s="52"/>
      <c r="K255" s="52"/>
      <c r="L255" s="52"/>
      <c r="M255" s="52"/>
      <c r="N255" s="52"/>
      <c r="O255" s="52"/>
      <c r="P255" s="52"/>
      <c r="Q255" s="52"/>
      <c r="R255" s="52"/>
      <c r="S255" s="52"/>
      <c r="T255" s="52"/>
      <c r="U255" s="52"/>
      <c r="V255" s="52"/>
      <c r="W255" s="52"/>
      <c r="X255" s="52"/>
      <c r="Y255" s="52"/>
      <c r="Z255" s="52"/>
    </row>
    <row r="256">
      <c r="A256" s="59"/>
      <c r="B256" s="34"/>
      <c r="C256" s="52"/>
      <c r="D256" s="52"/>
      <c r="E256" s="52"/>
      <c r="F256" s="52"/>
      <c r="G256" s="52"/>
      <c r="H256" s="52"/>
      <c r="I256" s="52"/>
      <c r="J256" s="52"/>
      <c r="K256" s="52"/>
      <c r="L256" s="52"/>
      <c r="M256" s="52"/>
      <c r="N256" s="52"/>
      <c r="O256" s="52"/>
      <c r="P256" s="52"/>
      <c r="Q256" s="52"/>
      <c r="R256" s="52"/>
      <c r="S256" s="52"/>
      <c r="T256" s="52"/>
      <c r="U256" s="52"/>
      <c r="V256" s="52"/>
      <c r="W256" s="52"/>
      <c r="X256" s="52"/>
      <c r="Y256" s="52"/>
      <c r="Z256" s="52"/>
    </row>
    <row r="257">
      <c r="A257" s="59"/>
      <c r="B257" s="34"/>
      <c r="C257" s="52"/>
      <c r="D257" s="52"/>
      <c r="E257" s="52"/>
      <c r="F257" s="52"/>
      <c r="G257" s="52"/>
      <c r="H257" s="52"/>
      <c r="I257" s="52"/>
      <c r="J257" s="52"/>
      <c r="K257" s="52"/>
      <c r="L257" s="52"/>
      <c r="M257" s="52"/>
      <c r="N257" s="52"/>
      <c r="O257" s="52"/>
      <c r="P257" s="52"/>
      <c r="Q257" s="52"/>
      <c r="R257" s="52"/>
      <c r="S257" s="52"/>
      <c r="T257" s="52"/>
      <c r="U257" s="52"/>
      <c r="V257" s="52"/>
      <c r="W257" s="52"/>
      <c r="X257" s="52"/>
      <c r="Y257" s="52"/>
      <c r="Z257" s="52"/>
    </row>
    <row r="258">
      <c r="A258" s="59"/>
      <c r="B258" s="34"/>
      <c r="C258" s="52"/>
      <c r="D258" s="52"/>
      <c r="E258" s="52"/>
      <c r="F258" s="52"/>
      <c r="G258" s="52"/>
      <c r="H258" s="52"/>
      <c r="I258" s="52"/>
      <c r="J258" s="52"/>
      <c r="K258" s="52"/>
      <c r="L258" s="52"/>
      <c r="M258" s="52"/>
      <c r="N258" s="52"/>
      <c r="O258" s="52"/>
      <c r="P258" s="52"/>
      <c r="Q258" s="52"/>
      <c r="R258" s="52"/>
      <c r="S258" s="52"/>
      <c r="T258" s="52"/>
      <c r="U258" s="52"/>
      <c r="V258" s="52"/>
      <c r="W258" s="52"/>
      <c r="X258" s="52"/>
      <c r="Y258" s="52"/>
      <c r="Z258" s="52"/>
    </row>
    <row r="259">
      <c r="A259" s="59"/>
      <c r="B259" s="34"/>
      <c r="C259" s="52"/>
      <c r="D259" s="52"/>
      <c r="E259" s="52"/>
      <c r="F259" s="52"/>
      <c r="G259" s="52"/>
      <c r="H259" s="52"/>
      <c r="I259" s="52"/>
      <c r="J259" s="52"/>
      <c r="K259" s="52"/>
      <c r="L259" s="52"/>
      <c r="M259" s="52"/>
      <c r="N259" s="52"/>
      <c r="O259" s="52"/>
      <c r="P259" s="52"/>
      <c r="Q259" s="52"/>
      <c r="R259" s="52"/>
      <c r="S259" s="52"/>
      <c r="T259" s="52"/>
      <c r="U259" s="52"/>
      <c r="V259" s="52"/>
      <c r="W259" s="52"/>
      <c r="X259" s="52"/>
      <c r="Y259" s="52"/>
      <c r="Z259" s="52"/>
    </row>
    <row r="260">
      <c r="A260" s="59"/>
      <c r="B260" s="34"/>
      <c r="C260" s="52"/>
      <c r="D260" s="52"/>
      <c r="E260" s="52"/>
      <c r="F260" s="52"/>
      <c r="G260" s="52"/>
      <c r="H260" s="52"/>
      <c r="I260" s="52"/>
      <c r="J260" s="52"/>
      <c r="K260" s="52"/>
      <c r="L260" s="52"/>
      <c r="M260" s="52"/>
      <c r="N260" s="52"/>
      <c r="O260" s="52"/>
      <c r="P260" s="52"/>
      <c r="Q260" s="52"/>
      <c r="R260" s="52"/>
      <c r="S260" s="52"/>
      <c r="T260" s="52"/>
      <c r="U260" s="52"/>
      <c r="V260" s="52"/>
      <c r="W260" s="52"/>
      <c r="X260" s="52"/>
      <c r="Y260" s="52"/>
      <c r="Z260" s="52"/>
    </row>
    <row r="261">
      <c r="A261" s="59"/>
      <c r="B261" s="34"/>
      <c r="C261" s="52"/>
      <c r="D261" s="52"/>
      <c r="E261" s="52"/>
      <c r="F261" s="52"/>
      <c r="G261" s="52"/>
      <c r="H261" s="52"/>
      <c r="I261" s="52"/>
      <c r="J261" s="52"/>
      <c r="K261" s="52"/>
      <c r="L261" s="52"/>
      <c r="M261" s="52"/>
      <c r="N261" s="52"/>
      <c r="O261" s="52"/>
      <c r="P261" s="52"/>
      <c r="Q261" s="52"/>
      <c r="R261" s="52"/>
      <c r="S261" s="52"/>
      <c r="T261" s="52"/>
      <c r="U261" s="52"/>
      <c r="V261" s="52"/>
      <c r="W261" s="52"/>
      <c r="X261" s="52"/>
      <c r="Y261" s="52"/>
      <c r="Z261" s="52"/>
    </row>
    <row r="262">
      <c r="A262" s="59"/>
      <c r="B262" s="34"/>
      <c r="C262" s="52"/>
      <c r="D262" s="52"/>
      <c r="E262" s="52"/>
      <c r="F262" s="52"/>
      <c r="G262" s="52"/>
      <c r="H262" s="52"/>
      <c r="I262" s="52"/>
      <c r="J262" s="52"/>
      <c r="K262" s="52"/>
      <c r="L262" s="52"/>
      <c r="M262" s="52"/>
      <c r="N262" s="52"/>
      <c r="O262" s="52"/>
      <c r="P262" s="52"/>
      <c r="Q262" s="52"/>
      <c r="R262" s="52"/>
      <c r="S262" s="52"/>
      <c r="T262" s="52"/>
      <c r="U262" s="52"/>
      <c r="V262" s="52"/>
      <c r="W262" s="52"/>
      <c r="X262" s="52"/>
      <c r="Y262" s="52"/>
      <c r="Z262" s="52"/>
    </row>
    <row r="263">
      <c r="A263" s="59"/>
      <c r="B263" s="34"/>
      <c r="C263" s="52"/>
      <c r="D263" s="52"/>
      <c r="E263" s="52"/>
      <c r="F263" s="52"/>
      <c r="G263" s="52"/>
      <c r="H263" s="52"/>
      <c r="I263" s="52"/>
      <c r="J263" s="52"/>
      <c r="K263" s="52"/>
      <c r="L263" s="52"/>
      <c r="M263" s="52"/>
      <c r="N263" s="52"/>
      <c r="O263" s="52"/>
      <c r="P263" s="52"/>
      <c r="Q263" s="52"/>
      <c r="R263" s="52"/>
      <c r="S263" s="52"/>
      <c r="T263" s="52"/>
      <c r="U263" s="52"/>
      <c r="V263" s="52"/>
      <c r="W263" s="52"/>
      <c r="X263" s="52"/>
      <c r="Y263" s="52"/>
      <c r="Z263" s="52"/>
    </row>
    <row r="264">
      <c r="A264" s="59"/>
      <c r="B264" s="34"/>
      <c r="C264" s="52"/>
      <c r="D264" s="52"/>
      <c r="E264" s="52"/>
      <c r="F264" s="52"/>
      <c r="G264" s="52"/>
      <c r="H264" s="52"/>
      <c r="I264" s="52"/>
      <c r="J264" s="52"/>
      <c r="K264" s="52"/>
      <c r="L264" s="52"/>
      <c r="M264" s="52"/>
      <c r="N264" s="52"/>
      <c r="O264" s="52"/>
      <c r="P264" s="52"/>
      <c r="Q264" s="52"/>
      <c r="R264" s="52"/>
      <c r="S264" s="52"/>
      <c r="T264" s="52"/>
      <c r="U264" s="52"/>
      <c r="V264" s="52"/>
      <c r="W264" s="52"/>
      <c r="X264" s="52"/>
      <c r="Y264" s="52"/>
      <c r="Z264" s="52"/>
    </row>
    <row r="265">
      <c r="A265" s="59"/>
      <c r="B265" s="34"/>
      <c r="C265" s="52"/>
      <c r="D265" s="52"/>
      <c r="E265" s="52"/>
      <c r="F265" s="52"/>
      <c r="G265" s="52"/>
      <c r="H265" s="52"/>
      <c r="I265" s="52"/>
      <c r="J265" s="52"/>
      <c r="K265" s="52"/>
      <c r="L265" s="52"/>
      <c r="M265" s="52"/>
      <c r="N265" s="52"/>
      <c r="O265" s="52"/>
      <c r="P265" s="52"/>
      <c r="Q265" s="52"/>
      <c r="R265" s="52"/>
      <c r="S265" s="52"/>
      <c r="T265" s="52"/>
      <c r="U265" s="52"/>
      <c r="V265" s="52"/>
      <c r="W265" s="52"/>
      <c r="X265" s="52"/>
      <c r="Y265" s="52"/>
      <c r="Z265" s="52"/>
    </row>
    <row r="266">
      <c r="A266" s="59"/>
      <c r="B266" s="34"/>
      <c r="C266" s="52"/>
      <c r="D266" s="52"/>
      <c r="E266" s="52"/>
      <c r="F266" s="52"/>
      <c r="G266" s="52"/>
      <c r="H266" s="52"/>
      <c r="I266" s="52"/>
      <c r="J266" s="52"/>
      <c r="K266" s="52"/>
      <c r="L266" s="52"/>
      <c r="M266" s="52"/>
      <c r="N266" s="52"/>
      <c r="O266" s="52"/>
      <c r="P266" s="52"/>
      <c r="Q266" s="52"/>
      <c r="R266" s="52"/>
      <c r="S266" s="52"/>
      <c r="T266" s="52"/>
      <c r="U266" s="52"/>
      <c r="V266" s="52"/>
      <c r="W266" s="52"/>
      <c r="X266" s="52"/>
      <c r="Y266" s="52"/>
      <c r="Z266" s="52"/>
    </row>
    <row r="267">
      <c r="A267" s="59"/>
      <c r="B267" s="34"/>
      <c r="C267" s="52"/>
      <c r="D267" s="52"/>
      <c r="E267" s="52"/>
      <c r="F267" s="52"/>
      <c r="G267" s="52"/>
      <c r="H267" s="52"/>
      <c r="I267" s="52"/>
      <c r="J267" s="52"/>
      <c r="K267" s="52"/>
      <c r="L267" s="52"/>
      <c r="M267" s="52"/>
      <c r="N267" s="52"/>
      <c r="O267" s="52"/>
      <c r="P267" s="52"/>
      <c r="Q267" s="52"/>
      <c r="R267" s="52"/>
      <c r="S267" s="52"/>
      <c r="T267" s="52"/>
      <c r="U267" s="52"/>
      <c r="V267" s="52"/>
      <c r="W267" s="52"/>
      <c r="X267" s="52"/>
      <c r="Y267" s="52"/>
      <c r="Z267" s="52"/>
    </row>
    <row r="268">
      <c r="A268" s="59"/>
      <c r="B268" s="34"/>
      <c r="C268" s="52"/>
      <c r="D268" s="52"/>
      <c r="E268" s="52"/>
      <c r="F268" s="52"/>
      <c r="G268" s="52"/>
      <c r="H268" s="52"/>
      <c r="I268" s="52"/>
      <c r="J268" s="52"/>
      <c r="K268" s="52"/>
      <c r="L268" s="52"/>
      <c r="M268" s="52"/>
      <c r="N268" s="52"/>
      <c r="O268" s="52"/>
      <c r="P268" s="52"/>
      <c r="Q268" s="52"/>
      <c r="R268" s="52"/>
      <c r="S268" s="52"/>
      <c r="T268" s="52"/>
      <c r="U268" s="52"/>
      <c r="V268" s="52"/>
      <c r="W268" s="52"/>
      <c r="X268" s="52"/>
      <c r="Y268" s="52"/>
      <c r="Z268" s="52"/>
    </row>
    <row r="269">
      <c r="A269" s="59"/>
      <c r="B269" s="34"/>
      <c r="C269" s="52"/>
      <c r="D269" s="52"/>
      <c r="E269" s="52"/>
      <c r="F269" s="52"/>
      <c r="G269" s="52"/>
      <c r="H269" s="52"/>
      <c r="I269" s="52"/>
      <c r="J269" s="52"/>
      <c r="K269" s="52"/>
      <c r="L269" s="52"/>
      <c r="M269" s="52"/>
      <c r="N269" s="52"/>
      <c r="O269" s="52"/>
      <c r="P269" s="52"/>
      <c r="Q269" s="52"/>
      <c r="R269" s="52"/>
      <c r="S269" s="52"/>
      <c r="T269" s="52"/>
      <c r="U269" s="52"/>
      <c r="V269" s="52"/>
      <c r="W269" s="52"/>
      <c r="X269" s="52"/>
      <c r="Y269" s="52"/>
      <c r="Z269" s="52"/>
    </row>
    <row r="270">
      <c r="A270" s="59"/>
      <c r="B270" s="34"/>
      <c r="C270" s="52"/>
      <c r="D270" s="52"/>
      <c r="E270" s="52"/>
      <c r="F270" s="52"/>
      <c r="G270" s="52"/>
      <c r="H270" s="52"/>
      <c r="I270" s="52"/>
      <c r="J270" s="52"/>
      <c r="K270" s="52"/>
      <c r="L270" s="52"/>
      <c r="M270" s="52"/>
      <c r="N270" s="52"/>
      <c r="O270" s="52"/>
      <c r="P270" s="52"/>
      <c r="Q270" s="52"/>
      <c r="R270" s="52"/>
      <c r="S270" s="52"/>
      <c r="T270" s="52"/>
      <c r="U270" s="52"/>
      <c r="V270" s="52"/>
      <c r="W270" s="52"/>
      <c r="X270" s="52"/>
      <c r="Y270" s="52"/>
      <c r="Z270" s="52"/>
    </row>
    <row r="271">
      <c r="A271" s="59"/>
      <c r="B271" s="34"/>
      <c r="C271" s="52"/>
      <c r="D271" s="52"/>
      <c r="E271" s="52"/>
      <c r="F271" s="52"/>
      <c r="G271" s="52"/>
      <c r="H271" s="52"/>
      <c r="I271" s="52"/>
      <c r="J271" s="52"/>
      <c r="K271" s="52"/>
      <c r="L271" s="52"/>
      <c r="M271" s="52"/>
      <c r="N271" s="52"/>
      <c r="O271" s="52"/>
      <c r="P271" s="52"/>
      <c r="Q271" s="52"/>
      <c r="R271" s="52"/>
      <c r="S271" s="52"/>
      <c r="T271" s="52"/>
      <c r="U271" s="52"/>
      <c r="V271" s="52"/>
      <c r="W271" s="52"/>
      <c r="X271" s="52"/>
      <c r="Y271" s="52"/>
      <c r="Z271" s="52"/>
    </row>
    <row r="272">
      <c r="A272" s="59"/>
      <c r="B272" s="34"/>
      <c r="C272" s="52"/>
      <c r="D272" s="52"/>
      <c r="E272" s="52"/>
      <c r="F272" s="52"/>
      <c r="G272" s="52"/>
      <c r="H272" s="52"/>
      <c r="I272" s="52"/>
      <c r="J272" s="52"/>
      <c r="K272" s="52"/>
      <c r="L272" s="52"/>
      <c r="M272" s="52"/>
      <c r="N272" s="52"/>
      <c r="O272" s="52"/>
      <c r="P272" s="52"/>
      <c r="Q272" s="52"/>
      <c r="R272" s="52"/>
      <c r="S272" s="52"/>
      <c r="T272" s="52"/>
      <c r="U272" s="52"/>
      <c r="V272" s="52"/>
      <c r="W272" s="52"/>
      <c r="X272" s="52"/>
      <c r="Y272" s="52"/>
      <c r="Z272" s="52"/>
    </row>
    <row r="273">
      <c r="A273" s="59"/>
      <c r="B273" s="34"/>
      <c r="C273" s="52"/>
      <c r="D273" s="52"/>
      <c r="E273" s="52"/>
      <c r="F273" s="52"/>
      <c r="G273" s="52"/>
      <c r="H273" s="52"/>
      <c r="I273" s="52"/>
      <c r="J273" s="52"/>
      <c r="K273" s="52"/>
      <c r="L273" s="52"/>
      <c r="M273" s="52"/>
      <c r="N273" s="52"/>
      <c r="O273" s="52"/>
      <c r="P273" s="52"/>
      <c r="Q273" s="52"/>
      <c r="R273" s="52"/>
      <c r="S273" s="52"/>
      <c r="T273" s="52"/>
      <c r="U273" s="52"/>
      <c r="V273" s="52"/>
      <c r="W273" s="52"/>
      <c r="X273" s="52"/>
      <c r="Y273" s="52"/>
      <c r="Z273" s="52"/>
    </row>
    <row r="274">
      <c r="A274" s="59"/>
      <c r="B274" s="34"/>
      <c r="C274" s="52"/>
      <c r="D274" s="52"/>
      <c r="E274" s="52"/>
      <c r="F274" s="52"/>
      <c r="G274" s="52"/>
      <c r="H274" s="52"/>
      <c r="I274" s="52"/>
      <c r="J274" s="52"/>
      <c r="K274" s="52"/>
      <c r="L274" s="52"/>
      <c r="M274" s="52"/>
      <c r="N274" s="52"/>
      <c r="O274" s="52"/>
      <c r="P274" s="52"/>
      <c r="Q274" s="52"/>
      <c r="R274" s="52"/>
      <c r="S274" s="52"/>
      <c r="T274" s="52"/>
      <c r="U274" s="52"/>
      <c r="V274" s="52"/>
      <c r="W274" s="52"/>
      <c r="X274" s="52"/>
      <c r="Y274" s="52"/>
      <c r="Z274" s="52"/>
    </row>
    <row r="275">
      <c r="A275" s="59"/>
      <c r="B275" s="34"/>
      <c r="C275" s="52"/>
      <c r="D275" s="52"/>
      <c r="E275" s="52"/>
      <c r="F275" s="52"/>
      <c r="G275" s="52"/>
      <c r="H275" s="52"/>
      <c r="I275" s="52"/>
      <c r="J275" s="52"/>
      <c r="K275" s="52"/>
      <c r="L275" s="52"/>
      <c r="M275" s="52"/>
      <c r="N275" s="52"/>
      <c r="O275" s="52"/>
      <c r="P275" s="52"/>
      <c r="Q275" s="52"/>
      <c r="R275" s="52"/>
      <c r="S275" s="52"/>
      <c r="T275" s="52"/>
      <c r="U275" s="52"/>
      <c r="V275" s="52"/>
      <c r="W275" s="52"/>
      <c r="X275" s="52"/>
      <c r="Y275" s="52"/>
      <c r="Z275" s="52"/>
    </row>
    <row r="276">
      <c r="A276" s="59"/>
      <c r="B276" s="34"/>
      <c r="C276" s="52"/>
      <c r="D276" s="52"/>
      <c r="E276" s="52"/>
      <c r="F276" s="52"/>
      <c r="G276" s="52"/>
      <c r="H276" s="52"/>
      <c r="I276" s="52"/>
      <c r="J276" s="52"/>
      <c r="K276" s="52"/>
      <c r="L276" s="52"/>
      <c r="M276" s="52"/>
      <c r="N276" s="52"/>
      <c r="O276" s="52"/>
      <c r="P276" s="52"/>
      <c r="Q276" s="52"/>
      <c r="R276" s="52"/>
      <c r="S276" s="52"/>
      <c r="T276" s="52"/>
      <c r="U276" s="52"/>
      <c r="V276" s="52"/>
      <c r="W276" s="52"/>
      <c r="X276" s="52"/>
      <c r="Y276" s="52"/>
      <c r="Z276" s="52"/>
    </row>
    <row r="277">
      <c r="A277" s="59"/>
      <c r="B277" s="34"/>
      <c r="C277" s="52"/>
      <c r="D277" s="52"/>
      <c r="E277" s="52"/>
      <c r="F277" s="52"/>
      <c r="G277" s="52"/>
      <c r="H277" s="52"/>
      <c r="I277" s="52"/>
      <c r="J277" s="52"/>
      <c r="K277" s="52"/>
      <c r="L277" s="52"/>
      <c r="M277" s="52"/>
      <c r="N277" s="52"/>
      <c r="O277" s="52"/>
      <c r="P277" s="52"/>
      <c r="Q277" s="52"/>
      <c r="R277" s="52"/>
      <c r="S277" s="52"/>
      <c r="T277" s="52"/>
      <c r="U277" s="52"/>
      <c r="V277" s="52"/>
      <c r="W277" s="52"/>
      <c r="X277" s="52"/>
      <c r="Y277" s="52"/>
      <c r="Z277" s="52"/>
    </row>
    <row r="278">
      <c r="A278" s="59"/>
      <c r="B278" s="34"/>
      <c r="C278" s="52"/>
      <c r="D278" s="52"/>
      <c r="E278" s="52"/>
      <c r="F278" s="52"/>
      <c r="G278" s="52"/>
      <c r="H278" s="52"/>
      <c r="I278" s="52"/>
      <c r="J278" s="52"/>
      <c r="K278" s="52"/>
      <c r="L278" s="52"/>
      <c r="M278" s="52"/>
      <c r="N278" s="52"/>
      <c r="O278" s="52"/>
      <c r="P278" s="52"/>
      <c r="Q278" s="52"/>
      <c r="R278" s="52"/>
      <c r="S278" s="52"/>
      <c r="T278" s="52"/>
      <c r="U278" s="52"/>
      <c r="V278" s="52"/>
      <c r="W278" s="52"/>
      <c r="X278" s="52"/>
      <c r="Y278" s="52"/>
      <c r="Z278" s="52"/>
    </row>
    <row r="279">
      <c r="A279" s="59"/>
      <c r="B279" s="34"/>
      <c r="C279" s="52"/>
      <c r="D279" s="52"/>
      <c r="E279" s="52"/>
      <c r="F279" s="52"/>
      <c r="G279" s="52"/>
      <c r="H279" s="52"/>
      <c r="I279" s="52"/>
      <c r="J279" s="52"/>
      <c r="K279" s="52"/>
      <c r="L279" s="52"/>
      <c r="M279" s="52"/>
      <c r="N279" s="52"/>
      <c r="O279" s="52"/>
      <c r="P279" s="52"/>
      <c r="Q279" s="52"/>
      <c r="R279" s="52"/>
      <c r="S279" s="52"/>
      <c r="T279" s="52"/>
      <c r="U279" s="52"/>
      <c r="V279" s="52"/>
      <c r="W279" s="52"/>
      <c r="X279" s="52"/>
      <c r="Y279" s="52"/>
      <c r="Z279" s="52"/>
    </row>
    <row r="280">
      <c r="A280" s="59"/>
      <c r="B280" s="34"/>
      <c r="C280" s="52"/>
      <c r="D280" s="52"/>
      <c r="E280" s="52"/>
      <c r="F280" s="52"/>
      <c r="G280" s="52"/>
      <c r="H280" s="52"/>
      <c r="I280" s="52"/>
      <c r="J280" s="52"/>
      <c r="K280" s="52"/>
      <c r="L280" s="52"/>
      <c r="M280" s="52"/>
      <c r="N280" s="52"/>
      <c r="O280" s="52"/>
      <c r="P280" s="52"/>
      <c r="Q280" s="52"/>
      <c r="R280" s="52"/>
      <c r="S280" s="52"/>
      <c r="T280" s="52"/>
      <c r="U280" s="52"/>
      <c r="V280" s="52"/>
      <c r="W280" s="52"/>
      <c r="X280" s="52"/>
      <c r="Y280" s="52"/>
      <c r="Z280" s="52"/>
    </row>
    <row r="281">
      <c r="A281" s="59"/>
      <c r="B281" s="34"/>
      <c r="C281" s="52"/>
      <c r="D281" s="52"/>
      <c r="E281" s="52"/>
      <c r="F281" s="52"/>
      <c r="G281" s="52"/>
      <c r="H281" s="52"/>
      <c r="I281" s="52"/>
      <c r="J281" s="52"/>
      <c r="K281" s="52"/>
      <c r="L281" s="52"/>
      <c r="M281" s="52"/>
      <c r="N281" s="52"/>
      <c r="O281" s="52"/>
      <c r="P281" s="52"/>
      <c r="Q281" s="52"/>
      <c r="R281" s="52"/>
      <c r="S281" s="52"/>
      <c r="T281" s="52"/>
      <c r="U281" s="52"/>
      <c r="V281" s="52"/>
      <c r="W281" s="52"/>
      <c r="X281" s="52"/>
      <c r="Y281" s="52"/>
      <c r="Z281" s="52"/>
    </row>
    <row r="282">
      <c r="A282" s="59"/>
      <c r="B282" s="34"/>
      <c r="C282" s="52"/>
      <c r="D282" s="52"/>
      <c r="E282" s="52"/>
      <c r="F282" s="52"/>
      <c r="G282" s="52"/>
      <c r="H282" s="52"/>
      <c r="I282" s="52"/>
      <c r="J282" s="52"/>
      <c r="K282" s="52"/>
      <c r="L282" s="52"/>
      <c r="M282" s="52"/>
      <c r="N282" s="52"/>
      <c r="O282" s="52"/>
      <c r="P282" s="52"/>
      <c r="Q282" s="52"/>
      <c r="R282" s="52"/>
      <c r="S282" s="52"/>
      <c r="T282" s="52"/>
      <c r="U282" s="52"/>
      <c r="V282" s="52"/>
      <c r="W282" s="52"/>
      <c r="X282" s="52"/>
      <c r="Y282" s="52"/>
      <c r="Z282" s="52"/>
    </row>
    <row r="283">
      <c r="A283" s="59"/>
      <c r="B283" s="34"/>
      <c r="C283" s="52"/>
      <c r="D283" s="52"/>
      <c r="E283" s="52"/>
      <c r="F283" s="52"/>
      <c r="G283" s="52"/>
      <c r="H283" s="52"/>
      <c r="I283" s="52"/>
      <c r="J283" s="52"/>
      <c r="K283" s="52"/>
      <c r="L283" s="52"/>
      <c r="M283" s="52"/>
      <c r="N283" s="52"/>
      <c r="O283" s="52"/>
      <c r="P283" s="52"/>
      <c r="Q283" s="52"/>
      <c r="R283" s="52"/>
      <c r="S283" s="52"/>
      <c r="T283" s="52"/>
      <c r="U283" s="52"/>
      <c r="V283" s="52"/>
      <c r="W283" s="52"/>
      <c r="X283" s="52"/>
      <c r="Y283" s="52"/>
      <c r="Z283" s="52"/>
    </row>
    <row r="284">
      <c r="A284" s="59"/>
      <c r="B284" s="34"/>
      <c r="C284" s="52"/>
      <c r="D284" s="52"/>
      <c r="E284" s="52"/>
      <c r="F284" s="52"/>
      <c r="G284" s="52"/>
      <c r="H284" s="52"/>
      <c r="I284" s="52"/>
      <c r="J284" s="52"/>
      <c r="K284" s="52"/>
      <c r="L284" s="52"/>
      <c r="M284" s="52"/>
      <c r="N284" s="52"/>
      <c r="O284" s="52"/>
      <c r="P284" s="52"/>
      <c r="Q284" s="52"/>
      <c r="R284" s="52"/>
      <c r="S284" s="52"/>
      <c r="T284" s="52"/>
      <c r="U284" s="52"/>
      <c r="V284" s="52"/>
      <c r="W284" s="52"/>
      <c r="X284" s="52"/>
      <c r="Y284" s="52"/>
      <c r="Z284" s="52"/>
    </row>
    <row r="285">
      <c r="A285" s="59"/>
      <c r="B285" s="34"/>
      <c r="C285" s="52"/>
      <c r="D285" s="52"/>
      <c r="E285" s="52"/>
      <c r="F285" s="52"/>
      <c r="G285" s="52"/>
      <c r="H285" s="52"/>
      <c r="I285" s="52"/>
      <c r="J285" s="52"/>
      <c r="K285" s="52"/>
      <c r="L285" s="52"/>
      <c r="M285" s="52"/>
      <c r="N285" s="52"/>
      <c r="O285" s="52"/>
      <c r="P285" s="52"/>
      <c r="Q285" s="52"/>
      <c r="R285" s="52"/>
      <c r="S285" s="52"/>
      <c r="T285" s="52"/>
      <c r="U285" s="52"/>
      <c r="V285" s="52"/>
      <c r="W285" s="52"/>
      <c r="X285" s="52"/>
      <c r="Y285" s="52"/>
      <c r="Z285" s="52"/>
    </row>
    <row r="286">
      <c r="A286" s="59"/>
      <c r="B286" s="34"/>
      <c r="C286" s="52"/>
      <c r="D286" s="52"/>
      <c r="E286" s="52"/>
      <c r="F286" s="52"/>
      <c r="G286" s="52"/>
      <c r="H286" s="52"/>
      <c r="I286" s="52"/>
      <c r="J286" s="52"/>
      <c r="K286" s="52"/>
      <c r="L286" s="52"/>
      <c r="M286" s="52"/>
      <c r="N286" s="52"/>
      <c r="O286" s="52"/>
      <c r="P286" s="52"/>
      <c r="Q286" s="52"/>
      <c r="R286" s="52"/>
      <c r="S286" s="52"/>
      <c r="T286" s="52"/>
      <c r="U286" s="52"/>
      <c r="V286" s="52"/>
      <c r="W286" s="52"/>
      <c r="X286" s="52"/>
      <c r="Y286" s="52"/>
      <c r="Z286" s="52"/>
    </row>
    <row r="287">
      <c r="A287" s="59"/>
      <c r="B287" s="34"/>
      <c r="C287" s="52"/>
      <c r="D287" s="52"/>
      <c r="E287" s="52"/>
      <c r="F287" s="52"/>
      <c r="G287" s="52"/>
      <c r="H287" s="52"/>
      <c r="I287" s="52"/>
      <c r="J287" s="52"/>
      <c r="K287" s="52"/>
      <c r="L287" s="52"/>
      <c r="M287" s="52"/>
      <c r="N287" s="52"/>
      <c r="O287" s="52"/>
      <c r="P287" s="52"/>
      <c r="Q287" s="52"/>
      <c r="R287" s="52"/>
      <c r="S287" s="52"/>
      <c r="T287" s="52"/>
      <c r="U287" s="52"/>
      <c r="V287" s="52"/>
      <c r="W287" s="52"/>
      <c r="X287" s="52"/>
      <c r="Y287" s="52"/>
      <c r="Z287" s="52"/>
    </row>
    <row r="288">
      <c r="A288" s="59"/>
      <c r="B288" s="34"/>
      <c r="C288" s="52"/>
      <c r="D288" s="52"/>
      <c r="E288" s="52"/>
      <c r="F288" s="52"/>
      <c r="G288" s="52"/>
      <c r="H288" s="52"/>
      <c r="I288" s="52"/>
      <c r="J288" s="52"/>
      <c r="K288" s="52"/>
      <c r="L288" s="52"/>
      <c r="M288" s="52"/>
      <c r="N288" s="52"/>
      <c r="O288" s="52"/>
      <c r="P288" s="52"/>
      <c r="Q288" s="52"/>
      <c r="R288" s="52"/>
      <c r="S288" s="52"/>
      <c r="T288" s="52"/>
      <c r="U288" s="52"/>
      <c r="V288" s="52"/>
      <c r="W288" s="52"/>
      <c r="X288" s="52"/>
      <c r="Y288" s="52"/>
      <c r="Z288" s="52"/>
    </row>
    <row r="289">
      <c r="A289" s="59"/>
      <c r="B289" s="34"/>
      <c r="C289" s="52"/>
      <c r="D289" s="52"/>
      <c r="E289" s="52"/>
      <c r="F289" s="52"/>
      <c r="G289" s="52"/>
      <c r="H289" s="52"/>
      <c r="I289" s="52"/>
      <c r="J289" s="52"/>
      <c r="K289" s="52"/>
      <c r="L289" s="52"/>
      <c r="M289" s="52"/>
      <c r="N289" s="52"/>
      <c r="O289" s="52"/>
      <c r="P289" s="52"/>
      <c r="Q289" s="52"/>
      <c r="R289" s="52"/>
      <c r="S289" s="52"/>
      <c r="T289" s="52"/>
      <c r="U289" s="52"/>
      <c r="V289" s="52"/>
      <c r="W289" s="52"/>
      <c r="X289" s="52"/>
      <c r="Y289" s="52"/>
      <c r="Z289" s="52"/>
    </row>
    <row r="290">
      <c r="A290" s="59"/>
      <c r="B290" s="34"/>
      <c r="C290" s="52"/>
      <c r="D290" s="52"/>
      <c r="E290" s="52"/>
      <c r="F290" s="52"/>
      <c r="G290" s="52"/>
      <c r="H290" s="52"/>
      <c r="I290" s="52"/>
      <c r="J290" s="52"/>
      <c r="K290" s="52"/>
      <c r="L290" s="52"/>
      <c r="M290" s="52"/>
      <c r="N290" s="52"/>
      <c r="O290" s="52"/>
      <c r="P290" s="52"/>
      <c r="Q290" s="52"/>
      <c r="R290" s="52"/>
      <c r="S290" s="52"/>
      <c r="T290" s="52"/>
      <c r="U290" s="52"/>
      <c r="V290" s="52"/>
      <c r="W290" s="52"/>
      <c r="X290" s="52"/>
      <c r="Y290" s="52"/>
      <c r="Z290" s="52"/>
    </row>
    <row r="291">
      <c r="A291" s="59"/>
      <c r="B291" s="34"/>
      <c r="C291" s="52"/>
      <c r="D291" s="52"/>
      <c r="E291" s="52"/>
      <c r="F291" s="52"/>
      <c r="G291" s="52"/>
      <c r="H291" s="52"/>
      <c r="I291" s="52"/>
      <c r="J291" s="52"/>
      <c r="K291" s="52"/>
      <c r="L291" s="52"/>
      <c r="M291" s="52"/>
      <c r="N291" s="52"/>
      <c r="O291" s="52"/>
      <c r="P291" s="52"/>
      <c r="Q291" s="52"/>
      <c r="R291" s="52"/>
      <c r="S291" s="52"/>
      <c r="T291" s="52"/>
      <c r="U291" s="52"/>
      <c r="V291" s="52"/>
      <c r="W291" s="52"/>
      <c r="X291" s="52"/>
      <c r="Y291" s="52"/>
      <c r="Z291" s="52"/>
    </row>
    <row r="292">
      <c r="A292" s="59"/>
      <c r="B292" s="34"/>
      <c r="C292" s="52"/>
      <c r="D292" s="52"/>
      <c r="E292" s="52"/>
      <c r="F292" s="52"/>
      <c r="G292" s="52"/>
      <c r="H292" s="52"/>
      <c r="I292" s="52"/>
      <c r="J292" s="52"/>
      <c r="K292" s="52"/>
      <c r="L292" s="52"/>
      <c r="M292" s="52"/>
      <c r="N292" s="52"/>
      <c r="O292" s="52"/>
      <c r="P292" s="52"/>
      <c r="Q292" s="52"/>
      <c r="R292" s="52"/>
      <c r="S292" s="52"/>
      <c r="T292" s="52"/>
      <c r="U292" s="52"/>
      <c r="V292" s="52"/>
      <c r="W292" s="52"/>
      <c r="X292" s="52"/>
      <c r="Y292" s="52"/>
      <c r="Z292" s="52"/>
    </row>
    <row r="293">
      <c r="A293" s="59"/>
      <c r="B293" s="34"/>
      <c r="C293" s="52"/>
      <c r="D293" s="52"/>
      <c r="E293" s="52"/>
      <c r="F293" s="52"/>
      <c r="G293" s="52"/>
      <c r="H293" s="52"/>
      <c r="I293" s="52"/>
      <c r="J293" s="52"/>
      <c r="K293" s="52"/>
      <c r="L293" s="52"/>
      <c r="M293" s="52"/>
      <c r="N293" s="52"/>
      <c r="O293" s="52"/>
      <c r="P293" s="52"/>
      <c r="Q293" s="52"/>
      <c r="R293" s="52"/>
      <c r="S293" s="52"/>
      <c r="T293" s="52"/>
      <c r="U293" s="52"/>
      <c r="V293" s="52"/>
      <c r="W293" s="52"/>
      <c r="X293" s="52"/>
      <c r="Y293" s="52"/>
      <c r="Z293" s="52"/>
    </row>
    <row r="294">
      <c r="A294" s="59"/>
      <c r="B294" s="34"/>
      <c r="C294" s="52"/>
      <c r="D294" s="52"/>
      <c r="E294" s="52"/>
      <c r="F294" s="52"/>
      <c r="G294" s="52"/>
      <c r="H294" s="52"/>
      <c r="I294" s="52"/>
      <c r="J294" s="52"/>
      <c r="K294" s="52"/>
      <c r="L294" s="52"/>
      <c r="M294" s="52"/>
      <c r="N294" s="52"/>
      <c r="O294" s="52"/>
      <c r="P294" s="52"/>
      <c r="Q294" s="52"/>
      <c r="R294" s="52"/>
      <c r="S294" s="52"/>
      <c r="T294" s="52"/>
      <c r="U294" s="52"/>
      <c r="V294" s="52"/>
      <c r="W294" s="52"/>
      <c r="X294" s="52"/>
      <c r="Y294" s="52"/>
      <c r="Z294" s="52"/>
    </row>
    <row r="295">
      <c r="A295" s="59"/>
      <c r="B295" s="34"/>
      <c r="C295" s="52"/>
      <c r="D295" s="52"/>
      <c r="E295" s="52"/>
      <c r="F295" s="52"/>
      <c r="G295" s="52"/>
      <c r="H295" s="52"/>
      <c r="I295" s="52"/>
      <c r="J295" s="52"/>
      <c r="K295" s="52"/>
      <c r="L295" s="52"/>
      <c r="M295" s="52"/>
      <c r="N295" s="52"/>
      <c r="O295" s="52"/>
      <c r="P295" s="52"/>
      <c r="Q295" s="52"/>
      <c r="R295" s="52"/>
      <c r="S295" s="52"/>
      <c r="T295" s="52"/>
      <c r="U295" s="52"/>
      <c r="V295" s="52"/>
      <c r="W295" s="52"/>
      <c r="X295" s="52"/>
      <c r="Y295" s="52"/>
      <c r="Z295" s="52"/>
    </row>
    <row r="296">
      <c r="A296" s="59"/>
      <c r="B296" s="34"/>
      <c r="C296" s="52"/>
      <c r="D296" s="52"/>
      <c r="E296" s="52"/>
      <c r="F296" s="52"/>
      <c r="G296" s="52"/>
      <c r="H296" s="52"/>
      <c r="I296" s="52"/>
      <c r="J296" s="52"/>
      <c r="K296" s="52"/>
      <c r="L296" s="52"/>
      <c r="M296" s="52"/>
      <c r="N296" s="52"/>
      <c r="O296" s="52"/>
      <c r="P296" s="52"/>
      <c r="Q296" s="52"/>
      <c r="R296" s="52"/>
      <c r="S296" s="52"/>
      <c r="T296" s="52"/>
      <c r="U296" s="52"/>
      <c r="V296" s="52"/>
      <c r="W296" s="52"/>
      <c r="X296" s="52"/>
      <c r="Y296" s="52"/>
      <c r="Z296" s="52"/>
    </row>
    <row r="297">
      <c r="A297" s="59"/>
      <c r="B297" s="34"/>
      <c r="C297" s="52"/>
      <c r="D297" s="52"/>
      <c r="E297" s="52"/>
      <c r="F297" s="52"/>
      <c r="G297" s="52"/>
      <c r="H297" s="52"/>
      <c r="I297" s="52"/>
      <c r="J297" s="52"/>
      <c r="K297" s="52"/>
      <c r="L297" s="52"/>
      <c r="M297" s="52"/>
      <c r="N297" s="52"/>
      <c r="O297" s="52"/>
      <c r="P297" s="52"/>
      <c r="Q297" s="52"/>
      <c r="R297" s="52"/>
      <c r="S297" s="52"/>
      <c r="T297" s="52"/>
      <c r="U297" s="52"/>
      <c r="V297" s="52"/>
      <c r="W297" s="52"/>
      <c r="X297" s="52"/>
      <c r="Y297" s="52"/>
      <c r="Z297" s="52"/>
    </row>
    <row r="298">
      <c r="A298" s="59"/>
      <c r="B298" s="34"/>
      <c r="C298" s="52"/>
      <c r="D298" s="52"/>
      <c r="E298" s="52"/>
      <c r="F298" s="52"/>
      <c r="G298" s="52"/>
      <c r="H298" s="52"/>
      <c r="I298" s="52"/>
      <c r="J298" s="52"/>
      <c r="K298" s="52"/>
      <c r="L298" s="52"/>
      <c r="M298" s="52"/>
      <c r="N298" s="52"/>
      <c r="O298" s="52"/>
      <c r="P298" s="52"/>
      <c r="Q298" s="52"/>
      <c r="R298" s="52"/>
      <c r="S298" s="52"/>
      <c r="T298" s="52"/>
      <c r="U298" s="52"/>
      <c r="V298" s="52"/>
      <c r="W298" s="52"/>
      <c r="X298" s="52"/>
      <c r="Y298" s="52"/>
      <c r="Z298" s="52"/>
    </row>
    <row r="299">
      <c r="A299" s="59"/>
      <c r="B299" s="34"/>
      <c r="C299" s="52"/>
      <c r="D299" s="52"/>
      <c r="E299" s="52"/>
      <c r="F299" s="52"/>
      <c r="G299" s="52"/>
      <c r="H299" s="52"/>
      <c r="I299" s="52"/>
      <c r="J299" s="52"/>
      <c r="K299" s="52"/>
      <c r="L299" s="52"/>
      <c r="M299" s="52"/>
      <c r="N299" s="52"/>
      <c r="O299" s="52"/>
      <c r="P299" s="52"/>
      <c r="Q299" s="52"/>
      <c r="R299" s="52"/>
      <c r="S299" s="52"/>
      <c r="T299" s="52"/>
      <c r="U299" s="52"/>
      <c r="V299" s="52"/>
      <c r="W299" s="52"/>
      <c r="X299" s="52"/>
      <c r="Y299" s="52"/>
      <c r="Z299" s="52"/>
    </row>
    <row r="300">
      <c r="A300" s="59"/>
      <c r="B300" s="34"/>
      <c r="C300" s="52"/>
      <c r="D300" s="52"/>
      <c r="E300" s="52"/>
      <c r="F300" s="52"/>
      <c r="G300" s="52"/>
      <c r="H300" s="52"/>
      <c r="I300" s="52"/>
      <c r="J300" s="52"/>
      <c r="K300" s="52"/>
      <c r="L300" s="52"/>
      <c r="M300" s="52"/>
      <c r="N300" s="52"/>
      <c r="O300" s="52"/>
      <c r="P300" s="52"/>
      <c r="Q300" s="52"/>
      <c r="R300" s="52"/>
      <c r="S300" s="52"/>
      <c r="T300" s="52"/>
      <c r="U300" s="52"/>
      <c r="V300" s="52"/>
      <c r="W300" s="52"/>
      <c r="X300" s="52"/>
      <c r="Y300" s="52"/>
      <c r="Z300" s="52"/>
    </row>
    <row r="301">
      <c r="A301" s="59"/>
      <c r="B301" s="34"/>
      <c r="C301" s="52"/>
      <c r="D301" s="52"/>
      <c r="E301" s="52"/>
      <c r="F301" s="52"/>
      <c r="G301" s="52"/>
      <c r="H301" s="52"/>
      <c r="I301" s="52"/>
      <c r="J301" s="52"/>
      <c r="K301" s="52"/>
      <c r="L301" s="52"/>
      <c r="M301" s="52"/>
      <c r="N301" s="52"/>
      <c r="O301" s="52"/>
      <c r="P301" s="52"/>
      <c r="Q301" s="52"/>
      <c r="R301" s="52"/>
      <c r="S301" s="52"/>
      <c r="T301" s="52"/>
      <c r="U301" s="52"/>
      <c r="V301" s="52"/>
      <c r="W301" s="52"/>
      <c r="X301" s="52"/>
      <c r="Y301" s="52"/>
      <c r="Z301" s="52"/>
    </row>
    <row r="302">
      <c r="A302" s="59"/>
      <c r="B302" s="34"/>
      <c r="C302" s="52"/>
      <c r="D302" s="52"/>
      <c r="E302" s="52"/>
      <c r="F302" s="52"/>
      <c r="G302" s="52"/>
      <c r="H302" s="52"/>
      <c r="I302" s="52"/>
      <c r="J302" s="52"/>
      <c r="K302" s="52"/>
      <c r="L302" s="52"/>
      <c r="M302" s="52"/>
      <c r="N302" s="52"/>
      <c r="O302" s="52"/>
      <c r="P302" s="52"/>
      <c r="Q302" s="52"/>
      <c r="R302" s="52"/>
      <c r="S302" s="52"/>
      <c r="T302" s="52"/>
      <c r="U302" s="52"/>
      <c r="V302" s="52"/>
      <c r="W302" s="52"/>
      <c r="X302" s="52"/>
      <c r="Y302" s="52"/>
      <c r="Z302" s="52"/>
    </row>
    <row r="303">
      <c r="A303" s="59"/>
      <c r="B303" s="34"/>
      <c r="C303" s="52"/>
      <c r="D303" s="52"/>
      <c r="E303" s="52"/>
      <c r="F303" s="52"/>
      <c r="G303" s="52"/>
      <c r="H303" s="52"/>
      <c r="I303" s="52"/>
      <c r="J303" s="52"/>
      <c r="K303" s="52"/>
      <c r="L303" s="52"/>
      <c r="M303" s="52"/>
      <c r="N303" s="52"/>
      <c r="O303" s="52"/>
      <c r="P303" s="52"/>
      <c r="Q303" s="52"/>
      <c r="R303" s="52"/>
      <c r="S303" s="52"/>
      <c r="T303" s="52"/>
      <c r="U303" s="52"/>
      <c r="V303" s="52"/>
      <c r="W303" s="52"/>
      <c r="X303" s="52"/>
      <c r="Y303" s="52"/>
      <c r="Z303" s="52"/>
    </row>
    <row r="304">
      <c r="A304" s="59"/>
      <c r="B304" s="34"/>
      <c r="C304" s="52"/>
      <c r="D304" s="52"/>
      <c r="E304" s="52"/>
      <c r="F304" s="52"/>
      <c r="G304" s="52"/>
      <c r="H304" s="52"/>
      <c r="I304" s="52"/>
      <c r="J304" s="52"/>
      <c r="K304" s="52"/>
      <c r="L304" s="52"/>
      <c r="M304" s="52"/>
      <c r="N304" s="52"/>
      <c r="O304" s="52"/>
      <c r="P304" s="52"/>
      <c r="Q304" s="52"/>
      <c r="R304" s="52"/>
      <c r="S304" s="52"/>
      <c r="T304" s="52"/>
      <c r="U304" s="52"/>
      <c r="V304" s="52"/>
      <c r="W304" s="52"/>
      <c r="X304" s="52"/>
      <c r="Y304" s="52"/>
      <c r="Z304" s="52"/>
    </row>
    <row r="305">
      <c r="A305" s="59"/>
      <c r="B305" s="34"/>
      <c r="C305" s="52"/>
      <c r="D305" s="52"/>
      <c r="E305" s="52"/>
      <c r="F305" s="52"/>
      <c r="G305" s="52"/>
      <c r="H305" s="52"/>
      <c r="I305" s="52"/>
      <c r="J305" s="52"/>
      <c r="K305" s="52"/>
      <c r="L305" s="52"/>
      <c r="M305" s="52"/>
      <c r="N305" s="52"/>
      <c r="O305" s="52"/>
      <c r="P305" s="52"/>
      <c r="Q305" s="52"/>
      <c r="R305" s="52"/>
      <c r="S305" s="52"/>
      <c r="T305" s="52"/>
      <c r="U305" s="52"/>
      <c r="V305" s="52"/>
      <c r="W305" s="52"/>
      <c r="X305" s="52"/>
      <c r="Y305" s="52"/>
      <c r="Z305" s="52"/>
    </row>
    <row r="306">
      <c r="A306" s="59"/>
      <c r="B306" s="34"/>
      <c r="C306" s="52"/>
      <c r="D306" s="52"/>
      <c r="E306" s="52"/>
      <c r="F306" s="52"/>
      <c r="G306" s="52"/>
      <c r="H306" s="52"/>
      <c r="I306" s="52"/>
      <c r="J306" s="52"/>
      <c r="K306" s="52"/>
      <c r="L306" s="52"/>
      <c r="M306" s="52"/>
      <c r="N306" s="52"/>
      <c r="O306" s="52"/>
      <c r="P306" s="52"/>
      <c r="Q306" s="52"/>
      <c r="R306" s="52"/>
      <c r="S306" s="52"/>
      <c r="T306" s="52"/>
      <c r="U306" s="52"/>
      <c r="V306" s="52"/>
      <c r="W306" s="52"/>
      <c r="X306" s="52"/>
      <c r="Y306" s="52"/>
      <c r="Z306" s="52"/>
    </row>
    <row r="307">
      <c r="A307" s="59"/>
      <c r="B307" s="34"/>
      <c r="C307" s="52"/>
      <c r="D307" s="52"/>
      <c r="E307" s="52"/>
      <c r="F307" s="52"/>
      <c r="G307" s="52"/>
      <c r="H307" s="52"/>
      <c r="I307" s="52"/>
      <c r="J307" s="52"/>
      <c r="K307" s="52"/>
      <c r="L307" s="52"/>
      <c r="M307" s="52"/>
      <c r="N307" s="52"/>
      <c r="O307" s="52"/>
      <c r="P307" s="52"/>
      <c r="Q307" s="52"/>
      <c r="R307" s="52"/>
      <c r="S307" s="52"/>
      <c r="T307" s="52"/>
      <c r="U307" s="52"/>
      <c r="V307" s="52"/>
      <c r="W307" s="52"/>
      <c r="X307" s="52"/>
      <c r="Y307" s="52"/>
      <c r="Z307" s="52"/>
    </row>
    <row r="308">
      <c r="A308" s="59"/>
      <c r="B308" s="34"/>
      <c r="C308" s="52"/>
      <c r="D308" s="52"/>
      <c r="E308" s="52"/>
      <c r="F308" s="52"/>
      <c r="G308" s="52"/>
      <c r="H308" s="52"/>
      <c r="I308" s="52"/>
      <c r="J308" s="52"/>
      <c r="K308" s="52"/>
      <c r="L308" s="52"/>
      <c r="M308" s="52"/>
      <c r="N308" s="52"/>
      <c r="O308" s="52"/>
      <c r="P308" s="52"/>
      <c r="Q308" s="52"/>
      <c r="R308" s="52"/>
      <c r="S308" s="52"/>
      <c r="T308" s="52"/>
      <c r="U308" s="52"/>
      <c r="V308" s="52"/>
      <c r="W308" s="52"/>
      <c r="X308" s="52"/>
      <c r="Y308" s="52"/>
      <c r="Z308" s="52"/>
    </row>
    <row r="309">
      <c r="A309" s="59"/>
      <c r="B309" s="34"/>
      <c r="C309" s="52"/>
      <c r="D309" s="52"/>
      <c r="E309" s="52"/>
      <c r="F309" s="52"/>
      <c r="G309" s="52"/>
      <c r="H309" s="52"/>
      <c r="I309" s="52"/>
      <c r="J309" s="52"/>
      <c r="K309" s="52"/>
      <c r="L309" s="52"/>
      <c r="M309" s="52"/>
      <c r="N309" s="52"/>
      <c r="O309" s="52"/>
      <c r="P309" s="52"/>
      <c r="Q309" s="52"/>
      <c r="R309" s="52"/>
      <c r="S309" s="52"/>
      <c r="T309" s="52"/>
      <c r="U309" s="52"/>
      <c r="V309" s="52"/>
      <c r="W309" s="52"/>
      <c r="X309" s="52"/>
      <c r="Y309" s="52"/>
      <c r="Z309" s="52"/>
    </row>
    <row r="310">
      <c r="A310" s="59"/>
      <c r="B310" s="34"/>
      <c r="C310" s="52"/>
      <c r="D310" s="52"/>
      <c r="E310" s="52"/>
      <c r="F310" s="52"/>
      <c r="G310" s="52"/>
      <c r="H310" s="52"/>
      <c r="I310" s="52"/>
      <c r="J310" s="52"/>
      <c r="K310" s="52"/>
      <c r="L310" s="52"/>
      <c r="M310" s="52"/>
      <c r="N310" s="52"/>
      <c r="O310" s="52"/>
      <c r="P310" s="52"/>
      <c r="Q310" s="52"/>
      <c r="R310" s="52"/>
      <c r="S310" s="52"/>
      <c r="T310" s="52"/>
      <c r="U310" s="52"/>
      <c r="V310" s="52"/>
      <c r="W310" s="52"/>
      <c r="X310" s="52"/>
      <c r="Y310" s="52"/>
      <c r="Z310" s="52"/>
    </row>
    <row r="311">
      <c r="A311" s="59"/>
      <c r="B311" s="34"/>
      <c r="C311" s="52"/>
      <c r="D311" s="52"/>
      <c r="E311" s="52"/>
      <c r="F311" s="52"/>
      <c r="G311" s="52"/>
      <c r="H311" s="52"/>
      <c r="I311" s="52"/>
      <c r="J311" s="52"/>
      <c r="K311" s="52"/>
      <c r="L311" s="52"/>
      <c r="M311" s="52"/>
      <c r="N311" s="52"/>
      <c r="O311" s="52"/>
      <c r="P311" s="52"/>
      <c r="Q311" s="52"/>
      <c r="R311" s="52"/>
      <c r="S311" s="52"/>
      <c r="T311" s="52"/>
      <c r="U311" s="52"/>
      <c r="V311" s="52"/>
      <c r="W311" s="52"/>
      <c r="X311" s="52"/>
      <c r="Y311" s="52"/>
      <c r="Z311" s="52"/>
    </row>
    <row r="312">
      <c r="A312" s="59"/>
      <c r="B312" s="34"/>
      <c r="C312" s="52"/>
      <c r="D312" s="52"/>
      <c r="E312" s="52"/>
      <c r="F312" s="52"/>
      <c r="G312" s="52"/>
      <c r="H312" s="52"/>
      <c r="I312" s="52"/>
      <c r="J312" s="52"/>
      <c r="K312" s="52"/>
      <c r="L312" s="52"/>
      <c r="M312" s="52"/>
      <c r="N312" s="52"/>
      <c r="O312" s="52"/>
      <c r="P312" s="52"/>
      <c r="Q312" s="52"/>
      <c r="R312" s="52"/>
      <c r="S312" s="52"/>
      <c r="T312" s="52"/>
      <c r="U312" s="52"/>
      <c r="V312" s="52"/>
      <c r="W312" s="52"/>
      <c r="X312" s="52"/>
      <c r="Y312" s="52"/>
      <c r="Z312" s="52"/>
    </row>
    <row r="313">
      <c r="A313" s="59"/>
      <c r="B313" s="34"/>
      <c r="C313" s="52"/>
      <c r="D313" s="52"/>
      <c r="E313" s="52"/>
      <c r="F313" s="52"/>
      <c r="G313" s="52"/>
      <c r="H313" s="52"/>
      <c r="I313" s="52"/>
      <c r="J313" s="52"/>
      <c r="K313" s="52"/>
      <c r="L313" s="52"/>
      <c r="M313" s="52"/>
      <c r="N313" s="52"/>
      <c r="O313" s="52"/>
      <c r="P313" s="52"/>
      <c r="Q313" s="52"/>
      <c r="R313" s="52"/>
      <c r="S313" s="52"/>
      <c r="T313" s="52"/>
      <c r="U313" s="52"/>
      <c r="V313" s="52"/>
      <c r="W313" s="52"/>
      <c r="X313" s="52"/>
      <c r="Y313" s="52"/>
      <c r="Z313" s="52"/>
    </row>
    <row r="314">
      <c r="A314" s="59"/>
      <c r="B314" s="34"/>
      <c r="C314" s="52"/>
      <c r="D314" s="52"/>
      <c r="E314" s="52"/>
      <c r="F314" s="52"/>
      <c r="G314" s="52"/>
      <c r="H314" s="52"/>
      <c r="I314" s="52"/>
      <c r="J314" s="52"/>
      <c r="K314" s="52"/>
      <c r="L314" s="52"/>
      <c r="M314" s="52"/>
      <c r="N314" s="52"/>
      <c r="O314" s="52"/>
      <c r="P314" s="52"/>
      <c r="Q314" s="52"/>
      <c r="R314" s="52"/>
      <c r="S314" s="52"/>
      <c r="T314" s="52"/>
      <c r="U314" s="52"/>
      <c r="V314" s="52"/>
      <c r="W314" s="52"/>
      <c r="X314" s="52"/>
      <c r="Y314" s="52"/>
      <c r="Z314" s="52"/>
    </row>
    <row r="315">
      <c r="A315" s="59"/>
      <c r="B315" s="34"/>
      <c r="C315" s="52"/>
      <c r="D315" s="52"/>
      <c r="E315" s="52"/>
      <c r="F315" s="52"/>
      <c r="G315" s="52"/>
      <c r="H315" s="52"/>
      <c r="I315" s="52"/>
      <c r="J315" s="52"/>
      <c r="K315" s="52"/>
      <c r="L315" s="52"/>
      <c r="M315" s="52"/>
      <c r="N315" s="52"/>
      <c r="O315" s="52"/>
      <c r="P315" s="52"/>
      <c r="Q315" s="52"/>
      <c r="R315" s="52"/>
      <c r="S315" s="52"/>
      <c r="T315" s="52"/>
      <c r="U315" s="52"/>
      <c r="V315" s="52"/>
      <c r="W315" s="52"/>
      <c r="X315" s="52"/>
      <c r="Y315" s="52"/>
      <c r="Z315" s="52"/>
    </row>
    <row r="316">
      <c r="A316" s="59"/>
      <c r="B316" s="34"/>
      <c r="C316" s="52"/>
      <c r="D316" s="52"/>
      <c r="E316" s="52"/>
      <c r="F316" s="52"/>
      <c r="G316" s="52"/>
      <c r="H316" s="52"/>
      <c r="I316" s="52"/>
      <c r="J316" s="52"/>
      <c r="K316" s="52"/>
      <c r="L316" s="52"/>
      <c r="M316" s="52"/>
      <c r="N316" s="52"/>
      <c r="O316" s="52"/>
      <c r="P316" s="52"/>
      <c r="Q316" s="52"/>
      <c r="R316" s="52"/>
      <c r="S316" s="52"/>
      <c r="T316" s="52"/>
      <c r="U316" s="52"/>
      <c r="V316" s="52"/>
      <c r="W316" s="52"/>
      <c r="X316" s="52"/>
      <c r="Y316" s="52"/>
      <c r="Z316" s="52"/>
    </row>
    <row r="317">
      <c r="A317" s="59"/>
      <c r="B317" s="34"/>
      <c r="C317" s="52"/>
      <c r="D317" s="52"/>
      <c r="E317" s="52"/>
      <c r="F317" s="52"/>
      <c r="G317" s="52"/>
      <c r="H317" s="52"/>
      <c r="I317" s="52"/>
      <c r="J317" s="52"/>
      <c r="K317" s="52"/>
      <c r="L317" s="52"/>
      <c r="M317" s="52"/>
      <c r="N317" s="52"/>
      <c r="O317" s="52"/>
      <c r="P317" s="52"/>
      <c r="Q317" s="52"/>
      <c r="R317" s="52"/>
      <c r="S317" s="52"/>
      <c r="T317" s="52"/>
      <c r="U317" s="52"/>
      <c r="V317" s="52"/>
      <c r="W317" s="52"/>
      <c r="X317" s="52"/>
      <c r="Y317" s="52"/>
      <c r="Z317" s="52"/>
    </row>
    <row r="318">
      <c r="A318" s="59"/>
      <c r="B318" s="34"/>
      <c r="C318" s="52"/>
      <c r="D318" s="52"/>
      <c r="E318" s="52"/>
      <c r="F318" s="52"/>
      <c r="G318" s="52"/>
      <c r="H318" s="52"/>
      <c r="I318" s="52"/>
      <c r="J318" s="52"/>
      <c r="K318" s="52"/>
      <c r="L318" s="52"/>
      <c r="M318" s="52"/>
      <c r="N318" s="52"/>
      <c r="O318" s="52"/>
      <c r="P318" s="52"/>
      <c r="Q318" s="52"/>
      <c r="R318" s="52"/>
      <c r="S318" s="52"/>
      <c r="T318" s="52"/>
      <c r="U318" s="52"/>
      <c r="V318" s="52"/>
      <c r="W318" s="52"/>
      <c r="X318" s="52"/>
      <c r="Y318" s="52"/>
      <c r="Z318" s="52"/>
    </row>
    <row r="319">
      <c r="A319" s="59"/>
      <c r="B319" s="34"/>
      <c r="C319" s="52"/>
      <c r="D319" s="52"/>
      <c r="E319" s="52"/>
      <c r="F319" s="52"/>
      <c r="G319" s="52"/>
      <c r="H319" s="52"/>
      <c r="I319" s="52"/>
      <c r="J319" s="52"/>
      <c r="K319" s="52"/>
      <c r="L319" s="52"/>
      <c r="M319" s="52"/>
      <c r="N319" s="52"/>
      <c r="O319" s="52"/>
      <c r="P319" s="52"/>
      <c r="Q319" s="52"/>
      <c r="R319" s="52"/>
      <c r="S319" s="52"/>
      <c r="T319" s="52"/>
      <c r="U319" s="52"/>
      <c r="V319" s="52"/>
      <c r="W319" s="52"/>
      <c r="X319" s="52"/>
      <c r="Y319" s="52"/>
      <c r="Z319" s="52"/>
    </row>
    <row r="320">
      <c r="A320" s="59"/>
      <c r="B320" s="34"/>
      <c r="C320" s="52"/>
      <c r="D320" s="52"/>
      <c r="E320" s="52"/>
      <c r="F320" s="52"/>
      <c r="G320" s="52"/>
      <c r="H320" s="52"/>
      <c r="I320" s="52"/>
      <c r="J320" s="52"/>
      <c r="K320" s="52"/>
      <c r="L320" s="52"/>
      <c r="M320" s="52"/>
      <c r="N320" s="52"/>
      <c r="O320" s="52"/>
      <c r="P320" s="52"/>
      <c r="Q320" s="52"/>
      <c r="R320" s="52"/>
      <c r="S320" s="52"/>
      <c r="T320" s="52"/>
      <c r="U320" s="52"/>
      <c r="V320" s="52"/>
      <c r="W320" s="52"/>
      <c r="X320" s="52"/>
      <c r="Y320" s="52"/>
      <c r="Z320" s="52"/>
    </row>
    <row r="321">
      <c r="A321" s="59"/>
      <c r="B321" s="34"/>
      <c r="C321" s="52"/>
      <c r="D321" s="52"/>
      <c r="E321" s="52"/>
      <c r="F321" s="52"/>
      <c r="G321" s="52"/>
      <c r="H321" s="52"/>
      <c r="I321" s="52"/>
      <c r="J321" s="52"/>
      <c r="K321" s="52"/>
      <c r="L321" s="52"/>
      <c r="M321" s="52"/>
      <c r="N321" s="52"/>
      <c r="O321" s="52"/>
      <c r="P321" s="52"/>
      <c r="Q321" s="52"/>
      <c r="R321" s="52"/>
      <c r="S321" s="52"/>
      <c r="T321" s="52"/>
      <c r="U321" s="52"/>
      <c r="V321" s="52"/>
      <c r="W321" s="52"/>
      <c r="X321" s="52"/>
      <c r="Y321" s="52"/>
      <c r="Z321" s="52"/>
    </row>
    <row r="322">
      <c r="A322" s="59"/>
      <c r="B322" s="34"/>
      <c r="C322" s="52"/>
      <c r="D322" s="52"/>
      <c r="E322" s="52"/>
      <c r="F322" s="52"/>
      <c r="G322" s="52"/>
      <c r="H322" s="52"/>
      <c r="I322" s="52"/>
      <c r="J322" s="52"/>
      <c r="K322" s="52"/>
      <c r="L322" s="52"/>
      <c r="M322" s="52"/>
      <c r="N322" s="52"/>
      <c r="O322" s="52"/>
      <c r="P322" s="52"/>
      <c r="Q322" s="52"/>
      <c r="R322" s="52"/>
      <c r="S322" s="52"/>
      <c r="T322" s="52"/>
      <c r="U322" s="52"/>
      <c r="V322" s="52"/>
      <c r="W322" s="52"/>
      <c r="X322" s="52"/>
      <c r="Y322" s="52"/>
      <c r="Z322" s="52"/>
    </row>
    <row r="323">
      <c r="A323" s="59"/>
      <c r="B323" s="34"/>
      <c r="C323" s="52"/>
      <c r="D323" s="52"/>
      <c r="E323" s="52"/>
      <c r="F323" s="52"/>
      <c r="G323" s="52"/>
      <c r="H323" s="52"/>
      <c r="I323" s="52"/>
      <c r="J323" s="52"/>
      <c r="K323" s="52"/>
      <c r="L323" s="52"/>
      <c r="M323" s="52"/>
      <c r="N323" s="52"/>
      <c r="O323" s="52"/>
      <c r="P323" s="52"/>
      <c r="Q323" s="52"/>
      <c r="R323" s="52"/>
      <c r="S323" s="52"/>
      <c r="T323" s="52"/>
      <c r="U323" s="52"/>
      <c r="V323" s="52"/>
      <c r="W323" s="52"/>
      <c r="X323" s="52"/>
      <c r="Y323" s="52"/>
      <c r="Z323" s="52"/>
    </row>
    <row r="324">
      <c r="A324" s="59"/>
      <c r="B324" s="34"/>
      <c r="C324" s="52"/>
      <c r="D324" s="52"/>
      <c r="E324" s="52"/>
      <c r="F324" s="52"/>
      <c r="G324" s="52"/>
      <c r="H324" s="52"/>
      <c r="I324" s="52"/>
      <c r="J324" s="52"/>
      <c r="K324" s="52"/>
      <c r="L324" s="52"/>
      <c r="M324" s="52"/>
      <c r="N324" s="52"/>
      <c r="O324" s="52"/>
      <c r="P324" s="52"/>
      <c r="Q324" s="52"/>
      <c r="R324" s="52"/>
      <c r="S324" s="52"/>
      <c r="T324" s="52"/>
      <c r="U324" s="52"/>
      <c r="V324" s="52"/>
      <c r="W324" s="52"/>
      <c r="X324" s="52"/>
      <c r="Y324" s="52"/>
      <c r="Z324" s="52"/>
    </row>
    <row r="325">
      <c r="A325" s="59"/>
      <c r="B325" s="34"/>
      <c r="C325" s="52"/>
      <c r="D325" s="52"/>
      <c r="E325" s="52"/>
      <c r="F325" s="52"/>
      <c r="G325" s="52"/>
      <c r="H325" s="52"/>
      <c r="I325" s="52"/>
      <c r="J325" s="52"/>
      <c r="K325" s="52"/>
      <c r="L325" s="52"/>
      <c r="M325" s="52"/>
      <c r="N325" s="52"/>
      <c r="O325" s="52"/>
      <c r="P325" s="52"/>
      <c r="Q325" s="52"/>
      <c r="R325" s="52"/>
      <c r="S325" s="52"/>
      <c r="T325" s="52"/>
      <c r="U325" s="52"/>
      <c r="V325" s="52"/>
      <c r="W325" s="52"/>
      <c r="X325" s="52"/>
      <c r="Y325" s="52"/>
      <c r="Z325" s="52"/>
    </row>
    <row r="326">
      <c r="A326" s="59"/>
      <c r="B326" s="34"/>
      <c r="C326" s="52"/>
      <c r="D326" s="52"/>
      <c r="E326" s="52"/>
      <c r="F326" s="52"/>
      <c r="G326" s="52"/>
      <c r="H326" s="52"/>
      <c r="I326" s="52"/>
      <c r="J326" s="52"/>
      <c r="K326" s="52"/>
      <c r="L326" s="52"/>
      <c r="M326" s="52"/>
      <c r="N326" s="52"/>
      <c r="O326" s="52"/>
      <c r="P326" s="52"/>
      <c r="Q326" s="52"/>
      <c r="R326" s="52"/>
      <c r="S326" s="52"/>
      <c r="T326" s="52"/>
      <c r="U326" s="52"/>
      <c r="V326" s="52"/>
      <c r="W326" s="52"/>
      <c r="X326" s="52"/>
      <c r="Y326" s="52"/>
      <c r="Z326" s="52"/>
    </row>
    <row r="327">
      <c r="A327" s="59"/>
      <c r="B327" s="34"/>
      <c r="C327" s="52"/>
      <c r="D327" s="52"/>
      <c r="E327" s="52"/>
      <c r="F327" s="52"/>
      <c r="G327" s="52"/>
      <c r="H327" s="52"/>
      <c r="I327" s="52"/>
      <c r="J327" s="52"/>
      <c r="K327" s="52"/>
      <c r="L327" s="52"/>
      <c r="M327" s="52"/>
      <c r="N327" s="52"/>
      <c r="O327" s="52"/>
      <c r="P327" s="52"/>
      <c r="Q327" s="52"/>
      <c r="R327" s="52"/>
      <c r="S327" s="52"/>
      <c r="T327" s="52"/>
      <c r="U327" s="52"/>
      <c r="V327" s="52"/>
      <c r="W327" s="52"/>
      <c r="X327" s="52"/>
      <c r="Y327" s="52"/>
      <c r="Z327" s="52"/>
    </row>
    <row r="328">
      <c r="A328" s="59"/>
      <c r="B328" s="34"/>
      <c r="C328" s="52"/>
      <c r="D328" s="52"/>
      <c r="E328" s="52"/>
      <c r="F328" s="52"/>
      <c r="G328" s="52"/>
      <c r="H328" s="52"/>
      <c r="I328" s="52"/>
      <c r="J328" s="52"/>
      <c r="K328" s="52"/>
      <c r="L328" s="52"/>
      <c r="M328" s="52"/>
      <c r="N328" s="52"/>
      <c r="O328" s="52"/>
      <c r="P328" s="52"/>
      <c r="Q328" s="52"/>
      <c r="R328" s="52"/>
      <c r="S328" s="52"/>
      <c r="T328" s="52"/>
      <c r="U328" s="52"/>
      <c r="V328" s="52"/>
      <c r="W328" s="52"/>
      <c r="X328" s="52"/>
      <c r="Y328" s="52"/>
      <c r="Z328" s="52"/>
    </row>
    <row r="329">
      <c r="A329" s="59"/>
      <c r="B329" s="34"/>
      <c r="C329" s="52"/>
      <c r="D329" s="52"/>
      <c r="E329" s="52"/>
      <c r="F329" s="52"/>
      <c r="G329" s="52"/>
      <c r="H329" s="52"/>
      <c r="I329" s="52"/>
      <c r="J329" s="52"/>
      <c r="K329" s="52"/>
      <c r="L329" s="52"/>
      <c r="M329" s="52"/>
      <c r="N329" s="52"/>
      <c r="O329" s="52"/>
      <c r="P329" s="52"/>
      <c r="Q329" s="52"/>
      <c r="R329" s="52"/>
      <c r="S329" s="52"/>
      <c r="T329" s="52"/>
      <c r="U329" s="52"/>
      <c r="V329" s="52"/>
      <c r="W329" s="52"/>
      <c r="X329" s="52"/>
      <c r="Y329" s="52"/>
      <c r="Z329" s="52"/>
    </row>
    <row r="330">
      <c r="A330" s="59"/>
      <c r="B330" s="34"/>
      <c r="C330" s="52"/>
      <c r="D330" s="52"/>
      <c r="E330" s="52"/>
      <c r="F330" s="52"/>
      <c r="G330" s="52"/>
      <c r="H330" s="52"/>
      <c r="I330" s="52"/>
      <c r="J330" s="52"/>
      <c r="K330" s="52"/>
      <c r="L330" s="52"/>
      <c r="M330" s="52"/>
      <c r="N330" s="52"/>
      <c r="O330" s="52"/>
      <c r="P330" s="52"/>
      <c r="Q330" s="52"/>
      <c r="R330" s="52"/>
      <c r="S330" s="52"/>
      <c r="T330" s="52"/>
      <c r="U330" s="52"/>
      <c r="V330" s="52"/>
      <c r="W330" s="52"/>
      <c r="X330" s="52"/>
      <c r="Y330" s="52"/>
      <c r="Z330" s="52"/>
    </row>
    <row r="331">
      <c r="A331" s="59"/>
      <c r="B331" s="34"/>
      <c r="C331" s="52"/>
      <c r="D331" s="52"/>
      <c r="E331" s="52"/>
      <c r="F331" s="52"/>
      <c r="G331" s="52"/>
      <c r="H331" s="52"/>
      <c r="I331" s="52"/>
      <c r="J331" s="52"/>
      <c r="K331" s="52"/>
      <c r="L331" s="52"/>
      <c r="M331" s="52"/>
      <c r="N331" s="52"/>
      <c r="O331" s="52"/>
      <c r="P331" s="52"/>
      <c r="Q331" s="52"/>
      <c r="R331" s="52"/>
      <c r="S331" s="52"/>
      <c r="T331" s="52"/>
      <c r="U331" s="52"/>
      <c r="V331" s="52"/>
      <c r="W331" s="52"/>
      <c r="X331" s="52"/>
      <c r="Y331" s="52"/>
      <c r="Z331" s="52"/>
    </row>
    <row r="332">
      <c r="A332" s="59"/>
      <c r="B332" s="34"/>
      <c r="C332" s="52"/>
      <c r="D332" s="52"/>
      <c r="E332" s="52"/>
      <c r="F332" s="52"/>
      <c r="G332" s="52"/>
      <c r="H332" s="52"/>
      <c r="I332" s="52"/>
      <c r="J332" s="52"/>
      <c r="K332" s="52"/>
      <c r="L332" s="52"/>
      <c r="M332" s="52"/>
      <c r="N332" s="52"/>
      <c r="O332" s="52"/>
      <c r="P332" s="52"/>
      <c r="Q332" s="52"/>
      <c r="R332" s="52"/>
      <c r="S332" s="52"/>
      <c r="T332" s="52"/>
      <c r="U332" s="52"/>
      <c r="V332" s="52"/>
      <c r="W332" s="52"/>
      <c r="X332" s="52"/>
      <c r="Y332" s="52"/>
      <c r="Z332" s="52"/>
    </row>
    <row r="333">
      <c r="A333" s="59"/>
      <c r="B333" s="34"/>
      <c r="C333" s="52"/>
      <c r="D333" s="52"/>
      <c r="E333" s="52"/>
      <c r="F333" s="52"/>
      <c r="G333" s="52"/>
      <c r="H333" s="52"/>
      <c r="I333" s="52"/>
      <c r="J333" s="52"/>
      <c r="K333" s="52"/>
      <c r="L333" s="52"/>
      <c r="M333" s="52"/>
      <c r="N333" s="52"/>
      <c r="O333" s="52"/>
      <c r="P333" s="52"/>
      <c r="Q333" s="52"/>
      <c r="R333" s="52"/>
      <c r="S333" s="52"/>
      <c r="T333" s="52"/>
      <c r="U333" s="52"/>
      <c r="V333" s="52"/>
      <c r="W333" s="52"/>
      <c r="X333" s="52"/>
      <c r="Y333" s="52"/>
      <c r="Z333" s="52"/>
    </row>
    <row r="334">
      <c r="A334" s="59"/>
      <c r="B334" s="34"/>
      <c r="C334" s="52"/>
      <c r="D334" s="52"/>
      <c r="E334" s="52"/>
      <c r="F334" s="52"/>
      <c r="G334" s="52"/>
      <c r="H334" s="52"/>
      <c r="I334" s="52"/>
      <c r="J334" s="52"/>
      <c r="K334" s="52"/>
      <c r="L334" s="52"/>
      <c r="M334" s="52"/>
      <c r="N334" s="52"/>
      <c r="O334" s="52"/>
      <c r="P334" s="52"/>
      <c r="Q334" s="52"/>
      <c r="R334" s="52"/>
      <c r="S334" s="52"/>
      <c r="T334" s="52"/>
      <c r="U334" s="52"/>
      <c r="V334" s="52"/>
      <c r="W334" s="52"/>
      <c r="X334" s="52"/>
      <c r="Y334" s="52"/>
      <c r="Z334" s="52"/>
    </row>
    <row r="335">
      <c r="A335" s="59"/>
      <c r="B335" s="34"/>
      <c r="C335" s="52"/>
      <c r="D335" s="52"/>
      <c r="E335" s="52"/>
      <c r="F335" s="52"/>
      <c r="G335" s="52"/>
      <c r="H335" s="52"/>
      <c r="I335" s="52"/>
      <c r="J335" s="52"/>
      <c r="K335" s="52"/>
      <c r="L335" s="52"/>
      <c r="M335" s="52"/>
      <c r="N335" s="52"/>
      <c r="O335" s="52"/>
      <c r="P335" s="52"/>
      <c r="Q335" s="52"/>
      <c r="R335" s="52"/>
      <c r="S335" s="52"/>
      <c r="T335" s="52"/>
      <c r="U335" s="52"/>
      <c r="V335" s="52"/>
      <c r="W335" s="52"/>
      <c r="X335" s="52"/>
      <c r="Y335" s="52"/>
      <c r="Z335" s="52"/>
    </row>
    <row r="336">
      <c r="A336" s="59"/>
      <c r="B336" s="34"/>
      <c r="C336" s="52"/>
      <c r="D336" s="52"/>
      <c r="E336" s="52"/>
      <c r="F336" s="52"/>
      <c r="G336" s="52"/>
      <c r="H336" s="52"/>
      <c r="I336" s="52"/>
      <c r="J336" s="52"/>
      <c r="K336" s="52"/>
      <c r="L336" s="52"/>
      <c r="M336" s="52"/>
      <c r="N336" s="52"/>
      <c r="O336" s="52"/>
      <c r="P336" s="52"/>
      <c r="Q336" s="52"/>
      <c r="R336" s="52"/>
      <c r="S336" s="52"/>
      <c r="T336" s="52"/>
      <c r="U336" s="52"/>
      <c r="V336" s="52"/>
      <c r="W336" s="52"/>
      <c r="X336" s="52"/>
      <c r="Y336" s="52"/>
      <c r="Z336" s="52"/>
    </row>
    <row r="337">
      <c r="A337" s="59"/>
      <c r="B337" s="34"/>
      <c r="C337" s="52"/>
      <c r="D337" s="52"/>
      <c r="E337" s="52"/>
      <c r="F337" s="52"/>
      <c r="G337" s="52"/>
      <c r="H337" s="52"/>
      <c r="I337" s="52"/>
      <c r="J337" s="52"/>
      <c r="K337" s="52"/>
      <c r="L337" s="52"/>
      <c r="M337" s="52"/>
      <c r="N337" s="52"/>
      <c r="O337" s="52"/>
      <c r="P337" s="52"/>
      <c r="Q337" s="52"/>
      <c r="R337" s="52"/>
      <c r="S337" s="52"/>
      <c r="T337" s="52"/>
      <c r="U337" s="52"/>
      <c r="V337" s="52"/>
      <c r="W337" s="52"/>
      <c r="X337" s="52"/>
      <c r="Y337" s="52"/>
      <c r="Z337" s="52"/>
    </row>
    <row r="338">
      <c r="A338" s="59"/>
      <c r="B338" s="34"/>
      <c r="C338" s="52"/>
      <c r="D338" s="52"/>
      <c r="E338" s="52"/>
      <c r="F338" s="52"/>
      <c r="G338" s="52"/>
      <c r="H338" s="52"/>
      <c r="I338" s="52"/>
      <c r="J338" s="52"/>
      <c r="K338" s="52"/>
      <c r="L338" s="52"/>
      <c r="M338" s="52"/>
      <c r="N338" s="52"/>
      <c r="O338" s="52"/>
      <c r="P338" s="52"/>
      <c r="Q338" s="52"/>
      <c r="R338" s="52"/>
      <c r="S338" s="52"/>
      <c r="T338" s="52"/>
      <c r="U338" s="52"/>
      <c r="V338" s="52"/>
      <c r="W338" s="52"/>
      <c r="X338" s="52"/>
      <c r="Y338" s="52"/>
      <c r="Z338" s="52"/>
    </row>
    <row r="339">
      <c r="A339" s="59"/>
      <c r="B339" s="34"/>
      <c r="C339" s="52"/>
      <c r="D339" s="52"/>
      <c r="E339" s="52"/>
      <c r="F339" s="52"/>
      <c r="G339" s="52"/>
      <c r="H339" s="52"/>
      <c r="I339" s="52"/>
      <c r="J339" s="52"/>
      <c r="K339" s="52"/>
      <c r="L339" s="52"/>
      <c r="M339" s="52"/>
      <c r="N339" s="52"/>
      <c r="O339" s="52"/>
      <c r="P339" s="52"/>
      <c r="Q339" s="52"/>
      <c r="R339" s="52"/>
      <c r="S339" s="52"/>
      <c r="T339" s="52"/>
      <c r="U339" s="52"/>
      <c r="V339" s="52"/>
      <c r="W339" s="52"/>
      <c r="X339" s="52"/>
      <c r="Y339" s="52"/>
      <c r="Z339" s="52"/>
    </row>
    <row r="340">
      <c r="A340" s="59"/>
      <c r="B340" s="34"/>
      <c r="C340" s="52"/>
      <c r="D340" s="52"/>
      <c r="E340" s="52"/>
      <c r="F340" s="52"/>
      <c r="G340" s="52"/>
      <c r="H340" s="52"/>
      <c r="I340" s="52"/>
      <c r="J340" s="52"/>
      <c r="K340" s="52"/>
      <c r="L340" s="52"/>
      <c r="M340" s="52"/>
      <c r="N340" s="52"/>
      <c r="O340" s="52"/>
      <c r="P340" s="52"/>
      <c r="Q340" s="52"/>
      <c r="R340" s="52"/>
      <c r="S340" s="52"/>
      <c r="T340" s="52"/>
      <c r="U340" s="52"/>
      <c r="V340" s="52"/>
      <c r="W340" s="52"/>
      <c r="X340" s="52"/>
      <c r="Y340" s="52"/>
      <c r="Z340" s="52"/>
    </row>
    <row r="341">
      <c r="A341" s="59"/>
      <c r="B341" s="34"/>
      <c r="C341" s="52"/>
      <c r="D341" s="52"/>
      <c r="E341" s="52"/>
      <c r="F341" s="52"/>
      <c r="G341" s="52"/>
      <c r="H341" s="52"/>
      <c r="I341" s="52"/>
      <c r="J341" s="52"/>
      <c r="K341" s="52"/>
      <c r="L341" s="52"/>
      <c r="M341" s="52"/>
      <c r="N341" s="52"/>
      <c r="O341" s="52"/>
      <c r="P341" s="52"/>
      <c r="Q341" s="52"/>
      <c r="R341" s="52"/>
      <c r="S341" s="52"/>
      <c r="T341" s="52"/>
      <c r="U341" s="52"/>
      <c r="V341" s="52"/>
      <c r="W341" s="52"/>
      <c r="X341" s="52"/>
      <c r="Y341" s="52"/>
      <c r="Z341" s="52"/>
    </row>
    <row r="342">
      <c r="A342" s="59"/>
      <c r="B342" s="34"/>
      <c r="C342" s="52"/>
      <c r="D342" s="52"/>
      <c r="E342" s="52"/>
      <c r="F342" s="52"/>
      <c r="G342" s="52"/>
      <c r="H342" s="52"/>
      <c r="I342" s="52"/>
      <c r="J342" s="52"/>
      <c r="K342" s="52"/>
      <c r="L342" s="52"/>
      <c r="M342" s="52"/>
      <c r="N342" s="52"/>
      <c r="O342" s="52"/>
      <c r="P342" s="52"/>
      <c r="Q342" s="52"/>
      <c r="R342" s="52"/>
      <c r="S342" s="52"/>
      <c r="T342" s="52"/>
      <c r="U342" s="52"/>
      <c r="V342" s="52"/>
      <c r="W342" s="52"/>
      <c r="X342" s="52"/>
      <c r="Y342" s="52"/>
      <c r="Z342" s="52"/>
    </row>
    <row r="343">
      <c r="A343" s="59"/>
      <c r="B343" s="34"/>
      <c r="C343" s="52"/>
      <c r="D343" s="52"/>
      <c r="E343" s="52"/>
      <c r="F343" s="52"/>
      <c r="G343" s="52"/>
      <c r="H343" s="52"/>
      <c r="I343" s="52"/>
      <c r="J343" s="52"/>
      <c r="K343" s="52"/>
      <c r="L343" s="52"/>
      <c r="M343" s="52"/>
      <c r="N343" s="52"/>
      <c r="O343" s="52"/>
      <c r="P343" s="52"/>
      <c r="Q343" s="52"/>
      <c r="R343" s="52"/>
      <c r="S343" s="52"/>
      <c r="T343" s="52"/>
      <c r="U343" s="52"/>
      <c r="V343" s="52"/>
      <c r="W343" s="52"/>
      <c r="X343" s="52"/>
      <c r="Y343" s="52"/>
      <c r="Z343" s="52"/>
    </row>
    <row r="344">
      <c r="A344" s="59"/>
      <c r="B344" s="34"/>
      <c r="C344" s="52"/>
      <c r="D344" s="52"/>
      <c r="E344" s="52"/>
      <c r="F344" s="52"/>
      <c r="G344" s="52"/>
      <c r="H344" s="52"/>
      <c r="I344" s="52"/>
      <c r="J344" s="52"/>
      <c r="K344" s="52"/>
      <c r="L344" s="52"/>
      <c r="M344" s="52"/>
      <c r="N344" s="52"/>
      <c r="O344" s="52"/>
      <c r="P344" s="52"/>
      <c r="Q344" s="52"/>
      <c r="R344" s="52"/>
      <c r="S344" s="52"/>
      <c r="T344" s="52"/>
      <c r="U344" s="52"/>
      <c r="V344" s="52"/>
      <c r="W344" s="52"/>
      <c r="X344" s="52"/>
      <c r="Y344" s="52"/>
      <c r="Z344" s="52"/>
    </row>
    <row r="345">
      <c r="A345" s="59"/>
      <c r="B345" s="34"/>
      <c r="C345" s="52"/>
      <c r="D345" s="52"/>
      <c r="E345" s="52"/>
      <c r="F345" s="52"/>
      <c r="G345" s="52"/>
      <c r="H345" s="52"/>
      <c r="I345" s="52"/>
      <c r="J345" s="52"/>
      <c r="K345" s="52"/>
      <c r="L345" s="52"/>
      <c r="M345" s="52"/>
      <c r="N345" s="52"/>
      <c r="O345" s="52"/>
      <c r="P345" s="52"/>
      <c r="Q345" s="52"/>
      <c r="R345" s="52"/>
      <c r="S345" s="52"/>
      <c r="T345" s="52"/>
      <c r="U345" s="52"/>
      <c r="V345" s="52"/>
      <c r="W345" s="52"/>
      <c r="X345" s="52"/>
      <c r="Y345" s="52"/>
      <c r="Z345" s="52"/>
    </row>
    <row r="346">
      <c r="A346" s="59"/>
      <c r="B346" s="34"/>
      <c r="C346" s="52"/>
      <c r="D346" s="52"/>
      <c r="E346" s="52"/>
      <c r="F346" s="52"/>
      <c r="G346" s="52"/>
      <c r="H346" s="52"/>
      <c r="I346" s="52"/>
      <c r="J346" s="52"/>
      <c r="K346" s="52"/>
      <c r="L346" s="52"/>
      <c r="M346" s="52"/>
      <c r="N346" s="52"/>
      <c r="O346" s="52"/>
      <c r="P346" s="52"/>
      <c r="Q346" s="52"/>
      <c r="R346" s="52"/>
      <c r="S346" s="52"/>
      <c r="T346" s="52"/>
      <c r="U346" s="52"/>
      <c r="V346" s="52"/>
      <c r="W346" s="52"/>
      <c r="X346" s="52"/>
      <c r="Y346" s="52"/>
      <c r="Z346" s="52"/>
    </row>
    <row r="347">
      <c r="A347" s="59"/>
      <c r="B347" s="34"/>
      <c r="C347" s="52"/>
      <c r="D347" s="52"/>
      <c r="E347" s="52"/>
      <c r="F347" s="52"/>
      <c r="G347" s="52"/>
      <c r="H347" s="52"/>
      <c r="I347" s="52"/>
      <c r="J347" s="52"/>
      <c r="K347" s="52"/>
      <c r="L347" s="52"/>
      <c r="M347" s="52"/>
      <c r="N347" s="52"/>
      <c r="O347" s="52"/>
      <c r="P347" s="52"/>
      <c r="Q347" s="52"/>
      <c r="R347" s="52"/>
      <c r="S347" s="52"/>
      <c r="T347" s="52"/>
      <c r="U347" s="52"/>
      <c r="V347" s="52"/>
      <c r="W347" s="52"/>
      <c r="X347" s="52"/>
      <c r="Y347" s="52"/>
      <c r="Z347" s="52"/>
    </row>
    <row r="348">
      <c r="A348" s="59"/>
      <c r="B348" s="34"/>
      <c r="C348" s="52"/>
      <c r="D348" s="52"/>
      <c r="E348" s="52"/>
      <c r="F348" s="52"/>
      <c r="G348" s="52"/>
      <c r="H348" s="52"/>
      <c r="I348" s="52"/>
      <c r="J348" s="52"/>
      <c r="K348" s="52"/>
      <c r="L348" s="52"/>
      <c r="M348" s="52"/>
      <c r="N348" s="52"/>
      <c r="O348" s="52"/>
      <c r="P348" s="52"/>
      <c r="Q348" s="52"/>
      <c r="R348" s="52"/>
      <c r="S348" s="52"/>
      <c r="T348" s="52"/>
      <c r="U348" s="52"/>
      <c r="V348" s="52"/>
      <c r="W348" s="52"/>
      <c r="X348" s="52"/>
      <c r="Y348" s="52"/>
      <c r="Z348" s="52"/>
    </row>
    <row r="349">
      <c r="A349" s="59"/>
      <c r="B349" s="34"/>
      <c r="C349" s="52"/>
      <c r="D349" s="52"/>
      <c r="E349" s="52"/>
      <c r="F349" s="52"/>
      <c r="G349" s="52"/>
      <c r="H349" s="52"/>
      <c r="I349" s="52"/>
      <c r="J349" s="52"/>
      <c r="K349" s="52"/>
      <c r="L349" s="52"/>
      <c r="M349" s="52"/>
      <c r="N349" s="52"/>
      <c r="O349" s="52"/>
      <c r="P349" s="52"/>
      <c r="Q349" s="52"/>
      <c r="R349" s="52"/>
      <c r="S349" s="52"/>
      <c r="T349" s="52"/>
      <c r="U349" s="52"/>
      <c r="V349" s="52"/>
      <c r="W349" s="52"/>
      <c r="X349" s="52"/>
      <c r="Y349" s="52"/>
      <c r="Z349" s="52"/>
    </row>
    <row r="350">
      <c r="A350" s="59"/>
      <c r="B350" s="34"/>
      <c r="C350" s="52"/>
      <c r="D350" s="52"/>
      <c r="E350" s="52"/>
      <c r="F350" s="52"/>
      <c r="G350" s="52"/>
      <c r="H350" s="52"/>
      <c r="I350" s="52"/>
      <c r="J350" s="52"/>
      <c r="K350" s="52"/>
      <c r="L350" s="52"/>
      <c r="M350" s="52"/>
      <c r="N350" s="52"/>
      <c r="O350" s="52"/>
      <c r="P350" s="52"/>
      <c r="Q350" s="52"/>
      <c r="R350" s="52"/>
      <c r="S350" s="52"/>
      <c r="T350" s="52"/>
      <c r="U350" s="52"/>
      <c r="V350" s="52"/>
      <c r="W350" s="52"/>
      <c r="X350" s="52"/>
      <c r="Y350" s="52"/>
      <c r="Z350" s="52"/>
    </row>
    <row r="351">
      <c r="A351" s="59"/>
      <c r="B351" s="34"/>
      <c r="C351" s="52"/>
      <c r="D351" s="52"/>
      <c r="E351" s="52"/>
      <c r="F351" s="52"/>
      <c r="G351" s="52"/>
      <c r="H351" s="52"/>
      <c r="I351" s="52"/>
      <c r="J351" s="52"/>
      <c r="K351" s="52"/>
      <c r="L351" s="52"/>
      <c r="M351" s="52"/>
      <c r="N351" s="52"/>
      <c r="O351" s="52"/>
      <c r="P351" s="52"/>
      <c r="Q351" s="52"/>
      <c r="R351" s="52"/>
      <c r="S351" s="52"/>
      <c r="T351" s="52"/>
      <c r="U351" s="52"/>
      <c r="V351" s="52"/>
      <c r="W351" s="52"/>
      <c r="X351" s="52"/>
      <c r="Y351" s="52"/>
      <c r="Z351" s="52"/>
    </row>
    <row r="352">
      <c r="A352" s="59"/>
      <c r="B352" s="34"/>
      <c r="C352" s="52"/>
      <c r="D352" s="52"/>
      <c r="E352" s="52"/>
      <c r="F352" s="52"/>
      <c r="G352" s="52"/>
      <c r="H352" s="52"/>
      <c r="I352" s="52"/>
      <c r="J352" s="52"/>
      <c r="K352" s="52"/>
      <c r="L352" s="52"/>
      <c r="M352" s="52"/>
      <c r="N352" s="52"/>
      <c r="O352" s="52"/>
      <c r="P352" s="52"/>
      <c r="Q352" s="52"/>
      <c r="R352" s="52"/>
      <c r="S352" s="52"/>
      <c r="T352" s="52"/>
      <c r="U352" s="52"/>
      <c r="V352" s="52"/>
      <c r="W352" s="52"/>
      <c r="X352" s="52"/>
      <c r="Y352" s="52"/>
      <c r="Z352" s="52"/>
    </row>
    <row r="353">
      <c r="A353" s="59"/>
      <c r="B353" s="34"/>
      <c r="C353" s="52"/>
      <c r="D353" s="52"/>
      <c r="E353" s="52"/>
      <c r="F353" s="52"/>
      <c r="G353" s="52"/>
      <c r="H353" s="52"/>
      <c r="I353" s="52"/>
      <c r="J353" s="52"/>
      <c r="K353" s="52"/>
      <c r="L353" s="52"/>
      <c r="M353" s="52"/>
      <c r="N353" s="52"/>
      <c r="O353" s="52"/>
      <c r="P353" s="52"/>
      <c r="Q353" s="52"/>
      <c r="R353" s="52"/>
      <c r="S353" s="52"/>
      <c r="T353" s="52"/>
      <c r="U353" s="52"/>
      <c r="V353" s="52"/>
      <c r="W353" s="52"/>
      <c r="X353" s="52"/>
      <c r="Y353" s="52"/>
      <c r="Z353" s="52"/>
    </row>
    <row r="354">
      <c r="A354" s="59"/>
      <c r="B354" s="34"/>
      <c r="C354" s="52"/>
      <c r="D354" s="52"/>
      <c r="E354" s="52"/>
      <c r="F354" s="52"/>
      <c r="G354" s="52"/>
      <c r="H354" s="52"/>
      <c r="I354" s="52"/>
      <c r="J354" s="52"/>
      <c r="K354" s="52"/>
      <c r="L354" s="52"/>
      <c r="M354" s="52"/>
      <c r="N354" s="52"/>
      <c r="O354" s="52"/>
      <c r="P354" s="52"/>
      <c r="Q354" s="52"/>
      <c r="R354" s="52"/>
      <c r="S354" s="52"/>
      <c r="T354" s="52"/>
      <c r="U354" s="52"/>
      <c r="V354" s="52"/>
      <c r="W354" s="52"/>
      <c r="X354" s="52"/>
      <c r="Y354" s="52"/>
      <c r="Z354" s="52"/>
    </row>
    <row r="355">
      <c r="A355" s="59"/>
      <c r="B355" s="34"/>
      <c r="C355" s="52"/>
      <c r="D355" s="52"/>
      <c r="E355" s="52"/>
      <c r="F355" s="52"/>
      <c r="G355" s="52"/>
      <c r="H355" s="52"/>
      <c r="I355" s="52"/>
      <c r="J355" s="52"/>
      <c r="K355" s="52"/>
      <c r="L355" s="52"/>
      <c r="M355" s="52"/>
      <c r="N355" s="52"/>
      <c r="O355" s="52"/>
      <c r="P355" s="52"/>
      <c r="Q355" s="52"/>
      <c r="R355" s="52"/>
      <c r="S355" s="52"/>
      <c r="T355" s="52"/>
      <c r="U355" s="52"/>
      <c r="V355" s="52"/>
      <c r="W355" s="52"/>
      <c r="X355" s="52"/>
      <c r="Y355" s="52"/>
      <c r="Z355" s="52"/>
    </row>
    <row r="356">
      <c r="A356" s="59"/>
      <c r="B356" s="34"/>
      <c r="C356" s="52"/>
      <c r="D356" s="52"/>
      <c r="E356" s="52"/>
      <c r="F356" s="52"/>
      <c r="G356" s="52"/>
      <c r="H356" s="52"/>
      <c r="I356" s="52"/>
      <c r="J356" s="52"/>
      <c r="K356" s="52"/>
      <c r="L356" s="52"/>
      <c r="M356" s="52"/>
      <c r="N356" s="52"/>
      <c r="O356" s="52"/>
      <c r="P356" s="52"/>
      <c r="Q356" s="52"/>
      <c r="R356" s="52"/>
      <c r="S356" s="52"/>
      <c r="T356" s="52"/>
      <c r="U356" s="52"/>
      <c r="V356" s="52"/>
      <c r="W356" s="52"/>
      <c r="X356" s="52"/>
      <c r="Y356" s="52"/>
      <c r="Z356" s="52"/>
    </row>
    <row r="357">
      <c r="A357" s="59"/>
      <c r="B357" s="34"/>
      <c r="C357" s="52"/>
      <c r="D357" s="52"/>
      <c r="E357" s="52"/>
      <c r="F357" s="52"/>
      <c r="G357" s="52"/>
      <c r="H357" s="52"/>
      <c r="I357" s="52"/>
      <c r="J357" s="52"/>
      <c r="K357" s="52"/>
      <c r="L357" s="52"/>
      <c r="M357" s="52"/>
      <c r="N357" s="52"/>
      <c r="O357" s="52"/>
      <c r="P357" s="52"/>
      <c r="Q357" s="52"/>
      <c r="R357" s="52"/>
      <c r="S357" s="52"/>
      <c r="T357" s="52"/>
      <c r="U357" s="52"/>
      <c r="V357" s="52"/>
      <c r="W357" s="52"/>
      <c r="X357" s="52"/>
      <c r="Y357" s="52"/>
      <c r="Z357" s="52"/>
    </row>
    <row r="358">
      <c r="A358" s="59"/>
      <c r="B358" s="34"/>
      <c r="C358" s="52"/>
      <c r="D358" s="52"/>
      <c r="E358" s="52"/>
      <c r="F358" s="52"/>
      <c r="G358" s="52"/>
      <c r="H358" s="52"/>
      <c r="I358" s="52"/>
      <c r="J358" s="52"/>
      <c r="K358" s="52"/>
      <c r="L358" s="52"/>
      <c r="M358" s="52"/>
      <c r="N358" s="52"/>
      <c r="O358" s="52"/>
      <c r="P358" s="52"/>
      <c r="Q358" s="52"/>
      <c r="R358" s="52"/>
      <c r="S358" s="52"/>
      <c r="T358" s="52"/>
      <c r="U358" s="52"/>
      <c r="V358" s="52"/>
      <c r="W358" s="52"/>
      <c r="X358" s="52"/>
      <c r="Y358" s="52"/>
      <c r="Z358" s="52"/>
    </row>
    <row r="359">
      <c r="A359" s="59"/>
      <c r="B359" s="34"/>
      <c r="C359" s="52"/>
      <c r="D359" s="52"/>
      <c r="E359" s="52"/>
      <c r="F359" s="52"/>
      <c r="G359" s="52"/>
      <c r="H359" s="52"/>
      <c r="I359" s="52"/>
      <c r="J359" s="52"/>
      <c r="K359" s="52"/>
      <c r="L359" s="52"/>
      <c r="M359" s="52"/>
      <c r="N359" s="52"/>
      <c r="O359" s="52"/>
      <c r="P359" s="52"/>
      <c r="Q359" s="52"/>
      <c r="R359" s="52"/>
      <c r="S359" s="52"/>
      <c r="T359" s="52"/>
      <c r="U359" s="52"/>
      <c r="V359" s="52"/>
      <c r="W359" s="52"/>
      <c r="X359" s="52"/>
      <c r="Y359" s="52"/>
      <c r="Z359" s="52"/>
    </row>
    <row r="360">
      <c r="A360" s="59"/>
      <c r="B360" s="34"/>
      <c r="C360" s="52"/>
      <c r="D360" s="52"/>
      <c r="E360" s="52"/>
      <c r="F360" s="52"/>
      <c r="G360" s="52"/>
      <c r="H360" s="52"/>
      <c r="I360" s="52"/>
      <c r="J360" s="52"/>
      <c r="K360" s="52"/>
      <c r="L360" s="52"/>
      <c r="M360" s="52"/>
      <c r="N360" s="52"/>
      <c r="O360" s="52"/>
      <c r="P360" s="52"/>
      <c r="Q360" s="52"/>
      <c r="R360" s="52"/>
      <c r="S360" s="52"/>
      <c r="T360" s="52"/>
      <c r="U360" s="52"/>
      <c r="V360" s="52"/>
      <c r="W360" s="52"/>
      <c r="X360" s="52"/>
      <c r="Y360" s="52"/>
      <c r="Z360" s="52"/>
    </row>
    <row r="361">
      <c r="A361" s="59"/>
      <c r="B361" s="34"/>
      <c r="C361" s="52"/>
      <c r="D361" s="52"/>
      <c r="E361" s="52"/>
      <c r="F361" s="52"/>
      <c r="G361" s="52"/>
      <c r="H361" s="52"/>
      <c r="I361" s="52"/>
      <c r="J361" s="52"/>
      <c r="K361" s="52"/>
      <c r="L361" s="52"/>
      <c r="M361" s="52"/>
      <c r="N361" s="52"/>
      <c r="O361" s="52"/>
      <c r="P361" s="52"/>
      <c r="Q361" s="52"/>
      <c r="R361" s="52"/>
      <c r="S361" s="52"/>
      <c r="T361" s="52"/>
      <c r="U361" s="52"/>
      <c r="V361" s="52"/>
      <c r="W361" s="52"/>
      <c r="X361" s="52"/>
      <c r="Y361" s="52"/>
      <c r="Z361" s="52"/>
    </row>
    <row r="362">
      <c r="A362" s="59"/>
      <c r="B362" s="34"/>
      <c r="C362" s="52"/>
      <c r="D362" s="52"/>
      <c r="E362" s="52"/>
      <c r="F362" s="52"/>
      <c r="G362" s="52"/>
      <c r="H362" s="52"/>
      <c r="I362" s="52"/>
      <c r="J362" s="52"/>
      <c r="K362" s="52"/>
      <c r="L362" s="52"/>
      <c r="M362" s="52"/>
      <c r="N362" s="52"/>
      <c r="O362" s="52"/>
      <c r="P362" s="52"/>
      <c r="Q362" s="52"/>
      <c r="R362" s="52"/>
      <c r="S362" s="52"/>
      <c r="T362" s="52"/>
      <c r="U362" s="52"/>
      <c r="V362" s="52"/>
      <c r="W362" s="52"/>
      <c r="X362" s="52"/>
      <c r="Y362" s="52"/>
      <c r="Z362" s="52"/>
    </row>
    <row r="363">
      <c r="A363" s="59"/>
      <c r="B363" s="34"/>
      <c r="C363" s="52"/>
      <c r="D363" s="52"/>
      <c r="E363" s="52"/>
      <c r="F363" s="52"/>
      <c r="G363" s="52"/>
      <c r="H363" s="52"/>
      <c r="I363" s="52"/>
      <c r="J363" s="52"/>
      <c r="K363" s="52"/>
      <c r="L363" s="52"/>
      <c r="M363" s="52"/>
      <c r="N363" s="52"/>
      <c r="O363" s="52"/>
      <c r="P363" s="52"/>
      <c r="Q363" s="52"/>
      <c r="R363" s="52"/>
      <c r="S363" s="52"/>
      <c r="T363" s="52"/>
      <c r="U363" s="52"/>
      <c r="V363" s="52"/>
      <c r="W363" s="52"/>
      <c r="X363" s="52"/>
      <c r="Y363" s="52"/>
      <c r="Z363" s="52"/>
    </row>
    <row r="364">
      <c r="A364" s="59"/>
      <c r="B364" s="34"/>
      <c r="C364" s="52"/>
      <c r="D364" s="52"/>
      <c r="E364" s="52"/>
      <c r="F364" s="52"/>
      <c r="G364" s="52"/>
      <c r="H364" s="52"/>
      <c r="I364" s="52"/>
      <c r="J364" s="52"/>
      <c r="K364" s="52"/>
      <c r="L364" s="52"/>
      <c r="M364" s="52"/>
      <c r="N364" s="52"/>
      <c r="O364" s="52"/>
      <c r="P364" s="52"/>
      <c r="Q364" s="52"/>
      <c r="R364" s="52"/>
      <c r="S364" s="52"/>
      <c r="T364" s="52"/>
      <c r="U364" s="52"/>
      <c r="V364" s="52"/>
      <c r="W364" s="52"/>
      <c r="X364" s="52"/>
      <c r="Y364" s="52"/>
      <c r="Z364" s="52"/>
    </row>
    <row r="365">
      <c r="A365" s="59"/>
      <c r="B365" s="34"/>
      <c r="C365" s="52"/>
      <c r="D365" s="52"/>
      <c r="E365" s="52"/>
      <c r="F365" s="52"/>
      <c r="G365" s="52"/>
      <c r="H365" s="52"/>
      <c r="I365" s="52"/>
      <c r="J365" s="52"/>
      <c r="K365" s="52"/>
      <c r="L365" s="52"/>
      <c r="M365" s="52"/>
      <c r="N365" s="52"/>
      <c r="O365" s="52"/>
      <c r="P365" s="52"/>
      <c r="Q365" s="52"/>
      <c r="R365" s="52"/>
      <c r="S365" s="52"/>
      <c r="T365" s="52"/>
      <c r="U365" s="52"/>
      <c r="V365" s="52"/>
      <c r="W365" s="52"/>
      <c r="X365" s="52"/>
      <c r="Y365" s="52"/>
      <c r="Z365" s="52"/>
    </row>
    <row r="366">
      <c r="A366" s="59"/>
      <c r="B366" s="34"/>
      <c r="C366" s="52"/>
      <c r="D366" s="52"/>
      <c r="E366" s="52"/>
      <c r="F366" s="52"/>
      <c r="G366" s="52"/>
      <c r="H366" s="52"/>
      <c r="I366" s="52"/>
      <c r="J366" s="52"/>
      <c r="K366" s="52"/>
      <c r="L366" s="52"/>
      <c r="M366" s="52"/>
      <c r="N366" s="52"/>
      <c r="O366" s="52"/>
      <c r="P366" s="52"/>
      <c r="Q366" s="52"/>
      <c r="R366" s="52"/>
      <c r="S366" s="52"/>
      <c r="T366" s="52"/>
      <c r="U366" s="52"/>
      <c r="V366" s="52"/>
      <c r="W366" s="52"/>
      <c r="X366" s="52"/>
      <c r="Y366" s="52"/>
      <c r="Z366" s="52"/>
    </row>
    <row r="367">
      <c r="A367" s="59"/>
      <c r="B367" s="34"/>
      <c r="C367" s="52"/>
      <c r="D367" s="52"/>
      <c r="E367" s="52"/>
      <c r="F367" s="52"/>
      <c r="G367" s="52"/>
      <c r="H367" s="52"/>
      <c r="I367" s="52"/>
      <c r="J367" s="52"/>
      <c r="K367" s="52"/>
      <c r="L367" s="52"/>
      <c r="M367" s="52"/>
      <c r="N367" s="52"/>
      <c r="O367" s="52"/>
      <c r="P367" s="52"/>
      <c r="Q367" s="52"/>
      <c r="R367" s="52"/>
      <c r="S367" s="52"/>
      <c r="T367" s="52"/>
      <c r="U367" s="52"/>
      <c r="V367" s="52"/>
      <c r="W367" s="52"/>
      <c r="X367" s="52"/>
      <c r="Y367" s="52"/>
      <c r="Z367" s="52"/>
    </row>
    <row r="368">
      <c r="A368" s="59"/>
      <c r="B368" s="34"/>
      <c r="C368" s="52"/>
      <c r="D368" s="52"/>
      <c r="E368" s="52"/>
      <c r="F368" s="52"/>
      <c r="G368" s="52"/>
      <c r="H368" s="52"/>
      <c r="I368" s="52"/>
      <c r="J368" s="52"/>
      <c r="K368" s="52"/>
      <c r="L368" s="52"/>
      <c r="M368" s="52"/>
      <c r="N368" s="52"/>
      <c r="O368" s="52"/>
      <c r="P368" s="52"/>
      <c r="Q368" s="52"/>
      <c r="R368" s="52"/>
      <c r="S368" s="52"/>
      <c r="T368" s="52"/>
      <c r="U368" s="52"/>
      <c r="V368" s="52"/>
      <c r="W368" s="52"/>
      <c r="X368" s="52"/>
      <c r="Y368" s="52"/>
      <c r="Z368" s="52"/>
    </row>
    <row r="369">
      <c r="A369" s="59"/>
      <c r="B369" s="34"/>
      <c r="C369" s="52"/>
      <c r="D369" s="52"/>
      <c r="E369" s="52"/>
      <c r="F369" s="52"/>
      <c r="G369" s="52"/>
      <c r="H369" s="52"/>
      <c r="I369" s="52"/>
      <c r="J369" s="52"/>
      <c r="K369" s="52"/>
      <c r="L369" s="52"/>
      <c r="M369" s="52"/>
      <c r="N369" s="52"/>
      <c r="O369" s="52"/>
      <c r="P369" s="52"/>
      <c r="Q369" s="52"/>
      <c r="R369" s="52"/>
      <c r="S369" s="52"/>
      <c r="T369" s="52"/>
      <c r="U369" s="52"/>
      <c r="V369" s="52"/>
      <c r="W369" s="52"/>
      <c r="X369" s="52"/>
      <c r="Y369" s="52"/>
      <c r="Z369" s="52"/>
    </row>
    <row r="370">
      <c r="A370" s="59"/>
      <c r="B370" s="34"/>
      <c r="C370" s="52"/>
      <c r="D370" s="52"/>
      <c r="E370" s="52"/>
      <c r="F370" s="52"/>
      <c r="G370" s="52"/>
      <c r="H370" s="52"/>
      <c r="I370" s="52"/>
      <c r="J370" s="52"/>
      <c r="K370" s="52"/>
      <c r="L370" s="52"/>
      <c r="M370" s="52"/>
      <c r="N370" s="52"/>
      <c r="O370" s="52"/>
      <c r="P370" s="52"/>
      <c r="Q370" s="52"/>
      <c r="R370" s="52"/>
      <c r="S370" s="52"/>
      <c r="T370" s="52"/>
      <c r="U370" s="52"/>
      <c r="V370" s="52"/>
      <c r="W370" s="52"/>
      <c r="X370" s="52"/>
      <c r="Y370" s="52"/>
      <c r="Z370" s="52"/>
    </row>
    <row r="371">
      <c r="A371" s="59"/>
      <c r="B371" s="34"/>
      <c r="C371" s="52"/>
      <c r="D371" s="52"/>
      <c r="E371" s="52"/>
      <c r="F371" s="52"/>
      <c r="G371" s="52"/>
      <c r="H371" s="52"/>
      <c r="I371" s="52"/>
      <c r="J371" s="52"/>
      <c r="K371" s="52"/>
      <c r="L371" s="52"/>
      <c r="M371" s="52"/>
      <c r="N371" s="52"/>
      <c r="O371" s="52"/>
      <c r="P371" s="52"/>
      <c r="Q371" s="52"/>
      <c r="R371" s="52"/>
      <c r="S371" s="52"/>
      <c r="T371" s="52"/>
      <c r="U371" s="52"/>
      <c r="V371" s="52"/>
      <c r="W371" s="52"/>
      <c r="X371" s="52"/>
      <c r="Y371" s="52"/>
      <c r="Z371" s="52"/>
    </row>
    <row r="372">
      <c r="A372" s="59"/>
      <c r="B372" s="34"/>
      <c r="C372" s="52"/>
      <c r="D372" s="52"/>
      <c r="E372" s="52"/>
      <c r="F372" s="52"/>
      <c r="G372" s="52"/>
      <c r="H372" s="52"/>
      <c r="I372" s="52"/>
      <c r="J372" s="52"/>
      <c r="K372" s="52"/>
      <c r="L372" s="52"/>
      <c r="M372" s="52"/>
      <c r="N372" s="52"/>
      <c r="O372" s="52"/>
      <c r="P372" s="52"/>
      <c r="Q372" s="52"/>
      <c r="R372" s="52"/>
      <c r="S372" s="52"/>
      <c r="T372" s="52"/>
      <c r="U372" s="52"/>
      <c r="V372" s="52"/>
      <c r="W372" s="52"/>
      <c r="X372" s="52"/>
      <c r="Y372" s="52"/>
      <c r="Z372" s="52"/>
    </row>
    <row r="373">
      <c r="A373" s="59"/>
      <c r="B373" s="34"/>
      <c r="C373" s="52"/>
      <c r="D373" s="52"/>
      <c r="E373" s="52"/>
      <c r="F373" s="52"/>
      <c r="G373" s="52"/>
      <c r="H373" s="52"/>
      <c r="I373" s="52"/>
      <c r="J373" s="52"/>
      <c r="K373" s="52"/>
      <c r="L373" s="52"/>
      <c r="M373" s="52"/>
      <c r="N373" s="52"/>
      <c r="O373" s="52"/>
      <c r="P373" s="52"/>
      <c r="Q373" s="52"/>
      <c r="R373" s="52"/>
      <c r="S373" s="52"/>
      <c r="T373" s="52"/>
      <c r="U373" s="52"/>
      <c r="V373" s="52"/>
      <c r="W373" s="52"/>
      <c r="X373" s="52"/>
      <c r="Y373" s="52"/>
      <c r="Z373" s="52"/>
    </row>
    <row r="374">
      <c r="A374" s="59"/>
      <c r="B374" s="34"/>
      <c r="C374" s="52"/>
      <c r="D374" s="52"/>
      <c r="E374" s="52"/>
      <c r="F374" s="52"/>
      <c r="G374" s="52"/>
      <c r="H374" s="52"/>
      <c r="I374" s="52"/>
      <c r="J374" s="52"/>
      <c r="K374" s="52"/>
      <c r="L374" s="52"/>
      <c r="M374" s="52"/>
      <c r="N374" s="52"/>
      <c r="O374" s="52"/>
      <c r="P374" s="52"/>
      <c r="Q374" s="52"/>
      <c r="R374" s="52"/>
      <c r="S374" s="52"/>
      <c r="T374" s="52"/>
      <c r="U374" s="52"/>
      <c r="V374" s="52"/>
      <c r="W374" s="52"/>
      <c r="X374" s="52"/>
      <c r="Y374" s="52"/>
      <c r="Z374" s="52"/>
    </row>
    <row r="375">
      <c r="A375" s="59"/>
      <c r="B375" s="34"/>
      <c r="C375" s="52"/>
      <c r="D375" s="52"/>
      <c r="E375" s="52"/>
      <c r="F375" s="52"/>
      <c r="G375" s="52"/>
      <c r="H375" s="52"/>
      <c r="I375" s="52"/>
      <c r="J375" s="52"/>
      <c r="K375" s="52"/>
      <c r="L375" s="52"/>
      <c r="M375" s="52"/>
      <c r="N375" s="52"/>
      <c r="O375" s="52"/>
      <c r="P375" s="52"/>
      <c r="Q375" s="52"/>
      <c r="R375" s="52"/>
      <c r="S375" s="52"/>
      <c r="T375" s="52"/>
      <c r="U375" s="52"/>
      <c r="V375" s="52"/>
      <c r="W375" s="52"/>
      <c r="X375" s="52"/>
      <c r="Y375" s="52"/>
      <c r="Z375" s="52"/>
    </row>
    <row r="376">
      <c r="A376" s="59"/>
      <c r="B376" s="34"/>
      <c r="C376" s="52"/>
      <c r="D376" s="52"/>
      <c r="E376" s="52"/>
      <c r="F376" s="52"/>
      <c r="G376" s="52"/>
      <c r="H376" s="52"/>
      <c r="I376" s="52"/>
      <c r="J376" s="52"/>
      <c r="K376" s="52"/>
      <c r="L376" s="52"/>
      <c r="M376" s="52"/>
      <c r="N376" s="52"/>
      <c r="O376" s="52"/>
      <c r="P376" s="52"/>
      <c r="Q376" s="52"/>
      <c r="R376" s="52"/>
      <c r="S376" s="52"/>
      <c r="T376" s="52"/>
      <c r="U376" s="52"/>
      <c r="V376" s="52"/>
      <c r="W376" s="52"/>
      <c r="X376" s="52"/>
      <c r="Y376" s="52"/>
      <c r="Z376" s="52"/>
    </row>
    <row r="377">
      <c r="A377" s="59"/>
      <c r="B377" s="34"/>
      <c r="C377" s="52"/>
      <c r="D377" s="52"/>
      <c r="E377" s="52"/>
      <c r="F377" s="52"/>
      <c r="G377" s="52"/>
      <c r="H377" s="52"/>
      <c r="I377" s="52"/>
      <c r="J377" s="52"/>
      <c r="K377" s="52"/>
      <c r="L377" s="52"/>
      <c r="M377" s="52"/>
      <c r="N377" s="52"/>
      <c r="O377" s="52"/>
      <c r="P377" s="52"/>
      <c r="Q377" s="52"/>
      <c r="R377" s="52"/>
      <c r="S377" s="52"/>
      <c r="T377" s="52"/>
      <c r="U377" s="52"/>
      <c r="V377" s="52"/>
      <c r="W377" s="52"/>
      <c r="X377" s="52"/>
      <c r="Y377" s="52"/>
      <c r="Z377" s="52"/>
    </row>
    <row r="378">
      <c r="A378" s="59"/>
      <c r="B378" s="34"/>
      <c r="C378" s="52"/>
      <c r="D378" s="52"/>
      <c r="E378" s="52"/>
      <c r="F378" s="52"/>
      <c r="G378" s="52"/>
      <c r="H378" s="52"/>
      <c r="I378" s="52"/>
      <c r="J378" s="52"/>
      <c r="K378" s="52"/>
      <c r="L378" s="52"/>
      <c r="M378" s="52"/>
      <c r="N378" s="52"/>
      <c r="O378" s="52"/>
      <c r="P378" s="52"/>
      <c r="Q378" s="52"/>
      <c r="R378" s="52"/>
      <c r="S378" s="52"/>
      <c r="T378" s="52"/>
      <c r="U378" s="52"/>
      <c r="V378" s="52"/>
      <c r="W378" s="52"/>
      <c r="X378" s="52"/>
      <c r="Y378" s="52"/>
      <c r="Z378" s="52"/>
    </row>
    <row r="379">
      <c r="A379" s="59"/>
      <c r="B379" s="34"/>
      <c r="C379" s="52"/>
      <c r="D379" s="52"/>
      <c r="E379" s="52"/>
      <c r="F379" s="52"/>
      <c r="G379" s="52"/>
      <c r="H379" s="52"/>
      <c r="I379" s="52"/>
      <c r="J379" s="52"/>
      <c r="K379" s="52"/>
      <c r="L379" s="52"/>
      <c r="M379" s="52"/>
      <c r="N379" s="52"/>
      <c r="O379" s="52"/>
      <c r="P379" s="52"/>
      <c r="Q379" s="52"/>
      <c r="R379" s="52"/>
      <c r="S379" s="52"/>
      <c r="T379" s="52"/>
      <c r="U379" s="52"/>
      <c r="V379" s="52"/>
      <c r="W379" s="52"/>
      <c r="X379" s="52"/>
      <c r="Y379" s="52"/>
      <c r="Z379" s="52"/>
    </row>
    <row r="380">
      <c r="A380" s="59"/>
      <c r="B380" s="34"/>
      <c r="C380" s="52"/>
      <c r="D380" s="52"/>
      <c r="E380" s="52"/>
      <c r="F380" s="52"/>
      <c r="G380" s="52"/>
      <c r="H380" s="52"/>
      <c r="I380" s="52"/>
      <c r="J380" s="52"/>
      <c r="K380" s="52"/>
      <c r="L380" s="52"/>
      <c r="M380" s="52"/>
      <c r="N380" s="52"/>
      <c r="O380" s="52"/>
      <c r="P380" s="52"/>
      <c r="Q380" s="52"/>
      <c r="R380" s="52"/>
      <c r="S380" s="52"/>
      <c r="T380" s="52"/>
      <c r="U380" s="52"/>
      <c r="V380" s="52"/>
      <c r="W380" s="52"/>
      <c r="X380" s="52"/>
      <c r="Y380" s="52"/>
      <c r="Z380" s="52"/>
    </row>
    <row r="381">
      <c r="A381" s="59"/>
      <c r="B381" s="34"/>
      <c r="C381" s="52"/>
      <c r="D381" s="52"/>
      <c r="E381" s="52"/>
      <c r="F381" s="52"/>
      <c r="G381" s="52"/>
      <c r="H381" s="52"/>
      <c r="I381" s="52"/>
      <c r="J381" s="52"/>
      <c r="K381" s="52"/>
      <c r="L381" s="52"/>
      <c r="M381" s="52"/>
      <c r="N381" s="52"/>
      <c r="O381" s="52"/>
      <c r="P381" s="52"/>
      <c r="Q381" s="52"/>
      <c r="R381" s="52"/>
      <c r="S381" s="52"/>
      <c r="T381" s="52"/>
      <c r="U381" s="52"/>
      <c r="V381" s="52"/>
      <c r="W381" s="52"/>
      <c r="X381" s="52"/>
      <c r="Y381" s="52"/>
      <c r="Z381" s="52"/>
    </row>
    <row r="382">
      <c r="A382" s="59"/>
      <c r="B382" s="34"/>
      <c r="C382" s="52"/>
      <c r="D382" s="52"/>
      <c r="E382" s="52"/>
      <c r="F382" s="52"/>
      <c r="G382" s="52"/>
      <c r="H382" s="52"/>
      <c r="I382" s="52"/>
      <c r="J382" s="52"/>
      <c r="K382" s="52"/>
      <c r="L382" s="52"/>
      <c r="M382" s="52"/>
      <c r="N382" s="52"/>
      <c r="O382" s="52"/>
      <c r="P382" s="52"/>
      <c r="Q382" s="52"/>
      <c r="R382" s="52"/>
      <c r="S382" s="52"/>
      <c r="T382" s="52"/>
      <c r="U382" s="52"/>
      <c r="V382" s="52"/>
      <c r="W382" s="52"/>
      <c r="X382" s="52"/>
      <c r="Y382" s="52"/>
      <c r="Z382" s="52"/>
    </row>
    <row r="383">
      <c r="A383" s="59"/>
      <c r="B383" s="34"/>
      <c r="C383" s="52"/>
      <c r="D383" s="52"/>
      <c r="E383" s="52"/>
      <c r="F383" s="52"/>
      <c r="G383" s="52"/>
      <c r="H383" s="52"/>
      <c r="I383" s="52"/>
      <c r="J383" s="52"/>
      <c r="K383" s="52"/>
      <c r="L383" s="52"/>
      <c r="M383" s="52"/>
      <c r="N383" s="52"/>
      <c r="O383" s="52"/>
      <c r="P383" s="52"/>
      <c r="Q383" s="52"/>
      <c r="R383" s="52"/>
      <c r="S383" s="52"/>
      <c r="T383" s="52"/>
      <c r="U383" s="52"/>
      <c r="V383" s="52"/>
      <c r="W383" s="52"/>
      <c r="X383" s="52"/>
      <c r="Y383" s="52"/>
      <c r="Z383" s="52"/>
    </row>
    <row r="384">
      <c r="A384" s="59"/>
      <c r="B384" s="34"/>
      <c r="C384" s="52"/>
      <c r="D384" s="52"/>
      <c r="E384" s="52"/>
      <c r="F384" s="52"/>
      <c r="G384" s="52"/>
      <c r="H384" s="52"/>
      <c r="I384" s="52"/>
      <c r="J384" s="52"/>
      <c r="K384" s="52"/>
      <c r="L384" s="52"/>
      <c r="M384" s="52"/>
      <c r="N384" s="52"/>
      <c r="O384" s="52"/>
      <c r="P384" s="52"/>
      <c r="Q384" s="52"/>
      <c r="R384" s="52"/>
      <c r="S384" s="52"/>
      <c r="T384" s="52"/>
      <c r="U384" s="52"/>
      <c r="V384" s="52"/>
      <c r="W384" s="52"/>
      <c r="X384" s="52"/>
      <c r="Y384" s="52"/>
      <c r="Z384" s="52"/>
    </row>
    <row r="385">
      <c r="A385" s="59"/>
      <c r="B385" s="34"/>
      <c r="C385" s="52"/>
      <c r="D385" s="52"/>
      <c r="E385" s="52"/>
      <c r="F385" s="52"/>
      <c r="G385" s="52"/>
      <c r="H385" s="52"/>
      <c r="I385" s="52"/>
      <c r="J385" s="52"/>
      <c r="K385" s="52"/>
      <c r="L385" s="52"/>
      <c r="M385" s="52"/>
      <c r="N385" s="52"/>
      <c r="O385" s="52"/>
      <c r="P385" s="52"/>
      <c r="Q385" s="52"/>
      <c r="R385" s="52"/>
      <c r="S385" s="52"/>
      <c r="T385" s="52"/>
      <c r="U385" s="52"/>
      <c r="V385" s="52"/>
      <c r="W385" s="52"/>
      <c r="X385" s="52"/>
      <c r="Y385" s="52"/>
      <c r="Z385" s="52"/>
    </row>
    <row r="386">
      <c r="A386" s="59"/>
      <c r="B386" s="34"/>
      <c r="C386" s="52"/>
      <c r="D386" s="52"/>
      <c r="E386" s="52"/>
      <c r="F386" s="52"/>
      <c r="G386" s="52"/>
      <c r="H386" s="52"/>
      <c r="I386" s="52"/>
      <c r="J386" s="52"/>
      <c r="K386" s="52"/>
      <c r="L386" s="52"/>
      <c r="M386" s="52"/>
      <c r="N386" s="52"/>
      <c r="O386" s="52"/>
      <c r="P386" s="52"/>
      <c r="Q386" s="52"/>
      <c r="R386" s="52"/>
      <c r="S386" s="52"/>
      <c r="T386" s="52"/>
      <c r="U386" s="52"/>
      <c r="V386" s="52"/>
      <c r="W386" s="52"/>
      <c r="X386" s="52"/>
      <c r="Y386" s="52"/>
      <c r="Z386" s="52"/>
    </row>
    <row r="387">
      <c r="A387" s="59"/>
      <c r="B387" s="34"/>
      <c r="C387" s="52"/>
      <c r="D387" s="52"/>
      <c r="E387" s="52"/>
      <c r="F387" s="52"/>
      <c r="G387" s="52"/>
      <c r="H387" s="52"/>
      <c r="I387" s="52"/>
      <c r="J387" s="52"/>
      <c r="K387" s="52"/>
      <c r="L387" s="52"/>
      <c r="M387" s="52"/>
      <c r="N387" s="52"/>
      <c r="O387" s="52"/>
      <c r="P387" s="52"/>
      <c r="Q387" s="52"/>
      <c r="R387" s="52"/>
      <c r="S387" s="52"/>
      <c r="T387" s="52"/>
      <c r="U387" s="52"/>
      <c r="V387" s="52"/>
      <c r="W387" s="52"/>
      <c r="X387" s="52"/>
      <c r="Y387" s="52"/>
      <c r="Z387" s="52"/>
    </row>
    <row r="388">
      <c r="A388" s="59"/>
      <c r="B388" s="34"/>
      <c r="C388" s="52"/>
      <c r="D388" s="52"/>
      <c r="E388" s="52"/>
      <c r="F388" s="52"/>
      <c r="G388" s="52"/>
      <c r="H388" s="52"/>
      <c r="I388" s="52"/>
      <c r="J388" s="52"/>
      <c r="K388" s="52"/>
      <c r="L388" s="52"/>
      <c r="M388" s="52"/>
      <c r="N388" s="52"/>
      <c r="O388" s="52"/>
      <c r="P388" s="52"/>
      <c r="Q388" s="52"/>
      <c r="R388" s="52"/>
      <c r="S388" s="52"/>
      <c r="T388" s="52"/>
      <c r="U388" s="52"/>
      <c r="V388" s="52"/>
      <c r="W388" s="52"/>
      <c r="X388" s="52"/>
      <c r="Y388" s="52"/>
      <c r="Z388" s="52"/>
    </row>
    <row r="389">
      <c r="A389" s="59"/>
      <c r="B389" s="34"/>
      <c r="C389" s="52"/>
      <c r="D389" s="52"/>
      <c r="E389" s="52"/>
      <c r="F389" s="52"/>
      <c r="G389" s="52"/>
      <c r="H389" s="52"/>
      <c r="I389" s="52"/>
      <c r="J389" s="52"/>
      <c r="K389" s="52"/>
      <c r="L389" s="52"/>
      <c r="M389" s="52"/>
      <c r="N389" s="52"/>
      <c r="O389" s="52"/>
      <c r="P389" s="52"/>
      <c r="Q389" s="52"/>
      <c r="R389" s="52"/>
      <c r="S389" s="52"/>
      <c r="T389" s="52"/>
      <c r="U389" s="52"/>
      <c r="V389" s="52"/>
      <c r="W389" s="52"/>
      <c r="X389" s="52"/>
      <c r="Y389" s="52"/>
      <c r="Z389" s="52"/>
    </row>
    <row r="390">
      <c r="A390" s="59"/>
      <c r="B390" s="34"/>
      <c r="C390" s="52"/>
      <c r="D390" s="52"/>
      <c r="E390" s="52"/>
      <c r="F390" s="52"/>
      <c r="G390" s="52"/>
      <c r="H390" s="52"/>
      <c r="I390" s="52"/>
      <c r="J390" s="52"/>
      <c r="K390" s="52"/>
      <c r="L390" s="52"/>
      <c r="M390" s="52"/>
      <c r="N390" s="52"/>
      <c r="O390" s="52"/>
      <c r="P390" s="52"/>
      <c r="Q390" s="52"/>
      <c r="R390" s="52"/>
      <c r="S390" s="52"/>
      <c r="T390" s="52"/>
      <c r="U390" s="52"/>
      <c r="V390" s="52"/>
      <c r="W390" s="52"/>
      <c r="X390" s="52"/>
      <c r="Y390" s="52"/>
      <c r="Z390" s="52"/>
    </row>
    <row r="391">
      <c r="A391" s="59"/>
      <c r="B391" s="34"/>
      <c r="C391" s="52"/>
      <c r="D391" s="52"/>
      <c r="E391" s="52"/>
      <c r="F391" s="52"/>
      <c r="G391" s="52"/>
      <c r="H391" s="52"/>
      <c r="I391" s="52"/>
      <c r="J391" s="52"/>
      <c r="K391" s="52"/>
      <c r="L391" s="52"/>
      <c r="M391" s="52"/>
      <c r="N391" s="52"/>
      <c r="O391" s="52"/>
      <c r="P391" s="52"/>
      <c r="Q391" s="52"/>
      <c r="R391" s="52"/>
      <c r="S391" s="52"/>
      <c r="T391" s="52"/>
      <c r="U391" s="52"/>
      <c r="V391" s="52"/>
      <c r="W391" s="52"/>
      <c r="X391" s="52"/>
      <c r="Y391" s="52"/>
      <c r="Z391" s="52"/>
    </row>
    <row r="392">
      <c r="A392" s="59"/>
      <c r="B392" s="34"/>
      <c r="C392" s="52"/>
      <c r="D392" s="52"/>
      <c r="E392" s="52"/>
      <c r="F392" s="52"/>
      <c r="G392" s="52"/>
      <c r="H392" s="52"/>
      <c r="I392" s="52"/>
      <c r="J392" s="52"/>
      <c r="K392" s="52"/>
      <c r="L392" s="52"/>
      <c r="M392" s="52"/>
      <c r="N392" s="52"/>
      <c r="O392" s="52"/>
      <c r="P392" s="52"/>
      <c r="Q392" s="52"/>
      <c r="R392" s="52"/>
      <c r="S392" s="52"/>
      <c r="T392" s="52"/>
      <c r="U392" s="52"/>
      <c r="V392" s="52"/>
      <c r="W392" s="52"/>
      <c r="X392" s="52"/>
      <c r="Y392" s="52"/>
      <c r="Z392" s="52"/>
    </row>
    <row r="393">
      <c r="A393" s="59"/>
      <c r="B393" s="34"/>
      <c r="C393" s="52"/>
      <c r="D393" s="52"/>
      <c r="E393" s="52"/>
      <c r="F393" s="52"/>
      <c r="G393" s="52"/>
      <c r="H393" s="52"/>
      <c r="I393" s="52"/>
      <c r="J393" s="52"/>
      <c r="K393" s="52"/>
      <c r="L393" s="52"/>
      <c r="M393" s="52"/>
      <c r="N393" s="52"/>
      <c r="O393" s="52"/>
      <c r="P393" s="52"/>
      <c r="Q393" s="52"/>
      <c r="R393" s="52"/>
      <c r="S393" s="52"/>
      <c r="T393" s="52"/>
      <c r="U393" s="52"/>
      <c r="V393" s="52"/>
      <c r="W393" s="52"/>
      <c r="X393" s="52"/>
      <c r="Y393" s="52"/>
      <c r="Z393" s="52"/>
    </row>
    <row r="394">
      <c r="A394" s="59"/>
      <c r="B394" s="34"/>
      <c r="C394" s="52"/>
      <c r="D394" s="52"/>
      <c r="E394" s="52"/>
      <c r="F394" s="52"/>
      <c r="G394" s="52"/>
      <c r="H394" s="52"/>
      <c r="I394" s="52"/>
      <c r="J394" s="52"/>
      <c r="K394" s="52"/>
      <c r="L394" s="52"/>
      <c r="M394" s="52"/>
      <c r="N394" s="52"/>
      <c r="O394" s="52"/>
      <c r="P394" s="52"/>
      <c r="Q394" s="52"/>
      <c r="R394" s="52"/>
      <c r="S394" s="52"/>
      <c r="T394" s="52"/>
      <c r="U394" s="52"/>
      <c r="V394" s="52"/>
      <c r="W394" s="52"/>
      <c r="X394" s="52"/>
      <c r="Y394" s="52"/>
      <c r="Z394" s="52"/>
    </row>
    <row r="395">
      <c r="A395" s="59"/>
      <c r="B395" s="34"/>
      <c r="C395" s="52"/>
      <c r="D395" s="52"/>
      <c r="E395" s="52"/>
      <c r="F395" s="52"/>
      <c r="G395" s="52"/>
      <c r="H395" s="52"/>
      <c r="I395" s="52"/>
      <c r="J395" s="52"/>
      <c r="K395" s="52"/>
      <c r="L395" s="52"/>
      <c r="M395" s="52"/>
      <c r="N395" s="52"/>
      <c r="O395" s="52"/>
      <c r="P395" s="52"/>
      <c r="Q395" s="52"/>
      <c r="R395" s="52"/>
      <c r="S395" s="52"/>
      <c r="T395" s="52"/>
      <c r="U395" s="52"/>
      <c r="V395" s="52"/>
      <c r="W395" s="52"/>
      <c r="X395" s="52"/>
      <c r="Y395" s="52"/>
      <c r="Z395" s="52"/>
    </row>
    <row r="396">
      <c r="A396" s="59"/>
      <c r="B396" s="34"/>
      <c r="C396" s="52"/>
      <c r="D396" s="52"/>
      <c r="E396" s="52"/>
      <c r="F396" s="52"/>
      <c r="G396" s="52"/>
      <c r="H396" s="52"/>
      <c r="I396" s="52"/>
      <c r="J396" s="52"/>
      <c r="K396" s="52"/>
      <c r="L396" s="52"/>
      <c r="M396" s="52"/>
      <c r="N396" s="52"/>
      <c r="O396" s="52"/>
      <c r="P396" s="52"/>
      <c r="Q396" s="52"/>
      <c r="R396" s="52"/>
      <c r="S396" s="52"/>
      <c r="T396" s="52"/>
      <c r="U396" s="52"/>
      <c r="V396" s="52"/>
      <c r="W396" s="52"/>
      <c r="X396" s="52"/>
      <c r="Y396" s="52"/>
      <c r="Z396" s="52"/>
    </row>
    <row r="397">
      <c r="A397" s="59"/>
      <c r="B397" s="34"/>
      <c r="C397" s="52"/>
      <c r="D397" s="52"/>
      <c r="E397" s="52"/>
      <c r="F397" s="52"/>
      <c r="G397" s="52"/>
      <c r="H397" s="52"/>
      <c r="I397" s="52"/>
      <c r="J397" s="52"/>
      <c r="K397" s="52"/>
      <c r="L397" s="52"/>
      <c r="M397" s="52"/>
      <c r="N397" s="52"/>
      <c r="O397" s="52"/>
      <c r="P397" s="52"/>
      <c r="Q397" s="52"/>
      <c r="R397" s="52"/>
      <c r="S397" s="52"/>
      <c r="T397" s="52"/>
      <c r="U397" s="52"/>
      <c r="V397" s="52"/>
      <c r="W397" s="52"/>
      <c r="X397" s="52"/>
      <c r="Y397" s="52"/>
      <c r="Z397" s="52"/>
    </row>
    <row r="398">
      <c r="A398" s="59"/>
      <c r="B398" s="34"/>
      <c r="C398" s="52"/>
      <c r="D398" s="52"/>
      <c r="E398" s="52"/>
      <c r="F398" s="52"/>
      <c r="G398" s="52"/>
      <c r="H398" s="52"/>
      <c r="I398" s="52"/>
      <c r="J398" s="52"/>
      <c r="K398" s="52"/>
      <c r="L398" s="52"/>
      <c r="M398" s="52"/>
      <c r="N398" s="52"/>
      <c r="O398" s="52"/>
      <c r="P398" s="52"/>
      <c r="Q398" s="52"/>
      <c r="R398" s="52"/>
      <c r="S398" s="52"/>
      <c r="T398" s="52"/>
      <c r="U398" s="52"/>
      <c r="V398" s="52"/>
      <c r="W398" s="52"/>
      <c r="X398" s="52"/>
      <c r="Y398" s="52"/>
      <c r="Z398" s="52"/>
    </row>
    <row r="399">
      <c r="A399" s="59"/>
      <c r="B399" s="34"/>
      <c r="C399" s="52"/>
      <c r="D399" s="52"/>
      <c r="E399" s="52"/>
      <c r="F399" s="52"/>
      <c r="G399" s="52"/>
      <c r="H399" s="52"/>
      <c r="I399" s="52"/>
      <c r="J399" s="52"/>
      <c r="K399" s="52"/>
      <c r="L399" s="52"/>
      <c r="M399" s="52"/>
      <c r="N399" s="52"/>
      <c r="O399" s="52"/>
      <c r="P399" s="52"/>
      <c r="Q399" s="52"/>
      <c r="R399" s="52"/>
      <c r="S399" s="52"/>
      <c r="T399" s="52"/>
      <c r="U399" s="52"/>
      <c r="V399" s="52"/>
      <c r="W399" s="52"/>
      <c r="X399" s="52"/>
      <c r="Y399" s="52"/>
      <c r="Z399" s="52"/>
    </row>
    <row r="400">
      <c r="A400" s="59"/>
      <c r="B400" s="34"/>
      <c r="C400" s="52"/>
      <c r="D400" s="52"/>
      <c r="E400" s="52"/>
      <c r="F400" s="52"/>
      <c r="G400" s="52"/>
      <c r="H400" s="52"/>
      <c r="I400" s="52"/>
      <c r="J400" s="52"/>
      <c r="K400" s="52"/>
      <c r="L400" s="52"/>
      <c r="M400" s="52"/>
      <c r="N400" s="52"/>
      <c r="O400" s="52"/>
      <c r="P400" s="52"/>
      <c r="Q400" s="52"/>
      <c r="R400" s="52"/>
      <c r="S400" s="52"/>
      <c r="T400" s="52"/>
      <c r="U400" s="52"/>
      <c r="V400" s="52"/>
      <c r="W400" s="52"/>
      <c r="X400" s="52"/>
      <c r="Y400" s="52"/>
      <c r="Z400" s="52"/>
    </row>
    <row r="401">
      <c r="A401" s="59"/>
      <c r="B401" s="34"/>
      <c r="C401" s="52"/>
      <c r="D401" s="52"/>
      <c r="E401" s="52"/>
      <c r="F401" s="52"/>
      <c r="G401" s="52"/>
      <c r="H401" s="52"/>
      <c r="I401" s="52"/>
      <c r="J401" s="52"/>
      <c r="K401" s="52"/>
      <c r="L401" s="52"/>
      <c r="M401" s="52"/>
      <c r="N401" s="52"/>
      <c r="O401" s="52"/>
      <c r="P401" s="52"/>
      <c r="Q401" s="52"/>
      <c r="R401" s="52"/>
      <c r="S401" s="52"/>
      <c r="T401" s="52"/>
      <c r="U401" s="52"/>
      <c r="V401" s="52"/>
      <c r="W401" s="52"/>
      <c r="X401" s="52"/>
      <c r="Y401" s="52"/>
      <c r="Z401" s="52"/>
    </row>
    <row r="402">
      <c r="A402" s="59"/>
      <c r="B402" s="34"/>
      <c r="C402" s="52"/>
      <c r="D402" s="52"/>
      <c r="E402" s="52"/>
      <c r="F402" s="52"/>
      <c r="G402" s="52"/>
      <c r="H402" s="52"/>
      <c r="I402" s="52"/>
      <c r="J402" s="52"/>
      <c r="K402" s="52"/>
      <c r="L402" s="52"/>
      <c r="M402" s="52"/>
      <c r="N402" s="52"/>
      <c r="O402" s="52"/>
      <c r="P402" s="52"/>
      <c r="Q402" s="52"/>
      <c r="R402" s="52"/>
      <c r="S402" s="52"/>
      <c r="T402" s="52"/>
      <c r="U402" s="52"/>
      <c r="V402" s="52"/>
      <c r="W402" s="52"/>
      <c r="X402" s="52"/>
      <c r="Y402" s="52"/>
      <c r="Z402" s="52"/>
    </row>
    <row r="403">
      <c r="A403" s="59"/>
      <c r="B403" s="34"/>
      <c r="C403" s="52"/>
      <c r="D403" s="52"/>
      <c r="E403" s="52"/>
      <c r="F403" s="52"/>
      <c r="G403" s="52"/>
      <c r="H403" s="52"/>
      <c r="I403" s="52"/>
      <c r="J403" s="52"/>
      <c r="K403" s="52"/>
      <c r="L403" s="52"/>
      <c r="M403" s="52"/>
      <c r="N403" s="52"/>
      <c r="O403" s="52"/>
      <c r="P403" s="52"/>
      <c r="Q403" s="52"/>
      <c r="R403" s="52"/>
      <c r="S403" s="52"/>
      <c r="T403" s="52"/>
      <c r="U403" s="52"/>
      <c r="V403" s="52"/>
      <c r="W403" s="52"/>
      <c r="X403" s="52"/>
      <c r="Y403" s="52"/>
      <c r="Z403" s="52"/>
    </row>
    <row r="404">
      <c r="A404" s="59"/>
      <c r="B404" s="34"/>
      <c r="C404" s="52"/>
      <c r="D404" s="52"/>
      <c r="E404" s="52"/>
      <c r="F404" s="52"/>
      <c r="G404" s="52"/>
      <c r="H404" s="52"/>
      <c r="I404" s="52"/>
      <c r="J404" s="52"/>
      <c r="K404" s="52"/>
      <c r="L404" s="52"/>
      <c r="M404" s="52"/>
      <c r="N404" s="52"/>
      <c r="O404" s="52"/>
      <c r="P404" s="52"/>
      <c r="Q404" s="52"/>
      <c r="R404" s="52"/>
      <c r="S404" s="52"/>
      <c r="T404" s="52"/>
      <c r="U404" s="52"/>
      <c r="V404" s="52"/>
      <c r="W404" s="52"/>
      <c r="X404" s="52"/>
      <c r="Y404" s="52"/>
      <c r="Z404" s="52"/>
    </row>
    <row r="405">
      <c r="A405" s="59"/>
      <c r="B405" s="34"/>
      <c r="C405" s="52"/>
      <c r="D405" s="52"/>
      <c r="E405" s="52"/>
      <c r="F405" s="52"/>
      <c r="G405" s="52"/>
      <c r="H405" s="52"/>
      <c r="I405" s="52"/>
      <c r="J405" s="52"/>
      <c r="K405" s="52"/>
      <c r="L405" s="52"/>
      <c r="M405" s="52"/>
      <c r="N405" s="52"/>
      <c r="O405" s="52"/>
      <c r="P405" s="52"/>
      <c r="Q405" s="52"/>
      <c r="R405" s="52"/>
      <c r="S405" s="52"/>
      <c r="T405" s="52"/>
      <c r="U405" s="52"/>
      <c r="V405" s="52"/>
      <c r="W405" s="52"/>
      <c r="X405" s="52"/>
      <c r="Y405" s="52"/>
      <c r="Z405" s="52"/>
    </row>
    <row r="406">
      <c r="A406" s="59"/>
      <c r="B406" s="34"/>
      <c r="C406" s="52"/>
      <c r="D406" s="52"/>
      <c r="E406" s="52"/>
      <c r="F406" s="52"/>
      <c r="G406" s="52"/>
      <c r="H406" s="52"/>
      <c r="I406" s="52"/>
      <c r="J406" s="52"/>
      <c r="K406" s="52"/>
      <c r="L406" s="52"/>
      <c r="M406" s="52"/>
      <c r="N406" s="52"/>
      <c r="O406" s="52"/>
      <c r="P406" s="52"/>
      <c r="Q406" s="52"/>
      <c r="R406" s="52"/>
      <c r="S406" s="52"/>
      <c r="T406" s="52"/>
      <c r="U406" s="52"/>
      <c r="V406" s="52"/>
      <c r="W406" s="52"/>
      <c r="X406" s="52"/>
      <c r="Y406" s="52"/>
      <c r="Z406" s="52"/>
    </row>
    <row r="407">
      <c r="A407" s="59"/>
      <c r="B407" s="34"/>
      <c r="C407" s="52"/>
      <c r="D407" s="52"/>
      <c r="E407" s="52"/>
      <c r="F407" s="52"/>
      <c r="G407" s="52"/>
      <c r="H407" s="52"/>
      <c r="I407" s="52"/>
      <c r="J407" s="52"/>
      <c r="K407" s="52"/>
      <c r="L407" s="52"/>
      <c r="M407" s="52"/>
      <c r="N407" s="52"/>
      <c r="O407" s="52"/>
      <c r="P407" s="52"/>
      <c r="Q407" s="52"/>
      <c r="R407" s="52"/>
      <c r="S407" s="52"/>
      <c r="T407" s="52"/>
      <c r="U407" s="52"/>
      <c r="V407" s="52"/>
      <c r="W407" s="52"/>
      <c r="X407" s="52"/>
      <c r="Y407" s="52"/>
      <c r="Z407" s="52"/>
    </row>
    <row r="408">
      <c r="A408" s="59"/>
      <c r="B408" s="34"/>
      <c r="C408" s="52"/>
      <c r="D408" s="52"/>
      <c r="E408" s="52"/>
      <c r="F408" s="52"/>
      <c r="G408" s="52"/>
      <c r="H408" s="52"/>
      <c r="I408" s="52"/>
      <c r="J408" s="52"/>
      <c r="K408" s="52"/>
      <c r="L408" s="52"/>
      <c r="M408" s="52"/>
      <c r="N408" s="52"/>
      <c r="O408" s="52"/>
      <c r="P408" s="52"/>
      <c r="Q408" s="52"/>
      <c r="R408" s="52"/>
      <c r="S408" s="52"/>
      <c r="T408" s="52"/>
      <c r="U408" s="52"/>
      <c r="V408" s="52"/>
      <c r="W408" s="52"/>
      <c r="X408" s="52"/>
      <c r="Y408" s="52"/>
      <c r="Z408" s="52"/>
    </row>
    <row r="409">
      <c r="A409" s="59"/>
      <c r="B409" s="34"/>
      <c r="C409" s="52"/>
      <c r="D409" s="52"/>
      <c r="E409" s="52"/>
      <c r="F409" s="52"/>
      <c r="G409" s="52"/>
      <c r="H409" s="52"/>
      <c r="I409" s="52"/>
      <c r="J409" s="52"/>
      <c r="K409" s="52"/>
      <c r="L409" s="52"/>
      <c r="M409" s="52"/>
      <c r="N409" s="52"/>
      <c r="O409" s="52"/>
      <c r="P409" s="52"/>
      <c r="Q409" s="52"/>
      <c r="R409" s="52"/>
      <c r="S409" s="52"/>
      <c r="T409" s="52"/>
      <c r="U409" s="52"/>
      <c r="V409" s="52"/>
      <c r="W409" s="52"/>
      <c r="X409" s="52"/>
      <c r="Y409" s="52"/>
      <c r="Z409" s="52"/>
    </row>
    <row r="410">
      <c r="A410" s="59"/>
      <c r="B410" s="34"/>
      <c r="C410" s="52"/>
      <c r="D410" s="52"/>
      <c r="E410" s="52"/>
      <c r="F410" s="52"/>
      <c r="G410" s="52"/>
      <c r="H410" s="52"/>
      <c r="I410" s="52"/>
      <c r="J410" s="52"/>
      <c r="K410" s="52"/>
      <c r="L410" s="52"/>
      <c r="M410" s="52"/>
      <c r="N410" s="52"/>
      <c r="O410" s="52"/>
      <c r="P410" s="52"/>
      <c r="Q410" s="52"/>
      <c r="R410" s="52"/>
      <c r="S410" s="52"/>
      <c r="T410" s="52"/>
      <c r="U410" s="52"/>
      <c r="V410" s="52"/>
      <c r="W410" s="52"/>
      <c r="X410" s="52"/>
      <c r="Y410" s="52"/>
      <c r="Z410" s="52"/>
    </row>
    <row r="411">
      <c r="A411" s="59"/>
      <c r="B411" s="34"/>
      <c r="C411" s="52"/>
      <c r="D411" s="52"/>
      <c r="E411" s="52"/>
      <c r="F411" s="52"/>
      <c r="G411" s="52"/>
      <c r="H411" s="52"/>
      <c r="I411" s="52"/>
      <c r="J411" s="52"/>
      <c r="K411" s="52"/>
      <c r="L411" s="52"/>
      <c r="M411" s="52"/>
      <c r="N411" s="52"/>
      <c r="O411" s="52"/>
      <c r="P411" s="52"/>
      <c r="Q411" s="52"/>
      <c r="R411" s="52"/>
      <c r="S411" s="52"/>
      <c r="T411" s="52"/>
      <c r="U411" s="52"/>
      <c r="V411" s="52"/>
      <c r="W411" s="52"/>
      <c r="X411" s="52"/>
      <c r="Y411" s="52"/>
      <c r="Z411" s="52"/>
    </row>
    <row r="412">
      <c r="A412" s="59"/>
      <c r="B412" s="34"/>
      <c r="C412" s="52"/>
      <c r="D412" s="52"/>
      <c r="E412" s="52"/>
      <c r="F412" s="52"/>
      <c r="G412" s="52"/>
      <c r="H412" s="52"/>
      <c r="I412" s="52"/>
      <c r="J412" s="52"/>
      <c r="K412" s="52"/>
      <c r="L412" s="52"/>
      <c r="M412" s="52"/>
      <c r="N412" s="52"/>
      <c r="O412" s="52"/>
      <c r="P412" s="52"/>
      <c r="Q412" s="52"/>
      <c r="R412" s="52"/>
      <c r="S412" s="52"/>
      <c r="T412" s="52"/>
      <c r="U412" s="52"/>
      <c r="V412" s="52"/>
      <c r="W412" s="52"/>
      <c r="X412" s="52"/>
      <c r="Y412" s="52"/>
      <c r="Z412" s="52"/>
    </row>
    <row r="413">
      <c r="A413" s="59"/>
      <c r="B413" s="34"/>
      <c r="C413" s="52"/>
      <c r="D413" s="52"/>
      <c r="E413" s="52"/>
      <c r="F413" s="52"/>
      <c r="G413" s="52"/>
      <c r="H413" s="52"/>
      <c r="I413" s="52"/>
      <c r="J413" s="52"/>
      <c r="K413" s="52"/>
      <c r="L413" s="52"/>
      <c r="M413" s="52"/>
      <c r="N413" s="52"/>
      <c r="O413" s="52"/>
      <c r="P413" s="52"/>
      <c r="Q413" s="52"/>
      <c r="R413" s="52"/>
      <c r="S413" s="52"/>
      <c r="T413" s="52"/>
      <c r="U413" s="52"/>
      <c r="V413" s="52"/>
      <c r="W413" s="52"/>
      <c r="X413" s="52"/>
      <c r="Y413" s="52"/>
      <c r="Z413" s="52"/>
    </row>
    <row r="414">
      <c r="A414" s="59"/>
      <c r="B414" s="34"/>
      <c r="C414" s="52"/>
      <c r="D414" s="52"/>
      <c r="E414" s="52"/>
      <c r="F414" s="52"/>
      <c r="G414" s="52"/>
      <c r="H414" s="52"/>
      <c r="I414" s="52"/>
      <c r="J414" s="52"/>
      <c r="K414" s="52"/>
      <c r="L414" s="52"/>
      <c r="M414" s="52"/>
      <c r="N414" s="52"/>
      <c r="O414" s="52"/>
      <c r="P414" s="52"/>
      <c r="Q414" s="52"/>
      <c r="R414" s="52"/>
      <c r="S414" s="52"/>
      <c r="T414" s="52"/>
      <c r="U414" s="52"/>
      <c r="V414" s="52"/>
      <c r="W414" s="52"/>
      <c r="X414" s="52"/>
      <c r="Y414" s="52"/>
      <c r="Z414" s="52"/>
    </row>
    <row r="415">
      <c r="A415" s="59"/>
      <c r="B415" s="34"/>
      <c r="C415" s="52"/>
      <c r="D415" s="52"/>
      <c r="E415" s="52"/>
      <c r="F415" s="52"/>
      <c r="G415" s="52"/>
      <c r="H415" s="52"/>
      <c r="I415" s="52"/>
      <c r="J415" s="52"/>
      <c r="K415" s="52"/>
      <c r="L415" s="52"/>
      <c r="M415" s="52"/>
      <c r="N415" s="52"/>
      <c r="O415" s="52"/>
      <c r="P415" s="52"/>
      <c r="Q415" s="52"/>
      <c r="R415" s="52"/>
      <c r="S415" s="52"/>
      <c r="T415" s="52"/>
      <c r="U415" s="52"/>
      <c r="V415" s="52"/>
      <c r="W415" s="52"/>
      <c r="X415" s="52"/>
      <c r="Y415" s="52"/>
      <c r="Z415" s="52"/>
    </row>
    <row r="416">
      <c r="A416" s="59"/>
      <c r="B416" s="34"/>
      <c r="C416" s="52"/>
      <c r="D416" s="52"/>
      <c r="E416" s="52"/>
      <c r="F416" s="52"/>
      <c r="G416" s="52"/>
      <c r="H416" s="52"/>
      <c r="I416" s="52"/>
      <c r="J416" s="52"/>
      <c r="K416" s="52"/>
      <c r="L416" s="52"/>
      <c r="M416" s="52"/>
      <c r="N416" s="52"/>
      <c r="O416" s="52"/>
      <c r="P416" s="52"/>
      <c r="Q416" s="52"/>
      <c r="R416" s="52"/>
      <c r="S416" s="52"/>
      <c r="T416" s="52"/>
      <c r="U416" s="52"/>
      <c r="V416" s="52"/>
      <c r="W416" s="52"/>
      <c r="X416" s="52"/>
      <c r="Y416" s="52"/>
      <c r="Z416" s="52"/>
    </row>
    <row r="417">
      <c r="A417" s="59"/>
      <c r="B417" s="34"/>
      <c r="C417" s="52"/>
      <c r="D417" s="52"/>
      <c r="E417" s="52"/>
      <c r="F417" s="52"/>
      <c r="G417" s="52"/>
      <c r="H417" s="52"/>
      <c r="I417" s="52"/>
      <c r="J417" s="52"/>
      <c r="K417" s="52"/>
      <c r="L417" s="52"/>
      <c r="M417" s="52"/>
      <c r="N417" s="52"/>
      <c r="O417" s="52"/>
      <c r="P417" s="52"/>
      <c r="Q417" s="52"/>
      <c r="R417" s="52"/>
      <c r="S417" s="52"/>
      <c r="T417" s="52"/>
      <c r="U417" s="52"/>
      <c r="V417" s="52"/>
      <c r="W417" s="52"/>
      <c r="X417" s="52"/>
      <c r="Y417" s="52"/>
      <c r="Z417" s="52"/>
    </row>
    <row r="418">
      <c r="A418" s="59"/>
      <c r="B418" s="34"/>
      <c r="C418" s="52"/>
      <c r="D418" s="52"/>
      <c r="E418" s="52"/>
      <c r="F418" s="52"/>
      <c r="G418" s="52"/>
      <c r="H418" s="52"/>
      <c r="I418" s="52"/>
      <c r="J418" s="52"/>
      <c r="K418" s="52"/>
      <c r="L418" s="52"/>
      <c r="M418" s="52"/>
      <c r="N418" s="52"/>
      <c r="O418" s="52"/>
      <c r="P418" s="52"/>
      <c r="Q418" s="52"/>
      <c r="R418" s="52"/>
      <c r="S418" s="52"/>
      <c r="T418" s="52"/>
      <c r="U418" s="52"/>
      <c r="V418" s="52"/>
      <c r="W418" s="52"/>
      <c r="X418" s="52"/>
      <c r="Y418" s="52"/>
      <c r="Z418" s="52"/>
    </row>
    <row r="419">
      <c r="A419" s="59"/>
      <c r="B419" s="34"/>
      <c r="C419" s="52"/>
      <c r="D419" s="52"/>
      <c r="E419" s="52"/>
      <c r="F419" s="52"/>
      <c r="G419" s="52"/>
      <c r="H419" s="52"/>
      <c r="I419" s="52"/>
      <c r="J419" s="52"/>
      <c r="K419" s="52"/>
      <c r="L419" s="52"/>
      <c r="M419" s="52"/>
      <c r="N419" s="52"/>
      <c r="O419" s="52"/>
      <c r="P419" s="52"/>
      <c r="Q419" s="52"/>
      <c r="R419" s="52"/>
      <c r="S419" s="52"/>
      <c r="T419" s="52"/>
      <c r="U419" s="52"/>
      <c r="V419" s="52"/>
      <c r="W419" s="52"/>
      <c r="X419" s="52"/>
      <c r="Y419" s="52"/>
      <c r="Z419" s="52"/>
    </row>
    <row r="420">
      <c r="A420" s="59"/>
      <c r="B420" s="34"/>
      <c r="C420" s="52"/>
      <c r="D420" s="52"/>
      <c r="E420" s="52"/>
      <c r="F420" s="52"/>
      <c r="G420" s="52"/>
      <c r="H420" s="52"/>
      <c r="I420" s="52"/>
      <c r="J420" s="52"/>
      <c r="K420" s="52"/>
      <c r="L420" s="52"/>
      <c r="M420" s="52"/>
      <c r="N420" s="52"/>
      <c r="O420" s="52"/>
      <c r="P420" s="52"/>
      <c r="Q420" s="52"/>
      <c r="R420" s="52"/>
      <c r="S420" s="52"/>
      <c r="T420" s="52"/>
      <c r="U420" s="52"/>
      <c r="V420" s="52"/>
      <c r="W420" s="52"/>
      <c r="X420" s="52"/>
      <c r="Y420" s="52"/>
      <c r="Z420" s="52"/>
    </row>
    <row r="421">
      <c r="A421" s="59"/>
      <c r="B421" s="34"/>
      <c r="C421" s="52"/>
      <c r="D421" s="52"/>
      <c r="E421" s="52"/>
      <c r="F421" s="52"/>
      <c r="G421" s="52"/>
      <c r="H421" s="52"/>
      <c r="I421" s="52"/>
      <c r="J421" s="52"/>
      <c r="K421" s="52"/>
      <c r="L421" s="52"/>
      <c r="M421" s="52"/>
      <c r="N421" s="52"/>
      <c r="O421" s="52"/>
      <c r="P421" s="52"/>
      <c r="Q421" s="52"/>
      <c r="R421" s="52"/>
      <c r="S421" s="52"/>
      <c r="T421" s="52"/>
      <c r="U421" s="52"/>
      <c r="V421" s="52"/>
      <c r="W421" s="52"/>
      <c r="X421" s="52"/>
      <c r="Y421" s="52"/>
      <c r="Z421" s="52"/>
    </row>
    <row r="422">
      <c r="A422" s="59"/>
      <c r="B422" s="34"/>
      <c r="C422" s="52"/>
      <c r="D422" s="52"/>
      <c r="E422" s="52"/>
      <c r="F422" s="52"/>
      <c r="G422" s="52"/>
      <c r="H422" s="52"/>
      <c r="I422" s="52"/>
      <c r="J422" s="52"/>
      <c r="K422" s="52"/>
      <c r="L422" s="52"/>
      <c r="M422" s="52"/>
      <c r="N422" s="52"/>
      <c r="O422" s="52"/>
      <c r="P422" s="52"/>
      <c r="Q422" s="52"/>
      <c r="R422" s="52"/>
      <c r="S422" s="52"/>
      <c r="T422" s="52"/>
      <c r="U422" s="52"/>
      <c r="V422" s="52"/>
      <c r="W422" s="52"/>
      <c r="X422" s="52"/>
      <c r="Y422" s="52"/>
      <c r="Z422" s="52"/>
    </row>
    <row r="423">
      <c r="A423" s="59"/>
      <c r="B423" s="34"/>
      <c r="C423" s="52"/>
      <c r="D423" s="52"/>
      <c r="E423" s="52"/>
      <c r="F423" s="52"/>
      <c r="G423" s="52"/>
      <c r="H423" s="52"/>
      <c r="I423" s="52"/>
      <c r="J423" s="52"/>
      <c r="K423" s="52"/>
      <c r="L423" s="52"/>
      <c r="M423" s="52"/>
      <c r="N423" s="52"/>
      <c r="O423" s="52"/>
      <c r="P423" s="52"/>
      <c r="Q423" s="52"/>
      <c r="R423" s="52"/>
      <c r="S423" s="52"/>
      <c r="T423" s="52"/>
      <c r="U423" s="52"/>
      <c r="V423" s="52"/>
      <c r="W423" s="52"/>
      <c r="X423" s="52"/>
      <c r="Y423" s="52"/>
      <c r="Z423" s="52"/>
    </row>
    <row r="424">
      <c r="A424" s="59"/>
      <c r="B424" s="34"/>
      <c r="C424" s="52"/>
      <c r="D424" s="52"/>
      <c r="E424" s="52"/>
      <c r="F424" s="52"/>
      <c r="G424" s="52"/>
      <c r="H424" s="52"/>
      <c r="I424" s="52"/>
      <c r="J424" s="52"/>
      <c r="K424" s="52"/>
      <c r="L424" s="52"/>
      <c r="M424" s="52"/>
      <c r="N424" s="52"/>
      <c r="O424" s="52"/>
      <c r="P424" s="52"/>
      <c r="Q424" s="52"/>
      <c r="R424" s="52"/>
      <c r="S424" s="52"/>
      <c r="T424" s="52"/>
      <c r="U424" s="52"/>
      <c r="V424" s="52"/>
      <c r="W424" s="52"/>
      <c r="X424" s="52"/>
      <c r="Y424" s="52"/>
      <c r="Z424" s="52"/>
    </row>
    <row r="425">
      <c r="A425" s="59"/>
      <c r="B425" s="34"/>
      <c r="C425" s="52"/>
      <c r="D425" s="52"/>
      <c r="E425" s="52"/>
      <c r="F425" s="52"/>
      <c r="G425" s="52"/>
      <c r="H425" s="52"/>
      <c r="I425" s="52"/>
      <c r="J425" s="52"/>
      <c r="K425" s="52"/>
      <c r="L425" s="52"/>
      <c r="M425" s="52"/>
      <c r="N425" s="52"/>
      <c r="O425" s="52"/>
      <c r="P425" s="52"/>
      <c r="Q425" s="52"/>
      <c r="R425" s="52"/>
      <c r="S425" s="52"/>
      <c r="T425" s="52"/>
      <c r="U425" s="52"/>
      <c r="V425" s="52"/>
      <c r="W425" s="52"/>
      <c r="X425" s="52"/>
      <c r="Y425" s="52"/>
      <c r="Z425" s="52"/>
    </row>
    <row r="426">
      <c r="A426" s="59"/>
      <c r="B426" s="34"/>
      <c r="C426" s="52"/>
      <c r="D426" s="52"/>
      <c r="E426" s="52"/>
      <c r="F426" s="52"/>
      <c r="G426" s="52"/>
      <c r="H426" s="52"/>
      <c r="I426" s="52"/>
      <c r="J426" s="52"/>
      <c r="K426" s="52"/>
      <c r="L426" s="52"/>
      <c r="M426" s="52"/>
      <c r="N426" s="52"/>
      <c r="O426" s="52"/>
      <c r="P426" s="52"/>
      <c r="Q426" s="52"/>
      <c r="R426" s="52"/>
      <c r="S426" s="52"/>
      <c r="T426" s="52"/>
      <c r="U426" s="52"/>
      <c r="V426" s="52"/>
      <c r="W426" s="52"/>
      <c r="X426" s="52"/>
      <c r="Y426" s="52"/>
      <c r="Z426" s="52"/>
    </row>
    <row r="427">
      <c r="A427" s="59"/>
      <c r="B427" s="34"/>
      <c r="C427" s="52"/>
      <c r="D427" s="52"/>
      <c r="E427" s="52"/>
      <c r="F427" s="52"/>
      <c r="G427" s="52"/>
      <c r="H427" s="52"/>
      <c r="I427" s="52"/>
      <c r="J427" s="52"/>
      <c r="K427" s="52"/>
      <c r="L427" s="52"/>
      <c r="M427" s="52"/>
      <c r="N427" s="52"/>
      <c r="O427" s="52"/>
      <c r="P427" s="52"/>
      <c r="Q427" s="52"/>
      <c r="R427" s="52"/>
      <c r="S427" s="52"/>
      <c r="T427" s="52"/>
      <c r="U427" s="52"/>
      <c r="V427" s="52"/>
      <c r="W427" s="52"/>
      <c r="X427" s="52"/>
      <c r="Y427" s="52"/>
      <c r="Z427" s="52"/>
    </row>
    <row r="428">
      <c r="A428" s="59"/>
      <c r="B428" s="34"/>
      <c r="C428" s="52"/>
      <c r="D428" s="52"/>
      <c r="E428" s="52"/>
      <c r="F428" s="52"/>
      <c r="G428" s="52"/>
      <c r="H428" s="52"/>
      <c r="I428" s="52"/>
      <c r="J428" s="52"/>
      <c r="K428" s="52"/>
      <c r="L428" s="52"/>
      <c r="M428" s="52"/>
      <c r="N428" s="52"/>
      <c r="O428" s="52"/>
      <c r="P428" s="52"/>
      <c r="Q428" s="52"/>
      <c r="R428" s="52"/>
      <c r="S428" s="52"/>
      <c r="T428" s="52"/>
      <c r="U428" s="52"/>
      <c r="V428" s="52"/>
      <c r="W428" s="52"/>
      <c r="X428" s="52"/>
      <c r="Y428" s="52"/>
      <c r="Z428" s="52"/>
    </row>
    <row r="429">
      <c r="A429" s="59"/>
      <c r="B429" s="34"/>
      <c r="C429" s="52"/>
      <c r="D429" s="52"/>
      <c r="E429" s="52"/>
      <c r="F429" s="52"/>
      <c r="G429" s="52"/>
      <c r="H429" s="52"/>
      <c r="I429" s="52"/>
      <c r="J429" s="52"/>
      <c r="K429" s="52"/>
      <c r="L429" s="52"/>
      <c r="M429" s="52"/>
      <c r="N429" s="52"/>
      <c r="O429" s="52"/>
      <c r="P429" s="52"/>
      <c r="Q429" s="52"/>
      <c r="R429" s="52"/>
      <c r="S429" s="52"/>
      <c r="T429" s="52"/>
      <c r="U429" s="52"/>
      <c r="V429" s="52"/>
      <c r="W429" s="52"/>
      <c r="X429" s="52"/>
      <c r="Y429" s="52"/>
      <c r="Z429" s="52"/>
    </row>
    <row r="430">
      <c r="A430" s="59"/>
      <c r="B430" s="34"/>
      <c r="C430" s="52"/>
      <c r="D430" s="52"/>
      <c r="E430" s="52"/>
      <c r="F430" s="52"/>
      <c r="G430" s="52"/>
      <c r="H430" s="52"/>
      <c r="I430" s="52"/>
      <c r="J430" s="52"/>
      <c r="K430" s="52"/>
      <c r="L430" s="52"/>
      <c r="M430" s="52"/>
      <c r="N430" s="52"/>
      <c r="O430" s="52"/>
      <c r="P430" s="52"/>
      <c r="Q430" s="52"/>
      <c r="R430" s="52"/>
      <c r="S430" s="52"/>
      <c r="T430" s="52"/>
      <c r="U430" s="52"/>
      <c r="V430" s="52"/>
      <c r="W430" s="52"/>
      <c r="X430" s="52"/>
      <c r="Y430" s="52"/>
      <c r="Z430" s="52"/>
    </row>
    <row r="431">
      <c r="A431" s="59"/>
      <c r="B431" s="34"/>
      <c r="C431" s="52"/>
      <c r="D431" s="52"/>
      <c r="E431" s="52"/>
      <c r="F431" s="52"/>
      <c r="G431" s="52"/>
      <c r="H431" s="52"/>
      <c r="I431" s="52"/>
      <c r="J431" s="52"/>
      <c r="K431" s="52"/>
      <c r="L431" s="52"/>
      <c r="M431" s="52"/>
      <c r="N431" s="52"/>
      <c r="O431" s="52"/>
      <c r="P431" s="52"/>
      <c r="Q431" s="52"/>
      <c r="R431" s="52"/>
      <c r="S431" s="52"/>
      <c r="T431" s="52"/>
      <c r="U431" s="52"/>
      <c r="V431" s="52"/>
      <c r="W431" s="52"/>
      <c r="X431" s="52"/>
      <c r="Y431" s="52"/>
      <c r="Z431" s="52"/>
    </row>
    <row r="432">
      <c r="A432" s="59"/>
      <c r="B432" s="34"/>
      <c r="C432" s="52"/>
      <c r="D432" s="52"/>
      <c r="E432" s="52"/>
      <c r="F432" s="52"/>
      <c r="G432" s="52"/>
      <c r="H432" s="52"/>
      <c r="I432" s="52"/>
      <c r="J432" s="52"/>
      <c r="K432" s="52"/>
      <c r="L432" s="52"/>
      <c r="M432" s="52"/>
      <c r="N432" s="52"/>
      <c r="O432" s="52"/>
      <c r="P432" s="52"/>
      <c r="Q432" s="52"/>
      <c r="R432" s="52"/>
      <c r="S432" s="52"/>
      <c r="T432" s="52"/>
      <c r="U432" s="52"/>
      <c r="V432" s="52"/>
      <c r="W432" s="52"/>
      <c r="X432" s="52"/>
      <c r="Y432" s="52"/>
      <c r="Z432" s="52"/>
    </row>
    <row r="433">
      <c r="A433" s="59"/>
      <c r="B433" s="34"/>
      <c r="C433" s="52"/>
      <c r="D433" s="52"/>
      <c r="E433" s="52"/>
      <c r="F433" s="52"/>
      <c r="G433" s="52"/>
      <c r="H433" s="52"/>
      <c r="I433" s="52"/>
      <c r="J433" s="52"/>
      <c r="K433" s="52"/>
      <c r="L433" s="52"/>
      <c r="M433" s="52"/>
      <c r="N433" s="52"/>
      <c r="O433" s="52"/>
      <c r="P433" s="52"/>
      <c r="Q433" s="52"/>
      <c r="R433" s="52"/>
      <c r="S433" s="52"/>
      <c r="T433" s="52"/>
      <c r="U433" s="52"/>
      <c r="V433" s="52"/>
      <c r="W433" s="52"/>
      <c r="X433" s="52"/>
      <c r="Y433" s="52"/>
      <c r="Z433" s="52"/>
    </row>
    <row r="434">
      <c r="A434" s="59"/>
      <c r="B434" s="34"/>
      <c r="C434" s="52"/>
      <c r="D434" s="52"/>
      <c r="E434" s="52"/>
      <c r="F434" s="52"/>
      <c r="G434" s="52"/>
      <c r="H434" s="52"/>
      <c r="I434" s="52"/>
      <c r="J434" s="52"/>
      <c r="K434" s="52"/>
      <c r="L434" s="52"/>
      <c r="M434" s="52"/>
      <c r="N434" s="52"/>
      <c r="O434" s="52"/>
      <c r="P434" s="52"/>
      <c r="Q434" s="52"/>
      <c r="R434" s="52"/>
      <c r="S434" s="52"/>
      <c r="T434" s="52"/>
      <c r="U434" s="52"/>
      <c r="V434" s="52"/>
      <c r="W434" s="52"/>
      <c r="X434" s="52"/>
      <c r="Y434" s="52"/>
      <c r="Z434" s="52"/>
    </row>
    <row r="435">
      <c r="A435" s="59"/>
      <c r="B435" s="34"/>
      <c r="C435" s="52"/>
      <c r="D435" s="52"/>
      <c r="E435" s="52"/>
      <c r="F435" s="52"/>
      <c r="G435" s="52"/>
      <c r="H435" s="52"/>
      <c r="I435" s="52"/>
      <c r="J435" s="52"/>
      <c r="K435" s="52"/>
      <c r="L435" s="52"/>
      <c r="M435" s="52"/>
      <c r="N435" s="52"/>
      <c r="O435" s="52"/>
      <c r="P435" s="52"/>
      <c r="Q435" s="52"/>
      <c r="R435" s="52"/>
      <c r="S435" s="52"/>
      <c r="T435" s="52"/>
      <c r="U435" s="52"/>
      <c r="V435" s="52"/>
      <c r="W435" s="52"/>
      <c r="X435" s="52"/>
      <c r="Y435" s="52"/>
      <c r="Z435" s="52"/>
    </row>
    <row r="436">
      <c r="A436" s="59"/>
      <c r="B436" s="34"/>
      <c r="C436" s="52"/>
      <c r="D436" s="52"/>
      <c r="E436" s="52"/>
      <c r="F436" s="52"/>
      <c r="G436" s="52"/>
      <c r="H436" s="52"/>
      <c r="I436" s="52"/>
      <c r="J436" s="52"/>
      <c r="K436" s="52"/>
      <c r="L436" s="52"/>
      <c r="M436" s="52"/>
      <c r="N436" s="52"/>
      <c r="O436" s="52"/>
      <c r="P436" s="52"/>
      <c r="Q436" s="52"/>
      <c r="R436" s="52"/>
      <c r="S436" s="52"/>
      <c r="T436" s="52"/>
      <c r="U436" s="52"/>
      <c r="V436" s="52"/>
      <c r="W436" s="52"/>
      <c r="X436" s="52"/>
      <c r="Y436" s="52"/>
      <c r="Z436" s="52"/>
    </row>
    <row r="437">
      <c r="A437" s="59"/>
      <c r="B437" s="34"/>
      <c r="C437" s="52"/>
      <c r="D437" s="52"/>
      <c r="E437" s="52"/>
      <c r="F437" s="52"/>
      <c r="G437" s="52"/>
      <c r="H437" s="52"/>
      <c r="I437" s="52"/>
      <c r="J437" s="52"/>
      <c r="K437" s="52"/>
      <c r="L437" s="52"/>
      <c r="M437" s="52"/>
      <c r="N437" s="52"/>
      <c r="O437" s="52"/>
      <c r="P437" s="52"/>
      <c r="Q437" s="52"/>
      <c r="R437" s="52"/>
      <c r="S437" s="52"/>
      <c r="T437" s="52"/>
      <c r="U437" s="52"/>
      <c r="V437" s="52"/>
      <c r="W437" s="52"/>
      <c r="X437" s="52"/>
      <c r="Y437" s="52"/>
      <c r="Z437" s="52"/>
    </row>
    <row r="438">
      <c r="A438" s="59"/>
      <c r="B438" s="34"/>
      <c r="C438" s="52"/>
      <c r="D438" s="52"/>
      <c r="E438" s="52"/>
      <c r="F438" s="52"/>
      <c r="G438" s="52"/>
      <c r="H438" s="52"/>
      <c r="I438" s="52"/>
      <c r="J438" s="52"/>
      <c r="K438" s="52"/>
      <c r="L438" s="52"/>
      <c r="M438" s="52"/>
      <c r="N438" s="52"/>
      <c r="O438" s="52"/>
      <c r="P438" s="52"/>
      <c r="Q438" s="52"/>
      <c r="R438" s="52"/>
      <c r="S438" s="52"/>
      <c r="T438" s="52"/>
      <c r="U438" s="52"/>
      <c r="V438" s="52"/>
      <c r="W438" s="52"/>
      <c r="X438" s="52"/>
      <c r="Y438" s="52"/>
      <c r="Z438" s="52"/>
    </row>
    <row r="439">
      <c r="A439" s="59"/>
      <c r="B439" s="34"/>
      <c r="C439" s="52"/>
      <c r="D439" s="52"/>
      <c r="E439" s="52"/>
      <c r="F439" s="52"/>
      <c r="G439" s="52"/>
      <c r="H439" s="52"/>
      <c r="I439" s="52"/>
      <c r="J439" s="52"/>
      <c r="K439" s="52"/>
      <c r="L439" s="52"/>
      <c r="M439" s="52"/>
      <c r="N439" s="52"/>
      <c r="O439" s="52"/>
      <c r="P439" s="52"/>
      <c r="Q439" s="52"/>
      <c r="R439" s="52"/>
      <c r="S439" s="52"/>
      <c r="T439" s="52"/>
      <c r="U439" s="52"/>
      <c r="V439" s="52"/>
      <c r="W439" s="52"/>
      <c r="X439" s="52"/>
      <c r="Y439" s="52"/>
      <c r="Z439" s="52"/>
    </row>
    <row r="440">
      <c r="A440" s="59"/>
      <c r="B440" s="34"/>
      <c r="C440" s="52"/>
      <c r="D440" s="52"/>
      <c r="E440" s="52"/>
      <c r="F440" s="52"/>
      <c r="G440" s="52"/>
      <c r="H440" s="52"/>
      <c r="I440" s="52"/>
      <c r="J440" s="52"/>
      <c r="K440" s="52"/>
      <c r="L440" s="52"/>
      <c r="M440" s="52"/>
      <c r="N440" s="52"/>
      <c r="O440" s="52"/>
      <c r="P440" s="52"/>
      <c r="Q440" s="52"/>
      <c r="R440" s="52"/>
      <c r="S440" s="52"/>
      <c r="T440" s="52"/>
      <c r="U440" s="52"/>
      <c r="V440" s="52"/>
      <c r="W440" s="52"/>
      <c r="X440" s="52"/>
      <c r="Y440" s="52"/>
      <c r="Z440" s="52"/>
    </row>
    <row r="441">
      <c r="A441" s="59"/>
      <c r="B441" s="34"/>
      <c r="C441" s="52"/>
      <c r="D441" s="52"/>
      <c r="E441" s="52"/>
      <c r="F441" s="52"/>
      <c r="G441" s="52"/>
      <c r="H441" s="52"/>
      <c r="I441" s="52"/>
      <c r="J441" s="52"/>
      <c r="K441" s="52"/>
      <c r="L441" s="52"/>
      <c r="M441" s="52"/>
      <c r="N441" s="52"/>
      <c r="O441" s="52"/>
      <c r="P441" s="52"/>
      <c r="Q441" s="52"/>
      <c r="R441" s="52"/>
      <c r="S441" s="52"/>
      <c r="T441" s="52"/>
      <c r="U441" s="52"/>
      <c r="V441" s="52"/>
      <c r="W441" s="52"/>
      <c r="X441" s="52"/>
      <c r="Y441" s="52"/>
      <c r="Z441" s="52"/>
    </row>
    <row r="442">
      <c r="A442" s="59"/>
      <c r="B442" s="34"/>
      <c r="C442" s="52"/>
      <c r="D442" s="52"/>
      <c r="E442" s="52"/>
      <c r="F442" s="52"/>
      <c r="G442" s="52"/>
      <c r="H442" s="52"/>
      <c r="I442" s="52"/>
      <c r="J442" s="52"/>
      <c r="K442" s="52"/>
      <c r="L442" s="52"/>
      <c r="M442" s="52"/>
      <c r="N442" s="52"/>
      <c r="O442" s="52"/>
      <c r="P442" s="52"/>
      <c r="Q442" s="52"/>
      <c r="R442" s="52"/>
      <c r="S442" s="52"/>
      <c r="T442" s="52"/>
      <c r="U442" s="52"/>
      <c r="V442" s="52"/>
      <c r="W442" s="52"/>
      <c r="X442" s="52"/>
      <c r="Y442" s="52"/>
      <c r="Z442" s="52"/>
    </row>
    <row r="443">
      <c r="A443" s="59"/>
      <c r="B443" s="34"/>
      <c r="C443" s="52"/>
      <c r="D443" s="52"/>
      <c r="E443" s="52"/>
      <c r="F443" s="52"/>
      <c r="G443" s="52"/>
      <c r="H443" s="52"/>
      <c r="I443" s="52"/>
      <c r="J443" s="52"/>
      <c r="K443" s="52"/>
      <c r="L443" s="52"/>
      <c r="M443" s="52"/>
      <c r="N443" s="52"/>
      <c r="O443" s="52"/>
      <c r="P443" s="52"/>
      <c r="Q443" s="52"/>
      <c r="R443" s="52"/>
      <c r="S443" s="52"/>
      <c r="T443" s="52"/>
      <c r="U443" s="52"/>
      <c r="V443" s="52"/>
      <c r="W443" s="52"/>
      <c r="X443" s="52"/>
      <c r="Y443" s="52"/>
      <c r="Z443" s="52"/>
    </row>
    <row r="444">
      <c r="A444" s="59"/>
      <c r="B444" s="34"/>
      <c r="C444" s="52"/>
      <c r="D444" s="52"/>
      <c r="E444" s="52"/>
      <c r="F444" s="52"/>
      <c r="G444" s="52"/>
      <c r="H444" s="52"/>
      <c r="I444" s="52"/>
      <c r="J444" s="52"/>
      <c r="K444" s="52"/>
      <c r="L444" s="52"/>
      <c r="M444" s="52"/>
      <c r="N444" s="52"/>
      <c r="O444" s="52"/>
      <c r="P444" s="52"/>
      <c r="Q444" s="52"/>
      <c r="R444" s="52"/>
      <c r="S444" s="52"/>
      <c r="T444" s="52"/>
      <c r="U444" s="52"/>
      <c r="V444" s="52"/>
      <c r="W444" s="52"/>
      <c r="X444" s="52"/>
      <c r="Y444" s="52"/>
      <c r="Z444" s="52"/>
    </row>
    <row r="445">
      <c r="A445" s="59"/>
      <c r="B445" s="34"/>
      <c r="C445" s="52"/>
      <c r="D445" s="52"/>
      <c r="E445" s="52"/>
      <c r="F445" s="52"/>
      <c r="G445" s="52"/>
      <c r="H445" s="52"/>
      <c r="I445" s="52"/>
      <c r="J445" s="52"/>
      <c r="K445" s="52"/>
      <c r="L445" s="52"/>
      <c r="M445" s="52"/>
      <c r="N445" s="52"/>
      <c r="O445" s="52"/>
      <c r="P445" s="52"/>
      <c r="Q445" s="52"/>
      <c r="R445" s="52"/>
      <c r="S445" s="52"/>
      <c r="T445" s="52"/>
      <c r="U445" s="52"/>
      <c r="V445" s="52"/>
      <c r="W445" s="52"/>
      <c r="X445" s="52"/>
      <c r="Y445" s="52"/>
      <c r="Z445" s="52"/>
    </row>
    <row r="446">
      <c r="A446" s="59"/>
      <c r="B446" s="34"/>
      <c r="C446" s="52"/>
      <c r="D446" s="52"/>
      <c r="E446" s="52"/>
      <c r="F446" s="52"/>
      <c r="G446" s="52"/>
      <c r="H446" s="52"/>
      <c r="I446" s="52"/>
      <c r="J446" s="52"/>
      <c r="K446" s="52"/>
      <c r="L446" s="52"/>
      <c r="M446" s="52"/>
      <c r="N446" s="52"/>
      <c r="O446" s="52"/>
      <c r="P446" s="52"/>
      <c r="Q446" s="52"/>
      <c r="R446" s="52"/>
      <c r="S446" s="52"/>
      <c r="T446" s="52"/>
      <c r="U446" s="52"/>
      <c r="V446" s="52"/>
      <c r="W446" s="52"/>
      <c r="X446" s="52"/>
      <c r="Y446" s="52"/>
      <c r="Z446" s="52"/>
    </row>
    <row r="447">
      <c r="A447" s="59"/>
      <c r="B447" s="34"/>
      <c r="C447" s="52"/>
      <c r="D447" s="52"/>
      <c r="E447" s="52"/>
      <c r="F447" s="52"/>
      <c r="G447" s="52"/>
      <c r="H447" s="52"/>
      <c r="I447" s="52"/>
      <c r="J447" s="52"/>
      <c r="K447" s="52"/>
      <c r="L447" s="52"/>
      <c r="M447" s="52"/>
      <c r="N447" s="52"/>
      <c r="O447" s="52"/>
      <c r="P447" s="52"/>
      <c r="Q447" s="52"/>
      <c r="R447" s="52"/>
      <c r="S447" s="52"/>
      <c r="T447" s="52"/>
      <c r="U447" s="52"/>
      <c r="V447" s="52"/>
      <c r="W447" s="52"/>
      <c r="X447" s="52"/>
      <c r="Y447" s="52"/>
      <c r="Z447" s="52"/>
    </row>
    <row r="448">
      <c r="A448" s="59"/>
      <c r="B448" s="34"/>
      <c r="C448" s="52"/>
      <c r="D448" s="52"/>
      <c r="E448" s="52"/>
      <c r="F448" s="52"/>
      <c r="G448" s="52"/>
      <c r="H448" s="52"/>
      <c r="I448" s="52"/>
      <c r="J448" s="52"/>
      <c r="K448" s="52"/>
      <c r="L448" s="52"/>
      <c r="M448" s="52"/>
      <c r="N448" s="52"/>
      <c r="O448" s="52"/>
      <c r="P448" s="52"/>
      <c r="Q448" s="52"/>
      <c r="R448" s="52"/>
      <c r="S448" s="52"/>
      <c r="T448" s="52"/>
      <c r="U448" s="52"/>
      <c r="V448" s="52"/>
      <c r="W448" s="52"/>
      <c r="X448" s="52"/>
      <c r="Y448" s="52"/>
      <c r="Z448" s="52"/>
    </row>
    <row r="449">
      <c r="A449" s="59"/>
      <c r="B449" s="34"/>
      <c r="C449" s="52"/>
      <c r="D449" s="52"/>
      <c r="E449" s="52"/>
      <c r="F449" s="52"/>
      <c r="G449" s="52"/>
      <c r="H449" s="52"/>
      <c r="I449" s="52"/>
      <c r="J449" s="52"/>
      <c r="K449" s="52"/>
      <c r="L449" s="52"/>
      <c r="M449" s="52"/>
      <c r="N449" s="52"/>
      <c r="O449" s="52"/>
      <c r="P449" s="52"/>
      <c r="Q449" s="52"/>
      <c r="R449" s="52"/>
      <c r="S449" s="52"/>
      <c r="T449" s="52"/>
      <c r="U449" s="52"/>
      <c r="V449" s="52"/>
      <c r="W449" s="52"/>
      <c r="X449" s="52"/>
      <c r="Y449" s="52"/>
      <c r="Z449" s="52"/>
    </row>
    <row r="450">
      <c r="A450" s="59"/>
      <c r="B450" s="34"/>
      <c r="C450" s="52"/>
      <c r="D450" s="52"/>
      <c r="E450" s="52"/>
      <c r="F450" s="52"/>
      <c r="G450" s="52"/>
      <c r="H450" s="52"/>
      <c r="I450" s="52"/>
      <c r="J450" s="52"/>
      <c r="K450" s="52"/>
      <c r="L450" s="52"/>
      <c r="M450" s="52"/>
      <c r="N450" s="52"/>
      <c r="O450" s="52"/>
      <c r="P450" s="52"/>
      <c r="Q450" s="52"/>
      <c r="R450" s="52"/>
      <c r="S450" s="52"/>
      <c r="T450" s="52"/>
      <c r="U450" s="52"/>
      <c r="V450" s="52"/>
      <c r="W450" s="52"/>
      <c r="X450" s="52"/>
      <c r="Y450" s="52"/>
      <c r="Z450" s="52"/>
    </row>
    <row r="451">
      <c r="A451" s="59"/>
      <c r="B451" s="34"/>
      <c r="C451" s="52"/>
      <c r="D451" s="52"/>
      <c r="E451" s="52"/>
      <c r="F451" s="52"/>
      <c r="G451" s="52"/>
      <c r="H451" s="52"/>
      <c r="I451" s="52"/>
      <c r="J451" s="52"/>
      <c r="K451" s="52"/>
      <c r="L451" s="52"/>
      <c r="M451" s="52"/>
      <c r="N451" s="52"/>
      <c r="O451" s="52"/>
      <c r="P451" s="52"/>
      <c r="Q451" s="52"/>
      <c r="R451" s="52"/>
      <c r="S451" s="52"/>
      <c r="T451" s="52"/>
      <c r="U451" s="52"/>
      <c r="V451" s="52"/>
      <c r="W451" s="52"/>
      <c r="X451" s="52"/>
      <c r="Y451" s="52"/>
      <c r="Z451" s="52"/>
    </row>
    <row r="452">
      <c r="A452" s="59"/>
      <c r="B452" s="34"/>
      <c r="C452" s="52"/>
      <c r="D452" s="52"/>
      <c r="E452" s="52"/>
      <c r="F452" s="52"/>
      <c r="G452" s="52"/>
      <c r="H452" s="52"/>
      <c r="I452" s="52"/>
      <c r="J452" s="52"/>
      <c r="K452" s="52"/>
      <c r="L452" s="52"/>
      <c r="M452" s="52"/>
      <c r="N452" s="52"/>
      <c r="O452" s="52"/>
      <c r="P452" s="52"/>
      <c r="Q452" s="52"/>
      <c r="R452" s="52"/>
      <c r="S452" s="52"/>
      <c r="T452" s="52"/>
      <c r="U452" s="52"/>
      <c r="V452" s="52"/>
      <c r="W452" s="52"/>
      <c r="X452" s="52"/>
      <c r="Y452" s="52"/>
      <c r="Z452" s="52"/>
    </row>
    <row r="453">
      <c r="A453" s="59"/>
      <c r="B453" s="34"/>
      <c r="C453" s="52"/>
      <c r="D453" s="52"/>
      <c r="E453" s="52"/>
      <c r="F453" s="52"/>
      <c r="G453" s="52"/>
      <c r="H453" s="52"/>
      <c r="I453" s="52"/>
      <c r="J453" s="52"/>
      <c r="K453" s="52"/>
      <c r="L453" s="52"/>
      <c r="M453" s="52"/>
      <c r="N453" s="52"/>
      <c r="O453" s="52"/>
      <c r="P453" s="52"/>
      <c r="Q453" s="52"/>
      <c r="R453" s="52"/>
      <c r="S453" s="52"/>
      <c r="T453" s="52"/>
      <c r="U453" s="52"/>
      <c r="V453" s="52"/>
      <c r="W453" s="52"/>
      <c r="X453" s="52"/>
      <c r="Y453" s="52"/>
      <c r="Z453" s="52"/>
    </row>
    <row r="454">
      <c r="A454" s="59"/>
      <c r="B454" s="34"/>
      <c r="C454" s="52"/>
      <c r="D454" s="52"/>
      <c r="E454" s="52"/>
      <c r="F454" s="52"/>
      <c r="G454" s="52"/>
      <c r="H454" s="52"/>
      <c r="I454" s="52"/>
      <c r="J454" s="52"/>
      <c r="K454" s="52"/>
      <c r="L454" s="52"/>
      <c r="M454" s="52"/>
      <c r="N454" s="52"/>
      <c r="O454" s="52"/>
      <c r="P454" s="52"/>
      <c r="Q454" s="52"/>
      <c r="R454" s="52"/>
      <c r="S454" s="52"/>
      <c r="T454" s="52"/>
      <c r="U454" s="52"/>
      <c r="V454" s="52"/>
      <c r="W454" s="52"/>
      <c r="X454" s="52"/>
      <c r="Y454" s="52"/>
      <c r="Z454" s="52"/>
    </row>
    <row r="455">
      <c r="A455" s="59"/>
      <c r="B455" s="34"/>
      <c r="C455" s="52"/>
      <c r="D455" s="52"/>
      <c r="E455" s="52"/>
      <c r="F455" s="52"/>
      <c r="G455" s="52"/>
      <c r="H455" s="52"/>
      <c r="I455" s="52"/>
      <c r="J455" s="52"/>
      <c r="K455" s="52"/>
      <c r="L455" s="52"/>
      <c r="M455" s="52"/>
      <c r="N455" s="52"/>
      <c r="O455" s="52"/>
      <c r="P455" s="52"/>
      <c r="Q455" s="52"/>
      <c r="R455" s="52"/>
      <c r="S455" s="52"/>
      <c r="T455" s="52"/>
      <c r="U455" s="52"/>
      <c r="V455" s="52"/>
      <c r="W455" s="52"/>
      <c r="X455" s="52"/>
      <c r="Y455" s="52"/>
      <c r="Z455" s="52"/>
    </row>
    <row r="456">
      <c r="A456" s="59"/>
      <c r="B456" s="34"/>
      <c r="C456" s="52"/>
      <c r="D456" s="52"/>
      <c r="E456" s="52"/>
      <c r="F456" s="52"/>
      <c r="G456" s="52"/>
      <c r="H456" s="52"/>
      <c r="I456" s="52"/>
      <c r="J456" s="52"/>
      <c r="K456" s="52"/>
      <c r="L456" s="52"/>
      <c r="M456" s="52"/>
      <c r="N456" s="52"/>
      <c r="O456" s="52"/>
      <c r="P456" s="52"/>
      <c r="Q456" s="52"/>
      <c r="R456" s="52"/>
      <c r="S456" s="52"/>
      <c r="T456" s="52"/>
      <c r="U456" s="52"/>
      <c r="V456" s="52"/>
      <c r="W456" s="52"/>
      <c r="X456" s="52"/>
      <c r="Y456" s="52"/>
      <c r="Z456" s="52"/>
    </row>
    <row r="457">
      <c r="A457" s="59"/>
      <c r="B457" s="34"/>
      <c r="C457" s="52"/>
      <c r="D457" s="52"/>
      <c r="E457" s="52"/>
      <c r="F457" s="52"/>
      <c r="G457" s="52"/>
      <c r="H457" s="52"/>
      <c r="I457" s="52"/>
      <c r="J457" s="52"/>
      <c r="K457" s="52"/>
      <c r="L457" s="52"/>
      <c r="M457" s="52"/>
      <c r="N457" s="52"/>
      <c r="O457" s="52"/>
      <c r="P457" s="52"/>
      <c r="Q457" s="52"/>
      <c r="R457" s="52"/>
      <c r="S457" s="52"/>
      <c r="T457" s="52"/>
      <c r="U457" s="52"/>
      <c r="V457" s="52"/>
      <c r="W457" s="52"/>
      <c r="X457" s="52"/>
      <c r="Y457" s="52"/>
      <c r="Z457" s="52"/>
    </row>
    <row r="458">
      <c r="A458" s="59"/>
      <c r="B458" s="34"/>
      <c r="C458" s="52"/>
      <c r="D458" s="52"/>
      <c r="E458" s="52"/>
      <c r="F458" s="52"/>
      <c r="G458" s="52"/>
      <c r="H458" s="52"/>
      <c r="I458" s="52"/>
      <c r="J458" s="52"/>
      <c r="K458" s="52"/>
      <c r="L458" s="52"/>
      <c r="M458" s="52"/>
      <c r="N458" s="52"/>
      <c r="O458" s="52"/>
      <c r="P458" s="52"/>
      <c r="Q458" s="52"/>
      <c r="R458" s="52"/>
      <c r="S458" s="52"/>
      <c r="T458" s="52"/>
      <c r="U458" s="52"/>
      <c r="V458" s="52"/>
      <c r="W458" s="52"/>
      <c r="X458" s="52"/>
      <c r="Y458" s="52"/>
      <c r="Z458" s="52"/>
    </row>
    <row r="459">
      <c r="A459" s="59"/>
      <c r="B459" s="34"/>
      <c r="C459" s="52"/>
      <c r="D459" s="52"/>
      <c r="E459" s="52"/>
      <c r="F459" s="52"/>
      <c r="G459" s="52"/>
      <c r="H459" s="52"/>
      <c r="I459" s="52"/>
      <c r="J459" s="52"/>
      <c r="K459" s="52"/>
      <c r="L459" s="52"/>
      <c r="M459" s="52"/>
      <c r="N459" s="52"/>
      <c r="O459" s="52"/>
      <c r="P459" s="52"/>
      <c r="Q459" s="52"/>
      <c r="R459" s="52"/>
      <c r="S459" s="52"/>
      <c r="T459" s="52"/>
      <c r="U459" s="52"/>
      <c r="V459" s="52"/>
      <c r="W459" s="52"/>
      <c r="X459" s="52"/>
      <c r="Y459" s="52"/>
      <c r="Z459" s="52"/>
    </row>
    <row r="460">
      <c r="A460" s="59"/>
      <c r="B460" s="34"/>
      <c r="C460" s="52"/>
      <c r="D460" s="52"/>
      <c r="E460" s="52"/>
      <c r="F460" s="52"/>
      <c r="G460" s="52"/>
      <c r="H460" s="52"/>
      <c r="I460" s="52"/>
      <c r="J460" s="52"/>
      <c r="K460" s="52"/>
      <c r="L460" s="52"/>
      <c r="M460" s="52"/>
      <c r="N460" s="52"/>
      <c r="O460" s="52"/>
      <c r="P460" s="52"/>
      <c r="Q460" s="52"/>
      <c r="R460" s="52"/>
      <c r="S460" s="52"/>
      <c r="T460" s="52"/>
      <c r="U460" s="52"/>
      <c r="V460" s="52"/>
      <c r="W460" s="52"/>
      <c r="X460" s="52"/>
      <c r="Y460" s="52"/>
      <c r="Z460" s="52"/>
    </row>
    <row r="461">
      <c r="A461" s="59"/>
      <c r="B461" s="34"/>
      <c r="C461" s="52"/>
      <c r="D461" s="52"/>
      <c r="E461" s="52"/>
      <c r="F461" s="52"/>
      <c r="G461" s="52"/>
      <c r="H461" s="52"/>
      <c r="I461" s="52"/>
      <c r="J461" s="52"/>
      <c r="K461" s="52"/>
      <c r="L461" s="52"/>
      <c r="M461" s="52"/>
      <c r="N461" s="52"/>
      <c r="O461" s="52"/>
      <c r="P461" s="52"/>
      <c r="Q461" s="52"/>
      <c r="R461" s="52"/>
      <c r="S461" s="52"/>
      <c r="T461" s="52"/>
      <c r="U461" s="52"/>
      <c r="V461" s="52"/>
      <c r="W461" s="52"/>
      <c r="X461" s="52"/>
      <c r="Y461" s="52"/>
      <c r="Z461" s="52"/>
    </row>
    <row r="462">
      <c r="A462" s="59"/>
      <c r="B462" s="34"/>
      <c r="C462" s="52"/>
      <c r="D462" s="52"/>
      <c r="E462" s="52"/>
      <c r="F462" s="52"/>
      <c r="G462" s="52"/>
      <c r="H462" s="52"/>
      <c r="I462" s="52"/>
      <c r="J462" s="52"/>
      <c r="K462" s="52"/>
      <c r="L462" s="52"/>
      <c r="M462" s="52"/>
      <c r="N462" s="52"/>
      <c r="O462" s="52"/>
      <c r="P462" s="52"/>
      <c r="Q462" s="52"/>
      <c r="R462" s="52"/>
      <c r="S462" s="52"/>
      <c r="T462" s="52"/>
      <c r="U462" s="52"/>
      <c r="V462" s="52"/>
      <c r="W462" s="52"/>
      <c r="X462" s="52"/>
      <c r="Y462" s="52"/>
      <c r="Z462" s="52"/>
    </row>
    <row r="463">
      <c r="A463" s="59"/>
      <c r="B463" s="34"/>
      <c r="C463" s="52"/>
      <c r="D463" s="52"/>
      <c r="E463" s="52"/>
      <c r="F463" s="52"/>
      <c r="G463" s="52"/>
      <c r="H463" s="52"/>
      <c r="I463" s="52"/>
      <c r="J463" s="52"/>
      <c r="K463" s="52"/>
      <c r="L463" s="52"/>
      <c r="M463" s="52"/>
      <c r="N463" s="52"/>
      <c r="O463" s="52"/>
      <c r="P463" s="52"/>
      <c r="Q463" s="52"/>
      <c r="R463" s="52"/>
      <c r="S463" s="52"/>
      <c r="T463" s="52"/>
      <c r="U463" s="52"/>
      <c r="V463" s="52"/>
      <c r="W463" s="52"/>
      <c r="X463" s="52"/>
      <c r="Y463" s="52"/>
      <c r="Z463" s="52"/>
    </row>
    <row r="464">
      <c r="A464" s="59"/>
      <c r="B464" s="34"/>
      <c r="C464" s="52"/>
      <c r="D464" s="52"/>
      <c r="E464" s="52"/>
      <c r="F464" s="52"/>
      <c r="G464" s="52"/>
      <c r="H464" s="52"/>
      <c r="I464" s="52"/>
      <c r="J464" s="52"/>
      <c r="K464" s="52"/>
      <c r="L464" s="52"/>
      <c r="M464" s="52"/>
      <c r="N464" s="52"/>
      <c r="O464" s="52"/>
      <c r="P464" s="52"/>
      <c r="Q464" s="52"/>
      <c r="R464" s="52"/>
      <c r="S464" s="52"/>
      <c r="T464" s="52"/>
      <c r="U464" s="52"/>
      <c r="V464" s="52"/>
      <c r="W464" s="52"/>
      <c r="X464" s="52"/>
      <c r="Y464" s="52"/>
      <c r="Z464" s="52"/>
    </row>
    <row r="465">
      <c r="A465" s="59"/>
      <c r="B465" s="34"/>
      <c r="C465" s="52"/>
      <c r="D465" s="52"/>
      <c r="E465" s="52"/>
      <c r="F465" s="52"/>
      <c r="G465" s="52"/>
      <c r="H465" s="52"/>
      <c r="I465" s="52"/>
      <c r="J465" s="52"/>
      <c r="K465" s="52"/>
      <c r="L465" s="52"/>
      <c r="M465" s="52"/>
      <c r="N465" s="52"/>
      <c r="O465" s="52"/>
      <c r="P465" s="52"/>
      <c r="Q465" s="52"/>
      <c r="R465" s="52"/>
      <c r="S465" s="52"/>
      <c r="T465" s="52"/>
      <c r="U465" s="52"/>
      <c r="V465" s="52"/>
      <c r="W465" s="52"/>
      <c r="X465" s="52"/>
      <c r="Y465" s="52"/>
      <c r="Z465" s="52"/>
    </row>
    <row r="466">
      <c r="A466" s="59"/>
      <c r="B466" s="34"/>
      <c r="C466" s="52"/>
      <c r="D466" s="52"/>
      <c r="E466" s="52"/>
      <c r="F466" s="52"/>
      <c r="G466" s="52"/>
      <c r="H466" s="52"/>
      <c r="I466" s="52"/>
      <c r="J466" s="52"/>
      <c r="K466" s="52"/>
      <c r="L466" s="52"/>
      <c r="M466" s="52"/>
      <c r="N466" s="52"/>
      <c r="O466" s="52"/>
      <c r="P466" s="52"/>
      <c r="Q466" s="52"/>
      <c r="R466" s="52"/>
      <c r="S466" s="52"/>
      <c r="T466" s="52"/>
      <c r="U466" s="52"/>
      <c r="V466" s="52"/>
      <c r="W466" s="52"/>
      <c r="X466" s="52"/>
      <c r="Y466" s="52"/>
      <c r="Z466" s="52"/>
    </row>
    <row r="467">
      <c r="A467" s="59"/>
      <c r="B467" s="34"/>
      <c r="C467" s="52"/>
      <c r="D467" s="52"/>
      <c r="E467" s="52"/>
      <c r="F467" s="52"/>
      <c r="G467" s="52"/>
      <c r="H467" s="52"/>
      <c r="I467" s="52"/>
      <c r="J467" s="52"/>
      <c r="K467" s="52"/>
      <c r="L467" s="52"/>
      <c r="M467" s="52"/>
      <c r="N467" s="52"/>
      <c r="O467" s="52"/>
      <c r="P467" s="52"/>
      <c r="Q467" s="52"/>
      <c r="R467" s="52"/>
      <c r="S467" s="52"/>
      <c r="T467" s="52"/>
      <c r="U467" s="52"/>
      <c r="V467" s="52"/>
      <c r="W467" s="52"/>
      <c r="X467" s="52"/>
      <c r="Y467" s="52"/>
      <c r="Z467" s="52"/>
    </row>
    <row r="468">
      <c r="A468" s="59"/>
      <c r="B468" s="34"/>
      <c r="C468" s="52"/>
      <c r="D468" s="52"/>
      <c r="E468" s="52"/>
      <c r="F468" s="52"/>
      <c r="G468" s="52"/>
      <c r="H468" s="52"/>
      <c r="I468" s="52"/>
      <c r="J468" s="52"/>
      <c r="K468" s="52"/>
      <c r="L468" s="52"/>
      <c r="M468" s="52"/>
      <c r="N468" s="52"/>
      <c r="O468" s="52"/>
      <c r="P468" s="52"/>
      <c r="Q468" s="52"/>
      <c r="R468" s="52"/>
      <c r="S468" s="52"/>
      <c r="T468" s="52"/>
      <c r="U468" s="52"/>
      <c r="V468" s="52"/>
      <c r="W468" s="52"/>
      <c r="X468" s="52"/>
      <c r="Y468" s="52"/>
      <c r="Z468" s="52"/>
    </row>
    <row r="469">
      <c r="A469" s="59"/>
      <c r="B469" s="34"/>
      <c r="C469" s="52"/>
      <c r="D469" s="52"/>
      <c r="E469" s="52"/>
      <c r="F469" s="52"/>
      <c r="G469" s="52"/>
      <c r="H469" s="52"/>
      <c r="I469" s="52"/>
      <c r="J469" s="52"/>
      <c r="K469" s="52"/>
      <c r="L469" s="52"/>
      <c r="M469" s="52"/>
      <c r="N469" s="52"/>
      <c r="O469" s="52"/>
      <c r="P469" s="52"/>
      <c r="Q469" s="52"/>
      <c r="R469" s="52"/>
      <c r="S469" s="52"/>
      <c r="T469" s="52"/>
      <c r="U469" s="52"/>
      <c r="V469" s="52"/>
      <c r="W469" s="52"/>
      <c r="X469" s="52"/>
      <c r="Y469" s="52"/>
      <c r="Z469" s="52"/>
    </row>
    <row r="470">
      <c r="A470" s="59"/>
      <c r="B470" s="34"/>
      <c r="C470" s="52"/>
      <c r="D470" s="52"/>
      <c r="E470" s="52"/>
      <c r="F470" s="52"/>
      <c r="G470" s="52"/>
      <c r="H470" s="52"/>
      <c r="I470" s="52"/>
      <c r="J470" s="52"/>
      <c r="K470" s="52"/>
      <c r="L470" s="52"/>
      <c r="M470" s="52"/>
      <c r="N470" s="52"/>
      <c r="O470" s="52"/>
      <c r="P470" s="52"/>
      <c r="Q470" s="52"/>
      <c r="R470" s="52"/>
      <c r="S470" s="52"/>
      <c r="T470" s="52"/>
      <c r="U470" s="52"/>
      <c r="V470" s="52"/>
      <c r="W470" s="52"/>
      <c r="X470" s="52"/>
      <c r="Y470" s="52"/>
      <c r="Z470" s="52"/>
    </row>
    <row r="471">
      <c r="A471" s="59"/>
      <c r="B471" s="34"/>
      <c r="C471" s="52"/>
      <c r="D471" s="52"/>
      <c r="E471" s="52"/>
      <c r="F471" s="52"/>
      <c r="G471" s="52"/>
      <c r="H471" s="52"/>
      <c r="I471" s="52"/>
      <c r="J471" s="52"/>
      <c r="K471" s="52"/>
      <c r="L471" s="52"/>
      <c r="M471" s="52"/>
      <c r="N471" s="52"/>
      <c r="O471" s="52"/>
      <c r="P471" s="52"/>
      <c r="Q471" s="52"/>
      <c r="R471" s="52"/>
      <c r="S471" s="52"/>
      <c r="T471" s="52"/>
      <c r="U471" s="52"/>
      <c r="V471" s="52"/>
      <c r="W471" s="52"/>
      <c r="X471" s="52"/>
      <c r="Y471" s="52"/>
      <c r="Z471" s="52"/>
    </row>
    <row r="472">
      <c r="A472" s="59"/>
      <c r="B472" s="34"/>
      <c r="C472" s="52"/>
      <c r="D472" s="52"/>
      <c r="E472" s="52"/>
      <c r="F472" s="52"/>
      <c r="G472" s="52"/>
      <c r="H472" s="52"/>
      <c r="I472" s="52"/>
      <c r="J472" s="52"/>
      <c r="K472" s="52"/>
      <c r="L472" s="52"/>
      <c r="M472" s="52"/>
      <c r="N472" s="52"/>
      <c r="O472" s="52"/>
      <c r="P472" s="52"/>
      <c r="Q472" s="52"/>
      <c r="R472" s="52"/>
      <c r="S472" s="52"/>
      <c r="T472" s="52"/>
      <c r="U472" s="52"/>
      <c r="V472" s="52"/>
      <c r="W472" s="52"/>
      <c r="X472" s="52"/>
      <c r="Y472" s="52"/>
      <c r="Z472" s="52"/>
    </row>
    <row r="473">
      <c r="A473" s="59"/>
      <c r="B473" s="34"/>
      <c r="C473" s="52"/>
      <c r="D473" s="52"/>
      <c r="E473" s="52"/>
      <c r="F473" s="52"/>
      <c r="G473" s="52"/>
      <c r="H473" s="52"/>
      <c r="I473" s="52"/>
      <c r="J473" s="52"/>
      <c r="K473" s="52"/>
      <c r="L473" s="52"/>
      <c r="M473" s="52"/>
      <c r="N473" s="52"/>
      <c r="O473" s="52"/>
      <c r="P473" s="52"/>
      <c r="Q473" s="52"/>
      <c r="R473" s="52"/>
      <c r="S473" s="52"/>
      <c r="T473" s="52"/>
      <c r="U473" s="52"/>
      <c r="V473" s="52"/>
      <c r="W473" s="52"/>
      <c r="X473" s="52"/>
      <c r="Y473" s="52"/>
      <c r="Z473" s="52"/>
    </row>
    <row r="474">
      <c r="A474" s="59"/>
      <c r="B474" s="34"/>
      <c r="C474" s="52"/>
      <c r="D474" s="52"/>
      <c r="E474" s="52"/>
      <c r="F474" s="52"/>
      <c r="G474" s="52"/>
      <c r="H474" s="52"/>
      <c r="I474" s="52"/>
      <c r="J474" s="52"/>
      <c r="K474" s="52"/>
      <c r="L474" s="52"/>
      <c r="M474" s="52"/>
      <c r="N474" s="52"/>
      <c r="O474" s="52"/>
      <c r="P474" s="52"/>
      <c r="Q474" s="52"/>
      <c r="R474" s="52"/>
      <c r="S474" s="52"/>
      <c r="T474" s="52"/>
      <c r="U474" s="52"/>
      <c r="V474" s="52"/>
      <c r="W474" s="52"/>
      <c r="X474" s="52"/>
      <c r="Y474" s="52"/>
      <c r="Z474" s="52"/>
    </row>
    <row r="475">
      <c r="A475" s="59"/>
      <c r="B475" s="34"/>
      <c r="C475" s="52"/>
      <c r="D475" s="52"/>
      <c r="E475" s="52"/>
      <c r="F475" s="52"/>
      <c r="G475" s="52"/>
      <c r="H475" s="52"/>
      <c r="I475" s="52"/>
      <c r="J475" s="52"/>
      <c r="K475" s="52"/>
      <c r="L475" s="52"/>
      <c r="M475" s="52"/>
      <c r="N475" s="52"/>
      <c r="O475" s="52"/>
      <c r="P475" s="52"/>
      <c r="Q475" s="52"/>
      <c r="R475" s="52"/>
      <c r="S475" s="52"/>
      <c r="T475" s="52"/>
      <c r="U475" s="52"/>
      <c r="V475" s="52"/>
      <c r="W475" s="52"/>
      <c r="X475" s="52"/>
      <c r="Y475" s="52"/>
      <c r="Z475" s="52"/>
    </row>
    <row r="476">
      <c r="A476" s="59"/>
      <c r="B476" s="34"/>
      <c r="C476" s="52"/>
      <c r="D476" s="52"/>
      <c r="E476" s="52"/>
      <c r="F476" s="52"/>
      <c r="G476" s="52"/>
      <c r="H476" s="52"/>
      <c r="I476" s="52"/>
      <c r="J476" s="52"/>
      <c r="K476" s="52"/>
      <c r="L476" s="52"/>
      <c r="M476" s="52"/>
      <c r="N476" s="52"/>
      <c r="O476" s="52"/>
      <c r="P476" s="52"/>
      <c r="Q476" s="52"/>
      <c r="R476" s="52"/>
      <c r="S476" s="52"/>
      <c r="T476" s="52"/>
      <c r="U476" s="52"/>
      <c r="V476" s="52"/>
      <c r="W476" s="52"/>
      <c r="X476" s="52"/>
      <c r="Y476" s="52"/>
      <c r="Z476" s="52"/>
    </row>
    <row r="477">
      <c r="A477" s="59"/>
      <c r="B477" s="34"/>
      <c r="C477" s="52"/>
      <c r="D477" s="52"/>
      <c r="E477" s="52"/>
      <c r="F477" s="52"/>
      <c r="G477" s="52"/>
      <c r="H477" s="52"/>
      <c r="I477" s="52"/>
      <c r="J477" s="52"/>
      <c r="K477" s="52"/>
      <c r="L477" s="52"/>
      <c r="M477" s="52"/>
      <c r="N477" s="52"/>
      <c r="O477" s="52"/>
      <c r="P477" s="52"/>
      <c r="Q477" s="52"/>
      <c r="R477" s="52"/>
      <c r="S477" s="52"/>
      <c r="T477" s="52"/>
      <c r="U477" s="52"/>
      <c r="V477" s="52"/>
      <c r="W477" s="52"/>
      <c r="X477" s="52"/>
      <c r="Y477" s="52"/>
      <c r="Z477" s="52"/>
    </row>
    <row r="478">
      <c r="A478" s="59"/>
      <c r="B478" s="34"/>
      <c r="C478" s="52"/>
      <c r="D478" s="52"/>
      <c r="E478" s="52"/>
      <c r="F478" s="52"/>
      <c r="G478" s="52"/>
      <c r="H478" s="52"/>
      <c r="I478" s="52"/>
      <c r="J478" s="52"/>
      <c r="K478" s="52"/>
      <c r="L478" s="52"/>
      <c r="M478" s="52"/>
      <c r="N478" s="52"/>
      <c r="O478" s="52"/>
      <c r="P478" s="52"/>
      <c r="Q478" s="52"/>
      <c r="R478" s="52"/>
      <c r="S478" s="52"/>
      <c r="T478" s="52"/>
      <c r="U478" s="52"/>
      <c r="V478" s="52"/>
      <c r="W478" s="52"/>
      <c r="X478" s="52"/>
      <c r="Y478" s="52"/>
      <c r="Z478" s="52"/>
    </row>
    <row r="479">
      <c r="A479" s="59"/>
      <c r="B479" s="34"/>
      <c r="C479" s="52"/>
      <c r="D479" s="52"/>
      <c r="E479" s="52"/>
      <c r="F479" s="52"/>
      <c r="G479" s="52"/>
      <c r="H479" s="52"/>
      <c r="I479" s="52"/>
      <c r="J479" s="52"/>
      <c r="K479" s="52"/>
      <c r="L479" s="52"/>
      <c r="M479" s="52"/>
      <c r="N479" s="52"/>
      <c r="O479" s="52"/>
      <c r="P479" s="52"/>
      <c r="Q479" s="52"/>
      <c r="R479" s="52"/>
      <c r="S479" s="52"/>
      <c r="T479" s="52"/>
      <c r="U479" s="52"/>
      <c r="V479" s="52"/>
      <c r="W479" s="52"/>
      <c r="X479" s="52"/>
      <c r="Y479" s="52"/>
      <c r="Z479" s="52"/>
    </row>
    <row r="480">
      <c r="A480" s="59"/>
      <c r="B480" s="34"/>
      <c r="C480" s="52"/>
      <c r="D480" s="52"/>
      <c r="E480" s="52"/>
      <c r="F480" s="52"/>
      <c r="G480" s="52"/>
      <c r="H480" s="52"/>
      <c r="I480" s="52"/>
      <c r="J480" s="52"/>
      <c r="K480" s="52"/>
      <c r="L480" s="52"/>
      <c r="M480" s="52"/>
      <c r="N480" s="52"/>
      <c r="O480" s="52"/>
      <c r="P480" s="52"/>
      <c r="Q480" s="52"/>
      <c r="R480" s="52"/>
      <c r="S480" s="52"/>
      <c r="T480" s="52"/>
      <c r="U480" s="52"/>
      <c r="V480" s="52"/>
      <c r="W480" s="52"/>
      <c r="X480" s="52"/>
      <c r="Y480" s="52"/>
      <c r="Z480" s="52"/>
    </row>
    <row r="481">
      <c r="A481" s="59"/>
      <c r="B481" s="34"/>
      <c r="C481" s="52"/>
      <c r="D481" s="52"/>
      <c r="E481" s="52"/>
      <c r="F481" s="52"/>
      <c r="G481" s="52"/>
      <c r="H481" s="52"/>
      <c r="I481" s="52"/>
      <c r="J481" s="52"/>
      <c r="K481" s="52"/>
      <c r="L481" s="52"/>
      <c r="M481" s="52"/>
      <c r="N481" s="52"/>
      <c r="O481" s="52"/>
      <c r="P481" s="52"/>
      <c r="Q481" s="52"/>
      <c r="R481" s="52"/>
      <c r="S481" s="52"/>
      <c r="T481" s="52"/>
      <c r="U481" s="52"/>
      <c r="V481" s="52"/>
      <c r="W481" s="52"/>
      <c r="X481" s="52"/>
      <c r="Y481" s="52"/>
      <c r="Z481" s="52"/>
    </row>
    <row r="482">
      <c r="A482" s="59"/>
      <c r="B482" s="34"/>
      <c r="C482" s="52"/>
      <c r="D482" s="52"/>
      <c r="E482" s="52"/>
      <c r="F482" s="52"/>
      <c r="G482" s="52"/>
      <c r="H482" s="52"/>
      <c r="I482" s="52"/>
      <c r="J482" s="52"/>
      <c r="K482" s="52"/>
      <c r="L482" s="52"/>
      <c r="M482" s="52"/>
      <c r="N482" s="52"/>
      <c r="O482" s="52"/>
      <c r="P482" s="52"/>
      <c r="Q482" s="52"/>
      <c r="R482" s="52"/>
      <c r="S482" s="52"/>
      <c r="T482" s="52"/>
      <c r="U482" s="52"/>
      <c r="V482" s="52"/>
      <c r="W482" s="52"/>
      <c r="X482" s="52"/>
      <c r="Y482" s="52"/>
      <c r="Z482" s="52"/>
    </row>
    <row r="483">
      <c r="A483" s="59"/>
      <c r="B483" s="34"/>
      <c r="C483" s="52"/>
      <c r="D483" s="52"/>
      <c r="E483" s="52"/>
      <c r="F483" s="52"/>
      <c r="G483" s="52"/>
      <c r="H483" s="52"/>
      <c r="I483" s="52"/>
      <c r="J483" s="52"/>
      <c r="K483" s="52"/>
      <c r="L483" s="52"/>
      <c r="M483" s="52"/>
      <c r="N483" s="52"/>
      <c r="O483" s="52"/>
      <c r="P483" s="52"/>
      <c r="Q483" s="52"/>
      <c r="R483" s="52"/>
      <c r="S483" s="52"/>
      <c r="T483" s="52"/>
      <c r="U483" s="52"/>
      <c r="V483" s="52"/>
      <c r="W483" s="52"/>
      <c r="X483" s="52"/>
      <c r="Y483" s="52"/>
      <c r="Z483" s="52"/>
    </row>
    <row r="484">
      <c r="A484" s="59"/>
      <c r="B484" s="34"/>
      <c r="C484" s="52"/>
      <c r="D484" s="52"/>
      <c r="E484" s="52"/>
      <c r="F484" s="52"/>
      <c r="G484" s="52"/>
      <c r="H484" s="52"/>
      <c r="I484" s="52"/>
      <c r="J484" s="52"/>
      <c r="K484" s="52"/>
      <c r="L484" s="52"/>
      <c r="M484" s="52"/>
      <c r="N484" s="52"/>
      <c r="O484" s="52"/>
      <c r="P484" s="52"/>
      <c r="Q484" s="52"/>
      <c r="R484" s="52"/>
      <c r="S484" s="52"/>
      <c r="T484" s="52"/>
      <c r="U484" s="52"/>
      <c r="V484" s="52"/>
      <c r="W484" s="52"/>
      <c r="X484" s="52"/>
      <c r="Y484" s="52"/>
      <c r="Z484" s="52"/>
    </row>
    <row r="485">
      <c r="A485" s="59"/>
      <c r="B485" s="34"/>
      <c r="C485" s="52"/>
      <c r="D485" s="52"/>
      <c r="E485" s="52"/>
      <c r="F485" s="52"/>
      <c r="G485" s="52"/>
      <c r="H485" s="52"/>
      <c r="I485" s="52"/>
      <c r="J485" s="52"/>
      <c r="K485" s="52"/>
      <c r="L485" s="52"/>
      <c r="M485" s="52"/>
      <c r="N485" s="52"/>
      <c r="O485" s="52"/>
      <c r="P485" s="52"/>
      <c r="Q485" s="52"/>
      <c r="R485" s="52"/>
      <c r="S485" s="52"/>
      <c r="T485" s="52"/>
      <c r="U485" s="52"/>
      <c r="V485" s="52"/>
      <c r="W485" s="52"/>
      <c r="X485" s="52"/>
      <c r="Y485" s="52"/>
      <c r="Z485" s="52"/>
    </row>
    <row r="486">
      <c r="A486" s="59"/>
      <c r="B486" s="34"/>
      <c r="C486" s="52"/>
      <c r="D486" s="52"/>
      <c r="E486" s="52"/>
      <c r="F486" s="52"/>
      <c r="G486" s="52"/>
      <c r="H486" s="52"/>
      <c r="I486" s="52"/>
      <c r="J486" s="52"/>
      <c r="K486" s="52"/>
      <c r="L486" s="52"/>
      <c r="M486" s="52"/>
      <c r="N486" s="52"/>
      <c r="O486" s="52"/>
      <c r="P486" s="52"/>
      <c r="Q486" s="52"/>
      <c r="R486" s="52"/>
      <c r="S486" s="52"/>
      <c r="T486" s="52"/>
      <c r="U486" s="52"/>
      <c r="V486" s="52"/>
      <c r="W486" s="52"/>
      <c r="X486" s="52"/>
      <c r="Y486" s="52"/>
      <c r="Z486" s="52"/>
    </row>
    <row r="487">
      <c r="A487" s="59"/>
      <c r="B487" s="34"/>
      <c r="C487" s="52"/>
      <c r="D487" s="52"/>
      <c r="E487" s="52"/>
      <c r="F487" s="52"/>
      <c r="G487" s="52"/>
      <c r="H487" s="52"/>
      <c r="I487" s="52"/>
      <c r="J487" s="52"/>
      <c r="K487" s="52"/>
      <c r="L487" s="52"/>
      <c r="M487" s="52"/>
      <c r="N487" s="52"/>
      <c r="O487" s="52"/>
      <c r="P487" s="52"/>
      <c r="Q487" s="52"/>
      <c r="R487" s="52"/>
      <c r="S487" s="52"/>
      <c r="T487" s="52"/>
      <c r="U487" s="52"/>
      <c r="V487" s="52"/>
      <c r="W487" s="52"/>
      <c r="X487" s="52"/>
      <c r="Y487" s="52"/>
      <c r="Z487" s="52"/>
    </row>
    <row r="488">
      <c r="A488" s="59"/>
      <c r="B488" s="34"/>
      <c r="C488" s="52"/>
      <c r="D488" s="52"/>
      <c r="E488" s="52"/>
      <c r="F488" s="52"/>
      <c r="G488" s="52"/>
      <c r="H488" s="52"/>
      <c r="I488" s="52"/>
      <c r="J488" s="52"/>
      <c r="K488" s="52"/>
      <c r="L488" s="52"/>
      <c r="M488" s="52"/>
      <c r="N488" s="52"/>
      <c r="O488" s="52"/>
      <c r="P488" s="52"/>
      <c r="Q488" s="52"/>
      <c r="R488" s="52"/>
      <c r="S488" s="52"/>
      <c r="T488" s="52"/>
      <c r="U488" s="52"/>
      <c r="V488" s="52"/>
      <c r="W488" s="52"/>
      <c r="X488" s="52"/>
      <c r="Y488" s="52"/>
      <c r="Z488" s="52"/>
    </row>
    <row r="489">
      <c r="A489" s="59"/>
      <c r="B489" s="34"/>
      <c r="C489" s="52"/>
      <c r="D489" s="52"/>
      <c r="E489" s="52"/>
      <c r="F489" s="52"/>
      <c r="G489" s="52"/>
      <c r="H489" s="52"/>
      <c r="I489" s="52"/>
      <c r="J489" s="52"/>
      <c r="K489" s="52"/>
      <c r="L489" s="52"/>
      <c r="M489" s="52"/>
      <c r="N489" s="52"/>
      <c r="O489" s="52"/>
      <c r="P489" s="52"/>
      <c r="Q489" s="52"/>
      <c r="R489" s="52"/>
      <c r="S489" s="52"/>
      <c r="T489" s="52"/>
      <c r="U489" s="52"/>
      <c r="V489" s="52"/>
      <c r="W489" s="52"/>
      <c r="X489" s="52"/>
      <c r="Y489" s="52"/>
      <c r="Z489" s="52"/>
    </row>
    <row r="490">
      <c r="A490" s="59"/>
      <c r="B490" s="34"/>
      <c r="C490" s="52"/>
      <c r="D490" s="52"/>
      <c r="E490" s="52"/>
      <c r="F490" s="52"/>
      <c r="G490" s="52"/>
      <c r="H490" s="52"/>
      <c r="I490" s="52"/>
      <c r="J490" s="52"/>
      <c r="K490" s="52"/>
      <c r="L490" s="52"/>
      <c r="M490" s="52"/>
      <c r="N490" s="52"/>
      <c r="O490" s="52"/>
      <c r="P490" s="52"/>
      <c r="Q490" s="52"/>
      <c r="R490" s="52"/>
      <c r="S490" s="52"/>
      <c r="T490" s="52"/>
      <c r="U490" s="52"/>
      <c r="V490" s="52"/>
      <c r="W490" s="52"/>
      <c r="X490" s="52"/>
      <c r="Y490" s="52"/>
      <c r="Z490" s="52"/>
    </row>
    <row r="491">
      <c r="A491" s="59"/>
      <c r="B491" s="34"/>
      <c r="C491" s="52"/>
      <c r="D491" s="52"/>
      <c r="E491" s="52"/>
      <c r="F491" s="52"/>
      <c r="G491" s="52"/>
      <c r="H491" s="52"/>
      <c r="I491" s="52"/>
      <c r="J491" s="52"/>
      <c r="K491" s="52"/>
      <c r="L491" s="52"/>
      <c r="M491" s="52"/>
      <c r="N491" s="52"/>
      <c r="O491" s="52"/>
      <c r="P491" s="52"/>
      <c r="Q491" s="52"/>
      <c r="R491" s="52"/>
      <c r="S491" s="52"/>
      <c r="T491" s="52"/>
      <c r="U491" s="52"/>
      <c r="V491" s="52"/>
      <c r="W491" s="52"/>
      <c r="X491" s="52"/>
      <c r="Y491" s="52"/>
      <c r="Z491" s="52"/>
    </row>
    <row r="492">
      <c r="A492" s="59"/>
      <c r="B492" s="34"/>
      <c r="C492" s="52"/>
      <c r="D492" s="52"/>
      <c r="E492" s="52"/>
      <c r="F492" s="52"/>
      <c r="G492" s="52"/>
      <c r="H492" s="52"/>
      <c r="I492" s="52"/>
      <c r="J492" s="52"/>
      <c r="K492" s="52"/>
      <c r="L492" s="52"/>
      <c r="M492" s="52"/>
      <c r="N492" s="52"/>
      <c r="O492" s="52"/>
      <c r="P492" s="52"/>
      <c r="Q492" s="52"/>
      <c r="R492" s="52"/>
      <c r="S492" s="52"/>
      <c r="T492" s="52"/>
      <c r="U492" s="52"/>
      <c r="V492" s="52"/>
      <c r="W492" s="52"/>
      <c r="X492" s="52"/>
      <c r="Y492" s="52"/>
      <c r="Z492" s="52"/>
    </row>
    <row r="493">
      <c r="A493" s="59"/>
      <c r="B493" s="34"/>
      <c r="C493" s="52"/>
      <c r="D493" s="52"/>
      <c r="E493" s="52"/>
      <c r="F493" s="52"/>
      <c r="G493" s="52"/>
      <c r="H493" s="52"/>
      <c r="I493" s="52"/>
      <c r="J493" s="52"/>
      <c r="K493" s="52"/>
      <c r="L493" s="52"/>
      <c r="M493" s="52"/>
      <c r="N493" s="52"/>
      <c r="O493" s="52"/>
      <c r="P493" s="52"/>
      <c r="Q493" s="52"/>
      <c r="R493" s="52"/>
      <c r="S493" s="52"/>
      <c r="T493" s="52"/>
      <c r="U493" s="52"/>
      <c r="V493" s="52"/>
      <c r="W493" s="52"/>
      <c r="X493" s="52"/>
      <c r="Y493" s="52"/>
      <c r="Z493" s="52"/>
    </row>
    <row r="494">
      <c r="A494" s="59"/>
      <c r="B494" s="34"/>
      <c r="C494" s="52"/>
      <c r="D494" s="52"/>
      <c r="E494" s="52"/>
      <c r="F494" s="52"/>
      <c r="G494" s="52"/>
      <c r="H494" s="52"/>
      <c r="I494" s="52"/>
      <c r="J494" s="52"/>
      <c r="K494" s="52"/>
      <c r="L494" s="52"/>
      <c r="M494" s="52"/>
      <c r="N494" s="52"/>
      <c r="O494" s="52"/>
      <c r="P494" s="52"/>
      <c r="Q494" s="52"/>
      <c r="R494" s="52"/>
      <c r="S494" s="52"/>
      <c r="T494" s="52"/>
      <c r="U494" s="52"/>
      <c r="V494" s="52"/>
      <c r="W494" s="52"/>
      <c r="X494" s="52"/>
      <c r="Y494" s="52"/>
      <c r="Z494" s="52"/>
    </row>
    <row r="495">
      <c r="A495" s="59"/>
      <c r="B495" s="34"/>
      <c r="C495" s="52"/>
      <c r="D495" s="52"/>
      <c r="E495" s="52"/>
      <c r="F495" s="52"/>
      <c r="G495" s="52"/>
      <c r="H495" s="52"/>
      <c r="I495" s="52"/>
      <c r="J495" s="52"/>
      <c r="K495" s="52"/>
      <c r="L495" s="52"/>
      <c r="M495" s="52"/>
      <c r="N495" s="52"/>
      <c r="O495" s="52"/>
      <c r="P495" s="52"/>
      <c r="Q495" s="52"/>
      <c r="R495" s="52"/>
      <c r="S495" s="52"/>
      <c r="T495" s="52"/>
      <c r="U495" s="52"/>
      <c r="V495" s="52"/>
      <c r="W495" s="52"/>
      <c r="X495" s="52"/>
      <c r="Y495" s="52"/>
      <c r="Z495" s="52"/>
    </row>
    <row r="496">
      <c r="A496" s="59"/>
      <c r="B496" s="34"/>
      <c r="C496" s="52"/>
      <c r="D496" s="52"/>
      <c r="E496" s="52"/>
      <c r="F496" s="52"/>
      <c r="G496" s="52"/>
      <c r="H496" s="52"/>
      <c r="I496" s="52"/>
      <c r="J496" s="52"/>
      <c r="K496" s="52"/>
      <c r="L496" s="52"/>
      <c r="M496" s="52"/>
      <c r="N496" s="52"/>
      <c r="O496" s="52"/>
      <c r="P496" s="52"/>
      <c r="Q496" s="52"/>
      <c r="R496" s="52"/>
      <c r="S496" s="52"/>
      <c r="T496" s="52"/>
      <c r="U496" s="52"/>
      <c r="V496" s="52"/>
      <c r="W496" s="52"/>
      <c r="X496" s="52"/>
      <c r="Y496" s="52"/>
      <c r="Z496" s="52"/>
    </row>
    <row r="497">
      <c r="A497" s="59"/>
      <c r="B497" s="34"/>
      <c r="C497" s="52"/>
      <c r="D497" s="52"/>
      <c r="E497" s="52"/>
      <c r="F497" s="52"/>
      <c r="G497" s="52"/>
      <c r="H497" s="52"/>
      <c r="I497" s="52"/>
      <c r="J497" s="52"/>
      <c r="K497" s="52"/>
      <c r="L497" s="52"/>
      <c r="M497" s="52"/>
      <c r="N497" s="52"/>
      <c r="O497" s="52"/>
      <c r="P497" s="52"/>
      <c r="Q497" s="52"/>
      <c r="R497" s="52"/>
      <c r="S497" s="52"/>
      <c r="T497" s="52"/>
      <c r="U497" s="52"/>
      <c r="V497" s="52"/>
      <c r="W497" s="52"/>
      <c r="X497" s="52"/>
      <c r="Y497" s="52"/>
      <c r="Z497" s="52"/>
    </row>
    <row r="498">
      <c r="A498" s="59"/>
      <c r="B498" s="34"/>
      <c r="C498" s="52"/>
      <c r="D498" s="52"/>
      <c r="E498" s="52"/>
      <c r="F498" s="52"/>
      <c r="G498" s="52"/>
      <c r="H498" s="52"/>
      <c r="I498" s="52"/>
      <c r="J498" s="52"/>
      <c r="K498" s="52"/>
      <c r="L498" s="52"/>
      <c r="M498" s="52"/>
      <c r="N498" s="52"/>
      <c r="O498" s="52"/>
      <c r="P498" s="52"/>
      <c r="Q498" s="52"/>
      <c r="R498" s="52"/>
      <c r="S498" s="52"/>
      <c r="T498" s="52"/>
      <c r="U498" s="52"/>
      <c r="V498" s="52"/>
      <c r="W498" s="52"/>
      <c r="X498" s="52"/>
      <c r="Y498" s="52"/>
      <c r="Z498" s="52"/>
    </row>
    <row r="499">
      <c r="A499" s="59"/>
      <c r="B499" s="34"/>
      <c r="C499" s="52"/>
      <c r="D499" s="52"/>
      <c r="E499" s="52"/>
      <c r="F499" s="52"/>
      <c r="G499" s="52"/>
      <c r="H499" s="52"/>
      <c r="I499" s="52"/>
      <c r="J499" s="52"/>
      <c r="K499" s="52"/>
      <c r="L499" s="52"/>
      <c r="M499" s="52"/>
      <c r="N499" s="52"/>
      <c r="O499" s="52"/>
      <c r="P499" s="52"/>
      <c r="Q499" s="52"/>
      <c r="R499" s="52"/>
      <c r="S499" s="52"/>
      <c r="T499" s="52"/>
      <c r="U499" s="52"/>
      <c r="V499" s="52"/>
      <c r="W499" s="52"/>
      <c r="X499" s="52"/>
      <c r="Y499" s="52"/>
      <c r="Z499" s="52"/>
    </row>
    <row r="500">
      <c r="A500" s="59"/>
      <c r="B500" s="34"/>
      <c r="C500" s="52"/>
      <c r="D500" s="52"/>
      <c r="E500" s="52"/>
      <c r="F500" s="52"/>
      <c r="G500" s="52"/>
      <c r="H500" s="52"/>
      <c r="I500" s="52"/>
      <c r="J500" s="52"/>
      <c r="K500" s="52"/>
      <c r="L500" s="52"/>
      <c r="M500" s="52"/>
      <c r="N500" s="52"/>
      <c r="O500" s="52"/>
      <c r="P500" s="52"/>
      <c r="Q500" s="52"/>
      <c r="R500" s="52"/>
      <c r="S500" s="52"/>
      <c r="T500" s="52"/>
      <c r="U500" s="52"/>
      <c r="V500" s="52"/>
      <c r="W500" s="52"/>
      <c r="X500" s="52"/>
      <c r="Y500" s="52"/>
      <c r="Z500" s="52"/>
    </row>
    <row r="501">
      <c r="A501" s="59"/>
      <c r="B501" s="34"/>
      <c r="C501" s="52"/>
      <c r="D501" s="52"/>
      <c r="E501" s="52"/>
      <c r="F501" s="52"/>
      <c r="G501" s="52"/>
      <c r="H501" s="52"/>
      <c r="I501" s="52"/>
      <c r="J501" s="52"/>
      <c r="K501" s="52"/>
      <c r="L501" s="52"/>
      <c r="M501" s="52"/>
      <c r="N501" s="52"/>
      <c r="O501" s="52"/>
      <c r="P501" s="52"/>
      <c r="Q501" s="52"/>
      <c r="R501" s="52"/>
      <c r="S501" s="52"/>
      <c r="T501" s="52"/>
      <c r="U501" s="52"/>
      <c r="V501" s="52"/>
      <c r="W501" s="52"/>
      <c r="X501" s="52"/>
      <c r="Y501" s="52"/>
      <c r="Z501" s="52"/>
    </row>
    <row r="502">
      <c r="A502" s="59"/>
      <c r="B502" s="34"/>
      <c r="C502" s="52"/>
      <c r="D502" s="52"/>
      <c r="E502" s="52"/>
      <c r="F502" s="52"/>
      <c r="G502" s="52"/>
      <c r="H502" s="52"/>
      <c r="I502" s="52"/>
      <c r="J502" s="52"/>
      <c r="K502" s="52"/>
      <c r="L502" s="52"/>
      <c r="M502" s="52"/>
      <c r="N502" s="52"/>
      <c r="O502" s="52"/>
      <c r="P502" s="52"/>
      <c r="Q502" s="52"/>
      <c r="R502" s="52"/>
      <c r="S502" s="52"/>
      <c r="T502" s="52"/>
      <c r="U502" s="52"/>
      <c r="V502" s="52"/>
      <c r="W502" s="52"/>
      <c r="X502" s="52"/>
      <c r="Y502" s="52"/>
      <c r="Z502" s="52"/>
    </row>
    <row r="503">
      <c r="A503" s="59"/>
      <c r="B503" s="34"/>
      <c r="C503" s="52"/>
      <c r="D503" s="52"/>
      <c r="E503" s="52"/>
      <c r="F503" s="52"/>
      <c r="G503" s="52"/>
      <c r="H503" s="52"/>
      <c r="I503" s="52"/>
      <c r="J503" s="52"/>
      <c r="K503" s="52"/>
      <c r="L503" s="52"/>
      <c r="M503" s="52"/>
      <c r="N503" s="52"/>
      <c r="O503" s="52"/>
      <c r="P503" s="52"/>
      <c r="Q503" s="52"/>
      <c r="R503" s="52"/>
      <c r="S503" s="52"/>
      <c r="T503" s="52"/>
      <c r="U503" s="52"/>
      <c r="V503" s="52"/>
      <c r="W503" s="52"/>
      <c r="X503" s="52"/>
      <c r="Y503" s="52"/>
      <c r="Z503" s="52"/>
    </row>
    <row r="504">
      <c r="A504" s="59"/>
      <c r="B504" s="34"/>
      <c r="C504" s="52"/>
      <c r="D504" s="52"/>
      <c r="E504" s="52"/>
      <c r="F504" s="52"/>
      <c r="G504" s="52"/>
      <c r="H504" s="52"/>
      <c r="I504" s="52"/>
      <c r="J504" s="52"/>
      <c r="K504" s="52"/>
      <c r="L504" s="52"/>
      <c r="M504" s="52"/>
      <c r="N504" s="52"/>
      <c r="O504" s="52"/>
      <c r="P504" s="52"/>
      <c r="Q504" s="52"/>
      <c r="R504" s="52"/>
      <c r="S504" s="52"/>
      <c r="T504" s="52"/>
      <c r="U504" s="52"/>
      <c r="V504" s="52"/>
      <c r="W504" s="52"/>
      <c r="X504" s="52"/>
      <c r="Y504" s="52"/>
      <c r="Z504" s="52"/>
    </row>
    <row r="505">
      <c r="A505" s="59"/>
      <c r="B505" s="34"/>
      <c r="C505" s="52"/>
      <c r="D505" s="52"/>
      <c r="E505" s="52"/>
      <c r="F505" s="52"/>
      <c r="G505" s="52"/>
      <c r="H505" s="52"/>
      <c r="I505" s="52"/>
      <c r="J505" s="52"/>
      <c r="K505" s="52"/>
      <c r="L505" s="52"/>
      <c r="M505" s="52"/>
      <c r="N505" s="52"/>
      <c r="O505" s="52"/>
      <c r="P505" s="52"/>
      <c r="Q505" s="52"/>
      <c r="R505" s="52"/>
      <c r="S505" s="52"/>
      <c r="T505" s="52"/>
      <c r="U505" s="52"/>
      <c r="V505" s="52"/>
      <c r="W505" s="52"/>
      <c r="X505" s="52"/>
      <c r="Y505" s="52"/>
      <c r="Z505" s="52"/>
    </row>
    <row r="506">
      <c r="A506" s="59"/>
      <c r="B506" s="34"/>
      <c r="C506" s="52"/>
      <c r="D506" s="52"/>
      <c r="E506" s="52"/>
      <c r="F506" s="52"/>
      <c r="G506" s="52"/>
      <c r="H506" s="52"/>
      <c r="I506" s="52"/>
      <c r="J506" s="52"/>
      <c r="K506" s="52"/>
      <c r="L506" s="52"/>
      <c r="M506" s="52"/>
      <c r="N506" s="52"/>
      <c r="O506" s="52"/>
      <c r="P506" s="52"/>
      <c r="Q506" s="52"/>
      <c r="R506" s="52"/>
      <c r="S506" s="52"/>
      <c r="T506" s="52"/>
      <c r="U506" s="52"/>
      <c r="V506" s="52"/>
      <c r="W506" s="52"/>
      <c r="X506" s="52"/>
      <c r="Y506" s="52"/>
      <c r="Z506" s="52"/>
    </row>
    <row r="507">
      <c r="A507" s="59"/>
      <c r="B507" s="34"/>
      <c r="C507" s="52"/>
      <c r="D507" s="52"/>
      <c r="E507" s="52"/>
      <c r="F507" s="52"/>
      <c r="G507" s="52"/>
      <c r="H507" s="52"/>
      <c r="I507" s="52"/>
      <c r="J507" s="52"/>
      <c r="K507" s="52"/>
      <c r="L507" s="52"/>
      <c r="M507" s="52"/>
      <c r="N507" s="52"/>
      <c r="O507" s="52"/>
      <c r="P507" s="52"/>
      <c r="Q507" s="52"/>
      <c r="R507" s="52"/>
      <c r="S507" s="52"/>
      <c r="T507" s="52"/>
      <c r="U507" s="52"/>
      <c r="V507" s="52"/>
      <c r="W507" s="52"/>
      <c r="X507" s="52"/>
      <c r="Y507" s="52"/>
      <c r="Z507" s="52"/>
    </row>
    <row r="508">
      <c r="A508" s="59"/>
      <c r="B508" s="34"/>
      <c r="C508" s="52"/>
      <c r="D508" s="52"/>
      <c r="E508" s="52"/>
      <c r="F508" s="52"/>
      <c r="G508" s="52"/>
      <c r="H508" s="52"/>
      <c r="I508" s="52"/>
      <c r="J508" s="52"/>
      <c r="K508" s="52"/>
      <c r="L508" s="52"/>
      <c r="M508" s="52"/>
      <c r="N508" s="52"/>
      <c r="O508" s="52"/>
      <c r="P508" s="52"/>
      <c r="Q508" s="52"/>
      <c r="R508" s="52"/>
      <c r="S508" s="52"/>
      <c r="T508" s="52"/>
      <c r="U508" s="52"/>
      <c r="V508" s="52"/>
      <c r="W508" s="52"/>
      <c r="X508" s="52"/>
      <c r="Y508" s="52"/>
      <c r="Z508" s="52"/>
    </row>
    <row r="509">
      <c r="A509" s="59"/>
      <c r="B509" s="34"/>
      <c r="C509" s="52"/>
      <c r="D509" s="52"/>
      <c r="E509" s="52"/>
      <c r="F509" s="52"/>
      <c r="G509" s="52"/>
      <c r="H509" s="52"/>
      <c r="I509" s="52"/>
      <c r="J509" s="52"/>
      <c r="K509" s="52"/>
      <c r="L509" s="52"/>
      <c r="M509" s="52"/>
      <c r="N509" s="52"/>
      <c r="O509" s="52"/>
      <c r="P509" s="52"/>
      <c r="Q509" s="52"/>
      <c r="R509" s="52"/>
      <c r="S509" s="52"/>
      <c r="T509" s="52"/>
      <c r="U509" s="52"/>
      <c r="V509" s="52"/>
      <c r="W509" s="52"/>
      <c r="X509" s="52"/>
      <c r="Y509" s="52"/>
      <c r="Z509" s="52"/>
    </row>
    <row r="510">
      <c r="A510" s="59"/>
      <c r="B510" s="34"/>
      <c r="C510" s="52"/>
      <c r="D510" s="52"/>
      <c r="E510" s="52"/>
      <c r="F510" s="52"/>
      <c r="G510" s="52"/>
      <c r="H510" s="52"/>
      <c r="I510" s="52"/>
      <c r="J510" s="52"/>
      <c r="K510" s="52"/>
      <c r="L510" s="52"/>
      <c r="M510" s="52"/>
      <c r="N510" s="52"/>
      <c r="O510" s="52"/>
      <c r="P510" s="52"/>
      <c r="Q510" s="52"/>
      <c r="R510" s="52"/>
      <c r="S510" s="52"/>
      <c r="T510" s="52"/>
      <c r="U510" s="52"/>
      <c r="V510" s="52"/>
      <c r="W510" s="52"/>
      <c r="X510" s="52"/>
      <c r="Y510" s="52"/>
      <c r="Z510" s="52"/>
    </row>
    <row r="511">
      <c r="A511" s="59"/>
      <c r="B511" s="34"/>
      <c r="C511" s="52"/>
      <c r="D511" s="52"/>
      <c r="E511" s="52"/>
      <c r="F511" s="52"/>
      <c r="G511" s="52"/>
      <c r="H511" s="52"/>
      <c r="I511" s="52"/>
      <c r="J511" s="52"/>
      <c r="K511" s="52"/>
      <c r="L511" s="52"/>
      <c r="M511" s="52"/>
      <c r="N511" s="52"/>
      <c r="O511" s="52"/>
      <c r="P511" s="52"/>
      <c r="Q511" s="52"/>
      <c r="R511" s="52"/>
      <c r="S511" s="52"/>
      <c r="T511" s="52"/>
      <c r="U511" s="52"/>
      <c r="V511" s="52"/>
      <c r="W511" s="52"/>
      <c r="X511" s="52"/>
      <c r="Y511" s="52"/>
      <c r="Z511" s="52"/>
    </row>
    <row r="512">
      <c r="A512" s="59"/>
      <c r="B512" s="34"/>
      <c r="C512" s="52"/>
      <c r="D512" s="52"/>
      <c r="E512" s="52"/>
      <c r="F512" s="52"/>
      <c r="G512" s="52"/>
      <c r="H512" s="52"/>
      <c r="I512" s="52"/>
      <c r="J512" s="52"/>
      <c r="K512" s="52"/>
      <c r="L512" s="52"/>
      <c r="M512" s="52"/>
      <c r="N512" s="52"/>
      <c r="O512" s="52"/>
      <c r="P512" s="52"/>
      <c r="Q512" s="52"/>
      <c r="R512" s="52"/>
      <c r="S512" s="52"/>
      <c r="T512" s="52"/>
      <c r="U512" s="52"/>
      <c r="V512" s="52"/>
      <c r="W512" s="52"/>
      <c r="X512" s="52"/>
      <c r="Y512" s="52"/>
      <c r="Z512" s="52"/>
    </row>
    <row r="513">
      <c r="A513" s="59"/>
      <c r="B513" s="34"/>
      <c r="C513" s="52"/>
      <c r="D513" s="52"/>
      <c r="E513" s="52"/>
      <c r="F513" s="52"/>
      <c r="G513" s="52"/>
      <c r="H513" s="52"/>
      <c r="I513" s="52"/>
      <c r="J513" s="52"/>
      <c r="K513" s="52"/>
      <c r="L513" s="52"/>
      <c r="M513" s="52"/>
      <c r="N513" s="52"/>
      <c r="O513" s="52"/>
      <c r="P513" s="52"/>
      <c r="Q513" s="52"/>
      <c r="R513" s="52"/>
      <c r="S513" s="52"/>
      <c r="T513" s="52"/>
      <c r="U513" s="52"/>
      <c r="V513" s="52"/>
      <c r="W513" s="52"/>
      <c r="X513" s="52"/>
      <c r="Y513" s="52"/>
      <c r="Z513" s="52"/>
    </row>
    <row r="514">
      <c r="A514" s="59"/>
      <c r="B514" s="34"/>
      <c r="C514" s="52"/>
      <c r="D514" s="52"/>
      <c r="E514" s="52"/>
      <c r="F514" s="52"/>
      <c r="G514" s="52"/>
      <c r="H514" s="52"/>
      <c r="I514" s="52"/>
      <c r="J514" s="52"/>
      <c r="K514" s="52"/>
      <c r="L514" s="52"/>
      <c r="M514" s="52"/>
      <c r="N514" s="52"/>
      <c r="O514" s="52"/>
      <c r="P514" s="52"/>
      <c r="Q514" s="52"/>
      <c r="R514" s="52"/>
      <c r="S514" s="52"/>
      <c r="T514" s="52"/>
      <c r="U514" s="52"/>
      <c r="V514" s="52"/>
      <c r="W514" s="52"/>
      <c r="X514" s="52"/>
      <c r="Y514" s="52"/>
      <c r="Z514" s="52"/>
    </row>
    <row r="515">
      <c r="A515" s="59"/>
      <c r="B515" s="34"/>
      <c r="C515" s="52"/>
      <c r="D515" s="52"/>
      <c r="E515" s="52"/>
      <c r="F515" s="52"/>
      <c r="G515" s="52"/>
      <c r="H515" s="52"/>
      <c r="I515" s="52"/>
      <c r="J515" s="52"/>
      <c r="K515" s="52"/>
      <c r="L515" s="52"/>
      <c r="M515" s="52"/>
      <c r="N515" s="52"/>
      <c r="O515" s="52"/>
      <c r="P515" s="52"/>
      <c r="Q515" s="52"/>
      <c r="R515" s="52"/>
      <c r="S515" s="52"/>
      <c r="T515" s="52"/>
      <c r="U515" s="52"/>
      <c r="V515" s="52"/>
      <c r="W515" s="52"/>
      <c r="X515" s="52"/>
      <c r="Y515" s="52"/>
      <c r="Z515" s="52"/>
    </row>
    <row r="516">
      <c r="A516" s="59"/>
      <c r="B516" s="34"/>
      <c r="C516" s="52"/>
      <c r="D516" s="52"/>
      <c r="E516" s="52"/>
      <c r="F516" s="52"/>
      <c r="G516" s="52"/>
      <c r="H516" s="52"/>
      <c r="I516" s="52"/>
      <c r="J516" s="52"/>
      <c r="K516" s="52"/>
      <c r="L516" s="52"/>
      <c r="M516" s="52"/>
      <c r="N516" s="52"/>
      <c r="O516" s="52"/>
      <c r="P516" s="52"/>
      <c r="Q516" s="52"/>
      <c r="R516" s="52"/>
      <c r="S516" s="52"/>
      <c r="T516" s="52"/>
      <c r="U516" s="52"/>
      <c r="V516" s="52"/>
      <c r="W516" s="52"/>
      <c r="X516" s="52"/>
      <c r="Y516" s="52"/>
      <c r="Z516" s="52"/>
    </row>
    <row r="517">
      <c r="A517" s="59"/>
      <c r="B517" s="34"/>
      <c r="C517" s="52"/>
      <c r="D517" s="52"/>
      <c r="E517" s="52"/>
      <c r="F517" s="52"/>
      <c r="G517" s="52"/>
      <c r="H517" s="52"/>
      <c r="I517" s="52"/>
      <c r="J517" s="52"/>
      <c r="K517" s="52"/>
      <c r="L517" s="52"/>
      <c r="M517" s="52"/>
      <c r="N517" s="52"/>
      <c r="O517" s="52"/>
      <c r="P517" s="52"/>
      <c r="Q517" s="52"/>
      <c r="R517" s="52"/>
      <c r="S517" s="52"/>
      <c r="T517" s="52"/>
      <c r="U517" s="52"/>
      <c r="V517" s="52"/>
      <c r="W517" s="52"/>
      <c r="X517" s="52"/>
      <c r="Y517" s="52"/>
      <c r="Z517" s="52"/>
    </row>
    <row r="518">
      <c r="A518" s="59"/>
      <c r="B518" s="34"/>
      <c r="C518" s="52"/>
      <c r="D518" s="52"/>
      <c r="E518" s="52"/>
      <c r="F518" s="52"/>
      <c r="G518" s="52"/>
      <c r="H518" s="52"/>
      <c r="I518" s="52"/>
      <c r="J518" s="52"/>
      <c r="K518" s="52"/>
      <c r="L518" s="52"/>
      <c r="M518" s="52"/>
      <c r="N518" s="52"/>
      <c r="O518" s="52"/>
      <c r="P518" s="52"/>
      <c r="Q518" s="52"/>
      <c r="R518" s="52"/>
      <c r="S518" s="52"/>
      <c r="T518" s="52"/>
      <c r="U518" s="52"/>
      <c r="V518" s="52"/>
      <c r="W518" s="52"/>
      <c r="X518" s="52"/>
      <c r="Y518" s="52"/>
      <c r="Z518" s="52"/>
    </row>
    <row r="519">
      <c r="A519" s="59"/>
      <c r="B519" s="34"/>
      <c r="C519" s="52"/>
      <c r="D519" s="52"/>
      <c r="E519" s="52"/>
      <c r="F519" s="52"/>
      <c r="G519" s="52"/>
      <c r="H519" s="52"/>
      <c r="I519" s="52"/>
      <c r="J519" s="52"/>
      <c r="K519" s="52"/>
      <c r="L519" s="52"/>
      <c r="M519" s="52"/>
      <c r="N519" s="52"/>
      <c r="O519" s="52"/>
      <c r="P519" s="52"/>
      <c r="Q519" s="52"/>
      <c r="R519" s="52"/>
      <c r="S519" s="52"/>
      <c r="T519" s="52"/>
      <c r="U519" s="52"/>
      <c r="V519" s="52"/>
      <c r="W519" s="52"/>
      <c r="X519" s="52"/>
      <c r="Y519" s="52"/>
      <c r="Z519" s="52"/>
    </row>
    <row r="520">
      <c r="A520" s="59"/>
      <c r="B520" s="34"/>
      <c r="C520" s="52"/>
      <c r="D520" s="52"/>
      <c r="E520" s="52"/>
      <c r="F520" s="52"/>
      <c r="G520" s="52"/>
      <c r="H520" s="52"/>
      <c r="I520" s="52"/>
      <c r="J520" s="52"/>
      <c r="K520" s="52"/>
      <c r="L520" s="52"/>
      <c r="M520" s="52"/>
      <c r="N520" s="52"/>
      <c r="O520" s="52"/>
      <c r="P520" s="52"/>
      <c r="Q520" s="52"/>
      <c r="R520" s="52"/>
      <c r="S520" s="52"/>
      <c r="T520" s="52"/>
      <c r="U520" s="52"/>
      <c r="V520" s="52"/>
      <c r="W520" s="52"/>
      <c r="X520" s="52"/>
      <c r="Y520" s="52"/>
      <c r="Z520" s="52"/>
    </row>
    <row r="521">
      <c r="A521" s="59"/>
      <c r="B521" s="34"/>
      <c r="C521" s="52"/>
      <c r="D521" s="52"/>
      <c r="E521" s="52"/>
      <c r="F521" s="52"/>
      <c r="G521" s="52"/>
      <c r="H521" s="52"/>
      <c r="I521" s="52"/>
      <c r="J521" s="52"/>
      <c r="K521" s="52"/>
      <c r="L521" s="52"/>
      <c r="M521" s="52"/>
      <c r="N521" s="52"/>
      <c r="O521" s="52"/>
      <c r="P521" s="52"/>
      <c r="Q521" s="52"/>
      <c r="R521" s="52"/>
      <c r="S521" s="52"/>
      <c r="T521" s="52"/>
      <c r="U521" s="52"/>
      <c r="V521" s="52"/>
      <c r="W521" s="52"/>
      <c r="X521" s="52"/>
      <c r="Y521" s="52"/>
      <c r="Z521" s="52"/>
    </row>
    <row r="522">
      <c r="A522" s="59"/>
      <c r="B522" s="34"/>
      <c r="C522" s="52"/>
      <c r="D522" s="52"/>
      <c r="E522" s="52"/>
      <c r="F522" s="52"/>
      <c r="G522" s="52"/>
      <c r="H522" s="52"/>
      <c r="I522" s="52"/>
      <c r="J522" s="52"/>
      <c r="K522" s="52"/>
      <c r="L522" s="52"/>
      <c r="M522" s="52"/>
      <c r="N522" s="52"/>
      <c r="O522" s="52"/>
      <c r="P522" s="52"/>
      <c r="Q522" s="52"/>
      <c r="R522" s="52"/>
      <c r="S522" s="52"/>
      <c r="T522" s="52"/>
      <c r="U522" s="52"/>
      <c r="V522" s="52"/>
      <c r="W522" s="52"/>
      <c r="X522" s="52"/>
      <c r="Y522" s="52"/>
      <c r="Z522" s="52"/>
    </row>
    <row r="523">
      <c r="A523" s="59"/>
      <c r="B523" s="34"/>
      <c r="C523" s="52"/>
      <c r="D523" s="52"/>
      <c r="E523" s="52"/>
      <c r="F523" s="52"/>
      <c r="G523" s="52"/>
      <c r="H523" s="52"/>
      <c r="I523" s="52"/>
      <c r="J523" s="52"/>
      <c r="K523" s="52"/>
      <c r="L523" s="52"/>
      <c r="M523" s="52"/>
      <c r="N523" s="52"/>
      <c r="O523" s="52"/>
      <c r="P523" s="52"/>
      <c r="Q523" s="52"/>
      <c r="R523" s="52"/>
      <c r="S523" s="52"/>
      <c r="T523" s="52"/>
      <c r="U523" s="52"/>
      <c r="V523" s="52"/>
      <c r="W523" s="52"/>
      <c r="X523" s="52"/>
      <c r="Y523" s="52"/>
      <c r="Z523" s="52"/>
    </row>
    <row r="524">
      <c r="A524" s="59"/>
      <c r="B524" s="34"/>
      <c r="C524" s="52"/>
      <c r="D524" s="52"/>
      <c r="E524" s="52"/>
      <c r="F524" s="52"/>
      <c r="G524" s="52"/>
      <c r="H524" s="52"/>
      <c r="I524" s="52"/>
      <c r="J524" s="52"/>
      <c r="K524" s="52"/>
      <c r="L524" s="52"/>
      <c r="M524" s="52"/>
      <c r="N524" s="52"/>
      <c r="O524" s="52"/>
      <c r="P524" s="52"/>
      <c r="Q524" s="52"/>
      <c r="R524" s="52"/>
      <c r="S524" s="52"/>
      <c r="T524" s="52"/>
      <c r="U524" s="52"/>
      <c r="V524" s="52"/>
      <c r="W524" s="52"/>
      <c r="X524" s="52"/>
      <c r="Y524" s="52"/>
      <c r="Z524" s="52"/>
    </row>
    <row r="525">
      <c r="A525" s="59"/>
      <c r="B525" s="34"/>
      <c r="C525" s="52"/>
      <c r="D525" s="52"/>
      <c r="E525" s="52"/>
      <c r="F525" s="52"/>
      <c r="G525" s="52"/>
      <c r="H525" s="52"/>
      <c r="I525" s="52"/>
      <c r="J525" s="52"/>
      <c r="K525" s="52"/>
      <c r="L525" s="52"/>
      <c r="M525" s="52"/>
      <c r="N525" s="52"/>
      <c r="O525" s="52"/>
      <c r="P525" s="52"/>
      <c r="Q525" s="52"/>
      <c r="R525" s="52"/>
      <c r="S525" s="52"/>
      <c r="T525" s="52"/>
      <c r="U525" s="52"/>
      <c r="V525" s="52"/>
      <c r="W525" s="52"/>
      <c r="X525" s="52"/>
      <c r="Y525" s="52"/>
      <c r="Z525" s="52"/>
    </row>
    <row r="526">
      <c r="A526" s="59"/>
      <c r="B526" s="34"/>
      <c r="C526" s="52"/>
      <c r="D526" s="52"/>
      <c r="E526" s="52"/>
      <c r="F526" s="52"/>
      <c r="G526" s="52"/>
      <c r="H526" s="52"/>
      <c r="I526" s="52"/>
      <c r="J526" s="52"/>
      <c r="K526" s="52"/>
      <c r="L526" s="52"/>
      <c r="M526" s="52"/>
      <c r="N526" s="52"/>
      <c r="O526" s="52"/>
      <c r="P526" s="52"/>
      <c r="Q526" s="52"/>
      <c r="R526" s="52"/>
      <c r="S526" s="52"/>
      <c r="T526" s="52"/>
      <c r="U526" s="52"/>
      <c r="V526" s="52"/>
      <c r="W526" s="52"/>
      <c r="X526" s="52"/>
      <c r="Y526" s="52"/>
      <c r="Z526" s="52"/>
    </row>
    <row r="527">
      <c r="A527" s="59"/>
      <c r="B527" s="34"/>
      <c r="C527" s="52"/>
      <c r="D527" s="52"/>
      <c r="E527" s="52"/>
      <c r="F527" s="52"/>
      <c r="G527" s="52"/>
      <c r="H527" s="52"/>
      <c r="I527" s="52"/>
      <c r="J527" s="52"/>
      <c r="K527" s="52"/>
      <c r="L527" s="52"/>
      <c r="M527" s="52"/>
      <c r="N527" s="52"/>
      <c r="O527" s="52"/>
      <c r="P527" s="52"/>
      <c r="Q527" s="52"/>
      <c r="R527" s="52"/>
      <c r="S527" s="52"/>
      <c r="T527" s="52"/>
      <c r="U527" s="52"/>
      <c r="V527" s="52"/>
      <c r="W527" s="52"/>
      <c r="X527" s="52"/>
      <c r="Y527" s="52"/>
      <c r="Z527" s="52"/>
    </row>
    <row r="528">
      <c r="A528" s="59"/>
      <c r="B528" s="34"/>
      <c r="C528" s="52"/>
      <c r="D528" s="52"/>
      <c r="E528" s="52"/>
      <c r="F528" s="52"/>
      <c r="G528" s="52"/>
      <c r="H528" s="52"/>
      <c r="I528" s="52"/>
      <c r="J528" s="52"/>
      <c r="K528" s="52"/>
      <c r="L528" s="52"/>
      <c r="M528" s="52"/>
      <c r="N528" s="52"/>
      <c r="O528" s="52"/>
      <c r="P528" s="52"/>
      <c r="Q528" s="52"/>
      <c r="R528" s="52"/>
      <c r="S528" s="52"/>
      <c r="T528" s="52"/>
      <c r="U528" s="52"/>
      <c r="V528" s="52"/>
      <c r="W528" s="52"/>
      <c r="X528" s="52"/>
      <c r="Y528" s="52"/>
      <c r="Z528" s="52"/>
    </row>
    <row r="529">
      <c r="A529" s="59"/>
      <c r="B529" s="34"/>
      <c r="C529" s="52"/>
      <c r="D529" s="52"/>
      <c r="E529" s="52"/>
      <c r="F529" s="52"/>
      <c r="G529" s="52"/>
      <c r="H529" s="52"/>
      <c r="I529" s="52"/>
      <c r="J529" s="52"/>
      <c r="K529" s="52"/>
      <c r="L529" s="52"/>
      <c r="M529" s="52"/>
      <c r="N529" s="52"/>
      <c r="O529" s="52"/>
      <c r="P529" s="52"/>
      <c r="Q529" s="52"/>
      <c r="R529" s="52"/>
      <c r="S529" s="52"/>
      <c r="T529" s="52"/>
      <c r="U529" s="52"/>
      <c r="V529" s="52"/>
      <c r="W529" s="52"/>
      <c r="X529" s="52"/>
      <c r="Y529" s="52"/>
      <c r="Z529" s="52"/>
    </row>
    <row r="530">
      <c r="A530" s="59"/>
      <c r="B530" s="34"/>
      <c r="C530" s="52"/>
      <c r="D530" s="52"/>
      <c r="E530" s="52"/>
      <c r="F530" s="52"/>
      <c r="G530" s="52"/>
      <c r="H530" s="52"/>
      <c r="I530" s="52"/>
      <c r="J530" s="52"/>
      <c r="K530" s="52"/>
      <c r="L530" s="52"/>
      <c r="M530" s="52"/>
      <c r="N530" s="52"/>
      <c r="O530" s="52"/>
      <c r="P530" s="52"/>
      <c r="Q530" s="52"/>
      <c r="R530" s="52"/>
      <c r="S530" s="52"/>
      <c r="T530" s="52"/>
      <c r="U530" s="52"/>
      <c r="V530" s="52"/>
      <c r="W530" s="52"/>
      <c r="X530" s="52"/>
      <c r="Y530" s="52"/>
      <c r="Z530" s="52"/>
    </row>
    <row r="531">
      <c r="A531" s="59"/>
      <c r="B531" s="34"/>
      <c r="C531" s="52"/>
      <c r="D531" s="52"/>
      <c r="E531" s="52"/>
      <c r="F531" s="52"/>
      <c r="G531" s="52"/>
      <c r="H531" s="52"/>
      <c r="I531" s="52"/>
      <c r="J531" s="52"/>
      <c r="K531" s="52"/>
      <c r="L531" s="52"/>
      <c r="M531" s="52"/>
      <c r="N531" s="52"/>
      <c r="O531" s="52"/>
      <c r="P531" s="52"/>
      <c r="Q531" s="52"/>
      <c r="R531" s="52"/>
      <c r="S531" s="52"/>
      <c r="T531" s="52"/>
      <c r="U531" s="52"/>
      <c r="V531" s="52"/>
      <c r="W531" s="52"/>
      <c r="X531" s="52"/>
      <c r="Y531" s="52"/>
      <c r="Z531" s="52"/>
    </row>
    <row r="532">
      <c r="A532" s="59"/>
      <c r="B532" s="34"/>
      <c r="C532" s="52"/>
      <c r="D532" s="52"/>
      <c r="E532" s="52"/>
      <c r="F532" s="52"/>
      <c r="G532" s="52"/>
      <c r="H532" s="52"/>
      <c r="I532" s="52"/>
      <c r="J532" s="52"/>
      <c r="K532" s="52"/>
      <c r="L532" s="52"/>
      <c r="M532" s="52"/>
      <c r="N532" s="52"/>
      <c r="O532" s="52"/>
      <c r="P532" s="52"/>
      <c r="Q532" s="52"/>
      <c r="R532" s="52"/>
      <c r="S532" s="52"/>
      <c r="T532" s="52"/>
      <c r="U532" s="52"/>
      <c r="V532" s="52"/>
      <c r="W532" s="52"/>
      <c r="X532" s="52"/>
      <c r="Y532" s="52"/>
      <c r="Z532" s="52"/>
    </row>
    <row r="533">
      <c r="A533" s="59"/>
      <c r="B533" s="34"/>
      <c r="C533" s="52"/>
      <c r="D533" s="52"/>
      <c r="E533" s="52"/>
      <c r="F533" s="52"/>
      <c r="G533" s="52"/>
      <c r="H533" s="52"/>
      <c r="I533" s="52"/>
      <c r="J533" s="52"/>
      <c r="K533" s="52"/>
      <c r="L533" s="52"/>
      <c r="M533" s="52"/>
      <c r="N533" s="52"/>
      <c r="O533" s="52"/>
      <c r="P533" s="52"/>
      <c r="Q533" s="52"/>
      <c r="R533" s="52"/>
      <c r="S533" s="52"/>
      <c r="T533" s="52"/>
      <c r="U533" s="52"/>
      <c r="V533" s="52"/>
      <c r="W533" s="52"/>
      <c r="X533" s="52"/>
      <c r="Y533" s="52"/>
      <c r="Z533" s="52"/>
    </row>
    <row r="534">
      <c r="A534" s="59"/>
      <c r="B534" s="34"/>
      <c r="C534" s="52"/>
      <c r="D534" s="52"/>
      <c r="E534" s="52"/>
      <c r="F534" s="52"/>
      <c r="G534" s="52"/>
      <c r="H534" s="52"/>
      <c r="I534" s="52"/>
      <c r="J534" s="52"/>
      <c r="K534" s="52"/>
      <c r="L534" s="52"/>
      <c r="M534" s="52"/>
      <c r="N534" s="52"/>
      <c r="O534" s="52"/>
      <c r="P534" s="52"/>
      <c r="Q534" s="52"/>
      <c r="R534" s="52"/>
      <c r="S534" s="52"/>
      <c r="T534" s="52"/>
      <c r="U534" s="52"/>
      <c r="V534" s="52"/>
      <c r="W534" s="52"/>
      <c r="X534" s="52"/>
      <c r="Y534" s="52"/>
      <c r="Z534" s="52"/>
    </row>
    <row r="535">
      <c r="A535" s="59"/>
      <c r="B535" s="34"/>
      <c r="C535" s="52"/>
      <c r="D535" s="52"/>
      <c r="E535" s="52"/>
      <c r="F535" s="52"/>
      <c r="G535" s="52"/>
      <c r="H535" s="52"/>
      <c r="I535" s="52"/>
      <c r="J535" s="52"/>
      <c r="K535" s="52"/>
      <c r="L535" s="52"/>
      <c r="M535" s="52"/>
      <c r="N535" s="52"/>
      <c r="O535" s="52"/>
      <c r="P535" s="52"/>
      <c r="Q535" s="52"/>
      <c r="R535" s="52"/>
      <c r="S535" s="52"/>
      <c r="T535" s="52"/>
      <c r="U535" s="52"/>
      <c r="V535" s="52"/>
      <c r="W535" s="52"/>
      <c r="X535" s="52"/>
      <c r="Y535" s="52"/>
      <c r="Z535" s="52"/>
    </row>
    <row r="536">
      <c r="A536" s="59"/>
      <c r="B536" s="34"/>
      <c r="C536" s="52"/>
      <c r="D536" s="52"/>
      <c r="E536" s="52"/>
      <c r="F536" s="52"/>
      <c r="G536" s="52"/>
      <c r="H536" s="52"/>
      <c r="I536" s="52"/>
      <c r="J536" s="52"/>
      <c r="K536" s="52"/>
      <c r="L536" s="52"/>
      <c r="M536" s="52"/>
      <c r="N536" s="52"/>
      <c r="O536" s="52"/>
      <c r="P536" s="52"/>
      <c r="Q536" s="52"/>
      <c r="R536" s="52"/>
      <c r="S536" s="52"/>
      <c r="T536" s="52"/>
      <c r="U536" s="52"/>
      <c r="V536" s="52"/>
      <c r="W536" s="52"/>
      <c r="X536" s="52"/>
      <c r="Y536" s="52"/>
      <c r="Z536" s="52"/>
    </row>
    <row r="537">
      <c r="A537" s="59"/>
      <c r="B537" s="34"/>
      <c r="C537" s="52"/>
      <c r="D537" s="52"/>
      <c r="E537" s="52"/>
      <c r="F537" s="52"/>
      <c r="G537" s="52"/>
      <c r="H537" s="52"/>
      <c r="I537" s="52"/>
      <c r="J537" s="52"/>
      <c r="K537" s="52"/>
      <c r="L537" s="52"/>
      <c r="M537" s="52"/>
      <c r="N537" s="52"/>
      <c r="O537" s="52"/>
      <c r="P537" s="52"/>
      <c r="Q537" s="52"/>
      <c r="R537" s="52"/>
      <c r="S537" s="52"/>
      <c r="T537" s="52"/>
      <c r="U537" s="52"/>
      <c r="V537" s="52"/>
      <c r="W537" s="52"/>
      <c r="X537" s="52"/>
      <c r="Y537" s="52"/>
      <c r="Z537" s="52"/>
    </row>
    <row r="538">
      <c r="A538" s="59"/>
      <c r="B538" s="34"/>
      <c r="C538" s="52"/>
      <c r="D538" s="52"/>
      <c r="E538" s="52"/>
      <c r="F538" s="52"/>
      <c r="G538" s="52"/>
      <c r="H538" s="52"/>
      <c r="I538" s="52"/>
      <c r="J538" s="52"/>
      <c r="K538" s="52"/>
      <c r="L538" s="52"/>
      <c r="M538" s="52"/>
      <c r="N538" s="52"/>
      <c r="O538" s="52"/>
      <c r="P538" s="52"/>
      <c r="Q538" s="52"/>
      <c r="R538" s="52"/>
      <c r="S538" s="52"/>
      <c r="T538" s="52"/>
      <c r="U538" s="52"/>
      <c r="V538" s="52"/>
      <c r="W538" s="52"/>
      <c r="X538" s="52"/>
      <c r="Y538" s="52"/>
      <c r="Z538" s="52"/>
    </row>
    <row r="539">
      <c r="A539" s="59"/>
      <c r="B539" s="34"/>
      <c r="C539" s="52"/>
      <c r="D539" s="52"/>
      <c r="E539" s="52"/>
      <c r="F539" s="52"/>
      <c r="G539" s="52"/>
      <c r="H539" s="52"/>
      <c r="I539" s="52"/>
      <c r="J539" s="52"/>
      <c r="K539" s="52"/>
      <c r="L539" s="52"/>
      <c r="M539" s="52"/>
      <c r="N539" s="52"/>
      <c r="O539" s="52"/>
      <c r="P539" s="52"/>
      <c r="Q539" s="52"/>
      <c r="R539" s="52"/>
      <c r="S539" s="52"/>
      <c r="T539" s="52"/>
      <c r="U539" s="52"/>
      <c r="V539" s="52"/>
      <c r="W539" s="52"/>
      <c r="X539" s="52"/>
      <c r="Y539" s="52"/>
      <c r="Z539" s="52"/>
    </row>
    <row r="540">
      <c r="A540" s="59"/>
      <c r="B540" s="34"/>
      <c r="C540" s="52"/>
      <c r="D540" s="52"/>
      <c r="E540" s="52"/>
      <c r="F540" s="52"/>
      <c r="G540" s="52"/>
      <c r="H540" s="52"/>
      <c r="I540" s="52"/>
      <c r="J540" s="52"/>
      <c r="K540" s="52"/>
      <c r="L540" s="52"/>
      <c r="M540" s="52"/>
      <c r="N540" s="52"/>
      <c r="O540" s="52"/>
      <c r="P540" s="52"/>
      <c r="Q540" s="52"/>
      <c r="R540" s="52"/>
      <c r="S540" s="52"/>
      <c r="T540" s="52"/>
      <c r="U540" s="52"/>
      <c r="V540" s="52"/>
      <c r="W540" s="52"/>
      <c r="X540" s="52"/>
      <c r="Y540" s="52"/>
      <c r="Z540" s="52"/>
    </row>
    <row r="541">
      <c r="A541" s="59"/>
      <c r="B541" s="34"/>
      <c r="C541" s="52"/>
      <c r="D541" s="52"/>
      <c r="E541" s="52"/>
      <c r="F541" s="52"/>
      <c r="G541" s="52"/>
      <c r="H541" s="52"/>
      <c r="I541" s="52"/>
      <c r="J541" s="52"/>
      <c r="K541" s="52"/>
      <c r="L541" s="52"/>
      <c r="M541" s="52"/>
      <c r="N541" s="52"/>
      <c r="O541" s="52"/>
      <c r="P541" s="52"/>
      <c r="Q541" s="52"/>
      <c r="R541" s="52"/>
      <c r="S541" s="52"/>
      <c r="T541" s="52"/>
      <c r="U541" s="52"/>
      <c r="V541" s="52"/>
      <c r="W541" s="52"/>
      <c r="X541" s="52"/>
      <c r="Y541" s="52"/>
      <c r="Z541" s="52"/>
    </row>
    <row r="542">
      <c r="A542" s="59"/>
      <c r="B542" s="34"/>
      <c r="C542" s="52"/>
      <c r="D542" s="52"/>
      <c r="E542" s="52"/>
      <c r="F542" s="52"/>
      <c r="G542" s="52"/>
      <c r="H542" s="52"/>
      <c r="I542" s="52"/>
      <c r="J542" s="52"/>
      <c r="K542" s="52"/>
      <c r="L542" s="52"/>
      <c r="M542" s="52"/>
      <c r="N542" s="52"/>
      <c r="O542" s="52"/>
      <c r="P542" s="52"/>
      <c r="Q542" s="52"/>
      <c r="R542" s="52"/>
      <c r="S542" s="52"/>
      <c r="T542" s="52"/>
      <c r="U542" s="52"/>
      <c r="V542" s="52"/>
      <c r="W542" s="52"/>
      <c r="X542" s="52"/>
      <c r="Y542" s="52"/>
      <c r="Z542" s="52"/>
    </row>
    <row r="543">
      <c r="A543" s="59"/>
      <c r="B543" s="34"/>
      <c r="C543" s="52"/>
      <c r="D543" s="52"/>
      <c r="E543" s="52"/>
      <c r="F543" s="52"/>
      <c r="G543" s="52"/>
      <c r="H543" s="52"/>
      <c r="I543" s="52"/>
      <c r="J543" s="52"/>
      <c r="K543" s="52"/>
      <c r="L543" s="52"/>
      <c r="M543" s="52"/>
      <c r="N543" s="52"/>
      <c r="O543" s="52"/>
      <c r="P543" s="52"/>
      <c r="Q543" s="52"/>
      <c r="R543" s="52"/>
      <c r="S543" s="52"/>
      <c r="T543" s="52"/>
      <c r="U543" s="52"/>
      <c r="V543" s="52"/>
      <c r="W543" s="52"/>
      <c r="X543" s="52"/>
      <c r="Y543" s="52"/>
      <c r="Z543" s="52"/>
    </row>
    <row r="544">
      <c r="A544" s="59"/>
      <c r="B544" s="34"/>
      <c r="C544" s="52"/>
      <c r="D544" s="52"/>
      <c r="E544" s="52"/>
      <c r="F544" s="52"/>
      <c r="G544" s="52"/>
      <c r="H544" s="52"/>
      <c r="I544" s="52"/>
      <c r="J544" s="52"/>
      <c r="K544" s="52"/>
      <c r="L544" s="52"/>
      <c r="M544" s="52"/>
      <c r="N544" s="52"/>
      <c r="O544" s="52"/>
      <c r="P544" s="52"/>
      <c r="Q544" s="52"/>
      <c r="R544" s="52"/>
      <c r="S544" s="52"/>
      <c r="T544" s="52"/>
      <c r="U544" s="52"/>
      <c r="V544" s="52"/>
      <c r="W544" s="52"/>
      <c r="X544" s="52"/>
      <c r="Y544" s="52"/>
      <c r="Z544" s="52"/>
    </row>
    <row r="545">
      <c r="A545" s="59"/>
      <c r="B545" s="34"/>
      <c r="C545" s="52"/>
      <c r="D545" s="52"/>
      <c r="E545" s="52"/>
      <c r="F545" s="52"/>
      <c r="G545" s="52"/>
      <c r="H545" s="52"/>
      <c r="I545" s="52"/>
      <c r="J545" s="52"/>
      <c r="K545" s="52"/>
      <c r="L545" s="52"/>
      <c r="M545" s="52"/>
      <c r="N545" s="52"/>
      <c r="O545" s="52"/>
      <c r="P545" s="52"/>
      <c r="Q545" s="52"/>
      <c r="R545" s="52"/>
      <c r="S545" s="52"/>
      <c r="T545" s="52"/>
      <c r="U545" s="52"/>
      <c r="V545" s="52"/>
      <c r="W545" s="52"/>
      <c r="X545" s="52"/>
      <c r="Y545" s="52"/>
      <c r="Z545" s="52"/>
    </row>
    <row r="546">
      <c r="A546" s="59"/>
      <c r="B546" s="34"/>
      <c r="C546" s="52"/>
      <c r="D546" s="52"/>
      <c r="E546" s="52"/>
      <c r="F546" s="52"/>
      <c r="G546" s="52"/>
      <c r="H546" s="52"/>
      <c r="I546" s="52"/>
      <c r="J546" s="52"/>
      <c r="K546" s="52"/>
      <c r="L546" s="52"/>
      <c r="M546" s="52"/>
      <c r="N546" s="52"/>
      <c r="O546" s="52"/>
      <c r="P546" s="52"/>
      <c r="Q546" s="52"/>
      <c r="R546" s="52"/>
      <c r="S546" s="52"/>
      <c r="T546" s="52"/>
      <c r="U546" s="52"/>
      <c r="V546" s="52"/>
      <c r="W546" s="52"/>
      <c r="X546" s="52"/>
      <c r="Y546" s="52"/>
      <c r="Z546" s="52"/>
    </row>
    <row r="547">
      <c r="A547" s="59"/>
      <c r="B547" s="34"/>
      <c r="C547" s="52"/>
      <c r="D547" s="52"/>
      <c r="E547" s="52"/>
      <c r="F547" s="52"/>
      <c r="G547" s="52"/>
      <c r="H547" s="52"/>
      <c r="I547" s="52"/>
      <c r="J547" s="52"/>
      <c r="K547" s="52"/>
      <c r="L547" s="52"/>
      <c r="M547" s="52"/>
      <c r="N547" s="52"/>
      <c r="O547" s="52"/>
      <c r="P547" s="52"/>
      <c r="Q547" s="52"/>
      <c r="R547" s="52"/>
      <c r="S547" s="52"/>
      <c r="T547" s="52"/>
      <c r="U547" s="52"/>
      <c r="V547" s="52"/>
      <c r="W547" s="52"/>
      <c r="X547" s="52"/>
      <c r="Y547" s="52"/>
      <c r="Z547" s="52"/>
    </row>
    <row r="548">
      <c r="A548" s="59"/>
      <c r="B548" s="34"/>
      <c r="C548" s="52"/>
      <c r="D548" s="52"/>
      <c r="E548" s="52"/>
      <c r="F548" s="52"/>
      <c r="G548" s="52"/>
      <c r="H548" s="52"/>
      <c r="I548" s="52"/>
      <c r="J548" s="52"/>
      <c r="K548" s="52"/>
      <c r="L548" s="52"/>
      <c r="M548" s="52"/>
      <c r="N548" s="52"/>
      <c r="O548" s="52"/>
      <c r="P548" s="52"/>
      <c r="Q548" s="52"/>
      <c r="R548" s="52"/>
      <c r="S548" s="52"/>
      <c r="T548" s="52"/>
      <c r="U548" s="52"/>
      <c r="V548" s="52"/>
      <c r="W548" s="52"/>
      <c r="X548" s="52"/>
      <c r="Y548" s="52"/>
      <c r="Z548" s="52"/>
    </row>
    <row r="549">
      <c r="A549" s="59"/>
      <c r="B549" s="34"/>
      <c r="C549" s="52"/>
      <c r="D549" s="52"/>
      <c r="E549" s="52"/>
      <c r="F549" s="52"/>
      <c r="G549" s="52"/>
      <c r="H549" s="52"/>
      <c r="I549" s="52"/>
      <c r="J549" s="52"/>
      <c r="K549" s="52"/>
      <c r="L549" s="52"/>
      <c r="M549" s="52"/>
      <c r="N549" s="52"/>
      <c r="O549" s="52"/>
      <c r="P549" s="52"/>
      <c r="Q549" s="52"/>
      <c r="R549" s="52"/>
      <c r="S549" s="52"/>
      <c r="T549" s="52"/>
      <c r="U549" s="52"/>
      <c r="V549" s="52"/>
      <c r="W549" s="52"/>
      <c r="X549" s="52"/>
      <c r="Y549" s="52"/>
      <c r="Z549" s="52"/>
    </row>
    <row r="550">
      <c r="A550" s="59"/>
      <c r="B550" s="34"/>
      <c r="C550" s="52"/>
      <c r="D550" s="52"/>
      <c r="E550" s="52"/>
      <c r="F550" s="52"/>
      <c r="G550" s="52"/>
      <c r="H550" s="52"/>
      <c r="I550" s="52"/>
      <c r="J550" s="52"/>
      <c r="K550" s="52"/>
      <c r="L550" s="52"/>
      <c r="M550" s="52"/>
      <c r="N550" s="52"/>
      <c r="O550" s="52"/>
      <c r="P550" s="52"/>
      <c r="Q550" s="52"/>
      <c r="R550" s="52"/>
      <c r="S550" s="52"/>
      <c r="T550" s="52"/>
      <c r="U550" s="52"/>
      <c r="V550" s="52"/>
      <c r="W550" s="52"/>
      <c r="X550" s="52"/>
      <c r="Y550" s="52"/>
      <c r="Z550" s="52"/>
    </row>
    <row r="551">
      <c r="A551" s="59"/>
      <c r="B551" s="34"/>
      <c r="C551" s="52"/>
      <c r="D551" s="52"/>
      <c r="E551" s="52"/>
      <c r="F551" s="52"/>
      <c r="G551" s="52"/>
      <c r="H551" s="52"/>
      <c r="I551" s="52"/>
      <c r="J551" s="52"/>
      <c r="K551" s="52"/>
      <c r="L551" s="52"/>
      <c r="M551" s="52"/>
      <c r="N551" s="52"/>
      <c r="O551" s="52"/>
      <c r="P551" s="52"/>
      <c r="Q551" s="52"/>
      <c r="R551" s="52"/>
      <c r="S551" s="52"/>
      <c r="T551" s="52"/>
      <c r="U551" s="52"/>
      <c r="V551" s="52"/>
      <c r="W551" s="52"/>
      <c r="X551" s="52"/>
      <c r="Y551" s="52"/>
      <c r="Z551" s="52"/>
    </row>
    <row r="552">
      <c r="A552" s="59"/>
      <c r="B552" s="34"/>
      <c r="C552" s="52"/>
      <c r="D552" s="52"/>
      <c r="E552" s="52"/>
      <c r="F552" s="52"/>
      <c r="G552" s="52"/>
      <c r="H552" s="52"/>
      <c r="I552" s="52"/>
      <c r="J552" s="52"/>
      <c r="K552" s="52"/>
      <c r="L552" s="52"/>
      <c r="M552" s="52"/>
      <c r="N552" s="52"/>
      <c r="O552" s="52"/>
      <c r="P552" s="52"/>
      <c r="Q552" s="52"/>
      <c r="R552" s="52"/>
      <c r="S552" s="52"/>
      <c r="T552" s="52"/>
      <c r="U552" s="52"/>
      <c r="V552" s="52"/>
      <c r="W552" s="52"/>
      <c r="X552" s="52"/>
      <c r="Y552" s="52"/>
      <c r="Z552" s="52"/>
    </row>
    <row r="553">
      <c r="A553" s="59"/>
      <c r="B553" s="34"/>
      <c r="C553" s="52"/>
      <c r="D553" s="52"/>
      <c r="E553" s="52"/>
      <c r="F553" s="52"/>
      <c r="G553" s="52"/>
      <c r="H553" s="52"/>
      <c r="I553" s="52"/>
      <c r="J553" s="52"/>
      <c r="K553" s="52"/>
      <c r="L553" s="52"/>
      <c r="M553" s="52"/>
      <c r="N553" s="52"/>
      <c r="O553" s="52"/>
      <c r="P553" s="52"/>
      <c r="Q553" s="52"/>
      <c r="R553" s="52"/>
      <c r="S553" s="52"/>
      <c r="T553" s="52"/>
      <c r="U553" s="52"/>
      <c r="V553" s="52"/>
      <c r="W553" s="52"/>
      <c r="X553" s="52"/>
      <c r="Y553" s="52"/>
      <c r="Z553" s="52"/>
    </row>
    <row r="554">
      <c r="A554" s="59"/>
      <c r="B554" s="34"/>
      <c r="C554" s="52"/>
      <c r="D554" s="52"/>
      <c r="E554" s="52"/>
      <c r="F554" s="52"/>
      <c r="G554" s="52"/>
      <c r="H554" s="52"/>
      <c r="I554" s="52"/>
      <c r="J554" s="52"/>
      <c r="K554" s="52"/>
      <c r="L554" s="52"/>
      <c r="M554" s="52"/>
      <c r="N554" s="52"/>
      <c r="O554" s="52"/>
      <c r="P554" s="52"/>
      <c r="Q554" s="52"/>
      <c r="R554" s="52"/>
      <c r="S554" s="52"/>
      <c r="T554" s="52"/>
      <c r="U554" s="52"/>
      <c r="V554" s="52"/>
      <c r="W554" s="52"/>
      <c r="X554" s="52"/>
      <c r="Y554" s="52"/>
      <c r="Z554" s="52"/>
    </row>
    <row r="555">
      <c r="A555" s="59"/>
      <c r="B555" s="34"/>
      <c r="C555" s="52"/>
      <c r="D555" s="52"/>
      <c r="E555" s="52"/>
      <c r="F555" s="52"/>
      <c r="G555" s="52"/>
      <c r="H555" s="52"/>
      <c r="I555" s="52"/>
      <c r="J555" s="52"/>
      <c r="K555" s="52"/>
      <c r="L555" s="52"/>
      <c r="M555" s="52"/>
      <c r="N555" s="52"/>
      <c r="O555" s="52"/>
      <c r="P555" s="52"/>
      <c r="Q555" s="52"/>
      <c r="R555" s="52"/>
      <c r="S555" s="52"/>
      <c r="T555" s="52"/>
      <c r="U555" s="52"/>
      <c r="V555" s="52"/>
      <c r="W555" s="52"/>
      <c r="X555" s="52"/>
      <c r="Y555" s="52"/>
      <c r="Z555" s="52"/>
    </row>
    <row r="556">
      <c r="A556" s="59"/>
      <c r="B556" s="34"/>
      <c r="C556" s="52"/>
      <c r="D556" s="52"/>
      <c r="E556" s="52"/>
      <c r="F556" s="52"/>
      <c r="G556" s="52"/>
      <c r="H556" s="52"/>
      <c r="I556" s="52"/>
      <c r="J556" s="52"/>
      <c r="K556" s="52"/>
      <c r="L556" s="52"/>
      <c r="M556" s="52"/>
      <c r="N556" s="52"/>
      <c r="O556" s="52"/>
      <c r="P556" s="52"/>
      <c r="Q556" s="52"/>
      <c r="R556" s="52"/>
      <c r="S556" s="52"/>
      <c r="T556" s="52"/>
      <c r="U556" s="52"/>
      <c r="V556" s="52"/>
      <c r="W556" s="52"/>
      <c r="X556" s="52"/>
      <c r="Y556" s="52"/>
      <c r="Z556" s="52"/>
    </row>
    <row r="557">
      <c r="A557" s="59"/>
      <c r="B557" s="34"/>
      <c r="C557" s="52"/>
      <c r="D557" s="52"/>
      <c r="E557" s="52"/>
      <c r="F557" s="52"/>
      <c r="G557" s="52"/>
      <c r="H557" s="52"/>
      <c r="I557" s="52"/>
      <c r="J557" s="52"/>
      <c r="K557" s="52"/>
      <c r="L557" s="52"/>
      <c r="M557" s="52"/>
      <c r="N557" s="52"/>
      <c r="O557" s="52"/>
      <c r="P557" s="52"/>
      <c r="Q557" s="52"/>
      <c r="R557" s="52"/>
      <c r="S557" s="52"/>
      <c r="T557" s="52"/>
      <c r="U557" s="52"/>
      <c r="V557" s="52"/>
      <c r="W557" s="52"/>
      <c r="X557" s="52"/>
      <c r="Y557" s="52"/>
      <c r="Z557" s="52"/>
    </row>
    <row r="558">
      <c r="A558" s="59"/>
      <c r="B558" s="34"/>
      <c r="C558" s="52"/>
      <c r="D558" s="52"/>
      <c r="E558" s="52"/>
      <c r="F558" s="52"/>
      <c r="G558" s="52"/>
      <c r="H558" s="52"/>
      <c r="I558" s="52"/>
      <c r="J558" s="52"/>
      <c r="K558" s="52"/>
      <c r="L558" s="52"/>
      <c r="M558" s="52"/>
      <c r="N558" s="52"/>
      <c r="O558" s="52"/>
      <c r="P558" s="52"/>
      <c r="Q558" s="52"/>
      <c r="R558" s="52"/>
      <c r="S558" s="52"/>
      <c r="T558" s="52"/>
      <c r="U558" s="52"/>
      <c r="V558" s="52"/>
      <c r="W558" s="52"/>
      <c r="X558" s="52"/>
      <c r="Y558" s="52"/>
      <c r="Z558" s="52"/>
    </row>
    <row r="559">
      <c r="A559" s="59"/>
      <c r="B559" s="34"/>
      <c r="C559" s="52"/>
      <c r="D559" s="52"/>
      <c r="E559" s="52"/>
      <c r="F559" s="52"/>
      <c r="G559" s="52"/>
      <c r="H559" s="52"/>
      <c r="I559" s="52"/>
      <c r="J559" s="52"/>
      <c r="K559" s="52"/>
      <c r="L559" s="52"/>
      <c r="M559" s="52"/>
      <c r="N559" s="52"/>
      <c r="O559" s="52"/>
      <c r="P559" s="52"/>
      <c r="Q559" s="52"/>
      <c r="R559" s="52"/>
      <c r="S559" s="52"/>
      <c r="T559" s="52"/>
      <c r="U559" s="52"/>
      <c r="V559" s="52"/>
      <c r="W559" s="52"/>
      <c r="X559" s="52"/>
      <c r="Y559" s="52"/>
      <c r="Z559" s="52"/>
    </row>
    <row r="560">
      <c r="A560" s="59"/>
      <c r="B560" s="34"/>
      <c r="C560" s="52"/>
      <c r="D560" s="52"/>
      <c r="E560" s="52"/>
      <c r="F560" s="52"/>
      <c r="G560" s="52"/>
      <c r="H560" s="52"/>
      <c r="I560" s="52"/>
      <c r="J560" s="52"/>
      <c r="K560" s="52"/>
      <c r="L560" s="52"/>
      <c r="M560" s="52"/>
      <c r="N560" s="52"/>
      <c r="O560" s="52"/>
      <c r="P560" s="52"/>
      <c r="Q560" s="52"/>
      <c r="R560" s="52"/>
      <c r="S560" s="52"/>
      <c r="T560" s="52"/>
      <c r="U560" s="52"/>
      <c r="V560" s="52"/>
      <c r="W560" s="52"/>
      <c r="X560" s="52"/>
      <c r="Y560" s="52"/>
      <c r="Z560" s="52"/>
    </row>
    <row r="561">
      <c r="A561" s="59"/>
      <c r="B561" s="34"/>
      <c r="C561" s="52"/>
      <c r="D561" s="52"/>
      <c r="E561" s="52"/>
      <c r="F561" s="52"/>
      <c r="G561" s="52"/>
      <c r="H561" s="52"/>
      <c r="I561" s="52"/>
      <c r="J561" s="52"/>
      <c r="K561" s="52"/>
      <c r="L561" s="52"/>
      <c r="M561" s="52"/>
      <c r="N561" s="52"/>
      <c r="O561" s="52"/>
      <c r="P561" s="52"/>
      <c r="Q561" s="52"/>
      <c r="R561" s="52"/>
      <c r="S561" s="52"/>
      <c r="T561" s="52"/>
      <c r="U561" s="52"/>
      <c r="V561" s="52"/>
      <c r="W561" s="52"/>
      <c r="X561" s="52"/>
      <c r="Y561" s="52"/>
      <c r="Z561" s="52"/>
    </row>
    <row r="562">
      <c r="A562" s="59"/>
      <c r="B562" s="34"/>
      <c r="C562" s="52"/>
      <c r="D562" s="52"/>
      <c r="E562" s="52"/>
      <c r="F562" s="52"/>
      <c r="G562" s="52"/>
      <c r="H562" s="52"/>
      <c r="I562" s="52"/>
      <c r="J562" s="52"/>
      <c r="K562" s="52"/>
      <c r="L562" s="52"/>
      <c r="M562" s="52"/>
      <c r="N562" s="52"/>
      <c r="O562" s="52"/>
      <c r="P562" s="52"/>
      <c r="Q562" s="52"/>
      <c r="R562" s="52"/>
      <c r="S562" s="52"/>
      <c r="T562" s="52"/>
      <c r="U562" s="52"/>
      <c r="V562" s="52"/>
      <c r="W562" s="52"/>
      <c r="X562" s="52"/>
      <c r="Y562" s="52"/>
      <c r="Z562" s="52"/>
    </row>
    <row r="563">
      <c r="A563" s="59"/>
      <c r="B563" s="34"/>
      <c r="C563" s="52"/>
      <c r="D563" s="52"/>
      <c r="E563" s="52"/>
      <c r="F563" s="52"/>
      <c r="G563" s="52"/>
      <c r="H563" s="52"/>
      <c r="I563" s="52"/>
      <c r="J563" s="52"/>
      <c r="K563" s="52"/>
      <c r="L563" s="52"/>
      <c r="M563" s="52"/>
      <c r="N563" s="52"/>
      <c r="O563" s="52"/>
      <c r="P563" s="52"/>
      <c r="Q563" s="52"/>
      <c r="R563" s="52"/>
      <c r="S563" s="52"/>
      <c r="T563" s="52"/>
      <c r="U563" s="52"/>
      <c r="V563" s="52"/>
      <c r="W563" s="52"/>
      <c r="X563" s="52"/>
      <c r="Y563" s="52"/>
      <c r="Z563" s="52"/>
    </row>
    <row r="564">
      <c r="A564" s="59"/>
      <c r="B564" s="34"/>
      <c r="C564" s="52"/>
      <c r="D564" s="52"/>
      <c r="E564" s="52"/>
      <c r="F564" s="52"/>
      <c r="G564" s="52"/>
      <c r="H564" s="52"/>
      <c r="I564" s="52"/>
      <c r="J564" s="52"/>
      <c r="K564" s="52"/>
      <c r="L564" s="52"/>
      <c r="M564" s="52"/>
      <c r="N564" s="52"/>
      <c r="O564" s="52"/>
      <c r="P564" s="52"/>
      <c r="Q564" s="52"/>
      <c r="R564" s="52"/>
      <c r="S564" s="52"/>
      <c r="T564" s="52"/>
      <c r="U564" s="52"/>
      <c r="V564" s="52"/>
      <c r="W564" s="52"/>
      <c r="X564" s="52"/>
      <c r="Y564" s="52"/>
      <c r="Z564" s="52"/>
    </row>
    <row r="565">
      <c r="A565" s="59"/>
      <c r="B565" s="34"/>
      <c r="C565" s="52"/>
      <c r="D565" s="52"/>
      <c r="E565" s="52"/>
      <c r="F565" s="52"/>
      <c r="G565" s="52"/>
      <c r="H565" s="52"/>
      <c r="I565" s="52"/>
      <c r="J565" s="52"/>
      <c r="K565" s="52"/>
      <c r="L565" s="52"/>
      <c r="M565" s="52"/>
      <c r="N565" s="52"/>
      <c r="O565" s="52"/>
      <c r="P565" s="52"/>
      <c r="Q565" s="52"/>
      <c r="R565" s="52"/>
      <c r="S565" s="52"/>
      <c r="T565" s="52"/>
      <c r="U565" s="52"/>
      <c r="V565" s="52"/>
      <c r="W565" s="52"/>
      <c r="X565" s="52"/>
      <c r="Y565" s="52"/>
      <c r="Z565" s="52"/>
    </row>
    <row r="566">
      <c r="A566" s="59"/>
      <c r="B566" s="34"/>
      <c r="C566" s="52"/>
      <c r="D566" s="52"/>
      <c r="E566" s="52"/>
      <c r="F566" s="52"/>
      <c r="G566" s="52"/>
      <c r="H566" s="52"/>
      <c r="I566" s="52"/>
      <c r="J566" s="52"/>
      <c r="K566" s="52"/>
      <c r="L566" s="52"/>
      <c r="M566" s="52"/>
      <c r="N566" s="52"/>
      <c r="O566" s="52"/>
      <c r="P566" s="52"/>
      <c r="Q566" s="52"/>
      <c r="R566" s="52"/>
      <c r="S566" s="52"/>
      <c r="T566" s="52"/>
      <c r="U566" s="52"/>
      <c r="V566" s="52"/>
      <c r="W566" s="52"/>
      <c r="X566" s="52"/>
      <c r="Y566" s="52"/>
      <c r="Z566" s="52"/>
    </row>
    <row r="567">
      <c r="A567" s="59"/>
      <c r="B567" s="34"/>
      <c r="C567" s="52"/>
      <c r="D567" s="52"/>
      <c r="E567" s="52"/>
      <c r="F567" s="52"/>
      <c r="G567" s="52"/>
      <c r="H567" s="52"/>
      <c r="I567" s="52"/>
      <c r="J567" s="52"/>
      <c r="K567" s="52"/>
      <c r="L567" s="52"/>
      <c r="M567" s="52"/>
      <c r="N567" s="52"/>
      <c r="O567" s="52"/>
      <c r="P567" s="52"/>
      <c r="Q567" s="52"/>
      <c r="R567" s="52"/>
      <c r="S567" s="52"/>
      <c r="T567" s="52"/>
      <c r="U567" s="52"/>
      <c r="V567" s="52"/>
      <c r="W567" s="52"/>
      <c r="X567" s="52"/>
      <c r="Y567" s="52"/>
      <c r="Z567" s="52"/>
    </row>
    <row r="568">
      <c r="A568" s="59"/>
      <c r="B568" s="34"/>
      <c r="C568" s="52"/>
      <c r="D568" s="52"/>
      <c r="E568" s="52"/>
      <c r="F568" s="52"/>
      <c r="G568" s="52"/>
      <c r="H568" s="52"/>
      <c r="I568" s="52"/>
      <c r="J568" s="52"/>
      <c r="K568" s="52"/>
      <c r="L568" s="52"/>
      <c r="M568" s="52"/>
      <c r="N568" s="52"/>
      <c r="O568" s="52"/>
      <c r="P568" s="52"/>
      <c r="Q568" s="52"/>
      <c r="R568" s="52"/>
      <c r="S568" s="52"/>
      <c r="T568" s="52"/>
      <c r="U568" s="52"/>
      <c r="V568" s="52"/>
      <c r="W568" s="52"/>
      <c r="X568" s="52"/>
      <c r="Y568" s="52"/>
      <c r="Z568" s="52"/>
    </row>
    <row r="569">
      <c r="A569" s="59"/>
      <c r="B569" s="34"/>
      <c r="C569" s="52"/>
      <c r="D569" s="52"/>
      <c r="E569" s="52"/>
      <c r="F569" s="52"/>
      <c r="G569" s="52"/>
      <c r="H569" s="52"/>
      <c r="I569" s="52"/>
      <c r="J569" s="52"/>
      <c r="K569" s="52"/>
      <c r="L569" s="52"/>
      <c r="M569" s="52"/>
      <c r="N569" s="52"/>
      <c r="O569" s="52"/>
      <c r="P569" s="52"/>
      <c r="Q569" s="52"/>
      <c r="R569" s="52"/>
      <c r="S569" s="52"/>
      <c r="T569" s="52"/>
      <c r="U569" s="52"/>
      <c r="V569" s="52"/>
      <c r="W569" s="52"/>
      <c r="X569" s="52"/>
      <c r="Y569" s="52"/>
      <c r="Z569" s="52"/>
    </row>
    <row r="570">
      <c r="A570" s="59"/>
      <c r="B570" s="34"/>
      <c r="C570" s="52"/>
      <c r="D570" s="52"/>
      <c r="E570" s="52"/>
      <c r="F570" s="52"/>
      <c r="G570" s="52"/>
      <c r="H570" s="52"/>
      <c r="I570" s="52"/>
      <c r="J570" s="52"/>
      <c r="K570" s="52"/>
      <c r="L570" s="52"/>
      <c r="M570" s="52"/>
      <c r="N570" s="52"/>
      <c r="O570" s="52"/>
      <c r="P570" s="52"/>
      <c r="Q570" s="52"/>
      <c r="R570" s="52"/>
      <c r="S570" s="52"/>
      <c r="T570" s="52"/>
      <c r="U570" s="52"/>
      <c r="V570" s="52"/>
      <c r="W570" s="52"/>
      <c r="X570" s="52"/>
      <c r="Y570" s="52"/>
      <c r="Z570" s="52"/>
    </row>
    <row r="571">
      <c r="A571" s="59"/>
      <c r="B571" s="34"/>
      <c r="C571" s="52"/>
      <c r="D571" s="52"/>
      <c r="E571" s="52"/>
      <c r="F571" s="52"/>
      <c r="G571" s="52"/>
      <c r="H571" s="52"/>
      <c r="I571" s="52"/>
      <c r="J571" s="52"/>
      <c r="K571" s="52"/>
      <c r="L571" s="52"/>
      <c r="M571" s="52"/>
      <c r="N571" s="52"/>
      <c r="O571" s="52"/>
      <c r="P571" s="52"/>
      <c r="Q571" s="52"/>
      <c r="R571" s="52"/>
      <c r="S571" s="52"/>
      <c r="T571" s="52"/>
      <c r="U571" s="52"/>
      <c r="V571" s="52"/>
      <c r="W571" s="52"/>
      <c r="X571" s="52"/>
      <c r="Y571" s="52"/>
      <c r="Z571" s="52"/>
    </row>
    <row r="572">
      <c r="A572" s="59"/>
      <c r="B572" s="34"/>
      <c r="C572" s="52"/>
      <c r="D572" s="52"/>
      <c r="E572" s="52"/>
      <c r="F572" s="52"/>
      <c r="G572" s="52"/>
      <c r="H572" s="52"/>
      <c r="I572" s="52"/>
      <c r="J572" s="52"/>
      <c r="K572" s="52"/>
      <c r="L572" s="52"/>
      <c r="M572" s="52"/>
      <c r="N572" s="52"/>
      <c r="O572" s="52"/>
      <c r="P572" s="52"/>
      <c r="Q572" s="52"/>
      <c r="R572" s="52"/>
      <c r="S572" s="52"/>
      <c r="T572" s="52"/>
      <c r="U572" s="52"/>
      <c r="V572" s="52"/>
      <c r="W572" s="52"/>
      <c r="X572" s="52"/>
      <c r="Y572" s="52"/>
      <c r="Z572" s="52"/>
    </row>
    <row r="573">
      <c r="A573" s="59"/>
      <c r="B573" s="34"/>
      <c r="C573" s="52"/>
      <c r="D573" s="52"/>
      <c r="E573" s="52"/>
      <c r="F573" s="52"/>
      <c r="G573" s="52"/>
      <c r="H573" s="52"/>
      <c r="I573" s="52"/>
      <c r="J573" s="52"/>
      <c r="K573" s="52"/>
      <c r="L573" s="52"/>
      <c r="M573" s="52"/>
      <c r="N573" s="52"/>
      <c r="O573" s="52"/>
      <c r="P573" s="52"/>
      <c r="Q573" s="52"/>
      <c r="R573" s="52"/>
      <c r="S573" s="52"/>
      <c r="T573" s="52"/>
      <c r="U573" s="52"/>
      <c r="V573" s="52"/>
      <c r="W573" s="52"/>
      <c r="X573" s="52"/>
      <c r="Y573" s="52"/>
      <c r="Z573" s="52"/>
    </row>
    <row r="574">
      <c r="A574" s="59"/>
      <c r="B574" s="34"/>
      <c r="C574" s="52"/>
      <c r="D574" s="52"/>
      <c r="E574" s="52"/>
      <c r="F574" s="52"/>
      <c r="G574" s="52"/>
      <c r="H574" s="52"/>
      <c r="I574" s="52"/>
      <c r="J574" s="52"/>
      <c r="K574" s="52"/>
      <c r="L574" s="52"/>
      <c r="M574" s="52"/>
      <c r="N574" s="52"/>
      <c r="O574" s="52"/>
      <c r="P574" s="52"/>
      <c r="Q574" s="52"/>
      <c r="R574" s="52"/>
      <c r="S574" s="52"/>
      <c r="T574" s="52"/>
      <c r="U574" s="52"/>
      <c r="V574" s="52"/>
      <c r="W574" s="52"/>
      <c r="X574" s="52"/>
      <c r="Y574" s="52"/>
      <c r="Z574" s="52"/>
    </row>
    <row r="575">
      <c r="A575" s="59"/>
      <c r="B575" s="34"/>
      <c r="C575" s="52"/>
      <c r="D575" s="52"/>
      <c r="E575" s="52"/>
      <c r="F575" s="52"/>
      <c r="G575" s="52"/>
      <c r="H575" s="52"/>
      <c r="I575" s="52"/>
      <c r="J575" s="52"/>
      <c r="K575" s="52"/>
      <c r="L575" s="52"/>
      <c r="M575" s="52"/>
      <c r="N575" s="52"/>
      <c r="O575" s="52"/>
      <c r="P575" s="52"/>
      <c r="Q575" s="52"/>
      <c r="R575" s="52"/>
      <c r="S575" s="52"/>
      <c r="T575" s="52"/>
      <c r="U575" s="52"/>
      <c r="V575" s="52"/>
      <c r="W575" s="52"/>
      <c r="X575" s="52"/>
      <c r="Y575" s="52"/>
      <c r="Z575" s="52"/>
    </row>
    <row r="576">
      <c r="A576" s="59"/>
      <c r="B576" s="34"/>
      <c r="C576" s="52"/>
      <c r="D576" s="52"/>
      <c r="E576" s="52"/>
      <c r="F576" s="52"/>
      <c r="G576" s="52"/>
      <c r="H576" s="52"/>
      <c r="I576" s="52"/>
      <c r="J576" s="52"/>
      <c r="K576" s="52"/>
      <c r="L576" s="52"/>
      <c r="M576" s="52"/>
      <c r="N576" s="52"/>
      <c r="O576" s="52"/>
      <c r="P576" s="52"/>
      <c r="Q576" s="52"/>
      <c r="R576" s="52"/>
      <c r="S576" s="52"/>
      <c r="T576" s="52"/>
      <c r="U576" s="52"/>
      <c r="V576" s="52"/>
      <c r="W576" s="52"/>
      <c r="X576" s="52"/>
      <c r="Y576" s="52"/>
      <c r="Z576" s="52"/>
    </row>
    <row r="577">
      <c r="A577" s="59"/>
      <c r="B577" s="34"/>
      <c r="C577" s="52"/>
      <c r="D577" s="52"/>
      <c r="E577" s="52"/>
      <c r="F577" s="52"/>
      <c r="G577" s="52"/>
      <c r="H577" s="52"/>
      <c r="I577" s="52"/>
      <c r="J577" s="52"/>
      <c r="K577" s="52"/>
      <c r="L577" s="52"/>
      <c r="M577" s="52"/>
      <c r="N577" s="52"/>
      <c r="O577" s="52"/>
      <c r="P577" s="52"/>
      <c r="Q577" s="52"/>
      <c r="R577" s="52"/>
      <c r="S577" s="52"/>
      <c r="T577" s="52"/>
      <c r="U577" s="52"/>
      <c r="V577" s="52"/>
      <c r="W577" s="52"/>
      <c r="X577" s="52"/>
      <c r="Y577" s="52"/>
      <c r="Z577" s="52"/>
    </row>
    <row r="578">
      <c r="A578" s="59"/>
      <c r="B578" s="34"/>
      <c r="C578" s="52"/>
      <c r="D578" s="52"/>
      <c r="E578" s="52"/>
      <c r="F578" s="52"/>
      <c r="G578" s="52"/>
      <c r="H578" s="52"/>
      <c r="I578" s="52"/>
      <c r="J578" s="52"/>
      <c r="K578" s="52"/>
      <c r="L578" s="52"/>
      <c r="M578" s="52"/>
      <c r="N578" s="52"/>
      <c r="O578" s="52"/>
      <c r="P578" s="52"/>
      <c r="Q578" s="52"/>
      <c r="R578" s="52"/>
      <c r="S578" s="52"/>
      <c r="T578" s="52"/>
      <c r="U578" s="52"/>
      <c r="V578" s="52"/>
      <c r="W578" s="52"/>
      <c r="X578" s="52"/>
      <c r="Y578" s="52"/>
      <c r="Z578" s="52"/>
    </row>
    <row r="579">
      <c r="A579" s="59"/>
      <c r="B579" s="34"/>
      <c r="C579" s="52"/>
      <c r="D579" s="52"/>
      <c r="E579" s="52"/>
      <c r="F579" s="52"/>
      <c r="G579" s="52"/>
      <c r="H579" s="52"/>
      <c r="I579" s="52"/>
      <c r="J579" s="52"/>
      <c r="K579" s="52"/>
      <c r="L579" s="52"/>
      <c r="M579" s="52"/>
      <c r="N579" s="52"/>
      <c r="O579" s="52"/>
      <c r="P579" s="52"/>
      <c r="Q579" s="52"/>
      <c r="R579" s="52"/>
      <c r="S579" s="52"/>
      <c r="T579" s="52"/>
      <c r="U579" s="52"/>
      <c r="V579" s="52"/>
      <c r="W579" s="52"/>
      <c r="X579" s="52"/>
      <c r="Y579" s="52"/>
      <c r="Z579" s="52"/>
    </row>
    <row r="580">
      <c r="A580" s="59"/>
      <c r="B580" s="34"/>
      <c r="C580" s="52"/>
      <c r="D580" s="52"/>
      <c r="E580" s="52"/>
      <c r="F580" s="52"/>
      <c r="G580" s="52"/>
      <c r="H580" s="52"/>
      <c r="I580" s="52"/>
      <c r="J580" s="52"/>
      <c r="K580" s="52"/>
      <c r="L580" s="52"/>
      <c r="M580" s="52"/>
      <c r="N580" s="52"/>
      <c r="O580" s="52"/>
      <c r="P580" s="52"/>
      <c r="Q580" s="52"/>
      <c r="R580" s="52"/>
      <c r="S580" s="52"/>
      <c r="T580" s="52"/>
      <c r="U580" s="52"/>
      <c r="V580" s="52"/>
      <c r="W580" s="52"/>
      <c r="X580" s="52"/>
      <c r="Y580" s="52"/>
      <c r="Z580" s="52"/>
    </row>
    <row r="581">
      <c r="A581" s="59"/>
      <c r="B581" s="34"/>
      <c r="C581" s="52"/>
      <c r="D581" s="52"/>
      <c r="E581" s="52"/>
      <c r="F581" s="52"/>
      <c r="G581" s="52"/>
      <c r="H581" s="52"/>
      <c r="I581" s="52"/>
      <c r="J581" s="52"/>
      <c r="K581" s="52"/>
      <c r="L581" s="52"/>
      <c r="M581" s="52"/>
      <c r="N581" s="52"/>
      <c r="O581" s="52"/>
      <c r="P581" s="52"/>
      <c r="Q581" s="52"/>
      <c r="R581" s="52"/>
      <c r="S581" s="52"/>
      <c r="T581" s="52"/>
      <c r="U581" s="52"/>
      <c r="V581" s="52"/>
      <c r="W581" s="52"/>
      <c r="X581" s="52"/>
      <c r="Y581" s="52"/>
      <c r="Z581" s="52"/>
    </row>
    <row r="582">
      <c r="A582" s="59"/>
      <c r="B582" s="34"/>
      <c r="C582" s="52"/>
      <c r="D582" s="52"/>
      <c r="E582" s="52"/>
      <c r="F582" s="52"/>
      <c r="G582" s="52"/>
      <c r="H582" s="52"/>
      <c r="I582" s="52"/>
      <c r="J582" s="52"/>
      <c r="K582" s="52"/>
      <c r="L582" s="52"/>
      <c r="M582" s="52"/>
      <c r="N582" s="52"/>
      <c r="O582" s="52"/>
      <c r="P582" s="52"/>
      <c r="Q582" s="52"/>
      <c r="R582" s="52"/>
      <c r="S582" s="52"/>
      <c r="T582" s="52"/>
      <c r="U582" s="52"/>
      <c r="V582" s="52"/>
      <c r="W582" s="52"/>
      <c r="X582" s="52"/>
      <c r="Y582" s="52"/>
      <c r="Z582" s="52"/>
    </row>
    <row r="583">
      <c r="A583" s="59"/>
      <c r="B583" s="34"/>
      <c r="C583" s="52"/>
      <c r="D583" s="52"/>
      <c r="E583" s="52"/>
      <c r="F583" s="52"/>
      <c r="G583" s="52"/>
      <c r="H583" s="52"/>
      <c r="I583" s="52"/>
      <c r="J583" s="52"/>
      <c r="K583" s="52"/>
      <c r="L583" s="52"/>
      <c r="M583" s="52"/>
      <c r="N583" s="52"/>
      <c r="O583" s="52"/>
      <c r="P583" s="52"/>
      <c r="Q583" s="52"/>
      <c r="R583" s="52"/>
      <c r="S583" s="52"/>
      <c r="T583" s="52"/>
      <c r="U583" s="52"/>
      <c r="V583" s="52"/>
      <c r="W583" s="52"/>
      <c r="X583" s="52"/>
      <c r="Y583" s="52"/>
      <c r="Z583" s="52"/>
    </row>
    <row r="584">
      <c r="A584" s="59"/>
      <c r="B584" s="34"/>
      <c r="C584" s="52"/>
      <c r="D584" s="52"/>
      <c r="E584" s="52"/>
      <c r="F584" s="52"/>
      <c r="G584" s="52"/>
      <c r="H584" s="52"/>
      <c r="I584" s="52"/>
      <c r="J584" s="52"/>
      <c r="K584" s="52"/>
      <c r="L584" s="52"/>
      <c r="M584" s="52"/>
      <c r="N584" s="52"/>
      <c r="O584" s="52"/>
      <c r="P584" s="52"/>
      <c r="Q584" s="52"/>
      <c r="R584" s="52"/>
      <c r="S584" s="52"/>
      <c r="T584" s="52"/>
      <c r="U584" s="52"/>
      <c r="V584" s="52"/>
      <c r="W584" s="52"/>
      <c r="X584" s="52"/>
      <c r="Y584" s="52"/>
      <c r="Z584" s="52"/>
    </row>
    <row r="585">
      <c r="A585" s="59"/>
      <c r="B585" s="34"/>
      <c r="C585" s="52"/>
      <c r="D585" s="52"/>
      <c r="E585" s="52"/>
      <c r="F585" s="52"/>
      <c r="G585" s="52"/>
      <c r="H585" s="52"/>
      <c r="I585" s="52"/>
      <c r="J585" s="52"/>
      <c r="K585" s="52"/>
      <c r="L585" s="52"/>
      <c r="M585" s="52"/>
      <c r="N585" s="52"/>
      <c r="O585" s="52"/>
      <c r="P585" s="52"/>
      <c r="Q585" s="52"/>
      <c r="R585" s="52"/>
      <c r="S585" s="52"/>
      <c r="T585" s="52"/>
      <c r="U585" s="52"/>
      <c r="V585" s="52"/>
      <c r="W585" s="52"/>
      <c r="X585" s="52"/>
      <c r="Y585" s="52"/>
      <c r="Z585" s="52"/>
    </row>
    <row r="586">
      <c r="A586" s="59"/>
      <c r="B586" s="34"/>
      <c r="C586" s="52"/>
      <c r="D586" s="52"/>
      <c r="E586" s="52"/>
      <c r="F586" s="52"/>
      <c r="G586" s="52"/>
      <c r="H586" s="52"/>
      <c r="I586" s="52"/>
      <c r="J586" s="52"/>
      <c r="K586" s="52"/>
      <c r="L586" s="52"/>
      <c r="M586" s="52"/>
      <c r="N586" s="52"/>
      <c r="O586" s="52"/>
      <c r="P586" s="52"/>
      <c r="Q586" s="52"/>
      <c r="R586" s="52"/>
      <c r="S586" s="52"/>
      <c r="T586" s="52"/>
      <c r="U586" s="52"/>
      <c r="V586" s="52"/>
      <c r="W586" s="52"/>
      <c r="X586" s="52"/>
      <c r="Y586" s="52"/>
      <c r="Z586" s="52"/>
    </row>
    <row r="587">
      <c r="A587" s="59"/>
      <c r="B587" s="34"/>
      <c r="C587" s="52"/>
      <c r="D587" s="52"/>
      <c r="E587" s="52"/>
      <c r="F587" s="52"/>
      <c r="G587" s="52"/>
      <c r="H587" s="52"/>
      <c r="I587" s="52"/>
      <c r="J587" s="52"/>
      <c r="K587" s="52"/>
      <c r="L587" s="52"/>
      <c r="M587" s="52"/>
      <c r="N587" s="52"/>
      <c r="O587" s="52"/>
      <c r="P587" s="52"/>
      <c r="Q587" s="52"/>
      <c r="R587" s="52"/>
      <c r="S587" s="52"/>
      <c r="T587" s="52"/>
      <c r="U587" s="52"/>
      <c r="V587" s="52"/>
      <c r="W587" s="52"/>
      <c r="X587" s="52"/>
      <c r="Y587" s="52"/>
      <c r="Z587" s="52"/>
    </row>
    <row r="588">
      <c r="A588" s="59"/>
      <c r="B588" s="34"/>
      <c r="C588" s="52"/>
      <c r="D588" s="52"/>
      <c r="E588" s="52"/>
      <c r="F588" s="52"/>
      <c r="G588" s="52"/>
      <c r="H588" s="52"/>
      <c r="I588" s="52"/>
      <c r="J588" s="52"/>
      <c r="K588" s="52"/>
      <c r="L588" s="52"/>
      <c r="M588" s="52"/>
      <c r="N588" s="52"/>
      <c r="O588" s="52"/>
      <c r="P588" s="52"/>
      <c r="Q588" s="52"/>
      <c r="R588" s="52"/>
      <c r="S588" s="52"/>
      <c r="T588" s="52"/>
      <c r="U588" s="52"/>
      <c r="V588" s="52"/>
      <c r="W588" s="52"/>
      <c r="X588" s="52"/>
      <c r="Y588" s="52"/>
      <c r="Z588" s="52"/>
    </row>
    <row r="589">
      <c r="A589" s="59"/>
      <c r="B589" s="34"/>
      <c r="C589" s="52"/>
      <c r="D589" s="52"/>
      <c r="E589" s="52"/>
      <c r="F589" s="52"/>
      <c r="G589" s="52"/>
      <c r="H589" s="52"/>
      <c r="I589" s="52"/>
      <c r="J589" s="52"/>
      <c r="K589" s="52"/>
      <c r="L589" s="52"/>
      <c r="M589" s="52"/>
      <c r="N589" s="52"/>
      <c r="O589" s="52"/>
      <c r="P589" s="52"/>
      <c r="Q589" s="52"/>
      <c r="R589" s="52"/>
      <c r="S589" s="52"/>
      <c r="T589" s="52"/>
      <c r="U589" s="52"/>
      <c r="V589" s="52"/>
      <c r="W589" s="52"/>
      <c r="X589" s="52"/>
      <c r="Y589" s="52"/>
      <c r="Z589" s="52"/>
    </row>
    <row r="590">
      <c r="A590" s="59"/>
      <c r="B590" s="34"/>
      <c r="C590" s="52"/>
      <c r="D590" s="52"/>
      <c r="E590" s="52"/>
      <c r="F590" s="52"/>
      <c r="G590" s="52"/>
      <c r="H590" s="52"/>
      <c r="I590" s="52"/>
      <c r="J590" s="52"/>
      <c r="K590" s="52"/>
      <c r="L590" s="52"/>
      <c r="M590" s="52"/>
      <c r="N590" s="52"/>
      <c r="O590" s="52"/>
      <c r="P590" s="52"/>
      <c r="Q590" s="52"/>
      <c r="R590" s="52"/>
      <c r="S590" s="52"/>
      <c r="T590" s="52"/>
      <c r="U590" s="52"/>
      <c r="V590" s="52"/>
      <c r="W590" s="52"/>
      <c r="X590" s="52"/>
      <c r="Y590" s="52"/>
      <c r="Z590" s="52"/>
    </row>
    <row r="591">
      <c r="A591" s="59"/>
      <c r="B591" s="34"/>
      <c r="C591" s="52"/>
      <c r="D591" s="52"/>
      <c r="E591" s="52"/>
      <c r="F591" s="52"/>
      <c r="G591" s="52"/>
      <c r="H591" s="52"/>
      <c r="I591" s="52"/>
      <c r="J591" s="52"/>
      <c r="K591" s="52"/>
      <c r="L591" s="52"/>
      <c r="M591" s="52"/>
      <c r="N591" s="52"/>
      <c r="O591" s="52"/>
      <c r="P591" s="52"/>
      <c r="Q591" s="52"/>
      <c r="R591" s="52"/>
      <c r="S591" s="52"/>
      <c r="T591" s="52"/>
      <c r="U591" s="52"/>
      <c r="V591" s="52"/>
      <c r="W591" s="52"/>
      <c r="X591" s="52"/>
      <c r="Y591" s="52"/>
      <c r="Z591" s="52"/>
    </row>
    <row r="592">
      <c r="A592" s="59"/>
      <c r="B592" s="34"/>
      <c r="C592" s="52"/>
      <c r="D592" s="52"/>
      <c r="E592" s="52"/>
      <c r="F592" s="52"/>
      <c r="G592" s="52"/>
      <c r="H592" s="52"/>
      <c r="I592" s="52"/>
      <c r="J592" s="52"/>
      <c r="K592" s="52"/>
      <c r="L592" s="52"/>
      <c r="M592" s="52"/>
      <c r="N592" s="52"/>
      <c r="O592" s="52"/>
      <c r="P592" s="52"/>
      <c r="Q592" s="52"/>
      <c r="R592" s="52"/>
      <c r="S592" s="52"/>
      <c r="T592" s="52"/>
      <c r="U592" s="52"/>
      <c r="V592" s="52"/>
      <c r="W592" s="52"/>
      <c r="X592" s="52"/>
      <c r="Y592" s="52"/>
      <c r="Z592" s="52"/>
    </row>
    <row r="593">
      <c r="A593" s="59"/>
      <c r="B593" s="34"/>
      <c r="C593" s="52"/>
      <c r="D593" s="52"/>
      <c r="E593" s="52"/>
      <c r="F593" s="52"/>
      <c r="G593" s="52"/>
      <c r="H593" s="52"/>
      <c r="I593" s="52"/>
      <c r="J593" s="52"/>
      <c r="K593" s="52"/>
      <c r="L593" s="52"/>
      <c r="M593" s="52"/>
      <c r="N593" s="52"/>
      <c r="O593" s="52"/>
      <c r="P593" s="52"/>
      <c r="Q593" s="52"/>
      <c r="R593" s="52"/>
      <c r="S593" s="52"/>
      <c r="T593" s="52"/>
      <c r="U593" s="52"/>
      <c r="V593" s="52"/>
      <c r="W593" s="52"/>
      <c r="X593" s="52"/>
      <c r="Y593" s="52"/>
      <c r="Z593" s="52"/>
    </row>
    <row r="594">
      <c r="A594" s="59"/>
      <c r="B594" s="34"/>
      <c r="C594" s="52"/>
      <c r="D594" s="52"/>
      <c r="E594" s="52"/>
      <c r="F594" s="52"/>
      <c r="G594" s="52"/>
      <c r="H594" s="52"/>
      <c r="I594" s="52"/>
      <c r="J594" s="52"/>
      <c r="K594" s="52"/>
      <c r="L594" s="52"/>
      <c r="M594" s="52"/>
      <c r="N594" s="52"/>
      <c r="O594" s="52"/>
      <c r="P594" s="52"/>
      <c r="Q594" s="52"/>
      <c r="R594" s="52"/>
      <c r="S594" s="52"/>
      <c r="T594" s="52"/>
      <c r="U594" s="52"/>
      <c r="V594" s="52"/>
      <c r="W594" s="52"/>
      <c r="X594" s="52"/>
      <c r="Y594" s="52"/>
      <c r="Z594" s="52"/>
    </row>
    <row r="595">
      <c r="A595" s="59"/>
      <c r="B595" s="34"/>
      <c r="C595" s="52"/>
      <c r="D595" s="52"/>
      <c r="E595" s="52"/>
      <c r="F595" s="52"/>
      <c r="G595" s="52"/>
      <c r="H595" s="52"/>
      <c r="I595" s="52"/>
      <c r="J595" s="52"/>
      <c r="K595" s="52"/>
      <c r="L595" s="52"/>
      <c r="M595" s="52"/>
      <c r="N595" s="52"/>
      <c r="O595" s="52"/>
      <c r="P595" s="52"/>
      <c r="Q595" s="52"/>
      <c r="R595" s="52"/>
      <c r="S595" s="52"/>
      <c r="T595" s="52"/>
      <c r="U595" s="52"/>
      <c r="V595" s="52"/>
      <c r="W595" s="52"/>
      <c r="X595" s="52"/>
      <c r="Y595" s="52"/>
      <c r="Z595" s="52"/>
    </row>
    <row r="596">
      <c r="A596" s="59"/>
      <c r="B596" s="34"/>
      <c r="C596" s="52"/>
      <c r="D596" s="52"/>
      <c r="E596" s="52"/>
      <c r="F596" s="52"/>
      <c r="G596" s="52"/>
      <c r="H596" s="52"/>
      <c r="I596" s="52"/>
      <c r="J596" s="52"/>
      <c r="K596" s="52"/>
      <c r="L596" s="52"/>
      <c r="M596" s="52"/>
      <c r="N596" s="52"/>
      <c r="O596" s="52"/>
      <c r="P596" s="52"/>
      <c r="Q596" s="52"/>
      <c r="R596" s="52"/>
      <c r="S596" s="52"/>
      <c r="T596" s="52"/>
      <c r="U596" s="52"/>
      <c r="V596" s="52"/>
      <c r="W596" s="52"/>
      <c r="X596" s="52"/>
      <c r="Y596" s="52"/>
      <c r="Z596" s="52"/>
    </row>
    <row r="597">
      <c r="A597" s="59"/>
      <c r="B597" s="34"/>
      <c r="C597" s="52"/>
      <c r="D597" s="52"/>
      <c r="E597" s="52"/>
      <c r="F597" s="52"/>
      <c r="G597" s="52"/>
      <c r="H597" s="52"/>
      <c r="I597" s="52"/>
      <c r="J597" s="52"/>
      <c r="K597" s="52"/>
      <c r="L597" s="52"/>
      <c r="M597" s="52"/>
      <c r="N597" s="52"/>
      <c r="O597" s="52"/>
      <c r="P597" s="52"/>
      <c r="Q597" s="52"/>
      <c r="R597" s="52"/>
      <c r="S597" s="52"/>
      <c r="T597" s="52"/>
      <c r="U597" s="52"/>
      <c r="V597" s="52"/>
      <c r="W597" s="52"/>
      <c r="X597" s="52"/>
      <c r="Y597" s="52"/>
      <c r="Z597" s="52"/>
    </row>
    <row r="598">
      <c r="A598" s="59"/>
      <c r="B598" s="34"/>
      <c r="C598" s="52"/>
      <c r="D598" s="52"/>
      <c r="E598" s="52"/>
      <c r="F598" s="52"/>
      <c r="G598" s="52"/>
      <c r="H598" s="52"/>
      <c r="I598" s="52"/>
      <c r="J598" s="52"/>
      <c r="K598" s="52"/>
      <c r="L598" s="52"/>
      <c r="M598" s="52"/>
      <c r="N598" s="52"/>
      <c r="O598" s="52"/>
      <c r="P598" s="52"/>
      <c r="Q598" s="52"/>
      <c r="R598" s="52"/>
      <c r="S598" s="52"/>
      <c r="T598" s="52"/>
      <c r="U598" s="52"/>
      <c r="V598" s="52"/>
      <c r="W598" s="52"/>
      <c r="X598" s="52"/>
      <c r="Y598" s="52"/>
      <c r="Z598" s="52"/>
    </row>
    <row r="599">
      <c r="A599" s="59"/>
      <c r="B599" s="34"/>
      <c r="C599" s="52"/>
      <c r="D599" s="52"/>
      <c r="E599" s="52"/>
      <c r="F599" s="52"/>
      <c r="G599" s="52"/>
      <c r="H599" s="52"/>
      <c r="I599" s="52"/>
      <c r="J599" s="52"/>
      <c r="K599" s="52"/>
      <c r="L599" s="52"/>
      <c r="M599" s="52"/>
      <c r="N599" s="52"/>
      <c r="O599" s="52"/>
      <c r="P599" s="52"/>
      <c r="Q599" s="52"/>
      <c r="R599" s="52"/>
      <c r="S599" s="52"/>
      <c r="T599" s="52"/>
      <c r="U599" s="52"/>
      <c r="V599" s="52"/>
      <c r="W599" s="52"/>
      <c r="X599" s="52"/>
      <c r="Y599" s="52"/>
      <c r="Z599" s="52"/>
    </row>
    <row r="600">
      <c r="A600" s="59"/>
      <c r="B600" s="34"/>
      <c r="C600" s="52"/>
      <c r="D600" s="52"/>
      <c r="E600" s="52"/>
      <c r="F600" s="52"/>
      <c r="G600" s="52"/>
      <c r="H600" s="52"/>
      <c r="I600" s="52"/>
      <c r="J600" s="52"/>
      <c r="K600" s="52"/>
      <c r="L600" s="52"/>
      <c r="M600" s="52"/>
      <c r="N600" s="52"/>
      <c r="O600" s="52"/>
      <c r="P600" s="52"/>
      <c r="Q600" s="52"/>
      <c r="R600" s="52"/>
      <c r="S600" s="52"/>
      <c r="T600" s="52"/>
      <c r="U600" s="52"/>
      <c r="V600" s="52"/>
      <c r="W600" s="52"/>
      <c r="X600" s="52"/>
      <c r="Y600" s="52"/>
      <c r="Z600" s="52"/>
    </row>
    <row r="601">
      <c r="A601" s="59"/>
      <c r="B601" s="34"/>
      <c r="C601" s="52"/>
      <c r="D601" s="52"/>
      <c r="E601" s="52"/>
      <c r="F601" s="52"/>
      <c r="G601" s="52"/>
      <c r="H601" s="52"/>
      <c r="I601" s="52"/>
      <c r="J601" s="52"/>
      <c r="K601" s="52"/>
      <c r="L601" s="52"/>
      <c r="M601" s="52"/>
      <c r="N601" s="52"/>
      <c r="O601" s="52"/>
      <c r="P601" s="52"/>
      <c r="Q601" s="52"/>
      <c r="R601" s="52"/>
      <c r="S601" s="52"/>
      <c r="T601" s="52"/>
      <c r="U601" s="52"/>
      <c r="V601" s="52"/>
      <c r="W601" s="52"/>
      <c r="X601" s="52"/>
      <c r="Y601" s="52"/>
      <c r="Z601" s="52"/>
    </row>
    <row r="602">
      <c r="A602" s="59"/>
      <c r="B602" s="34"/>
      <c r="C602" s="52"/>
      <c r="D602" s="52"/>
      <c r="E602" s="52"/>
      <c r="F602" s="52"/>
      <c r="G602" s="52"/>
      <c r="H602" s="52"/>
      <c r="I602" s="52"/>
      <c r="J602" s="52"/>
      <c r="K602" s="52"/>
      <c r="L602" s="52"/>
      <c r="M602" s="52"/>
      <c r="N602" s="52"/>
      <c r="O602" s="52"/>
      <c r="P602" s="52"/>
      <c r="Q602" s="52"/>
      <c r="R602" s="52"/>
      <c r="S602" s="52"/>
      <c r="T602" s="52"/>
      <c r="U602" s="52"/>
      <c r="V602" s="52"/>
      <c r="W602" s="52"/>
      <c r="X602" s="52"/>
      <c r="Y602" s="52"/>
      <c r="Z602" s="52"/>
    </row>
    <row r="603">
      <c r="A603" s="59"/>
      <c r="B603" s="34"/>
      <c r="C603" s="52"/>
      <c r="D603" s="52"/>
      <c r="E603" s="52"/>
      <c r="F603" s="52"/>
      <c r="G603" s="52"/>
      <c r="H603" s="52"/>
      <c r="I603" s="52"/>
      <c r="J603" s="52"/>
      <c r="K603" s="52"/>
      <c r="L603" s="52"/>
      <c r="M603" s="52"/>
      <c r="N603" s="52"/>
      <c r="O603" s="52"/>
      <c r="P603" s="52"/>
      <c r="Q603" s="52"/>
      <c r="R603" s="52"/>
      <c r="S603" s="52"/>
      <c r="T603" s="52"/>
      <c r="U603" s="52"/>
      <c r="V603" s="52"/>
      <c r="W603" s="52"/>
      <c r="X603" s="52"/>
      <c r="Y603" s="52"/>
      <c r="Z603" s="52"/>
    </row>
    <row r="604">
      <c r="A604" s="59"/>
      <c r="B604" s="34"/>
      <c r="C604" s="52"/>
      <c r="D604" s="52"/>
      <c r="E604" s="52"/>
      <c r="F604" s="52"/>
      <c r="G604" s="52"/>
      <c r="H604" s="52"/>
      <c r="I604" s="52"/>
      <c r="J604" s="52"/>
      <c r="K604" s="52"/>
      <c r="L604" s="52"/>
      <c r="M604" s="52"/>
      <c r="N604" s="52"/>
      <c r="O604" s="52"/>
      <c r="P604" s="52"/>
      <c r="Q604" s="52"/>
      <c r="R604" s="52"/>
      <c r="S604" s="52"/>
      <c r="T604" s="52"/>
      <c r="U604" s="52"/>
      <c r="V604" s="52"/>
      <c r="W604" s="52"/>
      <c r="X604" s="52"/>
      <c r="Y604" s="52"/>
      <c r="Z604" s="52"/>
    </row>
    <row r="605">
      <c r="A605" s="59"/>
      <c r="B605" s="34"/>
      <c r="C605" s="52"/>
      <c r="D605" s="52"/>
      <c r="E605" s="52"/>
      <c r="F605" s="52"/>
      <c r="G605" s="52"/>
      <c r="H605" s="52"/>
      <c r="I605" s="52"/>
      <c r="J605" s="52"/>
      <c r="K605" s="52"/>
      <c r="L605" s="52"/>
      <c r="M605" s="52"/>
      <c r="N605" s="52"/>
      <c r="O605" s="52"/>
      <c r="P605" s="52"/>
      <c r="Q605" s="52"/>
      <c r="R605" s="52"/>
      <c r="S605" s="52"/>
      <c r="T605" s="52"/>
      <c r="U605" s="52"/>
      <c r="V605" s="52"/>
      <c r="W605" s="52"/>
      <c r="X605" s="52"/>
      <c r="Y605" s="52"/>
      <c r="Z605" s="52"/>
    </row>
    <row r="606">
      <c r="A606" s="59"/>
      <c r="B606" s="34"/>
      <c r="C606" s="52"/>
      <c r="D606" s="52"/>
      <c r="E606" s="52"/>
      <c r="F606" s="52"/>
      <c r="G606" s="52"/>
      <c r="H606" s="52"/>
      <c r="I606" s="52"/>
      <c r="J606" s="52"/>
      <c r="K606" s="52"/>
      <c r="L606" s="52"/>
      <c r="M606" s="52"/>
      <c r="N606" s="52"/>
      <c r="O606" s="52"/>
      <c r="P606" s="52"/>
      <c r="Q606" s="52"/>
      <c r="R606" s="52"/>
      <c r="S606" s="52"/>
      <c r="T606" s="52"/>
      <c r="U606" s="52"/>
      <c r="V606" s="52"/>
      <c r="W606" s="52"/>
      <c r="X606" s="52"/>
      <c r="Y606" s="52"/>
      <c r="Z606" s="52"/>
    </row>
    <row r="607">
      <c r="A607" s="59"/>
      <c r="B607" s="34"/>
      <c r="C607" s="52"/>
      <c r="D607" s="52"/>
      <c r="E607" s="52"/>
      <c r="F607" s="52"/>
      <c r="G607" s="52"/>
      <c r="H607" s="52"/>
      <c r="I607" s="52"/>
      <c r="J607" s="52"/>
      <c r="K607" s="52"/>
      <c r="L607" s="52"/>
      <c r="M607" s="52"/>
      <c r="N607" s="52"/>
      <c r="O607" s="52"/>
      <c r="P607" s="52"/>
      <c r="Q607" s="52"/>
      <c r="R607" s="52"/>
      <c r="S607" s="52"/>
      <c r="T607" s="52"/>
      <c r="U607" s="52"/>
      <c r="V607" s="52"/>
      <c r="W607" s="52"/>
      <c r="X607" s="52"/>
      <c r="Y607" s="52"/>
      <c r="Z607" s="52"/>
    </row>
    <row r="608">
      <c r="A608" s="59"/>
      <c r="B608" s="34"/>
      <c r="C608" s="52"/>
      <c r="D608" s="52"/>
      <c r="E608" s="52"/>
      <c r="F608" s="52"/>
      <c r="G608" s="52"/>
      <c r="H608" s="52"/>
      <c r="I608" s="52"/>
      <c r="J608" s="52"/>
      <c r="K608" s="52"/>
      <c r="L608" s="52"/>
      <c r="M608" s="52"/>
      <c r="N608" s="52"/>
      <c r="O608" s="52"/>
      <c r="P608" s="52"/>
      <c r="Q608" s="52"/>
      <c r="R608" s="52"/>
      <c r="S608" s="52"/>
      <c r="T608" s="52"/>
      <c r="U608" s="52"/>
      <c r="V608" s="52"/>
      <c r="W608" s="52"/>
      <c r="X608" s="52"/>
      <c r="Y608" s="52"/>
      <c r="Z608" s="52"/>
    </row>
    <row r="609">
      <c r="A609" s="59"/>
      <c r="B609" s="34"/>
      <c r="C609" s="52"/>
      <c r="D609" s="52"/>
      <c r="E609" s="52"/>
      <c r="F609" s="52"/>
      <c r="G609" s="52"/>
      <c r="H609" s="52"/>
      <c r="I609" s="52"/>
      <c r="J609" s="52"/>
      <c r="K609" s="52"/>
      <c r="L609" s="52"/>
      <c r="M609" s="52"/>
      <c r="N609" s="52"/>
      <c r="O609" s="52"/>
      <c r="P609" s="52"/>
      <c r="Q609" s="52"/>
      <c r="R609" s="52"/>
      <c r="S609" s="52"/>
      <c r="T609" s="52"/>
      <c r="U609" s="52"/>
      <c r="V609" s="52"/>
      <c r="W609" s="52"/>
      <c r="X609" s="52"/>
      <c r="Y609" s="52"/>
      <c r="Z609" s="52"/>
    </row>
    <row r="610">
      <c r="A610" s="59"/>
      <c r="B610" s="34"/>
      <c r="C610" s="52"/>
      <c r="D610" s="52"/>
      <c r="E610" s="52"/>
      <c r="F610" s="52"/>
      <c r="G610" s="52"/>
      <c r="H610" s="52"/>
      <c r="I610" s="52"/>
      <c r="J610" s="52"/>
      <c r="K610" s="52"/>
      <c r="L610" s="52"/>
      <c r="M610" s="52"/>
      <c r="N610" s="52"/>
      <c r="O610" s="52"/>
      <c r="P610" s="52"/>
      <c r="Q610" s="52"/>
      <c r="R610" s="52"/>
      <c r="S610" s="52"/>
      <c r="T610" s="52"/>
      <c r="U610" s="52"/>
      <c r="V610" s="52"/>
      <c r="W610" s="52"/>
      <c r="X610" s="52"/>
      <c r="Y610" s="52"/>
      <c r="Z610" s="52"/>
    </row>
    <row r="611">
      <c r="A611" s="59"/>
      <c r="B611" s="34"/>
      <c r="C611" s="52"/>
      <c r="D611" s="52"/>
      <c r="E611" s="52"/>
      <c r="F611" s="52"/>
      <c r="G611" s="52"/>
      <c r="H611" s="52"/>
      <c r="I611" s="52"/>
      <c r="J611" s="52"/>
      <c r="K611" s="52"/>
      <c r="L611" s="52"/>
      <c r="M611" s="52"/>
      <c r="N611" s="52"/>
      <c r="O611" s="52"/>
      <c r="P611" s="52"/>
      <c r="Q611" s="52"/>
      <c r="R611" s="52"/>
      <c r="S611" s="52"/>
      <c r="T611" s="52"/>
      <c r="U611" s="52"/>
      <c r="V611" s="52"/>
      <c r="W611" s="52"/>
      <c r="X611" s="52"/>
      <c r="Y611" s="52"/>
      <c r="Z611" s="52"/>
    </row>
    <row r="612">
      <c r="A612" s="59"/>
      <c r="B612" s="34"/>
      <c r="C612" s="52"/>
      <c r="D612" s="52"/>
      <c r="E612" s="52"/>
      <c r="F612" s="52"/>
      <c r="G612" s="52"/>
      <c r="H612" s="52"/>
      <c r="I612" s="52"/>
      <c r="J612" s="52"/>
      <c r="K612" s="52"/>
      <c r="L612" s="52"/>
      <c r="M612" s="52"/>
      <c r="N612" s="52"/>
      <c r="O612" s="52"/>
      <c r="P612" s="52"/>
      <c r="Q612" s="52"/>
      <c r="R612" s="52"/>
      <c r="S612" s="52"/>
      <c r="T612" s="52"/>
      <c r="U612" s="52"/>
      <c r="V612" s="52"/>
      <c r="W612" s="52"/>
      <c r="X612" s="52"/>
      <c r="Y612" s="52"/>
      <c r="Z612" s="52"/>
    </row>
    <row r="613">
      <c r="A613" s="59"/>
      <c r="B613" s="34"/>
      <c r="C613" s="52"/>
      <c r="D613" s="52"/>
      <c r="E613" s="52"/>
      <c r="F613" s="52"/>
      <c r="G613" s="52"/>
      <c r="H613" s="52"/>
      <c r="I613" s="52"/>
      <c r="J613" s="52"/>
      <c r="K613" s="52"/>
      <c r="L613" s="52"/>
      <c r="M613" s="52"/>
      <c r="N613" s="52"/>
      <c r="O613" s="52"/>
      <c r="P613" s="52"/>
      <c r="Q613" s="52"/>
      <c r="R613" s="52"/>
      <c r="S613" s="52"/>
      <c r="T613" s="52"/>
      <c r="U613" s="52"/>
      <c r="V613" s="52"/>
      <c r="W613" s="52"/>
      <c r="X613" s="52"/>
      <c r="Y613" s="52"/>
      <c r="Z613" s="52"/>
    </row>
    <row r="614">
      <c r="A614" s="59"/>
      <c r="B614" s="34"/>
      <c r="C614" s="52"/>
      <c r="D614" s="52"/>
      <c r="E614" s="52"/>
      <c r="F614" s="52"/>
      <c r="G614" s="52"/>
      <c r="H614" s="52"/>
      <c r="I614" s="52"/>
      <c r="J614" s="52"/>
      <c r="K614" s="52"/>
      <c r="L614" s="52"/>
      <c r="M614" s="52"/>
      <c r="N614" s="52"/>
      <c r="O614" s="52"/>
      <c r="P614" s="52"/>
      <c r="Q614" s="52"/>
      <c r="R614" s="52"/>
      <c r="S614" s="52"/>
      <c r="T614" s="52"/>
      <c r="U614" s="52"/>
      <c r="V614" s="52"/>
      <c r="W614" s="52"/>
      <c r="X614" s="52"/>
      <c r="Y614" s="52"/>
      <c r="Z614" s="52"/>
    </row>
    <row r="615">
      <c r="A615" s="59"/>
      <c r="B615" s="34"/>
      <c r="C615" s="52"/>
      <c r="D615" s="52"/>
      <c r="E615" s="52"/>
      <c r="F615" s="52"/>
      <c r="G615" s="52"/>
      <c r="H615" s="52"/>
      <c r="I615" s="52"/>
      <c r="J615" s="52"/>
      <c r="K615" s="52"/>
      <c r="L615" s="52"/>
      <c r="M615" s="52"/>
      <c r="N615" s="52"/>
      <c r="O615" s="52"/>
      <c r="P615" s="52"/>
      <c r="Q615" s="52"/>
      <c r="R615" s="52"/>
      <c r="S615" s="52"/>
      <c r="T615" s="52"/>
      <c r="U615" s="52"/>
      <c r="V615" s="52"/>
      <c r="W615" s="52"/>
      <c r="X615" s="52"/>
      <c r="Y615" s="52"/>
      <c r="Z615" s="52"/>
    </row>
    <row r="616">
      <c r="A616" s="59"/>
      <c r="B616" s="34"/>
      <c r="C616" s="52"/>
      <c r="D616" s="52"/>
      <c r="E616" s="52"/>
      <c r="F616" s="52"/>
      <c r="G616" s="52"/>
      <c r="H616" s="52"/>
      <c r="I616" s="52"/>
      <c r="J616" s="52"/>
      <c r="K616" s="52"/>
      <c r="L616" s="52"/>
      <c r="M616" s="52"/>
      <c r="N616" s="52"/>
      <c r="O616" s="52"/>
      <c r="P616" s="52"/>
      <c r="Q616" s="52"/>
      <c r="R616" s="52"/>
      <c r="S616" s="52"/>
      <c r="T616" s="52"/>
      <c r="U616" s="52"/>
      <c r="V616" s="52"/>
      <c r="W616" s="52"/>
      <c r="X616" s="52"/>
      <c r="Y616" s="52"/>
      <c r="Z616" s="52"/>
    </row>
    <row r="617">
      <c r="A617" s="59"/>
      <c r="B617" s="34"/>
      <c r="C617" s="52"/>
      <c r="D617" s="52"/>
      <c r="E617" s="52"/>
      <c r="F617" s="52"/>
      <c r="G617" s="52"/>
      <c r="H617" s="52"/>
      <c r="I617" s="52"/>
      <c r="J617" s="52"/>
      <c r="K617" s="52"/>
      <c r="L617" s="52"/>
      <c r="M617" s="52"/>
      <c r="N617" s="52"/>
      <c r="O617" s="52"/>
      <c r="P617" s="52"/>
      <c r="Q617" s="52"/>
      <c r="R617" s="52"/>
      <c r="S617" s="52"/>
      <c r="T617" s="52"/>
      <c r="U617" s="52"/>
      <c r="V617" s="52"/>
      <c r="W617" s="52"/>
      <c r="X617" s="52"/>
      <c r="Y617" s="52"/>
      <c r="Z617" s="52"/>
    </row>
    <row r="618">
      <c r="A618" s="59"/>
      <c r="B618" s="34"/>
      <c r="C618" s="52"/>
      <c r="D618" s="52"/>
      <c r="E618" s="52"/>
      <c r="F618" s="52"/>
      <c r="G618" s="52"/>
      <c r="H618" s="52"/>
      <c r="I618" s="52"/>
      <c r="J618" s="52"/>
      <c r="K618" s="52"/>
      <c r="L618" s="52"/>
      <c r="M618" s="52"/>
      <c r="N618" s="52"/>
      <c r="O618" s="52"/>
      <c r="P618" s="52"/>
      <c r="Q618" s="52"/>
      <c r="R618" s="52"/>
      <c r="S618" s="52"/>
      <c r="T618" s="52"/>
      <c r="U618" s="52"/>
      <c r="V618" s="52"/>
      <c r="W618" s="52"/>
      <c r="X618" s="52"/>
      <c r="Y618" s="52"/>
      <c r="Z618" s="52"/>
    </row>
    <row r="619">
      <c r="A619" s="59"/>
      <c r="B619" s="34"/>
      <c r="C619" s="52"/>
      <c r="D619" s="52"/>
      <c r="E619" s="52"/>
      <c r="F619" s="52"/>
      <c r="G619" s="52"/>
      <c r="H619" s="52"/>
      <c r="I619" s="52"/>
      <c r="J619" s="52"/>
      <c r="K619" s="52"/>
      <c r="L619" s="52"/>
      <c r="M619" s="52"/>
      <c r="N619" s="52"/>
      <c r="O619" s="52"/>
      <c r="P619" s="52"/>
      <c r="Q619" s="52"/>
      <c r="R619" s="52"/>
      <c r="S619" s="52"/>
      <c r="T619" s="52"/>
      <c r="U619" s="52"/>
      <c r="V619" s="52"/>
      <c r="W619" s="52"/>
      <c r="X619" s="52"/>
      <c r="Y619" s="52"/>
      <c r="Z619" s="52"/>
    </row>
    <row r="620">
      <c r="A620" s="59"/>
      <c r="B620" s="34"/>
      <c r="C620" s="52"/>
      <c r="D620" s="52"/>
      <c r="E620" s="52"/>
      <c r="F620" s="52"/>
      <c r="G620" s="52"/>
      <c r="H620" s="52"/>
      <c r="I620" s="52"/>
      <c r="J620" s="52"/>
      <c r="K620" s="52"/>
      <c r="L620" s="52"/>
      <c r="M620" s="52"/>
      <c r="N620" s="52"/>
      <c r="O620" s="52"/>
      <c r="P620" s="52"/>
      <c r="Q620" s="52"/>
      <c r="R620" s="52"/>
      <c r="S620" s="52"/>
      <c r="T620" s="52"/>
      <c r="U620" s="52"/>
      <c r="V620" s="52"/>
      <c r="W620" s="52"/>
      <c r="X620" s="52"/>
      <c r="Y620" s="52"/>
      <c r="Z620" s="52"/>
    </row>
    <row r="621">
      <c r="A621" s="59"/>
      <c r="B621" s="34"/>
      <c r="C621" s="52"/>
      <c r="D621" s="52"/>
      <c r="E621" s="52"/>
      <c r="F621" s="52"/>
      <c r="G621" s="52"/>
      <c r="H621" s="52"/>
      <c r="I621" s="52"/>
      <c r="J621" s="52"/>
      <c r="K621" s="52"/>
      <c r="L621" s="52"/>
      <c r="M621" s="52"/>
      <c r="N621" s="52"/>
      <c r="O621" s="52"/>
      <c r="P621" s="52"/>
      <c r="Q621" s="52"/>
      <c r="R621" s="52"/>
      <c r="S621" s="52"/>
      <c r="T621" s="52"/>
      <c r="U621" s="52"/>
      <c r="V621" s="52"/>
      <c r="W621" s="52"/>
      <c r="X621" s="52"/>
      <c r="Y621" s="52"/>
      <c r="Z621" s="52"/>
    </row>
    <row r="622">
      <c r="A622" s="59"/>
      <c r="B622" s="34"/>
      <c r="C622" s="52"/>
      <c r="D622" s="52"/>
      <c r="E622" s="52"/>
      <c r="F622" s="52"/>
      <c r="G622" s="52"/>
      <c r="H622" s="52"/>
      <c r="I622" s="52"/>
      <c r="J622" s="52"/>
      <c r="K622" s="52"/>
      <c r="L622" s="52"/>
      <c r="M622" s="52"/>
      <c r="N622" s="52"/>
      <c r="O622" s="52"/>
      <c r="P622" s="52"/>
      <c r="Q622" s="52"/>
      <c r="R622" s="52"/>
      <c r="S622" s="52"/>
      <c r="T622" s="52"/>
      <c r="U622" s="52"/>
      <c r="V622" s="52"/>
      <c r="W622" s="52"/>
      <c r="X622" s="52"/>
      <c r="Y622" s="52"/>
      <c r="Z622" s="52"/>
    </row>
    <row r="623">
      <c r="A623" s="59"/>
      <c r="B623" s="34"/>
      <c r="C623" s="52"/>
      <c r="D623" s="52"/>
      <c r="E623" s="52"/>
      <c r="F623" s="52"/>
      <c r="G623" s="52"/>
      <c r="H623" s="52"/>
      <c r="I623" s="52"/>
      <c r="J623" s="52"/>
      <c r="K623" s="52"/>
      <c r="L623" s="52"/>
      <c r="M623" s="52"/>
      <c r="N623" s="52"/>
      <c r="O623" s="52"/>
      <c r="P623" s="52"/>
      <c r="Q623" s="52"/>
      <c r="R623" s="52"/>
      <c r="S623" s="52"/>
      <c r="T623" s="52"/>
      <c r="U623" s="52"/>
      <c r="V623" s="52"/>
      <c r="W623" s="52"/>
      <c r="X623" s="52"/>
      <c r="Y623" s="52"/>
      <c r="Z623" s="52"/>
    </row>
    <row r="624">
      <c r="A624" s="59"/>
      <c r="B624" s="34"/>
      <c r="C624" s="52"/>
      <c r="D624" s="52"/>
      <c r="E624" s="52"/>
      <c r="F624" s="52"/>
      <c r="G624" s="52"/>
      <c r="H624" s="52"/>
      <c r="I624" s="52"/>
      <c r="J624" s="52"/>
      <c r="K624" s="52"/>
      <c r="L624" s="52"/>
      <c r="M624" s="52"/>
      <c r="N624" s="52"/>
      <c r="O624" s="52"/>
      <c r="P624" s="52"/>
      <c r="Q624" s="52"/>
      <c r="R624" s="52"/>
      <c r="S624" s="52"/>
      <c r="T624" s="52"/>
      <c r="U624" s="52"/>
      <c r="V624" s="52"/>
      <c r="W624" s="52"/>
      <c r="X624" s="52"/>
      <c r="Y624" s="52"/>
      <c r="Z624" s="52"/>
    </row>
    <row r="625">
      <c r="A625" s="59"/>
      <c r="B625" s="34"/>
      <c r="C625" s="52"/>
      <c r="D625" s="52"/>
      <c r="E625" s="52"/>
      <c r="F625" s="52"/>
      <c r="G625" s="52"/>
      <c r="H625" s="52"/>
      <c r="I625" s="52"/>
      <c r="J625" s="52"/>
      <c r="K625" s="52"/>
      <c r="L625" s="52"/>
      <c r="M625" s="52"/>
      <c r="N625" s="52"/>
      <c r="O625" s="52"/>
      <c r="P625" s="52"/>
      <c r="Q625" s="52"/>
      <c r="R625" s="52"/>
      <c r="S625" s="52"/>
      <c r="T625" s="52"/>
      <c r="U625" s="52"/>
      <c r="V625" s="52"/>
      <c r="W625" s="52"/>
      <c r="X625" s="52"/>
      <c r="Y625" s="52"/>
      <c r="Z625" s="52"/>
    </row>
    <row r="626">
      <c r="A626" s="59"/>
      <c r="B626" s="34"/>
      <c r="C626" s="52"/>
      <c r="D626" s="52"/>
      <c r="E626" s="52"/>
      <c r="F626" s="52"/>
      <c r="G626" s="52"/>
      <c r="H626" s="52"/>
      <c r="I626" s="52"/>
      <c r="J626" s="52"/>
      <c r="K626" s="52"/>
      <c r="L626" s="52"/>
      <c r="M626" s="52"/>
      <c r="N626" s="52"/>
      <c r="O626" s="52"/>
      <c r="P626" s="52"/>
      <c r="Q626" s="52"/>
      <c r="R626" s="52"/>
      <c r="S626" s="52"/>
      <c r="T626" s="52"/>
      <c r="U626" s="52"/>
      <c r="V626" s="52"/>
      <c r="W626" s="52"/>
      <c r="X626" s="52"/>
      <c r="Y626" s="52"/>
      <c r="Z626" s="52"/>
    </row>
    <row r="627">
      <c r="A627" s="59"/>
      <c r="B627" s="34"/>
      <c r="C627" s="52"/>
      <c r="D627" s="52"/>
      <c r="E627" s="52"/>
      <c r="F627" s="52"/>
      <c r="G627" s="52"/>
      <c r="H627" s="52"/>
      <c r="I627" s="52"/>
      <c r="J627" s="52"/>
      <c r="K627" s="52"/>
      <c r="L627" s="52"/>
      <c r="M627" s="52"/>
      <c r="N627" s="52"/>
      <c r="O627" s="52"/>
      <c r="P627" s="52"/>
      <c r="Q627" s="52"/>
      <c r="R627" s="52"/>
      <c r="S627" s="52"/>
      <c r="T627" s="52"/>
      <c r="U627" s="52"/>
      <c r="V627" s="52"/>
      <c r="W627" s="52"/>
      <c r="X627" s="52"/>
      <c r="Y627" s="52"/>
      <c r="Z627" s="52"/>
    </row>
    <row r="628">
      <c r="A628" s="59"/>
      <c r="B628" s="34"/>
      <c r="C628" s="52"/>
      <c r="D628" s="52"/>
      <c r="E628" s="52"/>
      <c r="F628" s="52"/>
      <c r="G628" s="52"/>
      <c r="H628" s="52"/>
      <c r="I628" s="52"/>
      <c r="J628" s="52"/>
      <c r="K628" s="52"/>
      <c r="L628" s="52"/>
      <c r="M628" s="52"/>
      <c r="N628" s="52"/>
      <c r="O628" s="52"/>
      <c r="P628" s="52"/>
      <c r="Q628" s="52"/>
      <c r="R628" s="52"/>
      <c r="S628" s="52"/>
      <c r="T628" s="52"/>
      <c r="U628" s="52"/>
      <c r="V628" s="52"/>
      <c r="W628" s="52"/>
      <c r="X628" s="52"/>
      <c r="Y628" s="52"/>
      <c r="Z628" s="52"/>
    </row>
    <row r="629">
      <c r="A629" s="59"/>
      <c r="B629" s="34"/>
      <c r="C629" s="52"/>
      <c r="D629" s="52"/>
      <c r="E629" s="52"/>
      <c r="F629" s="52"/>
      <c r="G629" s="52"/>
      <c r="H629" s="52"/>
      <c r="I629" s="52"/>
      <c r="J629" s="52"/>
      <c r="K629" s="52"/>
      <c r="L629" s="52"/>
      <c r="M629" s="52"/>
      <c r="N629" s="52"/>
      <c r="O629" s="52"/>
      <c r="P629" s="52"/>
      <c r="Q629" s="52"/>
      <c r="R629" s="52"/>
      <c r="S629" s="52"/>
      <c r="T629" s="52"/>
      <c r="U629" s="52"/>
      <c r="V629" s="52"/>
      <c r="W629" s="52"/>
      <c r="X629" s="52"/>
      <c r="Y629" s="52"/>
      <c r="Z629" s="52"/>
    </row>
    <row r="630">
      <c r="A630" s="59"/>
      <c r="B630" s="34"/>
      <c r="C630" s="52"/>
      <c r="D630" s="52"/>
      <c r="E630" s="52"/>
      <c r="F630" s="52"/>
      <c r="G630" s="52"/>
      <c r="H630" s="52"/>
      <c r="I630" s="52"/>
      <c r="J630" s="52"/>
      <c r="K630" s="52"/>
      <c r="L630" s="52"/>
      <c r="M630" s="52"/>
      <c r="N630" s="52"/>
      <c r="O630" s="52"/>
      <c r="P630" s="52"/>
      <c r="Q630" s="52"/>
      <c r="R630" s="52"/>
      <c r="S630" s="52"/>
      <c r="T630" s="52"/>
      <c r="U630" s="52"/>
      <c r="V630" s="52"/>
      <c r="W630" s="52"/>
      <c r="X630" s="52"/>
      <c r="Y630" s="52"/>
      <c r="Z630" s="52"/>
    </row>
    <row r="631">
      <c r="A631" s="59"/>
      <c r="B631" s="34"/>
      <c r="C631" s="52"/>
      <c r="D631" s="52"/>
      <c r="E631" s="52"/>
      <c r="F631" s="52"/>
      <c r="G631" s="52"/>
      <c r="H631" s="52"/>
      <c r="I631" s="52"/>
      <c r="J631" s="52"/>
      <c r="K631" s="52"/>
      <c r="L631" s="52"/>
      <c r="M631" s="52"/>
      <c r="N631" s="52"/>
      <c r="O631" s="52"/>
      <c r="P631" s="52"/>
      <c r="Q631" s="52"/>
      <c r="R631" s="52"/>
      <c r="S631" s="52"/>
      <c r="T631" s="52"/>
      <c r="U631" s="52"/>
      <c r="V631" s="52"/>
      <c r="W631" s="52"/>
      <c r="X631" s="52"/>
      <c r="Y631" s="52"/>
      <c r="Z631" s="52"/>
    </row>
    <row r="632">
      <c r="A632" s="59"/>
      <c r="B632" s="34"/>
      <c r="C632" s="52"/>
      <c r="D632" s="52"/>
      <c r="E632" s="52"/>
      <c r="F632" s="52"/>
      <c r="G632" s="52"/>
      <c r="H632" s="52"/>
      <c r="I632" s="52"/>
      <c r="J632" s="52"/>
      <c r="K632" s="52"/>
      <c r="L632" s="52"/>
      <c r="M632" s="52"/>
      <c r="N632" s="52"/>
      <c r="O632" s="52"/>
      <c r="P632" s="52"/>
      <c r="Q632" s="52"/>
      <c r="R632" s="52"/>
      <c r="S632" s="52"/>
      <c r="T632" s="52"/>
      <c r="U632" s="52"/>
      <c r="V632" s="52"/>
      <c r="W632" s="52"/>
      <c r="X632" s="52"/>
      <c r="Y632" s="52"/>
      <c r="Z632" s="52"/>
    </row>
    <row r="633">
      <c r="A633" s="59"/>
      <c r="B633" s="34"/>
      <c r="C633" s="52"/>
      <c r="D633" s="52"/>
      <c r="E633" s="52"/>
      <c r="F633" s="52"/>
      <c r="G633" s="52"/>
      <c r="H633" s="52"/>
      <c r="I633" s="52"/>
      <c r="J633" s="52"/>
      <c r="K633" s="52"/>
      <c r="L633" s="52"/>
      <c r="M633" s="52"/>
      <c r="N633" s="52"/>
      <c r="O633" s="52"/>
      <c r="P633" s="52"/>
      <c r="Q633" s="52"/>
      <c r="R633" s="52"/>
      <c r="S633" s="52"/>
      <c r="T633" s="52"/>
      <c r="U633" s="52"/>
      <c r="V633" s="52"/>
      <c r="W633" s="52"/>
      <c r="X633" s="52"/>
      <c r="Y633" s="52"/>
      <c r="Z633" s="52"/>
    </row>
    <row r="634">
      <c r="A634" s="59"/>
      <c r="B634" s="34"/>
      <c r="C634" s="52"/>
      <c r="D634" s="52"/>
      <c r="E634" s="52"/>
      <c r="F634" s="52"/>
      <c r="G634" s="52"/>
      <c r="H634" s="52"/>
      <c r="I634" s="52"/>
      <c r="J634" s="52"/>
      <c r="K634" s="52"/>
      <c r="L634" s="52"/>
      <c r="M634" s="52"/>
      <c r="N634" s="52"/>
      <c r="O634" s="52"/>
      <c r="P634" s="52"/>
      <c r="Q634" s="52"/>
      <c r="R634" s="52"/>
      <c r="S634" s="52"/>
      <c r="T634" s="52"/>
      <c r="U634" s="52"/>
      <c r="V634" s="52"/>
      <c r="W634" s="52"/>
      <c r="X634" s="52"/>
      <c r="Y634" s="52"/>
      <c r="Z634" s="52"/>
    </row>
    <row r="635">
      <c r="A635" s="59"/>
      <c r="B635" s="34"/>
      <c r="C635" s="52"/>
      <c r="D635" s="52"/>
      <c r="E635" s="52"/>
      <c r="F635" s="52"/>
      <c r="G635" s="52"/>
      <c r="H635" s="52"/>
      <c r="I635" s="52"/>
      <c r="J635" s="52"/>
      <c r="K635" s="52"/>
      <c r="L635" s="52"/>
      <c r="M635" s="52"/>
      <c r="N635" s="52"/>
      <c r="O635" s="52"/>
      <c r="P635" s="52"/>
      <c r="Q635" s="52"/>
      <c r="R635" s="52"/>
      <c r="S635" s="52"/>
      <c r="T635" s="52"/>
      <c r="U635" s="52"/>
      <c r="V635" s="52"/>
      <c r="W635" s="52"/>
      <c r="X635" s="52"/>
      <c r="Y635" s="52"/>
      <c r="Z635" s="52"/>
    </row>
    <row r="636">
      <c r="A636" s="59"/>
      <c r="B636" s="34"/>
      <c r="C636" s="52"/>
      <c r="D636" s="52"/>
      <c r="E636" s="52"/>
      <c r="F636" s="52"/>
      <c r="G636" s="52"/>
      <c r="H636" s="52"/>
      <c r="I636" s="52"/>
      <c r="J636" s="52"/>
      <c r="K636" s="52"/>
      <c r="L636" s="52"/>
      <c r="M636" s="52"/>
      <c r="N636" s="52"/>
      <c r="O636" s="52"/>
      <c r="P636" s="52"/>
      <c r="Q636" s="52"/>
      <c r="R636" s="52"/>
      <c r="S636" s="52"/>
      <c r="T636" s="52"/>
      <c r="U636" s="52"/>
      <c r="V636" s="52"/>
      <c r="W636" s="52"/>
      <c r="X636" s="52"/>
      <c r="Y636" s="52"/>
      <c r="Z636" s="52"/>
    </row>
    <row r="637">
      <c r="A637" s="59"/>
      <c r="B637" s="34"/>
      <c r="C637" s="52"/>
      <c r="D637" s="52"/>
      <c r="E637" s="52"/>
      <c r="F637" s="52"/>
      <c r="G637" s="52"/>
      <c r="H637" s="52"/>
      <c r="I637" s="52"/>
      <c r="J637" s="52"/>
      <c r="K637" s="52"/>
      <c r="L637" s="52"/>
      <c r="M637" s="52"/>
      <c r="N637" s="52"/>
      <c r="O637" s="52"/>
      <c r="P637" s="52"/>
      <c r="Q637" s="52"/>
      <c r="R637" s="52"/>
      <c r="S637" s="52"/>
      <c r="T637" s="52"/>
      <c r="U637" s="52"/>
      <c r="V637" s="52"/>
      <c r="W637" s="52"/>
      <c r="X637" s="52"/>
      <c r="Y637" s="52"/>
      <c r="Z637" s="52"/>
    </row>
    <row r="638">
      <c r="A638" s="59"/>
      <c r="B638" s="34"/>
      <c r="C638" s="52"/>
      <c r="D638" s="52"/>
      <c r="E638" s="52"/>
      <c r="F638" s="52"/>
      <c r="G638" s="52"/>
      <c r="H638" s="52"/>
      <c r="I638" s="52"/>
      <c r="J638" s="52"/>
      <c r="K638" s="52"/>
      <c r="L638" s="52"/>
      <c r="M638" s="52"/>
      <c r="N638" s="52"/>
      <c r="O638" s="52"/>
      <c r="P638" s="52"/>
      <c r="Q638" s="52"/>
      <c r="R638" s="52"/>
      <c r="S638" s="52"/>
      <c r="T638" s="52"/>
      <c r="U638" s="52"/>
      <c r="V638" s="52"/>
      <c r="W638" s="52"/>
      <c r="X638" s="52"/>
      <c r="Y638" s="52"/>
      <c r="Z638" s="52"/>
    </row>
    <row r="639">
      <c r="A639" s="59"/>
      <c r="B639" s="34"/>
      <c r="C639" s="52"/>
      <c r="D639" s="52"/>
      <c r="E639" s="52"/>
      <c r="F639" s="52"/>
      <c r="G639" s="52"/>
      <c r="H639" s="52"/>
      <c r="I639" s="52"/>
      <c r="J639" s="52"/>
      <c r="K639" s="52"/>
      <c r="L639" s="52"/>
      <c r="M639" s="52"/>
      <c r="N639" s="52"/>
      <c r="O639" s="52"/>
      <c r="P639" s="52"/>
      <c r="Q639" s="52"/>
      <c r="R639" s="52"/>
      <c r="S639" s="52"/>
      <c r="T639" s="52"/>
      <c r="U639" s="52"/>
      <c r="V639" s="52"/>
      <c r="W639" s="52"/>
      <c r="X639" s="52"/>
      <c r="Y639" s="52"/>
      <c r="Z639" s="52"/>
    </row>
    <row r="640">
      <c r="A640" s="59"/>
      <c r="B640" s="34"/>
      <c r="C640" s="52"/>
      <c r="D640" s="52"/>
      <c r="E640" s="52"/>
      <c r="F640" s="52"/>
      <c r="G640" s="52"/>
      <c r="H640" s="52"/>
      <c r="I640" s="52"/>
      <c r="J640" s="52"/>
      <c r="K640" s="52"/>
      <c r="L640" s="52"/>
      <c r="M640" s="52"/>
      <c r="N640" s="52"/>
      <c r="O640" s="52"/>
      <c r="P640" s="52"/>
      <c r="Q640" s="52"/>
      <c r="R640" s="52"/>
      <c r="S640" s="52"/>
      <c r="T640" s="52"/>
      <c r="U640" s="52"/>
      <c r="V640" s="52"/>
      <c r="W640" s="52"/>
      <c r="X640" s="52"/>
      <c r="Y640" s="52"/>
      <c r="Z640" s="52"/>
    </row>
    <row r="641">
      <c r="A641" s="59"/>
      <c r="B641" s="34"/>
      <c r="C641" s="52"/>
      <c r="D641" s="52"/>
      <c r="E641" s="52"/>
      <c r="F641" s="52"/>
      <c r="G641" s="52"/>
      <c r="H641" s="52"/>
      <c r="I641" s="52"/>
      <c r="J641" s="52"/>
      <c r="K641" s="52"/>
      <c r="L641" s="52"/>
      <c r="M641" s="52"/>
      <c r="N641" s="52"/>
      <c r="O641" s="52"/>
      <c r="P641" s="52"/>
      <c r="Q641" s="52"/>
      <c r="R641" s="52"/>
      <c r="S641" s="52"/>
      <c r="T641" s="52"/>
      <c r="U641" s="52"/>
      <c r="V641" s="52"/>
      <c r="W641" s="52"/>
      <c r="X641" s="52"/>
      <c r="Y641" s="52"/>
      <c r="Z641" s="52"/>
    </row>
    <row r="642">
      <c r="A642" s="59"/>
      <c r="B642" s="34"/>
      <c r="C642" s="52"/>
      <c r="D642" s="52"/>
      <c r="E642" s="52"/>
      <c r="F642" s="52"/>
      <c r="G642" s="52"/>
      <c r="H642" s="52"/>
      <c r="I642" s="52"/>
      <c r="J642" s="52"/>
      <c r="K642" s="52"/>
      <c r="L642" s="52"/>
      <c r="M642" s="52"/>
      <c r="N642" s="52"/>
      <c r="O642" s="52"/>
      <c r="P642" s="52"/>
      <c r="Q642" s="52"/>
      <c r="R642" s="52"/>
      <c r="S642" s="52"/>
      <c r="T642" s="52"/>
      <c r="U642" s="52"/>
      <c r="V642" s="52"/>
      <c r="W642" s="52"/>
      <c r="X642" s="52"/>
      <c r="Y642" s="52"/>
      <c r="Z642" s="52"/>
    </row>
    <row r="643">
      <c r="A643" s="59"/>
      <c r="B643" s="34"/>
      <c r="C643" s="52"/>
      <c r="D643" s="52"/>
      <c r="E643" s="52"/>
      <c r="F643" s="52"/>
      <c r="G643" s="52"/>
      <c r="H643" s="52"/>
      <c r="I643" s="52"/>
      <c r="J643" s="52"/>
      <c r="K643" s="52"/>
      <c r="L643" s="52"/>
      <c r="M643" s="52"/>
      <c r="N643" s="52"/>
      <c r="O643" s="52"/>
      <c r="P643" s="52"/>
      <c r="Q643" s="52"/>
      <c r="R643" s="52"/>
      <c r="S643" s="52"/>
      <c r="T643" s="52"/>
      <c r="U643" s="52"/>
      <c r="V643" s="52"/>
      <c r="W643" s="52"/>
      <c r="X643" s="52"/>
      <c r="Y643" s="52"/>
      <c r="Z643" s="52"/>
    </row>
    <row r="644">
      <c r="A644" s="59"/>
      <c r="B644" s="34"/>
      <c r="C644" s="52"/>
      <c r="D644" s="52"/>
      <c r="E644" s="52"/>
      <c r="F644" s="52"/>
      <c r="G644" s="52"/>
      <c r="H644" s="52"/>
      <c r="I644" s="52"/>
      <c r="J644" s="52"/>
      <c r="K644" s="52"/>
      <c r="L644" s="52"/>
      <c r="M644" s="52"/>
      <c r="N644" s="52"/>
      <c r="O644" s="52"/>
      <c r="P644" s="52"/>
      <c r="Q644" s="52"/>
      <c r="R644" s="52"/>
      <c r="S644" s="52"/>
      <c r="T644" s="52"/>
      <c r="U644" s="52"/>
      <c r="V644" s="52"/>
      <c r="W644" s="52"/>
      <c r="X644" s="52"/>
      <c r="Y644" s="52"/>
      <c r="Z644" s="52"/>
    </row>
    <row r="645">
      <c r="A645" s="59"/>
      <c r="B645" s="34"/>
      <c r="C645" s="52"/>
      <c r="D645" s="52"/>
      <c r="E645" s="52"/>
      <c r="F645" s="52"/>
      <c r="G645" s="52"/>
      <c r="H645" s="52"/>
      <c r="I645" s="52"/>
      <c r="J645" s="52"/>
      <c r="K645" s="52"/>
      <c r="L645" s="52"/>
      <c r="M645" s="52"/>
      <c r="N645" s="52"/>
      <c r="O645" s="52"/>
      <c r="P645" s="52"/>
      <c r="Q645" s="52"/>
      <c r="R645" s="52"/>
      <c r="S645" s="52"/>
      <c r="T645" s="52"/>
      <c r="U645" s="52"/>
      <c r="V645" s="52"/>
      <c r="W645" s="52"/>
      <c r="X645" s="52"/>
      <c r="Y645" s="52"/>
      <c r="Z645" s="52"/>
    </row>
    <row r="646">
      <c r="A646" s="59"/>
      <c r="B646" s="34"/>
      <c r="C646" s="52"/>
      <c r="D646" s="52"/>
      <c r="E646" s="52"/>
      <c r="F646" s="52"/>
      <c r="G646" s="52"/>
      <c r="H646" s="52"/>
      <c r="I646" s="52"/>
      <c r="J646" s="52"/>
      <c r="K646" s="52"/>
      <c r="L646" s="52"/>
      <c r="M646" s="52"/>
      <c r="N646" s="52"/>
      <c r="O646" s="52"/>
      <c r="P646" s="52"/>
      <c r="Q646" s="52"/>
      <c r="R646" s="52"/>
      <c r="S646" s="52"/>
      <c r="T646" s="52"/>
      <c r="U646" s="52"/>
      <c r="V646" s="52"/>
      <c r="W646" s="52"/>
      <c r="X646" s="52"/>
      <c r="Y646" s="52"/>
      <c r="Z646" s="52"/>
    </row>
    <row r="647">
      <c r="A647" s="59"/>
      <c r="B647" s="34"/>
      <c r="C647" s="52"/>
      <c r="D647" s="52"/>
      <c r="E647" s="52"/>
      <c r="F647" s="52"/>
      <c r="G647" s="52"/>
      <c r="H647" s="52"/>
      <c r="I647" s="52"/>
      <c r="J647" s="52"/>
      <c r="K647" s="52"/>
      <c r="L647" s="52"/>
      <c r="M647" s="52"/>
      <c r="N647" s="52"/>
      <c r="O647" s="52"/>
      <c r="P647" s="52"/>
      <c r="Q647" s="52"/>
      <c r="R647" s="52"/>
      <c r="S647" s="52"/>
      <c r="T647" s="52"/>
      <c r="U647" s="52"/>
      <c r="V647" s="52"/>
      <c r="W647" s="52"/>
      <c r="X647" s="52"/>
      <c r="Y647" s="52"/>
      <c r="Z647" s="52"/>
    </row>
    <row r="648">
      <c r="A648" s="59"/>
      <c r="B648" s="34"/>
      <c r="C648" s="52"/>
      <c r="D648" s="52"/>
      <c r="E648" s="52"/>
      <c r="F648" s="52"/>
      <c r="G648" s="52"/>
      <c r="H648" s="52"/>
      <c r="I648" s="52"/>
      <c r="J648" s="52"/>
      <c r="K648" s="52"/>
      <c r="L648" s="52"/>
      <c r="M648" s="52"/>
      <c r="N648" s="52"/>
      <c r="O648" s="52"/>
      <c r="P648" s="52"/>
      <c r="Q648" s="52"/>
      <c r="R648" s="52"/>
      <c r="S648" s="52"/>
      <c r="T648" s="52"/>
      <c r="U648" s="52"/>
      <c r="V648" s="52"/>
      <c r="W648" s="52"/>
      <c r="X648" s="52"/>
      <c r="Y648" s="52"/>
      <c r="Z648" s="52"/>
    </row>
    <row r="649">
      <c r="A649" s="59"/>
      <c r="B649" s="34"/>
      <c r="C649" s="52"/>
      <c r="D649" s="52"/>
      <c r="E649" s="52"/>
      <c r="F649" s="52"/>
      <c r="G649" s="52"/>
      <c r="H649" s="52"/>
      <c r="I649" s="52"/>
      <c r="J649" s="52"/>
      <c r="K649" s="52"/>
      <c r="L649" s="52"/>
      <c r="M649" s="52"/>
      <c r="N649" s="52"/>
      <c r="O649" s="52"/>
      <c r="P649" s="52"/>
      <c r="Q649" s="52"/>
      <c r="R649" s="52"/>
      <c r="S649" s="52"/>
      <c r="T649" s="52"/>
      <c r="U649" s="52"/>
      <c r="V649" s="52"/>
      <c r="W649" s="52"/>
      <c r="X649" s="52"/>
      <c r="Y649" s="52"/>
      <c r="Z649" s="52"/>
    </row>
    <row r="650">
      <c r="A650" s="59"/>
      <c r="B650" s="34"/>
      <c r="C650" s="52"/>
      <c r="D650" s="52"/>
      <c r="E650" s="52"/>
      <c r="F650" s="52"/>
      <c r="G650" s="52"/>
      <c r="H650" s="52"/>
      <c r="I650" s="52"/>
      <c r="J650" s="52"/>
      <c r="K650" s="52"/>
      <c r="L650" s="52"/>
      <c r="M650" s="52"/>
      <c r="N650" s="52"/>
      <c r="O650" s="52"/>
      <c r="P650" s="52"/>
      <c r="Q650" s="52"/>
      <c r="R650" s="52"/>
      <c r="S650" s="52"/>
      <c r="T650" s="52"/>
      <c r="U650" s="52"/>
      <c r="V650" s="52"/>
      <c r="W650" s="52"/>
      <c r="X650" s="52"/>
      <c r="Y650" s="52"/>
      <c r="Z650" s="52"/>
    </row>
    <row r="651">
      <c r="A651" s="59"/>
      <c r="B651" s="34"/>
      <c r="C651" s="52"/>
      <c r="D651" s="52"/>
      <c r="E651" s="52"/>
      <c r="F651" s="52"/>
      <c r="G651" s="52"/>
      <c r="H651" s="52"/>
      <c r="I651" s="52"/>
      <c r="J651" s="52"/>
      <c r="K651" s="52"/>
      <c r="L651" s="52"/>
      <c r="M651" s="52"/>
      <c r="N651" s="52"/>
      <c r="O651" s="52"/>
      <c r="P651" s="52"/>
      <c r="Q651" s="52"/>
      <c r="R651" s="52"/>
      <c r="S651" s="52"/>
      <c r="T651" s="52"/>
      <c r="U651" s="52"/>
      <c r="V651" s="52"/>
      <c r="W651" s="52"/>
      <c r="X651" s="52"/>
      <c r="Y651" s="52"/>
      <c r="Z651" s="52"/>
    </row>
    <row r="652">
      <c r="A652" s="59"/>
      <c r="B652" s="34"/>
      <c r="C652" s="52"/>
      <c r="D652" s="52"/>
      <c r="E652" s="52"/>
      <c r="F652" s="52"/>
      <c r="G652" s="52"/>
      <c r="H652" s="52"/>
      <c r="I652" s="52"/>
      <c r="J652" s="52"/>
      <c r="K652" s="52"/>
      <c r="L652" s="52"/>
      <c r="M652" s="52"/>
      <c r="N652" s="52"/>
      <c r="O652" s="52"/>
      <c r="P652" s="52"/>
      <c r="Q652" s="52"/>
      <c r="R652" s="52"/>
      <c r="S652" s="52"/>
      <c r="T652" s="52"/>
      <c r="U652" s="52"/>
      <c r="V652" s="52"/>
      <c r="W652" s="52"/>
      <c r="X652" s="52"/>
      <c r="Y652" s="52"/>
      <c r="Z652" s="52"/>
    </row>
    <row r="653">
      <c r="A653" s="59"/>
      <c r="B653" s="34"/>
      <c r="C653" s="52"/>
      <c r="D653" s="52"/>
      <c r="E653" s="52"/>
      <c r="F653" s="52"/>
      <c r="G653" s="52"/>
      <c r="H653" s="52"/>
      <c r="I653" s="52"/>
      <c r="J653" s="52"/>
      <c r="K653" s="52"/>
      <c r="L653" s="52"/>
      <c r="M653" s="52"/>
      <c r="N653" s="52"/>
      <c r="O653" s="52"/>
      <c r="P653" s="52"/>
      <c r="Q653" s="52"/>
      <c r="R653" s="52"/>
      <c r="S653" s="52"/>
      <c r="T653" s="52"/>
      <c r="U653" s="52"/>
      <c r="V653" s="52"/>
      <c r="W653" s="52"/>
      <c r="X653" s="52"/>
      <c r="Y653" s="52"/>
      <c r="Z653" s="52"/>
    </row>
    <row r="654">
      <c r="A654" s="59"/>
      <c r="B654" s="34"/>
      <c r="C654" s="52"/>
      <c r="D654" s="52"/>
      <c r="E654" s="52"/>
      <c r="F654" s="52"/>
      <c r="G654" s="52"/>
      <c r="H654" s="52"/>
      <c r="I654" s="52"/>
      <c r="J654" s="52"/>
      <c r="K654" s="52"/>
      <c r="L654" s="52"/>
      <c r="M654" s="52"/>
      <c r="N654" s="52"/>
      <c r="O654" s="52"/>
      <c r="P654" s="52"/>
      <c r="Q654" s="52"/>
      <c r="R654" s="52"/>
      <c r="S654" s="52"/>
      <c r="T654" s="52"/>
      <c r="U654" s="52"/>
      <c r="V654" s="52"/>
      <c r="W654" s="52"/>
      <c r="X654" s="52"/>
      <c r="Y654" s="52"/>
      <c r="Z654" s="52"/>
    </row>
    <row r="655">
      <c r="A655" s="59"/>
      <c r="B655" s="34"/>
      <c r="C655" s="52"/>
      <c r="D655" s="52"/>
      <c r="E655" s="52"/>
      <c r="F655" s="52"/>
      <c r="G655" s="52"/>
      <c r="H655" s="52"/>
      <c r="I655" s="52"/>
      <c r="J655" s="52"/>
      <c r="K655" s="52"/>
      <c r="L655" s="52"/>
      <c r="M655" s="52"/>
      <c r="N655" s="52"/>
      <c r="O655" s="52"/>
      <c r="P655" s="52"/>
      <c r="Q655" s="52"/>
      <c r="R655" s="52"/>
      <c r="S655" s="52"/>
      <c r="T655" s="52"/>
      <c r="U655" s="52"/>
      <c r="V655" s="52"/>
      <c r="W655" s="52"/>
      <c r="X655" s="52"/>
      <c r="Y655" s="52"/>
      <c r="Z655" s="52"/>
    </row>
    <row r="656">
      <c r="A656" s="59"/>
      <c r="B656" s="34"/>
      <c r="C656" s="52"/>
      <c r="D656" s="52"/>
      <c r="E656" s="52"/>
      <c r="F656" s="52"/>
      <c r="G656" s="52"/>
      <c r="H656" s="52"/>
      <c r="I656" s="52"/>
      <c r="J656" s="52"/>
      <c r="K656" s="52"/>
      <c r="L656" s="52"/>
      <c r="M656" s="52"/>
      <c r="N656" s="52"/>
      <c r="O656" s="52"/>
      <c r="P656" s="52"/>
      <c r="Q656" s="52"/>
      <c r="R656" s="52"/>
      <c r="S656" s="52"/>
      <c r="T656" s="52"/>
      <c r="U656" s="52"/>
      <c r="V656" s="52"/>
      <c r="W656" s="52"/>
      <c r="X656" s="52"/>
      <c r="Y656" s="52"/>
      <c r="Z656" s="52"/>
    </row>
    <row r="657">
      <c r="A657" s="59"/>
      <c r="B657" s="34"/>
      <c r="C657" s="52"/>
      <c r="D657" s="52"/>
      <c r="E657" s="52"/>
      <c r="F657" s="52"/>
      <c r="G657" s="52"/>
      <c r="H657" s="52"/>
      <c r="I657" s="52"/>
      <c r="J657" s="52"/>
      <c r="K657" s="52"/>
      <c r="L657" s="52"/>
      <c r="M657" s="52"/>
      <c r="N657" s="52"/>
      <c r="O657" s="52"/>
      <c r="P657" s="52"/>
      <c r="Q657" s="52"/>
      <c r="R657" s="52"/>
      <c r="S657" s="52"/>
      <c r="T657" s="52"/>
      <c r="U657" s="52"/>
      <c r="V657" s="52"/>
      <c r="W657" s="52"/>
      <c r="X657" s="52"/>
      <c r="Y657" s="52"/>
      <c r="Z657" s="52"/>
    </row>
    <row r="658">
      <c r="A658" s="59"/>
      <c r="B658" s="34"/>
      <c r="C658" s="52"/>
      <c r="D658" s="52"/>
      <c r="E658" s="52"/>
      <c r="F658" s="52"/>
      <c r="G658" s="52"/>
      <c r="H658" s="52"/>
      <c r="I658" s="52"/>
      <c r="J658" s="52"/>
      <c r="K658" s="52"/>
      <c r="L658" s="52"/>
      <c r="M658" s="52"/>
      <c r="N658" s="52"/>
      <c r="O658" s="52"/>
      <c r="P658" s="52"/>
      <c r="Q658" s="52"/>
      <c r="R658" s="52"/>
      <c r="S658" s="52"/>
      <c r="T658" s="52"/>
      <c r="U658" s="52"/>
      <c r="V658" s="52"/>
      <c r="W658" s="52"/>
      <c r="X658" s="52"/>
      <c r="Y658" s="52"/>
      <c r="Z658" s="52"/>
    </row>
    <row r="659">
      <c r="A659" s="59"/>
      <c r="B659" s="34"/>
      <c r="C659" s="52"/>
      <c r="D659" s="52"/>
      <c r="E659" s="52"/>
      <c r="F659" s="52"/>
      <c r="G659" s="52"/>
      <c r="H659" s="52"/>
      <c r="I659" s="52"/>
      <c r="J659" s="52"/>
      <c r="K659" s="52"/>
      <c r="L659" s="52"/>
      <c r="M659" s="52"/>
      <c r="N659" s="52"/>
      <c r="O659" s="52"/>
      <c r="P659" s="52"/>
      <c r="Q659" s="52"/>
      <c r="R659" s="52"/>
      <c r="S659" s="52"/>
      <c r="T659" s="52"/>
      <c r="U659" s="52"/>
      <c r="V659" s="52"/>
      <c r="W659" s="52"/>
      <c r="X659" s="52"/>
      <c r="Y659" s="52"/>
      <c r="Z659" s="52"/>
    </row>
    <row r="660">
      <c r="A660" s="59"/>
      <c r="B660" s="34"/>
      <c r="C660" s="52"/>
      <c r="D660" s="52"/>
      <c r="E660" s="52"/>
      <c r="F660" s="52"/>
      <c r="G660" s="52"/>
      <c r="H660" s="52"/>
      <c r="I660" s="52"/>
      <c r="J660" s="52"/>
      <c r="K660" s="52"/>
      <c r="L660" s="52"/>
      <c r="M660" s="52"/>
      <c r="N660" s="52"/>
      <c r="O660" s="52"/>
      <c r="P660" s="52"/>
      <c r="Q660" s="52"/>
      <c r="R660" s="52"/>
      <c r="S660" s="52"/>
      <c r="T660" s="52"/>
      <c r="U660" s="52"/>
      <c r="V660" s="52"/>
      <c r="W660" s="52"/>
      <c r="X660" s="52"/>
      <c r="Y660" s="52"/>
      <c r="Z660" s="52"/>
    </row>
    <row r="661">
      <c r="A661" s="59"/>
      <c r="B661" s="34"/>
      <c r="C661" s="52"/>
      <c r="D661" s="52"/>
      <c r="E661" s="52"/>
      <c r="F661" s="52"/>
      <c r="G661" s="52"/>
      <c r="H661" s="52"/>
      <c r="I661" s="52"/>
      <c r="J661" s="52"/>
      <c r="K661" s="52"/>
      <c r="L661" s="52"/>
      <c r="M661" s="52"/>
      <c r="N661" s="52"/>
      <c r="O661" s="52"/>
      <c r="P661" s="52"/>
      <c r="Q661" s="52"/>
      <c r="R661" s="52"/>
      <c r="S661" s="52"/>
      <c r="T661" s="52"/>
      <c r="U661" s="52"/>
      <c r="V661" s="52"/>
      <c r="W661" s="52"/>
      <c r="X661" s="52"/>
      <c r="Y661" s="52"/>
      <c r="Z661" s="52"/>
    </row>
    <row r="662">
      <c r="A662" s="59"/>
      <c r="B662" s="34"/>
      <c r="C662" s="52"/>
      <c r="D662" s="52"/>
      <c r="E662" s="52"/>
      <c r="F662" s="52"/>
      <c r="G662" s="52"/>
      <c r="H662" s="52"/>
      <c r="I662" s="52"/>
      <c r="J662" s="52"/>
      <c r="K662" s="52"/>
      <c r="L662" s="52"/>
      <c r="M662" s="52"/>
      <c r="N662" s="52"/>
      <c r="O662" s="52"/>
      <c r="P662" s="52"/>
      <c r="Q662" s="52"/>
      <c r="R662" s="52"/>
      <c r="S662" s="52"/>
      <c r="T662" s="52"/>
      <c r="U662" s="52"/>
      <c r="V662" s="52"/>
      <c r="W662" s="52"/>
      <c r="X662" s="52"/>
      <c r="Y662" s="52"/>
      <c r="Z662" s="52"/>
    </row>
    <row r="663">
      <c r="A663" s="59"/>
      <c r="B663" s="34"/>
      <c r="C663" s="52"/>
      <c r="D663" s="52"/>
      <c r="E663" s="52"/>
      <c r="F663" s="52"/>
      <c r="G663" s="52"/>
      <c r="H663" s="52"/>
      <c r="I663" s="52"/>
      <c r="J663" s="52"/>
      <c r="K663" s="52"/>
      <c r="L663" s="52"/>
      <c r="M663" s="52"/>
      <c r="N663" s="52"/>
      <c r="O663" s="52"/>
      <c r="P663" s="52"/>
      <c r="Q663" s="52"/>
      <c r="R663" s="52"/>
      <c r="S663" s="52"/>
      <c r="T663" s="52"/>
      <c r="U663" s="52"/>
      <c r="V663" s="52"/>
      <c r="W663" s="52"/>
      <c r="X663" s="52"/>
      <c r="Y663" s="52"/>
      <c r="Z663" s="52"/>
    </row>
    <row r="664">
      <c r="A664" s="59"/>
      <c r="B664" s="34"/>
      <c r="C664" s="52"/>
      <c r="D664" s="52"/>
      <c r="E664" s="52"/>
      <c r="F664" s="52"/>
      <c r="G664" s="52"/>
      <c r="H664" s="52"/>
      <c r="I664" s="52"/>
      <c r="J664" s="52"/>
      <c r="K664" s="52"/>
      <c r="L664" s="52"/>
      <c r="M664" s="52"/>
      <c r="N664" s="52"/>
      <c r="O664" s="52"/>
      <c r="P664" s="52"/>
      <c r="Q664" s="52"/>
      <c r="R664" s="52"/>
      <c r="S664" s="52"/>
      <c r="T664" s="52"/>
      <c r="U664" s="52"/>
      <c r="V664" s="52"/>
      <c r="W664" s="52"/>
      <c r="X664" s="52"/>
      <c r="Y664" s="52"/>
      <c r="Z664" s="52"/>
    </row>
    <row r="665">
      <c r="A665" s="59"/>
      <c r="B665" s="34"/>
      <c r="C665" s="52"/>
      <c r="D665" s="52"/>
      <c r="E665" s="52"/>
      <c r="F665" s="52"/>
      <c r="G665" s="52"/>
      <c r="H665" s="52"/>
      <c r="I665" s="52"/>
      <c r="J665" s="52"/>
      <c r="K665" s="52"/>
      <c r="L665" s="52"/>
      <c r="M665" s="52"/>
      <c r="N665" s="52"/>
      <c r="O665" s="52"/>
      <c r="P665" s="52"/>
      <c r="Q665" s="52"/>
      <c r="R665" s="52"/>
      <c r="S665" s="52"/>
      <c r="T665" s="52"/>
      <c r="U665" s="52"/>
      <c r="V665" s="52"/>
      <c r="W665" s="52"/>
      <c r="X665" s="52"/>
      <c r="Y665" s="52"/>
      <c r="Z665" s="52"/>
    </row>
    <row r="666">
      <c r="A666" s="59"/>
      <c r="B666" s="34"/>
      <c r="C666" s="52"/>
      <c r="D666" s="52"/>
      <c r="E666" s="52"/>
      <c r="F666" s="52"/>
      <c r="G666" s="52"/>
      <c r="H666" s="52"/>
      <c r="I666" s="52"/>
      <c r="J666" s="52"/>
      <c r="K666" s="52"/>
      <c r="L666" s="52"/>
      <c r="M666" s="52"/>
      <c r="N666" s="52"/>
      <c r="O666" s="52"/>
      <c r="P666" s="52"/>
      <c r="Q666" s="52"/>
      <c r="R666" s="52"/>
      <c r="S666" s="52"/>
      <c r="T666" s="52"/>
      <c r="U666" s="52"/>
      <c r="V666" s="52"/>
      <c r="W666" s="52"/>
      <c r="X666" s="52"/>
      <c r="Y666" s="52"/>
      <c r="Z666" s="52"/>
    </row>
    <row r="667">
      <c r="A667" s="59"/>
      <c r="B667" s="34"/>
      <c r="C667" s="52"/>
      <c r="D667" s="52"/>
      <c r="E667" s="52"/>
      <c r="F667" s="52"/>
      <c r="G667" s="52"/>
      <c r="H667" s="52"/>
      <c r="I667" s="52"/>
      <c r="J667" s="52"/>
      <c r="K667" s="52"/>
      <c r="L667" s="52"/>
      <c r="M667" s="52"/>
      <c r="N667" s="52"/>
      <c r="O667" s="52"/>
      <c r="P667" s="52"/>
      <c r="Q667" s="52"/>
      <c r="R667" s="52"/>
      <c r="S667" s="52"/>
      <c r="T667" s="52"/>
      <c r="U667" s="52"/>
      <c r="V667" s="52"/>
      <c r="W667" s="52"/>
      <c r="X667" s="52"/>
      <c r="Y667" s="52"/>
      <c r="Z667" s="52"/>
    </row>
    <row r="668">
      <c r="A668" s="59"/>
      <c r="B668" s="34"/>
      <c r="C668" s="52"/>
      <c r="D668" s="52"/>
      <c r="E668" s="52"/>
      <c r="F668" s="52"/>
      <c r="G668" s="52"/>
      <c r="H668" s="52"/>
      <c r="I668" s="52"/>
      <c r="J668" s="52"/>
      <c r="K668" s="52"/>
      <c r="L668" s="52"/>
      <c r="M668" s="52"/>
      <c r="N668" s="52"/>
      <c r="O668" s="52"/>
      <c r="P668" s="52"/>
      <c r="Q668" s="52"/>
      <c r="R668" s="52"/>
      <c r="S668" s="52"/>
      <c r="T668" s="52"/>
      <c r="U668" s="52"/>
      <c r="V668" s="52"/>
      <c r="W668" s="52"/>
      <c r="X668" s="52"/>
      <c r="Y668" s="52"/>
      <c r="Z668" s="52"/>
    </row>
    <row r="669">
      <c r="A669" s="59"/>
      <c r="B669" s="34"/>
      <c r="C669" s="52"/>
      <c r="D669" s="52"/>
      <c r="E669" s="52"/>
      <c r="F669" s="52"/>
      <c r="G669" s="52"/>
      <c r="H669" s="52"/>
      <c r="I669" s="52"/>
      <c r="J669" s="52"/>
      <c r="K669" s="52"/>
      <c r="L669" s="52"/>
      <c r="M669" s="52"/>
      <c r="N669" s="52"/>
      <c r="O669" s="52"/>
      <c r="P669" s="52"/>
      <c r="Q669" s="52"/>
      <c r="R669" s="52"/>
      <c r="S669" s="52"/>
      <c r="T669" s="52"/>
      <c r="U669" s="52"/>
      <c r="V669" s="52"/>
      <c r="W669" s="52"/>
      <c r="X669" s="52"/>
      <c r="Y669" s="52"/>
      <c r="Z669" s="52"/>
    </row>
    <row r="670">
      <c r="A670" s="59"/>
      <c r="B670" s="34"/>
      <c r="C670" s="52"/>
      <c r="D670" s="52"/>
      <c r="E670" s="52"/>
      <c r="F670" s="52"/>
      <c r="G670" s="52"/>
      <c r="H670" s="52"/>
      <c r="I670" s="52"/>
      <c r="J670" s="52"/>
      <c r="K670" s="52"/>
      <c r="L670" s="52"/>
      <c r="M670" s="52"/>
      <c r="N670" s="52"/>
      <c r="O670" s="52"/>
      <c r="P670" s="52"/>
      <c r="Q670" s="52"/>
      <c r="R670" s="52"/>
      <c r="S670" s="52"/>
      <c r="T670" s="52"/>
      <c r="U670" s="52"/>
      <c r="V670" s="52"/>
      <c r="W670" s="52"/>
      <c r="X670" s="52"/>
      <c r="Y670" s="52"/>
      <c r="Z670" s="52"/>
    </row>
    <row r="671">
      <c r="A671" s="59"/>
      <c r="B671" s="34"/>
      <c r="C671" s="52"/>
      <c r="D671" s="52"/>
      <c r="E671" s="52"/>
      <c r="F671" s="52"/>
      <c r="G671" s="52"/>
      <c r="H671" s="52"/>
      <c r="I671" s="52"/>
      <c r="J671" s="52"/>
      <c r="K671" s="52"/>
      <c r="L671" s="52"/>
      <c r="M671" s="52"/>
      <c r="N671" s="52"/>
      <c r="O671" s="52"/>
      <c r="P671" s="52"/>
      <c r="Q671" s="52"/>
      <c r="R671" s="52"/>
      <c r="S671" s="52"/>
      <c r="T671" s="52"/>
      <c r="U671" s="52"/>
      <c r="V671" s="52"/>
      <c r="W671" s="52"/>
      <c r="X671" s="52"/>
      <c r="Y671" s="52"/>
      <c r="Z671" s="52"/>
    </row>
    <row r="672">
      <c r="A672" s="59"/>
      <c r="B672" s="34"/>
      <c r="C672" s="52"/>
      <c r="D672" s="52"/>
      <c r="E672" s="52"/>
      <c r="F672" s="52"/>
      <c r="G672" s="52"/>
      <c r="H672" s="52"/>
      <c r="I672" s="52"/>
      <c r="J672" s="52"/>
      <c r="K672" s="52"/>
      <c r="L672" s="52"/>
      <c r="M672" s="52"/>
      <c r="N672" s="52"/>
      <c r="O672" s="52"/>
      <c r="P672" s="52"/>
      <c r="Q672" s="52"/>
      <c r="R672" s="52"/>
      <c r="S672" s="52"/>
      <c r="T672" s="52"/>
      <c r="U672" s="52"/>
      <c r="V672" s="52"/>
      <c r="W672" s="52"/>
      <c r="X672" s="52"/>
      <c r="Y672" s="52"/>
      <c r="Z672" s="52"/>
    </row>
    <row r="673">
      <c r="A673" s="59"/>
      <c r="B673" s="34"/>
      <c r="C673" s="52"/>
      <c r="D673" s="52"/>
      <c r="E673" s="52"/>
      <c r="F673" s="52"/>
      <c r="G673" s="52"/>
      <c r="H673" s="52"/>
      <c r="I673" s="52"/>
      <c r="J673" s="52"/>
      <c r="K673" s="52"/>
      <c r="L673" s="52"/>
      <c r="M673" s="52"/>
      <c r="N673" s="52"/>
      <c r="O673" s="52"/>
      <c r="P673" s="52"/>
      <c r="Q673" s="52"/>
      <c r="R673" s="52"/>
      <c r="S673" s="52"/>
      <c r="T673" s="52"/>
      <c r="U673" s="52"/>
      <c r="V673" s="52"/>
      <c r="W673" s="52"/>
      <c r="X673" s="52"/>
      <c r="Y673" s="52"/>
      <c r="Z673" s="52"/>
    </row>
    <row r="674">
      <c r="A674" s="59"/>
      <c r="B674" s="34"/>
      <c r="C674" s="52"/>
      <c r="D674" s="52"/>
      <c r="E674" s="52"/>
      <c r="F674" s="52"/>
      <c r="G674" s="52"/>
      <c r="H674" s="52"/>
      <c r="I674" s="52"/>
      <c r="J674" s="52"/>
      <c r="K674" s="52"/>
      <c r="L674" s="52"/>
      <c r="M674" s="52"/>
      <c r="N674" s="52"/>
      <c r="O674" s="52"/>
      <c r="P674" s="52"/>
      <c r="Q674" s="52"/>
      <c r="R674" s="52"/>
      <c r="S674" s="52"/>
      <c r="T674" s="52"/>
      <c r="U674" s="52"/>
      <c r="V674" s="52"/>
      <c r="W674" s="52"/>
      <c r="X674" s="52"/>
      <c r="Y674" s="52"/>
      <c r="Z674" s="52"/>
    </row>
    <row r="675">
      <c r="A675" s="59"/>
      <c r="B675" s="34"/>
      <c r="C675" s="52"/>
      <c r="D675" s="52"/>
      <c r="E675" s="52"/>
      <c r="F675" s="52"/>
      <c r="G675" s="52"/>
      <c r="H675" s="52"/>
      <c r="I675" s="52"/>
      <c r="J675" s="52"/>
      <c r="K675" s="52"/>
      <c r="L675" s="52"/>
      <c r="M675" s="52"/>
      <c r="N675" s="52"/>
      <c r="O675" s="52"/>
      <c r="P675" s="52"/>
      <c r="Q675" s="52"/>
      <c r="R675" s="52"/>
      <c r="S675" s="52"/>
      <c r="T675" s="52"/>
      <c r="U675" s="52"/>
      <c r="V675" s="52"/>
      <c r="W675" s="52"/>
      <c r="X675" s="52"/>
      <c r="Y675" s="52"/>
      <c r="Z675" s="52"/>
    </row>
    <row r="676">
      <c r="A676" s="59"/>
      <c r="B676" s="34"/>
      <c r="C676" s="52"/>
      <c r="D676" s="52"/>
      <c r="E676" s="52"/>
      <c r="F676" s="52"/>
      <c r="G676" s="52"/>
      <c r="H676" s="52"/>
      <c r="I676" s="52"/>
      <c r="J676" s="52"/>
      <c r="K676" s="52"/>
      <c r="L676" s="52"/>
      <c r="M676" s="52"/>
      <c r="N676" s="52"/>
      <c r="O676" s="52"/>
      <c r="P676" s="52"/>
      <c r="Q676" s="52"/>
      <c r="R676" s="52"/>
      <c r="S676" s="52"/>
      <c r="T676" s="52"/>
      <c r="U676" s="52"/>
      <c r="V676" s="52"/>
      <c r="W676" s="52"/>
      <c r="X676" s="52"/>
      <c r="Y676" s="52"/>
      <c r="Z676" s="52"/>
    </row>
    <row r="677">
      <c r="A677" s="59"/>
      <c r="B677" s="34"/>
      <c r="C677" s="52"/>
      <c r="D677" s="52"/>
      <c r="E677" s="52"/>
      <c r="F677" s="52"/>
      <c r="G677" s="52"/>
      <c r="H677" s="52"/>
      <c r="I677" s="52"/>
      <c r="J677" s="52"/>
      <c r="K677" s="52"/>
      <c r="L677" s="52"/>
      <c r="M677" s="52"/>
      <c r="N677" s="52"/>
      <c r="O677" s="52"/>
      <c r="P677" s="52"/>
      <c r="Q677" s="52"/>
      <c r="R677" s="52"/>
      <c r="S677" s="52"/>
      <c r="T677" s="52"/>
      <c r="U677" s="52"/>
      <c r="V677" s="52"/>
      <c r="W677" s="52"/>
      <c r="X677" s="52"/>
      <c r="Y677" s="52"/>
      <c r="Z677" s="52"/>
    </row>
    <row r="678">
      <c r="A678" s="59"/>
      <c r="B678" s="34"/>
      <c r="C678" s="52"/>
      <c r="D678" s="52"/>
      <c r="E678" s="52"/>
      <c r="F678" s="52"/>
      <c r="G678" s="52"/>
      <c r="H678" s="52"/>
      <c r="I678" s="52"/>
      <c r="J678" s="52"/>
      <c r="K678" s="52"/>
      <c r="L678" s="52"/>
      <c r="M678" s="52"/>
      <c r="N678" s="52"/>
      <c r="O678" s="52"/>
      <c r="P678" s="52"/>
      <c r="Q678" s="52"/>
      <c r="R678" s="52"/>
      <c r="S678" s="52"/>
      <c r="T678" s="52"/>
      <c r="U678" s="52"/>
      <c r="V678" s="52"/>
      <c r="W678" s="52"/>
      <c r="X678" s="52"/>
      <c r="Y678" s="52"/>
      <c r="Z678" s="52"/>
    </row>
    <row r="679">
      <c r="A679" s="59"/>
      <c r="B679" s="34"/>
      <c r="C679" s="52"/>
      <c r="D679" s="52"/>
      <c r="E679" s="52"/>
      <c r="F679" s="52"/>
      <c r="G679" s="52"/>
      <c r="H679" s="52"/>
      <c r="I679" s="52"/>
      <c r="J679" s="52"/>
      <c r="K679" s="52"/>
      <c r="L679" s="52"/>
      <c r="M679" s="52"/>
      <c r="N679" s="52"/>
      <c r="O679" s="52"/>
      <c r="P679" s="52"/>
      <c r="Q679" s="52"/>
      <c r="R679" s="52"/>
      <c r="S679" s="52"/>
      <c r="T679" s="52"/>
      <c r="U679" s="52"/>
      <c r="V679" s="52"/>
      <c r="W679" s="52"/>
      <c r="X679" s="52"/>
      <c r="Y679" s="52"/>
      <c r="Z679" s="52"/>
    </row>
    <row r="680">
      <c r="A680" s="59"/>
      <c r="B680" s="34"/>
      <c r="C680" s="52"/>
      <c r="D680" s="52"/>
      <c r="E680" s="52"/>
      <c r="F680" s="52"/>
      <c r="G680" s="52"/>
      <c r="H680" s="52"/>
      <c r="I680" s="52"/>
      <c r="J680" s="52"/>
      <c r="K680" s="52"/>
      <c r="L680" s="52"/>
      <c r="M680" s="52"/>
      <c r="N680" s="52"/>
      <c r="O680" s="52"/>
      <c r="P680" s="52"/>
      <c r="Q680" s="52"/>
      <c r="R680" s="52"/>
      <c r="S680" s="52"/>
      <c r="T680" s="52"/>
      <c r="U680" s="52"/>
      <c r="V680" s="52"/>
      <c r="W680" s="52"/>
      <c r="X680" s="52"/>
      <c r="Y680" s="52"/>
      <c r="Z680" s="52"/>
    </row>
    <row r="681">
      <c r="A681" s="59"/>
      <c r="B681" s="34"/>
      <c r="C681" s="52"/>
      <c r="D681" s="52"/>
      <c r="E681" s="52"/>
      <c r="F681" s="52"/>
      <c r="G681" s="52"/>
      <c r="H681" s="52"/>
      <c r="I681" s="52"/>
      <c r="J681" s="52"/>
      <c r="K681" s="52"/>
      <c r="L681" s="52"/>
      <c r="M681" s="52"/>
      <c r="N681" s="52"/>
      <c r="O681" s="52"/>
      <c r="P681" s="52"/>
      <c r="Q681" s="52"/>
      <c r="R681" s="52"/>
      <c r="S681" s="52"/>
      <c r="T681" s="52"/>
      <c r="U681" s="52"/>
      <c r="V681" s="52"/>
      <c r="W681" s="52"/>
      <c r="X681" s="52"/>
      <c r="Y681" s="52"/>
      <c r="Z681" s="52"/>
    </row>
    <row r="682">
      <c r="A682" s="59"/>
      <c r="B682" s="34"/>
      <c r="C682" s="52"/>
      <c r="D682" s="52"/>
      <c r="E682" s="52"/>
      <c r="F682" s="52"/>
      <c r="G682" s="52"/>
      <c r="H682" s="52"/>
      <c r="I682" s="52"/>
      <c r="J682" s="52"/>
      <c r="K682" s="52"/>
      <c r="L682" s="52"/>
      <c r="M682" s="52"/>
      <c r="N682" s="52"/>
      <c r="O682" s="52"/>
      <c r="P682" s="52"/>
      <c r="Q682" s="52"/>
      <c r="R682" s="52"/>
      <c r="S682" s="52"/>
      <c r="T682" s="52"/>
      <c r="U682" s="52"/>
      <c r="V682" s="52"/>
      <c r="W682" s="52"/>
      <c r="X682" s="52"/>
      <c r="Y682" s="52"/>
      <c r="Z682" s="52"/>
    </row>
    <row r="683">
      <c r="A683" s="59"/>
      <c r="B683" s="34"/>
      <c r="C683" s="52"/>
      <c r="D683" s="52"/>
      <c r="E683" s="52"/>
      <c r="F683" s="52"/>
      <c r="G683" s="52"/>
      <c r="H683" s="52"/>
      <c r="I683" s="52"/>
      <c r="J683" s="52"/>
      <c r="K683" s="52"/>
      <c r="L683" s="52"/>
      <c r="M683" s="52"/>
      <c r="N683" s="52"/>
      <c r="O683" s="52"/>
      <c r="P683" s="52"/>
      <c r="Q683" s="52"/>
      <c r="R683" s="52"/>
      <c r="S683" s="52"/>
      <c r="T683" s="52"/>
      <c r="U683" s="52"/>
      <c r="V683" s="52"/>
      <c r="W683" s="52"/>
      <c r="X683" s="52"/>
      <c r="Y683" s="52"/>
      <c r="Z683" s="52"/>
    </row>
    <row r="684">
      <c r="A684" s="59"/>
      <c r="B684" s="34"/>
      <c r="C684" s="52"/>
      <c r="D684" s="52"/>
      <c r="E684" s="52"/>
      <c r="F684" s="52"/>
      <c r="G684" s="52"/>
      <c r="H684" s="52"/>
      <c r="I684" s="52"/>
      <c r="J684" s="52"/>
      <c r="K684" s="52"/>
      <c r="L684" s="52"/>
      <c r="M684" s="52"/>
      <c r="N684" s="52"/>
      <c r="O684" s="52"/>
      <c r="P684" s="52"/>
      <c r="Q684" s="52"/>
      <c r="R684" s="52"/>
      <c r="S684" s="52"/>
      <c r="T684" s="52"/>
      <c r="U684" s="52"/>
      <c r="V684" s="52"/>
      <c r="W684" s="52"/>
      <c r="X684" s="52"/>
      <c r="Y684" s="52"/>
      <c r="Z684" s="52"/>
    </row>
    <row r="685">
      <c r="A685" s="59"/>
      <c r="B685" s="34"/>
      <c r="C685" s="52"/>
      <c r="D685" s="52"/>
      <c r="E685" s="52"/>
      <c r="F685" s="52"/>
      <c r="G685" s="52"/>
      <c r="H685" s="52"/>
      <c r="I685" s="52"/>
      <c r="J685" s="52"/>
      <c r="K685" s="52"/>
      <c r="L685" s="52"/>
      <c r="M685" s="52"/>
      <c r="N685" s="52"/>
      <c r="O685" s="52"/>
      <c r="P685" s="52"/>
      <c r="Q685" s="52"/>
      <c r="R685" s="52"/>
      <c r="S685" s="52"/>
      <c r="T685" s="52"/>
      <c r="U685" s="52"/>
      <c r="V685" s="52"/>
      <c r="W685" s="52"/>
      <c r="X685" s="52"/>
      <c r="Y685" s="52"/>
      <c r="Z685" s="52"/>
    </row>
    <row r="686">
      <c r="A686" s="59"/>
      <c r="B686" s="34"/>
      <c r="C686" s="52"/>
      <c r="D686" s="52"/>
      <c r="E686" s="52"/>
      <c r="F686" s="52"/>
      <c r="G686" s="52"/>
      <c r="H686" s="52"/>
      <c r="I686" s="52"/>
      <c r="J686" s="52"/>
      <c r="K686" s="52"/>
      <c r="L686" s="52"/>
      <c r="M686" s="52"/>
      <c r="N686" s="52"/>
      <c r="O686" s="52"/>
      <c r="P686" s="52"/>
      <c r="Q686" s="52"/>
      <c r="R686" s="52"/>
      <c r="S686" s="52"/>
      <c r="T686" s="52"/>
      <c r="U686" s="52"/>
      <c r="V686" s="52"/>
      <c r="W686" s="52"/>
      <c r="X686" s="52"/>
      <c r="Y686" s="52"/>
      <c r="Z686" s="52"/>
    </row>
    <row r="687">
      <c r="A687" s="59"/>
      <c r="B687" s="34"/>
      <c r="C687" s="52"/>
      <c r="D687" s="52"/>
      <c r="E687" s="52"/>
      <c r="F687" s="52"/>
      <c r="G687" s="52"/>
      <c r="H687" s="52"/>
      <c r="I687" s="52"/>
      <c r="J687" s="52"/>
      <c r="K687" s="52"/>
      <c r="L687" s="52"/>
      <c r="M687" s="52"/>
      <c r="N687" s="52"/>
      <c r="O687" s="52"/>
      <c r="P687" s="52"/>
      <c r="Q687" s="52"/>
      <c r="R687" s="52"/>
      <c r="S687" s="52"/>
      <c r="T687" s="52"/>
      <c r="U687" s="52"/>
      <c r="V687" s="52"/>
      <c r="W687" s="52"/>
      <c r="X687" s="52"/>
      <c r="Y687" s="52"/>
      <c r="Z687" s="52"/>
    </row>
    <row r="688">
      <c r="A688" s="59"/>
      <c r="B688" s="34"/>
      <c r="C688" s="52"/>
      <c r="D688" s="52"/>
      <c r="E688" s="52"/>
      <c r="F688" s="52"/>
      <c r="G688" s="52"/>
      <c r="H688" s="52"/>
      <c r="I688" s="52"/>
      <c r="J688" s="52"/>
      <c r="K688" s="52"/>
      <c r="L688" s="52"/>
      <c r="M688" s="52"/>
      <c r="N688" s="52"/>
      <c r="O688" s="52"/>
      <c r="P688" s="52"/>
      <c r="Q688" s="52"/>
      <c r="R688" s="52"/>
      <c r="S688" s="52"/>
      <c r="T688" s="52"/>
      <c r="U688" s="52"/>
      <c r="V688" s="52"/>
      <c r="W688" s="52"/>
      <c r="X688" s="52"/>
      <c r="Y688" s="52"/>
      <c r="Z688" s="52"/>
    </row>
    <row r="689">
      <c r="A689" s="59"/>
      <c r="B689" s="34"/>
      <c r="C689" s="52"/>
      <c r="D689" s="52"/>
      <c r="E689" s="52"/>
      <c r="F689" s="52"/>
      <c r="G689" s="52"/>
      <c r="H689" s="52"/>
      <c r="I689" s="52"/>
      <c r="J689" s="52"/>
      <c r="K689" s="52"/>
      <c r="L689" s="52"/>
      <c r="M689" s="52"/>
      <c r="N689" s="52"/>
      <c r="O689" s="52"/>
      <c r="P689" s="52"/>
      <c r="Q689" s="52"/>
      <c r="R689" s="52"/>
      <c r="S689" s="52"/>
      <c r="T689" s="52"/>
      <c r="U689" s="52"/>
      <c r="V689" s="52"/>
      <c r="W689" s="52"/>
      <c r="X689" s="52"/>
      <c r="Y689" s="52"/>
      <c r="Z689" s="52"/>
    </row>
    <row r="690">
      <c r="A690" s="59"/>
      <c r="B690" s="34"/>
      <c r="C690" s="52"/>
      <c r="D690" s="52"/>
      <c r="E690" s="52"/>
      <c r="F690" s="52"/>
      <c r="G690" s="52"/>
      <c r="H690" s="52"/>
      <c r="I690" s="52"/>
      <c r="J690" s="52"/>
      <c r="K690" s="52"/>
      <c r="L690" s="52"/>
      <c r="M690" s="52"/>
      <c r="N690" s="52"/>
      <c r="O690" s="52"/>
      <c r="P690" s="52"/>
      <c r="Q690" s="52"/>
      <c r="R690" s="52"/>
      <c r="S690" s="52"/>
      <c r="T690" s="52"/>
      <c r="U690" s="52"/>
      <c r="V690" s="52"/>
      <c r="W690" s="52"/>
      <c r="X690" s="52"/>
      <c r="Y690" s="52"/>
      <c r="Z690" s="52"/>
    </row>
    <row r="691">
      <c r="A691" s="59"/>
      <c r="B691" s="34"/>
      <c r="C691" s="52"/>
      <c r="D691" s="52"/>
      <c r="E691" s="52"/>
      <c r="F691" s="52"/>
      <c r="G691" s="52"/>
      <c r="H691" s="52"/>
      <c r="I691" s="52"/>
      <c r="J691" s="52"/>
      <c r="K691" s="52"/>
      <c r="L691" s="52"/>
      <c r="M691" s="52"/>
      <c r="N691" s="52"/>
      <c r="O691" s="52"/>
      <c r="P691" s="52"/>
      <c r="Q691" s="52"/>
      <c r="R691" s="52"/>
      <c r="S691" s="52"/>
      <c r="T691" s="52"/>
      <c r="U691" s="52"/>
      <c r="V691" s="52"/>
      <c r="W691" s="52"/>
      <c r="X691" s="52"/>
      <c r="Y691" s="52"/>
      <c r="Z691" s="52"/>
    </row>
    <row r="692">
      <c r="A692" s="59"/>
      <c r="B692" s="34"/>
      <c r="C692" s="52"/>
      <c r="D692" s="52"/>
      <c r="E692" s="52"/>
      <c r="F692" s="52"/>
      <c r="G692" s="52"/>
      <c r="H692" s="52"/>
      <c r="I692" s="52"/>
      <c r="J692" s="52"/>
      <c r="K692" s="52"/>
      <c r="L692" s="52"/>
      <c r="M692" s="52"/>
      <c r="N692" s="52"/>
      <c r="O692" s="52"/>
      <c r="P692" s="52"/>
      <c r="Q692" s="52"/>
      <c r="R692" s="52"/>
      <c r="S692" s="52"/>
      <c r="T692" s="52"/>
      <c r="U692" s="52"/>
      <c r="V692" s="52"/>
      <c r="W692" s="52"/>
      <c r="X692" s="52"/>
      <c r="Y692" s="52"/>
      <c r="Z692" s="52"/>
    </row>
    <row r="693">
      <c r="A693" s="59"/>
      <c r="B693" s="34"/>
      <c r="C693" s="52"/>
      <c r="D693" s="52"/>
      <c r="E693" s="52"/>
      <c r="F693" s="52"/>
      <c r="G693" s="52"/>
      <c r="H693" s="52"/>
      <c r="I693" s="52"/>
      <c r="J693" s="52"/>
      <c r="K693" s="52"/>
      <c r="L693" s="52"/>
      <c r="M693" s="52"/>
      <c r="N693" s="52"/>
      <c r="O693" s="52"/>
      <c r="P693" s="52"/>
      <c r="Q693" s="52"/>
      <c r="R693" s="52"/>
      <c r="S693" s="52"/>
      <c r="T693" s="52"/>
      <c r="U693" s="52"/>
      <c r="V693" s="52"/>
      <c r="W693" s="52"/>
      <c r="X693" s="52"/>
      <c r="Y693" s="52"/>
      <c r="Z693" s="52"/>
    </row>
    <row r="694">
      <c r="A694" s="59"/>
      <c r="B694" s="34"/>
      <c r="C694" s="52"/>
      <c r="D694" s="52"/>
      <c r="E694" s="52"/>
      <c r="F694" s="52"/>
      <c r="G694" s="52"/>
      <c r="H694" s="52"/>
      <c r="I694" s="52"/>
      <c r="J694" s="52"/>
      <c r="K694" s="52"/>
      <c r="L694" s="52"/>
      <c r="M694" s="52"/>
      <c r="N694" s="52"/>
      <c r="O694" s="52"/>
      <c r="P694" s="52"/>
      <c r="Q694" s="52"/>
      <c r="R694" s="52"/>
      <c r="S694" s="52"/>
      <c r="T694" s="52"/>
      <c r="U694" s="52"/>
      <c r="V694" s="52"/>
      <c r="W694" s="52"/>
      <c r="X694" s="52"/>
      <c r="Y694" s="52"/>
      <c r="Z694" s="52"/>
    </row>
    <row r="695">
      <c r="A695" s="59"/>
      <c r="B695" s="34"/>
      <c r="C695" s="52"/>
      <c r="D695" s="52"/>
      <c r="E695" s="52"/>
      <c r="F695" s="52"/>
      <c r="G695" s="52"/>
      <c r="H695" s="52"/>
      <c r="I695" s="52"/>
      <c r="J695" s="52"/>
      <c r="K695" s="52"/>
      <c r="L695" s="52"/>
      <c r="M695" s="52"/>
      <c r="N695" s="52"/>
      <c r="O695" s="52"/>
      <c r="P695" s="52"/>
      <c r="Q695" s="52"/>
      <c r="R695" s="52"/>
      <c r="S695" s="52"/>
      <c r="T695" s="52"/>
      <c r="U695" s="52"/>
      <c r="V695" s="52"/>
      <c r="W695" s="52"/>
      <c r="X695" s="52"/>
      <c r="Y695" s="52"/>
      <c r="Z695" s="52"/>
    </row>
    <row r="696">
      <c r="A696" s="59"/>
      <c r="B696" s="34"/>
      <c r="C696" s="52"/>
      <c r="D696" s="52"/>
      <c r="E696" s="52"/>
      <c r="F696" s="52"/>
      <c r="G696" s="52"/>
      <c r="H696" s="52"/>
      <c r="I696" s="52"/>
      <c r="J696" s="52"/>
      <c r="K696" s="52"/>
      <c r="L696" s="52"/>
      <c r="M696" s="52"/>
      <c r="N696" s="52"/>
      <c r="O696" s="52"/>
      <c r="P696" s="52"/>
      <c r="Q696" s="52"/>
      <c r="R696" s="52"/>
      <c r="S696" s="52"/>
      <c r="T696" s="52"/>
      <c r="U696" s="52"/>
      <c r="V696" s="52"/>
      <c r="W696" s="52"/>
      <c r="X696" s="52"/>
      <c r="Y696" s="52"/>
      <c r="Z696" s="52"/>
    </row>
    <row r="697">
      <c r="A697" s="59"/>
      <c r="B697" s="34"/>
      <c r="C697" s="52"/>
      <c r="D697" s="52"/>
      <c r="E697" s="52"/>
      <c r="F697" s="52"/>
      <c r="G697" s="52"/>
      <c r="H697" s="52"/>
      <c r="I697" s="52"/>
      <c r="J697" s="52"/>
      <c r="K697" s="52"/>
      <c r="L697" s="52"/>
      <c r="M697" s="52"/>
      <c r="N697" s="52"/>
      <c r="O697" s="52"/>
      <c r="P697" s="52"/>
      <c r="Q697" s="52"/>
      <c r="R697" s="52"/>
      <c r="S697" s="52"/>
      <c r="T697" s="52"/>
      <c r="U697" s="52"/>
      <c r="V697" s="52"/>
      <c r="W697" s="52"/>
      <c r="X697" s="52"/>
      <c r="Y697" s="52"/>
      <c r="Z697" s="52"/>
    </row>
    <row r="698">
      <c r="A698" s="59"/>
      <c r="B698" s="34"/>
      <c r="C698" s="52"/>
      <c r="D698" s="52"/>
      <c r="E698" s="52"/>
      <c r="F698" s="52"/>
      <c r="G698" s="52"/>
      <c r="H698" s="52"/>
      <c r="I698" s="52"/>
      <c r="J698" s="52"/>
      <c r="K698" s="52"/>
      <c r="L698" s="52"/>
      <c r="M698" s="52"/>
      <c r="N698" s="52"/>
      <c r="O698" s="52"/>
      <c r="P698" s="52"/>
      <c r="Q698" s="52"/>
      <c r="R698" s="52"/>
      <c r="S698" s="52"/>
      <c r="T698" s="52"/>
      <c r="U698" s="52"/>
      <c r="V698" s="52"/>
      <c r="W698" s="52"/>
      <c r="X698" s="52"/>
      <c r="Y698" s="52"/>
      <c r="Z698" s="52"/>
    </row>
    <row r="699">
      <c r="A699" s="59"/>
      <c r="B699" s="34"/>
      <c r="C699" s="52"/>
      <c r="D699" s="52"/>
      <c r="E699" s="52"/>
      <c r="F699" s="52"/>
      <c r="G699" s="52"/>
      <c r="H699" s="52"/>
      <c r="I699" s="52"/>
      <c r="J699" s="52"/>
      <c r="K699" s="52"/>
      <c r="L699" s="52"/>
      <c r="M699" s="52"/>
      <c r="N699" s="52"/>
      <c r="O699" s="52"/>
      <c r="P699" s="52"/>
      <c r="Q699" s="52"/>
      <c r="R699" s="52"/>
      <c r="S699" s="52"/>
      <c r="T699" s="52"/>
      <c r="U699" s="52"/>
      <c r="V699" s="52"/>
      <c r="W699" s="52"/>
      <c r="X699" s="52"/>
      <c r="Y699" s="52"/>
      <c r="Z699" s="52"/>
    </row>
    <row r="700">
      <c r="A700" s="59"/>
      <c r="B700" s="34"/>
      <c r="C700" s="52"/>
      <c r="D700" s="52"/>
      <c r="E700" s="52"/>
      <c r="F700" s="52"/>
      <c r="G700" s="52"/>
      <c r="H700" s="52"/>
      <c r="I700" s="52"/>
      <c r="J700" s="52"/>
      <c r="K700" s="52"/>
      <c r="L700" s="52"/>
      <c r="M700" s="52"/>
      <c r="N700" s="52"/>
      <c r="O700" s="52"/>
      <c r="P700" s="52"/>
      <c r="Q700" s="52"/>
      <c r="R700" s="52"/>
      <c r="S700" s="52"/>
      <c r="T700" s="52"/>
      <c r="U700" s="52"/>
      <c r="V700" s="52"/>
      <c r="W700" s="52"/>
      <c r="X700" s="52"/>
      <c r="Y700" s="52"/>
      <c r="Z700" s="52"/>
    </row>
    <row r="701">
      <c r="A701" s="59"/>
      <c r="B701" s="34"/>
      <c r="C701" s="52"/>
      <c r="D701" s="52"/>
      <c r="E701" s="52"/>
      <c r="F701" s="52"/>
      <c r="G701" s="52"/>
      <c r="H701" s="52"/>
      <c r="I701" s="52"/>
      <c r="J701" s="52"/>
      <c r="K701" s="52"/>
      <c r="L701" s="52"/>
      <c r="M701" s="52"/>
      <c r="N701" s="52"/>
      <c r="O701" s="52"/>
      <c r="P701" s="52"/>
      <c r="Q701" s="52"/>
      <c r="R701" s="52"/>
      <c r="S701" s="52"/>
      <c r="T701" s="52"/>
      <c r="U701" s="52"/>
      <c r="V701" s="52"/>
      <c r="W701" s="52"/>
      <c r="X701" s="52"/>
      <c r="Y701" s="52"/>
      <c r="Z701" s="52"/>
    </row>
    <row r="702">
      <c r="A702" s="59"/>
      <c r="B702" s="34"/>
      <c r="C702" s="52"/>
      <c r="D702" s="52"/>
      <c r="E702" s="52"/>
      <c r="F702" s="52"/>
      <c r="G702" s="52"/>
      <c r="H702" s="52"/>
      <c r="I702" s="52"/>
      <c r="J702" s="52"/>
      <c r="K702" s="52"/>
      <c r="L702" s="52"/>
      <c r="M702" s="52"/>
      <c r="N702" s="52"/>
      <c r="O702" s="52"/>
      <c r="P702" s="52"/>
      <c r="Q702" s="52"/>
      <c r="R702" s="52"/>
      <c r="S702" s="52"/>
      <c r="T702" s="52"/>
      <c r="U702" s="52"/>
      <c r="V702" s="52"/>
      <c r="W702" s="52"/>
      <c r="X702" s="52"/>
      <c r="Y702" s="52"/>
      <c r="Z702" s="52"/>
    </row>
    <row r="703">
      <c r="A703" s="59"/>
      <c r="B703" s="34"/>
      <c r="C703" s="52"/>
      <c r="D703" s="52"/>
      <c r="E703" s="52"/>
      <c r="F703" s="52"/>
      <c r="G703" s="52"/>
      <c r="H703" s="52"/>
      <c r="I703" s="52"/>
      <c r="J703" s="52"/>
      <c r="K703" s="52"/>
      <c r="L703" s="52"/>
      <c r="M703" s="52"/>
      <c r="N703" s="52"/>
      <c r="O703" s="52"/>
      <c r="P703" s="52"/>
      <c r="Q703" s="52"/>
      <c r="R703" s="52"/>
      <c r="S703" s="52"/>
      <c r="T703" s="52"/>
      <c r="U703" s="52"/>
      <c r="V703" s="52"/>
      <c r="W703" s="52"/>
      <c r="X703" s="52"/>
      <c r="Y703" s="52"/>
      <c r="Z703" s="52"/>
    </row>
    <row r="704">
      <c r="A704" s="59"/>
      <c r="B704" s="34"/>
      <c r="C704" s="52"/>
      <c r="D704" s="52"/>
      <c r="E704" s="52"/>
      <c r="F704" s="52"/>
      <c r="G704" s="52"/>
      <c r="H704" s="52"/>
      <c r="I704" s="52"/>
      <c r="J704" s="52"/>
      <c r="K704" s="52"/>
      <c r="L704" s="52"/>
      <c r="M704" s="52"/>
      <c r="N704" s="52"/>
      <c r="O704" s="52"/>
      <c r="P704" s="52"/>
      <c r="Q704" s="52"/>
      <c r="R704" s="52"/>
      <c r="S704" s="52"/>
      <c r="T704" s="52"/>
      <c r="U704" s="52"/>
      <c r="V704" s="52"/>
      <c r="W704" s="52"/>
      <c r="X704" s="52"/>
      <c r="Y704" s="52"/>
      <c r="Z704" s="52"/>
    </row>
    <row r="705">
      <c r="A705" s="59"/>
      <c r="B705" s="34"/>
      <c r="C705" s="52"/>
      <c r="D705" s="52"/>
      <c r="E705" s="52"/>
      <c r="F705" s="52"/>
      <c r="G705" s="52"/>
      <c r="H705" s="52"/>
      <c r="I705" s="52"/>
      <c r="J705" s="52"/>
      <c r="K705" s="52"/>
      <c r="L705" s="52"/>
      <c r="M705" s="52"/>
      <c r="N705" s="52"/>
      <c r="O705" s="52"/>
      <c r="P705" s="52"/>
      <c r="Q705" s="52"/>
      <c r="R705" s="52"/>
      <c r="S705" s="52"/>
      <c r="T705" s="52"/>
      <c r="U705" s="52"/>
      <c r="V705" s="52"/>
      <c r="W705" s="52"/>
      <c r="X705" s="52"/>
      <c r="Y705" s="52"/>
      <c r="Z705" s="52"/>
    </row>
    <row r="706">
      <c r="A706" s="59"/>
      <c r="B706" s="34"/>
      <c r="C706" s="52"/>
      <c r="D706" s="52"/>
      <c r="E706" s="52"/>
      <c r="F706" s="52"/>
      <c r="G706" s="52"/>
      <c r="H706" s="52"/>
      <c r="I706" s="52"/>
      <c r="J706" s="52"/>
      <c r="K706" s="52"/>
      <c r="L706" s="52"/>
      <c r="M706" s="52"/>
      <c r="N706" s="52"/>
      <c r="O706" s="52"/>
      <c r="P706" s="52"/>
      <c r="Q706" s="52"/>
      <c r="R706" s="52"/>
      <c r="S706" s="52"/>
      <c r="T706" s="52"/>
      <c r="U706" s="52"/>
      <c r="V706" s="52"/>
      <c r="W706" s="52"/>
      <c r="X706" s="52"/>
      <c r="Y706" s="52"/>
      <c r="Z706" s="52"/>
    </row>
    <row r="707">
      <c r="A707" s="59"/>
      <c r="B707" s="34"/>
      <c r="C707" s="52"/>
      <c r="D707" s="52"/>
      <c r="E707" s="52"/>
      <c r="F707" s="52"/>
      <c r="G707" s="52"/>
      <c r="H707" s="52"/>
      <c r="I707" s="52"/>
      <c r="J707" s="52"/>
      <c r="K707" s="52"/>
      <c r="L707" s="52"/>
      <c r="M707" s="52"/>
      <c r="N707" s="52"/>
      <c r="O707" s="52"/>
      <c r="P707" s="52"/>
      <c r="Q707" s="52"/>
      <c r="R707" s="52"/>
      <c r="S707" s="52"/>
      <c r="T707" s="52"/>
      <c r="U707" s="52"/>
      <c r="V707" s="52"/>
      <c r="W707" s="52"/>
      <c r="X707" s="52"/>
      <c r="Y707" s="52"/>
      <c r="Z707" s="52"/>
    </row>
    <row r="708">
      <c r="A708" s="59"/>
      <c r="B708" s="34"/>
      <c r="C708" s="52"/>
      <c r="D708" s="52"/>
      <c r="E708" s="52"/>
      <c r="F708" s="52"/>
      <c r="G708" s="52"/>
      <c r="H708" s="52"/>
      <c r="I708" s="52"/>
      <c r="J708" s="52"/>
      <c r="K708" s="52"/>
      <c r="L708" s="52"/>
      <c r="M708" s="52"/>
      <c r="N708" s="52"/>
      <c r="O708" s="52"/>
      <c r="P708" s="52"/>
      <c r="Q708" s="52"/>
      <c r="R708" s="52"/>
      <c r="S708" s="52"/>
      <c r="T708" s="52"/>
      <c r="U708" s="52"/>
      <c r="V708" s="52"/>
      <c r="W708" s="52"/>
      <c r="X708" s="52"/>
      <c r="Y708" s="52"/>
      <c r="Z708" s="52"/>
    </row>
    <row r="709">
      <c r="A709" s="59"/>
      <c r="B709" s="34"/>
      <c r="C709" s="52"/>
      <c r="D709" s="52"/>
      <c r="E709" s="52"/>
      <c r="F709" s="52"/>
      <c r="G709" s="52"/>
      <c r="H709" s="52"/>
      <c r="I709" s="52"/>
      <c r="J709" s="52"/>
      <c r="K709" s="52"/>
      <c r="L709" s="52"/>
      <c r="M709" s="52"/>
      <c r="N709" s="52"/>
      <c r="O709" s="52"/>
      <c r="P709" s="52"/>
      <c r="Q709" s="52"/>
      <c r="R709" s="52"/>
      <c r="S709" s="52"/>
      <c r="T709" s="52"/>
      <c r="U709" s="52"/>
      <c r="V709" s="52"/>
      <c r="W709" s="52"/>
      <c r="X709" s="52"/>
      <c r="Y709" s="52"/>
      <c r="Z709" s="52"/>
    </row>
    <row r="710">
      <c r="A710" s="59"/>
      <c r="B710" s="34"/>
      <c r="C710" s="52"/>
      <c r="D710" s="52"/>
      <c r="E710" s="52"/>
      <c r="F710" s="52"/>
      <c r="G710" s="52"/>
      <c r="H710" s="52"/>
      <c r="I710" s="52"/>
      <c r="J710" s="52"/>
      <c r="K710" s="52"/>
      <c r="L710" s="52"/>
      <c r="M710" s="52"/>
      <c r="N710" s="52"/>
      <c r="O710" s="52"/>
      <c r="P710" s="52"/>
      <c r="Q710" s="52"/>
      <c r="R710" s="52"/>
      <c r="S710" s="52"/>
      <c r="T710" s="52"/>
      <c r="U710" s="52"/>
      <c r="V710" s="52"/>
      <c r="W710" s="52"/>
      <c r="X710" s="52"/>
      <c r="Y710" s="52"/>
      <c r="Z710" s="52"/>
    </row>
    <row r="711">
      <c r="A711" s="59"/>
      <c r="B711" s="34"/>
      <c r="C711" s="52"/>
      <c r="D711" s="52"/>
      <c r="E711" s="52"/>
      <c r="F711" s="52"/>
      <c r="G711" s="52"/>
      <c r="H711" s="52"/>
      <c r="I711" s="52"/>
      <c r="J711" s="52"/>
      <c r="K711" s="52"/>
      <c r="L711" s="52"/>
      <c r="M711" s="52"/>
      <c r="N711" s="52"/>
      <c r="O711" s="52"/>
      <c r="P711" s="52"/>
      <c r="Q711" s="52"/>
      <c r="R711" s="52"/>
      <c r="S711" s="52"/>
      <c r="T711" s="52"/>
      <c r="U711" s="52"/>
      <c r="V711" s="52"/>
      <c r="W711" s="52"/>
      <c r="X711" s="52"/>
      <c r="Y711" s="52"/>
      <c r="Z711" s="52"/>
    </row>
    <row r="712">
      <c r="A712" s="59"/>
      <c r="B712" s="34"/>
      <c r="C712" s="52"/>
      <c r="D712" s="52"/>
      <c r="E712" s="52"/>
      <c r="F712" s="52"/>
      <c r="G712" s="52"/>
      <c r="H712" s="52"/>
      <c r="I712" s="52"/>
      <c r="J712" s="52"/>
      <c r="K712" s="52"/>
      <c r="L712" s="52"/>
      <c r="M712" s="52"/>
      <c r="N712" s="52"/>
      <c r="O712" s="52"/>
      <c r="P712" s="52"/>
      <c r="Q712" s="52"/>
      <c r="R712" s="52"/>
      <c r="S712" s="52"/>
      <c r="T712" s="52"/>
      <c r="U712" s="52"/>
      <c r="V712" s="52"/>
      <c r="W712" s="52"/>
      <c r="X712" s="52"/>
      <c r="Y712" s="52"/>
      <c r="Z712" s="52"/>
    </row>
    <row r="713">
      <c r="A713" s="59"/>
      <c r="B713" s="34"/>
      <c r="C713" s="52"/>
      <c r="D713" s="52"/>
      <c r="E713" s="52"/>
      <c r="F713" s="52"/>
      <c r="G713" s="52"/>
      <c r="H713" s="52"/>
      <c r="I713" s="52"/>
      <c r="J713" s="52"/>
      <c r="K713" s="52"/>
      <c r="L713" s="52"/>
      <c r="M713" s="52"/>
      <c r="N713" s="52"/>
      <c r="O713" s="52"/>
      <c r="P713" s="52"/>
      <c r="Q713" s="52"/>
      <c r="R713" s="52"/>
      <c r="S713" s="52"/>
      <c r="T713" s="52"/>
      <c r="U713" s="52"/>
      <c r="V713" s="52"/>
      <c r="W713" s="52"/>
      <c r="X713" s="52"/>
      <c r="Y713" s="52"/>
      <c r="Z713" s="52"/>
    </row>
    <row r="714">
      <c r="A714" s="59"/>
      <c r="B714" s="34"/>
      <c r="C714" s="52"/>
      <c r="D714" s="52"/>
      <c r="E714" s="52"/>
      <c r="F714" s="52"/>
      <c r="G714" s="52"/>
      <c r="H714" s="52"/>
      <c r="I714" s="52"/>
      <c r="J714" s="52"/>
      <c r="K714" s="52"/>
      <c r="L714" s="52"/>
      <c r="M714" s="52"/>
      <c r="N714" s="52"/>
      <c r="O714" s="52"/>
      <c r="P714" s="52"/>
      <c r="Q714" s="52"/>
      <c r="R714" s="52"/>
      <c r="S714" s="52"/>
      <c r="T714" s="52"/>
      <c r="U714" s="52"/>
      <c r="V714" s="52"/>
      <c r="W714" s="52"/>
      <c r="X714" s="52"/>
      <c r="Y714" s="52"/>
      <c r="Z714" s="52"/>
    </row>
    <row r="715">
      <c r="A715" s="59"/>
      <c r="B715" s="34"/>
      <c r="C715" s="52"/>
      <c r="D715" s="52"/>
      <c r="E715" s="52"/>
      <c r="F715" s="52"/>
      <c r="G715" s="52"/>
      <c r="H715" s="52"/>
      <c r="I715" s="52"/>
      <c r="J715" s="52"/>
      <c r="K715" s="52"/>
      <c r="L715" s="52"/>
      <c r="M715" s="52"/>
      <c r="N715" s="52"/>
      <c r="O715" s="52"/>
      <c r="P715" s="52"/>
      <c r="Q715" s="52"/>
      <c r="R715" s="52"/>
      <c r="S715" s="52"/>
      <c r="T715" s="52"/>
      <c r="U715" s="52"/>
      <c r="V715" s="52"/>
      <c r="W715" s="52"/>
      <c r="X715" s="52"/>
      <c r="Y715" s="52"/>
      <c r="Z715" s="52"/>
    </row>
    <row r="716">
      <c r="A716" s="59"/>
      <c r="B716" s="34"/>
      <c r="C716" s="52"/>
      <c r="D716" s="52"/>
      <c r="E716" s="52"/>
      <c r="F716" s="52"/>
      <c r="G716" s="52"/>
      <c r="H716" s="52"/>
      <c r="I716" s="52"/>
      <c r="J716" s="52"/>
      <c r="K716" s="52"/>
      <c r="L716" s="52"/>
      <c r="M716" s="52"/>
      <c r="N716" s="52"/>
      <c r="O716" s="52"/>
      <c r="P716" s="52"/>
      <c r="Q716" s="52"/>
      <c r="R716" s="52"/>
      <c r="S716" s="52"/>
      <c r="T716" s="52"/>
      <c r="U716" s="52"/>
      <c r="V716" s="52"/>
      <c r="W716" s="52"/>
      <c r="X716" s="52"/>
      <c r="Y716" s="52"/>
      <c r="Z716" s="52"/>
    </row>
    <row r="717">
      <c r="A717" s="59"/>
      <c r="B717" s="34"/>
      <c r="C717" s="52"/>
      <c r="D717" s="52"/>
      <c r="E717" s="52"/>
      <c r="F717" s="52"/>
      <c r="G717" s="52"/>
      <c r="H717" s="52"/>
      <c r="I717" s="52"/>
      <c r="J717" s="52"/>
      <c r="K717" s="52"/>
      <c r="L717" s="52"/>
      <c r="M717" s="52"/>
      <c r="N717" s="52"/>
      <c r="O717" s="52"/>
      <c r="P717" s="52"/>
      <c r="Q717" s="52"/>
      <c r="R717" s="52"/>
      <c r="S717" s="52"/>
      <c r="T717" s="52"/>
      <c r="U717" s="52"/>
      <c r="V717" s="52"/>
      <c r="W717" s="52"/>
      <c r="X717" s="52"/>
      <c r="Y717" s="52"/>
      <c r="Z717" s="52"/>
    </row>
    <row r="718">
      <c r="A718" s="59"/>
      <c r="B718" s="34"/>
      <c r="C718" s="52"/>
      <c r="D718" s="52"/>
      <c r="E718" s="52"/>
      <c r="F718" s="52"/>
      <c r="G718" s="52"/>
      <c r="H718" s="52"/>
      <c r="I718" s="52"/>
      <c r="J718" s="52"/>
      <c r="K718" s="52"/>
      <c r="L718" s="52"/>
      <c r="M718" s="52"/>
      <c r="N718" s="52"/>
      <c r="O718" s="52"/>
      <c r="P718" s="52"/>
      <c r="Q718" s="52"/>
      <c r="R718" s="52"/>
      <c r="S718" s="52"/>
      <c r="T718" s="52"/>
      <c r="U718" s="52"/>
      <c r="V718" s="52"/>
      <c r="W718" s="52"/>
      <c r="X718" s="52"/>
      <c r="Y718" s="52"/>
      <c r="Z718" s="52"/>
    </row>
    <row r="719">
      <c r="A719" s="59"/>
      <c r="B719" s="34"/>
      <c r="C719" s="52"/>
      <c r="D719" s="52"/>
      <c r="E719" s="52"/>
      <c r="F719" s="52"/>
      <c r="G719" s="52"/>
      <c r="H719" s="52"/>
      <c r="I719" s="52"/>
      <c r="J719" s="52"/>
      <c r="K719" s="52"/>
      <c r="L719" s="52"/>
      <c r="M719" s="52"/>
      <c r="N719" s="52"/>
      <c r="O719" s="52"/>
      <c r="P719" s="52"/>
      <c r="Q719" s="52"/>
      <c r="R719" s="52"/>
      <c r="S719" s="52"/>
      <c r="T719" s="52"/>
      <c r="U719" s="52"/>
      <c r="V719" s="52"/>
      <c r="W719" s="52"/>
      <c r="X719" s="52"/>
      <c r="Y719" s="52"/>
      <c r="Z719" s="52"/>
    </row>
    <row r="720">
      <c r="A720" s="59"/>
      <c r="B720" s="34"/>
      <c r="C720" s="52"/>
      <c r="D720" s="52"/>
      <c r="E720" s="52"/>
      <c r="F720" s="52"/>
      <c r="G720" s="52"/>
      <c r="H720" s="52"/>
      <c r="I720" s="52"/>
      <c r="J720" s="52"/>
      <c r="K720" s="52"/>
      <c r="L720" s="52"/>
      <c r="M720" s="52"/>
      <c r="N720" s="52"/>
      <c r="O720" s="52"/>
      <c r="P720" s="52"/>
      <c r="Q720" s="52"/>
      <c r="R720" s="52"/>
      <c r="S720" s="52"/>
      <c r="T720" s="52"/>
      <c r="U720" s="52"/>
      <c r="V720" s="52"/>
      <c r="W720" s="52"/>
      <c r="X720" s="52"/>
      <c r="Y720" s="52"/>
      <c r="Z720" s="52"/>
    </row>
    <row r="721">
      <c r="A721" s="59"/>
      <c r="B721" s="34"/>
      <c r="C721" s="52"/>
      <c r="D721" s="52"/>
      <c r="E721" s="52"/>
      <c r="F721" s="52"/>
      <c r="G721" s="52"/>
      <c r="H721" s="52"/>
      <c r="I721" s="52"/>
      <c r="J721" s="52"/>
      <c r="K721" s="52"/>
      <c r="L721" s="52"/>
      <c r="M721" s="52"/>
      <c r="N721" s="52"/>
      <c r="O721" s="52"/>
      <c r="P721" s="52"/>
      <c r="Q721" s="52"/>
      <c r="R721" s="52"/>
      <c r="S721" s="52"/>
      <c r="T721" s="52"/>
      <c r="U721" s="52"/>
      <c r="V721" s="52"/>
      <c r="W721" s="52"/>
      <c r="X721" s="52"/>
      <c r="Y721" s="52"/>
      <c r="Z721" s="52"/>
    </row>
    <row r="722">
      <c r="A722" s="59"/>
      <c r="B722" s="34"/>
      <c r="C722" s="52"/>
      <c r="D722" s="52"/>
      <c r="E722" s="52"/>
      <c r="F722" s="52"/>
      <c r="G722" s="52"/>
      <c r="H722" s="52"/>
      <c r="I722" s="52"/>
      <c r="J722" s="52"/>
      <c r="K722" s="52"/>
      <c r="L722" s="52"/>
      <c r="M722" s="52"/>
      <c r="N722" s="52"/>
      <c r="O722" s="52"/>
      <c r="P722" s="52"/>
      <c r="Q722" s="52"/>
      <c r="R722" s="52"/>
      <c r="S722" s="52"/>
      <c r="T722" s="52"/>
      <c r="U722" s="52"/>
      <c r="V722" s="52"/>
      <c r="W722" s="52"/>
      <c r="X722" s="52"/>
      <c r="Y722" s="52"/>
      <c r="Z722" s="52"/>
    </row>
    <row r="723">
      <c r="A723" s="59"/>
      <c r="B723" s="34"/>
      <c r="C723" s="52"/>
      <c r="D723" s="52"/>
      <c r="E723" s="52"/>
      <c r="F723" s="52"/>
      <c r="G723" s="52"/>
      <c r="H723" s="52"/>
      <c r="I723" s="52"/>
      <c r="J723" s="52"/>
      <c r="K723" s="52"/>
      <c r="L723" s="52"/>
      <c r="M723" s="52"/>
      <c r="N723" s="52"/>
      <c r="O723" s="52"/>
      <c r="P723" s="52"/>
      <c r="Q723" s="52"/>
      <c r="R723" s="52"/>
      <c r="S723" s="52"/>
      <c r="T723" s="52"/>
      <c r="U723" s="52"/>
      <c r="V723" s="52"/>
      <c r="W723" s="52"/>
      <c r="X723" s="52"/>
      <c r="Y723" s="52"/>
      <c r="Z723" s="52"/>
    </row>
    <row r="724">
      <c r="A724" s="59"/>
      <c r="B724" s="34"/>
      <c r="C724" s="52"/>
      <c r="D724" s="52"/>
      <c r="E724" s="52"/>
      <c r="F724" s="52"/>
      <c r="G724" s="52"/>
      <c r="H724" s="52"/>
      <c r="I724" s="52"/>
      <c r="J724" s="52"/>
      <c r="K724" s="52"/>
      <c r="L724" s="52"/>
      <c r="M724" s="52"/>
      <c r="N724" s="52"/>
      <c r="O724" s="52"/>
      <c r="P724" s="52"/>
      <c r="Q724" s="52"/>
      <c r="R724" s="52"/>
      <c r="S724" s="52"/>
      <c r="T724" s="52"/>
      <c r="U724" s="52"/>
      <c r="V724" s="52"/>
      <c r="W724" s="52"/>
      <c r="X724" s="52"/>
      <c r="Y724" s="52"/>
      <c r="Z724" s="52"/>
    </row>
    <row r="725">
      <c r="A725" s="59"/>
      <c r="B725" s="34"/>
      <c r="C725" s="52"/>
      <c r="D725" s="52"/>
      <c r="E725" s="52"/>
      <c r="F725" s="52"/>
      <c r="G725" s="52"/>
      <c r="H725" s="52"/>
      <c r="I725" s="52"/>
      <c r="J725" s="52"/>
      <c r="K725" s="52"/>
      <c r="L725" s="52"/>
      <c r="M725" s="52"/>
      <c r="N725" s="52"/>
      <c r="O725" s="52"/>
      <c r="P725" s="52"/>
      <c r="Q725" s="52"/>
      <c r="R725" s="52"/>
      <c r="S725" s="52"/>
      <c r="T725" s="52"/>
      <c r="U725" s="52"/>
      <c r="V725" s="52"/>
      <c r="W725" s="52"/>
      <c r="X725" s="52"/>
      <c r="Y725" s="52"/>
      <c r="Z725" s="52"/>
    </row>
    <row r="726">
      <c r="A726" s="59"/>
      <c r="B726" s="34"/>
      <c r="C726" s="52"/>
      <c r="D726" s="52"/>
      <c r="E726" s="52"/>
      <c r="F726" s="52"/>
      <c r="G726" s="52"/>
      <c r="H726" s="52"/>
      <c r="I726" s="52"/>
      <c r="J726" s="52"/>
      <c r="K726" s="52"/>
      <c r="L726" s="52"/>
      <c r="M726" s="52"/>
      <c r="N726" s="52"/>
      <c r="O726" s="52"/>
      <c r="P726" s="52"/>
      <c r="Q726" s="52"/>
      <c r="R726" s="52"/>
      <c r="S726" s="52"/>
      <c r="T726" s="52"/>
      <c r="U726" s="52"/>
      <c r="V726" s="52"/>
      <c r="W726" s="52"/>
      <c r="X726" s="52"/>
      <c r="Y726" s="52"/>
      <c r="Z726" s="52"/>
    </row>
    <row r="727">
      <c r="A727" s="59"/>
      <c r="B727" s="34"/>
      <c r="C727" s="52"/>
      <c r="D727" s="52"/>
      <c r="E727" s="52"/>
      <c r="F727" s="52"/>
      <c r="G727" s="52"/>
      <c r="H727" s="52"/>
      <c r="I727" s="52"/>
      <c r="J727" s="52"/>
      <c r="K727" s="52"/>
      <c r="L727" s="52"/>
      <c r="M727" s="52"/>
      <c r="N727" s="52"/>
      <c r="O727" s="52"/>
      <c r="P727" s="52"/>
      <c r="Q727" s="52"/>
      <c r="R727" s="52"/>
      <c r="S727" s="52"/>
      <c r="T727" s="52"/>
      <c r="U727" s="52"/>
      <c r="V727" s="52"/>
      <c r="W727" s="52"/>
      <c r="X727" s="52"/>
      <c r="Y727" s="52"/>
      <c r="Z727" s="52"/>
    </row>
    <row r="728">
      <c r="A728" s="59"/>
      <c r="B728" s="34"/>
      <c r="C728" s="52"/>
      <c r="D728" s="52"/>
      <c r="E728" s="52"/>
      <c r="F728" s="52"/>
      <c r="G728" s="52"/>
      <c r="H728" s="52"/>
      <c r="I728" s="52"/>
      <c r="J728" s="52"/>
      <c r="K728" s="52"/>
      <c r="L728" s="52"/>
      <c r="M728" s="52"/>
      <c r="N728" s="52"/>
      <c r="O728" s="52"/>
      <c r="P728" s="52"/>
      <c r="Q728" s="52"/>
      <c r="R728" s="52"/>
      <c r="S728" s="52"/>
      <c r="T728" s="52"/>
      <c r="U728" s="52"/>
      <c r="V728" s="52"/>
      <c r="W728" s="52"/>
      <c r="X728" s="52"/>
      <c r="Y728" s="52"/>
      <c r="Z728" s="52"/>
    </row>
    <row r="729">
      <c r="A729" s="59"/>
      <c r="B729" s="34"/>
      <c r="C729" s="52"/>
      <c r="D729" s="52"/>
      <c r="E729" s="52"/>
      <c r="F729" s="52"/>
      <c r="G729" s="52"/>
      <c r="H729" s="52"/>
      <c r="I729" s="52"/>
      <c r="J729" s="52"/>
      <c r="K729" s="52"/>
      <c r="L729" s="52"/>
      <c r="M729" s="52"/>
      <c r="N729" s="52"/>
      <c r="O729" s="52"/>
      <c r="P729" s="52"/>
      <c r="Q729" s="52"/>
      <c r="R729" s="52"/>
      <c r="S729" s="52"/>
      <c r="T729" s="52"/>
      <c r="U729" s="52"/>
      <c r="V729" s="52"/>
      <c r="W729" s="52"/>
      <c r="X729" s="52"/>
      <c r="Y729" s="52"/>
      <c r="Z729" s="52"/>
    </row>
    <row r="730">
      <c r="A730" s="59"/>
      <c r="B730" s="34"/>
      <c r="C730" s="52"/>
      <c r="D730" s="52"/>
      <c r="E730" s="52"/>
      <c r="F730" s="52"/>
      <c r="G730" s="52"/>
      <c r="H730" s="52"/>
      <c r="I730" s="52"/>
      <c r="J730" s="52"/>
      <c r="K730" s="52"/>
      <c r="L730" s="52"/>
      <c r="M730" s="52"/>
      <c r="N730" s="52"/>
      <c r="O730" s="52"/>
      <c r="P730" s="52"/>
      <c r="Q730" s="52"/>
      <c r="R730" s="52"/>
      <c r="S730" s="52"/>
      <c r="T730" s="52"/>
      <c r="U730" s="52"/>
      <c r="V730" s="52"/>
      <c r="W730" s="52"/>
      <c r="X730" s="52"/>
      <c r="Y730" s="52"/>
      <c r="Z730" s="52"/>
    </row>
    <row r="731">
      <c r="A731" s="59"/>
      <c r="B731" s="34"/>
      <c r="C731" s="52"/>
      <c r="D731" s="52"/>
      <c r="E731" s="52"/>
      <c r="F731" s="52"/>
      <c r="G731" s="52"/>
      <c r="H731" s="52"/>
      <c r="I731" s="52"/>
      <c r="J731" s="52"/>
      <c r="K731" s="52"/>
      <c r="L731" s="52"/>
      <c r="M731" s="52"/>
      <c r="N731" s="52"/>
      <c r="O731" s="52"/>
      <c r="P731" s="52"/>
      <c r="Q731" s="52"/>
      <c r="R731" s="52"/>
      <c r="S731" s="52"/>
      <c r="T731" s="52"/>
      <c r="U731" s="52"/>
      <c r="V731" s="52"/>
      <c r="W731" s="52"/>
      <c r="X731" s="52"/>
      <c r="Y731" s="52"/>
      <c r="Z731" s="52"/>
    </row>
    <row r="732">
      <c r="A732" s="59"/>
      <c r="B732" s="34"/>
      <c r="C732" s="52"/>
      <c r="D732" s="52"/>
      <c r="E732" s="52"/>
      <c r="F732" s="52"/>
      <c r="G732" s="52"/>
      <c r="H732" s="52"/>
      <c r="I732" s="52"/>
      <c r="J732" s="52"/>
      <c r="K732" s="52"/>
      <c r="L732" s="52"/>
      <c r="M732" s="52"/>
      <c r="N732" s="52"/>
      <c r="O732" s="52"/>
      <c r="P732" s="52"/>
      <c r="Q732" s="52"/>
      <c r="R732" s="52"/>
      <c r="S732" s="52"/>
      <c r="T732" s="52"/>
      <c r="U732" s="52"/>
      <c r="V732" s="52"/>
      <c r="W732" s="52"/>
      <c r="X732" s="52"/>
      <c r="Y732" s="52"/>
      <c r="Z732" s="52"/>
    </row>
    <row r="733">
      <c r="A733" s="59"/>
      <c r="B733" s="34"/>
      <c r="C733" s="52"/>
      <c r="D733" s="52"/>
      <c r="E733" s="52"/>
      <c r="F733" s="52"/>
      <c r="G733" s="52"/>
      <c r="H733" s="52"/>
      <c r="I733" s="52"/>
      <c r="J733" s="52"/>
      <c r="K733" s="52"/>
      <c r="L733" s="52"/>
      <c r="M733" s="52"/>
      <c r="N733" s="52"/>
      <c r="O733" s="52"/>
      <c r="P733" s="52"/>
      <c r="Q733" s="52"/>
      <c r="R733" s="52"/>
      <c r="S733" s="52"/>
      <c r="T733" s="52"/>
      <c r="U733" s="52"/>
      <c r="V733" s="52"/>
      <c r="W733" s="52"/>
      <c r="X733" s="52"/>
      <c r="Y733" s="52"/>
      <c r="Z733" s="52"/>
    </row>
    <row r="734">
      <c r="A734" s="59"/>
      <c r="B734" s="34"/>
      <c r="C734" s="52"/>
      <c r="D734" s="52"/>
      <c r="E734" s="52"/>
      <c r="F734" s="52"/>
      <c r="G734" s="52"/>
      <c r="H734" s="52"/>
      <c r="I734" s="52"/>
      <c r="J734" s="52"/>
      <c r="K734" s="52"/>
      <c r="L734" s="52"/>
      <c r="M734" s="52"/>
      <c r="N734" s="52"/>
      <c r="O734" s="52"/>
      <c r="P734" s="52"/>
      <c r="Q734" s="52"/>
      <c r="R734" s="52"/>
      <c r="S734" s="52"/>
      <c r="T734" s="52"/>
      <c r="U734" s="52"/>
      <c r="V734" s="52"/>
      <c r="W734" s="52"/>
      <c r="X734" s="52"/>
      <c r="Y734" s="52"/>
      <c r="Z734" s="52"/>
    </row>
    <row r="735">
      <c r="A735" s="59"/>
      <c r="B735" s="34"/>
      <c r="C735" s="52"/>
      <c r="D735" s="52"/>
      <c r="E735" s="52"/>
      <c r="F735" s="52"/>
      <c r="G735" s="52"/>
      <c r="H735" s="52"/>
      <c r="I735" s="52"/>
      <c r="J735" s="52"/>
      <c r="K735" s="52"/>
      <c r="L735" s="52"/>
      <c r="M735" s="52"/>
      <c r="N735" s="52"/>
      <c r="O735" s="52"/>
      <c r="P735" s="52"/>
      <c r="Q735" s="52"/>
      <c r="R735" s="52"/>
      <c r="S735" s="52"/>
      <c r="T735" s="52"/>
      <c r="U735" s="52"/>
      <c r="V735" s="52"/>
      <c r="W735" s="52"/>
      <c r="X735" s="52"/>
      <c r="Y735" s="52"/>
      <c r="Z735" s="52"/>
    </row>
    <row r="736">
      <c r="A736" s="59"/>
      <c r="B736" s="34"/>
      <c r="C736" s="52"/>
      <c r="D736" s="52"/>
      <c r="E736" s="52"/>
      <c r="F736" s="52"/>
      <c r="G736" s="52"/>
      <c r="H736" s="52"/>
      <c r="I736" s="52"/>
      <c r="J736" s="52"/>
      <c r="K736" s="52"/>
      <c r="L736" s="52"/>
      <c r="M736" s="52"/>
      <c r="N736" s="52"/>
      <c r="O736" s="52"/>
      <c r="P736" s="52"/>
      <c r="Q736" s="52"/>
      <c r="R736" s="52"/>
      <c r="S736" s="52"/>
      <c r="T736" s="52"/>
      <c r="U736" s="52"/>
      <c r="V736" s="52"/>
      <c r="W736" s="52"/>
      <c r="X736" s="52"/>
      <c r="Y736" s="52"/>
      <c r="Z736" s="52"/>
    </row>
    <row r="737">
      <c r="A737" s="59"/>
      <c r="B737" s="34"/>
      <c r="C737" s="52"/>
      <c r="D737" s="52"/>
      <c r="E737" s="52"/>
      <c r="F737" s="52"/>
      <c r="G737" s="52"/>
      <c r="H737" s="52"/>
      <c r="I737" s="52"/>
      <c r="J737" s="52"/>
      <c r="K737" s="52"/>
      <c r="L737" s="52"/>
      <c r="M737" s="52"/>
      <c r="N737" s="52"/>
      <c r="O737" s="52"/>
      <c r="P737" s="52"/>
      <c r="Q737" s="52"/>
      <c r="R737" s="52"/>
      <c r="S737" s="52"/>
      <c r="T737" s="52"/>
      <c r="U737" s="52"/>
      <c r="V737" s="52"/>
      <c r="W737" s="52"/>
      <c r="X737" s="52"/>
      <c r="Y737" s="52"/>
      <c r="Z737" s="52"/>
    </row>
    <row r="738">
      <c r="A738" s="59"/>
      <c r="B738" s="34"/>
      <c r="C738" s="52"/>
      <c r="D738" s="52"/>
      <c r="E738" s="52"/>
      <c r="F738" s="52"/>
      <c r="G738" s="52"/>
      <c r="H738" s="52"/>
      <c r="I738" s="52"/>
      <c r="J738" s="52"/>
      <c r="K738" s="52"/>
      <c r="L738" s="52"/>
      <c r="M738" s="52"/>
      <c r="N738" s="52"/>
      <c r="O738" s="52"/>
      <c r="P738" s="52"/>
      <c r="Q738" s="52"/>
      <c r="R738" s="52"/>
      <c r="S738" s="52"/>
      <c r="T738" s="52"/>
      <c r="U738" s="52"/>
      <c r="V738" s="52"/>
      <c r="W738" s="52"/>
      <c r="X738" s="52"/>
      <c r="Y738" s="52"/>
      <c r="Z738" s="52"/>
    </row>
    <row r="739">
      <c r="A739" s="59"/>
      <c r="B739" s="34"/>
      <c r="C739" s="52"/>
      <c r="D739" s="52"/>
      <c r="E739" s="52"/>
      <c r="F739" s="52"/>
      <c r="G739" s="52"/>
      <c r="H739" s="52"/>
      <c r="I739" s="52"/>
      <c r="J739" s="52"/>
      <c r="K739" s="52"/>
      <c r="L739" s="52"/>
      <c r="M739" s="52"/>
      <c r="N739" s="52"/>
      <c r="O739" s="52"/>
      <c r="P739" s="52"/>
      <c r="Q739" s="52"/>
      <c r="R739" s="52"/>
      <c r="S739" s="52"/>
      <c r="T739" s="52"/>
      <c r="U739" s="52"/>
      <c r="V739" s="52"/>
      <c r="W739" s="52"/>
      <c r="X739" s="52"/>
      <c r="Y739" s="52"/>
      <c r="Z739" s="52"/>
    </row>
    <row r="740">
      <c r="A740" s="59"/>
      <c r="B740" s="34"/>
      <c r="C740" s="52"/>
      <c r="D740" s="52"/>
      <c r="E740" s="52"/>
      <c r="F740" s="52"/>
      <c r="G740" s="52"/>
      <c r="H740" s="52"/>
      <c r="I740" s="52"/>
      <c r="J740" s="52"/>
      <c r="K740" s="52"/>
      <c r="L740" s="52"/>
      <c r="M740" s="52"/>
      <c r="N740" s="52"/>
      <c r="O740" s="52"/>
      <c r="P740" s="52"/>
      <c r="Q740" s="52"/>
      <c r="R740" s="52"/>
      <c r="S740" s="52"/>
      <c r="T740" s="52"/>
      <c r="U740" s="52"/>
      <c r="V740" s="52"/>
      <c r="W740" s="52"/>
      <c r="X740" s="52"/>
      <c r="Y740" s="52"/>
      <c r="Z740" s="52"/>
    </row>
    <row r="741">
      <c r="A741" s="59"/>
      <c r="B741" s="34"/>
      <c r="C741" s="52"/>
      <c r="D741" s="52"/>
      <c r="E741" s="52"/>
      <c r="F741" s="52"/>
      <c r="G741" s="52"/>
      <c r="H741" s="52"/>
      <c r="I741" s="52"/>
      <c r="J741" s="52"/>
      <c r="K741" s="52"/>
      <c r="L741" s="52"/>
      <c r="M741" s="52"/>
      <c r="N741" s="52"/>
      <c r="O741" s="52"/>
      <c r="P741" s="52"/>
      <c r="Q741" s="52"/>
      <c r="R741" s="52"/>
      <c r="S741" s="52"/>
      <c r="T741" s="52"/>
      <c r="U741" s="52"/>
      <c r="V741" s="52"/>
      <c r="W741" s="52"/>
      <c r="X741" s="52"/>
      <c r="Y741" s="52"/>
      <c r="Z741" s="52"/>
    </row>
    <row r="742">
      <c r="A742" s="59"/>
      <c r="B742" s="34"/>
      <c r="C742" s="52"/>
      <c r="D742" s="52"/>
      <c r="E742" s="52"/>
      <c r="F742" s="52"/>
      <c r="G742" s="52"/>
      <c r="H742" s="52"/>
      <c r="I742" s="52"/>
      <c r="J742" s="52"/>
      <c r="K742" s="52"/>
      <c r="L742" s="52"/>
      <c r="M742" s="52"/>
      <c r="N742" s="52"/>
      <c r="O742" s="52"/>
      <c r="P742" s="52"/>
      <c r="Q742" s="52"/>
      <c r="R742" s="52"/>
      <c r="S742" s="52"/>
      <c r="T742" s="52"/>
      <c r="U742" s="52"/>
      <c r="V742" s="52"/>
      <c r="W742" s="52"/>
      <c r="X742" s="52"/>
      <c r="Y742" s="52"/>
      <c r="Z742" s="52"/>
    </row>
    <row r="743">
      <c r="A743" s="59"/>
      <c r="B743" s="34"/>
      <c r="C743" s="52"/>
      <c r="D743" s="52"/>
      <c r="E743" s="52"/>
      <c r="F743" s="52"/>
      <c r="G743" s="52"/>
      <c r="H743" s="52"/>
      <c r="I743" s="52"/>
      <c r="J743" s="52"/>
      <c r="K743" s="52"/>
      <c r="L743" s="52"/>
      <c r="M743" s="52"/>
      <c r="N743" s="52"/>
      <c r="O743" s="52"/>
      <c r="P743" s="52"/>
      <c r="Q743" s="52"/>
      <c r="R743" s="52"/>
      <c r="S743" s="52"/>
      <c r="T743" s="52"/>
      <c r="U743" s="52"/>
      <c r="V743" s="52"/>
      <c r="W743" s="52"/>
      <c r="X743" s="52"/>
      <c r="Y743" s="52"/>
      <c r="Z743" s="52"/>
    </row>
    <row r="744">
      <c r="A744" s="59"/>
      <c r="B744" s="34"/>
      <c r="C744" s="52"/>
      <c r="D744" s="52"/>
      <c r="E744" s="52"/>
      <c r="F744" s="52"/>
      <c r="G744" s="52"/>
      <c r="H744" s="52"/>
      <c r="I744" s="52"/>
      <c r="J744" s="52"/>
      <c r="K744" s="52"/>
      <c r="L744" s="52"/>
      <c r="M744" s="52"/>
      <c r="N744" s="52"/>
      <c r="O744" s="52"/>
      <c r="P744" s="52"/>
      <c r="Q744" s="52"/>
      <c r="R744" s="52"/>
      <c r="S744" s="52"/>
      <c r="T744" s="52"/>
      <c r="U744" s="52"/>
      <c r="V744" s="52"/>
      <c r="W744" s="52"/>
      <c r="X744" s="52"/>
      <c r="Y744" s="52"/>
      <c r="Z744" s="52"/>
    </row>
    <row r="745">
      <c r="A745" s="59"/>
      <c r="B745" s="34"/>
      <c r="C745" s="52"/>
      <c r="D745" s="52"/>
      <c r="E745" s="52"/>
      <c r="F745" s="52"/>
      <c r="G745" s="52"/>
      <c r="H745" s="52"/>
      <c r="I745" s="52"/>
      <c r="J745" s="52"/>
      <c r="K745" s="52"/>
      <c r="L745" s="52"/>
      <c r="M745" s="52"/>
      <c r="N745" s="52"/>
      <c r="O745" s="52"/>
      <c r="P745" s="52"/>
      <c r="Q745" s="52"/>
      <c r="R745" s="52"/>
      <c r="S745" s="52"/>
      <c r="T745" s="52"/>
      <c r="U745" s="52"/>
      <c r="V745" s="52"/>
      <c r="W745" s="52"/>
      <c r="X745" s="52"/>
      <c r="Y745" s="52"/>
      <c r="Z745" s="52"/>
    </row>
    <row r="746">
      <c r="A746" s="59"/>
      <c r="B746" s="34"/>
      <c r="C746" s="52"/>
      <c r="D746" s="52"/>
      <c r="E746" s="52"/>
      <c r="F746" s="52"/>
      <c r="G746" s="52"/>
      <c r="H746" s="52"/>
      <c r="I746" s="52"/>
      <c r="J746" s="52"/>
      <c r="K746" s="52"/>
      <c r="L746" s="52"/>
      <c r="M746" s="52"/>
      <c r="N746" s="52"/>
      <c r="O746" s="52"/>
      <c r="P746" s="52"/>
      <c r="Q746" s="52"/>
      <c r="R746" s="52"/>
      <c r="S746" s="52"/>
      <c r="T746" s="52"/>
      <c r="U746" s="52"/>
      <c r="V746" s="52"/>
      <c r="W746" s="52"/>
      <c r="X746" s="52"/>
      <c r="Y746" s="52"/>
      <c r="Z746" s="52"/>
    </row>
    <row r="747">
      <c r="A747" s="59"/>
      <c r="B747" s="34"/>
      <c r="C747" s="52"/>
      <c r="D747" s="52"/>
      <c r="E747" s="52"/>
      <c r="F747" s="52"/>
      <c r="G747" s="52"/>
      <c r="H747" s="52"/>
      <c r="I747" s="52"/>
      <c r="J747" s="52"/>
      <c r="K747" s="52"/>
      <c r="L747" s="52"/>
      <c r="M747" s="52"/>
      <c r="N747" s="52"/>
      <c r="O747" s="52"/>
      <c r="P747" s="52"/>
      <c r="Q747" s="52"/>
      <c r="R747" s="52"/>
      <c r="S747" s="52"/>
      <c r="T747" s="52"/>
      <c r="U747" s="52"/>
      <c r="V747" s="52"/>
      <c r="W747" s="52"/>
      <c r="X747" s="52"/>
      <c r="Y747" s="52"/>
      <c r="Z747" s="52"/>
    </row>
    <row r="748">
      <c r="A748" s="59"/>
      <c r="B748" s="34"/>
      <c r="C748" s="52"/>
      <c r="D748" s="52"/>
      <c r="E748" s="52"/>
      <c r="F748" s="52"/>
      <c r="G748" s="52"/>
      <c r="H748" s="52"/>
      <c r="I748" s="52"/>
      <c r="J748" s="52"/>
      <c r="K748" s="52"/>
      <c r="L748" s="52"/>
      <c r="M748" s="52"/>
      <c r="N748" s="52"/>
      <c r="O748" s="52"/>
      <c r="P748" s="52"/>
      <c r="Q748" s="52"/>
      <c r="R748" s="52"/>
      <c r="S748" s="52"/>
      <c r="T748" s="52"/>
      <c r="U748" s="52"/>
      <c r="V748" s="52"/>
      <c r="W748" s="52"/>
      <c r="X748" s="52"/>
      <c r="Y748" s="52"/>
      <c r="Z748" s="52"/>
    </row>
    <row r="749">
      <c r="A749" s="59"/>
      <c r="B749" s="34"/>
      <c r="C749" s="52"/>
      <c r="D749" s="52"/>
      <c r="E749" s="52"/>
      <c r="F749" s="52"/>
      <c r="G749" s="52"/>
      <c r="H749" s="52"/>
      <c r="I749" s="52"/>
      <c r="J749" s="52"/>
      <c r="K749" s="52"/>
      <c r="L749" s="52"/>
      <c r="M749" s="52"/>
      <c r="N749" s="52"/>
      <c r="O749" s="52"/>
      <c r="P749" s="52"/>
      <c r="Q749" s="52"/>
      <c r="R749" s="52"/>
      <c r="S749" s="52"/>
      <c r="T749" s="52"/>
      <c r="U749" s="52"/>
      <c r="V749" s="52"/>
      <c r="W749" s="52"/>
      <c r="X749" s="52"/>
      <c r="Y749" s="52"/>
      <c r="Z749" s="52"/>
    </row>
    <row r="750">
      <c r="A750" s="59"/>
      <c r="B750" s="34"/>
      <c r="C750" s="52"/>
      <c r="D750" s="52"/>
      <c r="E750" s="52"/>
      <c r="F750" s="52"/>
      <c r="G750" s="52"/>
      <c r="H750" s="52"/>
      <c r="I750" s="52"/>
      <c r="J750" s="52"/>
      <c r="K750" s="52"/>
      <c r="L750" s="52"/>
      <c r="M750" s="52"/>
      <c r="N750" s="52"/>
      <c r="O750" s="52"/>
      <c r="P750" s="52"/>
      <c r="Q750" s="52"/>
      <c r="R750" s="52"/>
      <c r="S750" s="52"/>
      <c r="T750" s="52"/>
      <c r="U750" s="52"/>
      <c r="V750" s="52"/>
      <c r="W750" s="52"/>
      <c r="X750" s="52"/>
      <c r="Y750" s="52"/>
      <c r="Z750" s="52"/>
    </row>
    <row r="751">
      <c r="A751" s="59"/>
      <c r="B751" s="34"/>
      <c r="C751" s="52"/>
      <c r="D751" s="52"/>
      <c r="E751" s="52"/>
      <c r="F751" s="52"/>
      <c r="G751" s="52"/>
      <c r="H751" s="52"/>
      <c r="I751" s="52"/>
      <c r="J751" s="52"/>
      <c r="K751" s="52"/>
      <c r="L751" s="52"/>
      <c r="M751" s="52"/>
      <c r="N751" s="52"/>
      <c r="O751" s="52"/>
      <c r="P751" s="52"/>
      <c r="Q751" s="52"/>
      <c r="R751" s="52"/>
      <c r="S751" s="52"/>
      <c r="T751" s="52"/>
      <c r="U751" s="52"/>
      <c r="V751" s="52"/>
      <c r="W751" s="52"/>
      <c r="X751" s="52"/>
      <c r="Y751" s="52"/>
      <c r="Z751" s="52"/>
    </row>
    <row r="752">
      <c r="A752" s="59"/>
      <c r="B752" s="34"/>
      <c r="C752" s="52"/>
      <c r="D752" s="52"/>
      <c r="E752" s="52"/>
      <c r="F752" s="52"/>
      <c r="G752" s="52"/>
      <c r="H752" s="52"/>
      <c r="I752" s="52"/>
      <c r="J752" s="52"/>
      <c r="K752" s="52"/>
      <c r="L752" s="52"/>
      <c r="M752" s="52"/>
      <c r="N752" s="52"/>
      <c r="O752" s="52"/>
      <c r="P752" s="52"/>
      <c r="Q752" s="52"/>
      <c r="R752" s="52"/>
      <c r="S752" s="52"/>
      <c r="T752" s="52"/>
      <c r="U752" s="52"/>
      <c r="V752" s="52"/>
      <c r="W752" s="52"/>
      <c r="X752" s="52"/>
      <c r="Y752" s="52"/>
      <c r="Z752" s="52"/>
    </row>
    <row r="753">
      <c r="A753" s="59"/>
      <c r="B753" s="34"/>
      <c r="C753" s="52"/>
      <c r="D753" s="52"/>
      <c r="E753" s="52"/>
      <c r="F753" s="52"/>
      <c r="G753" s="52"/>
      <c r="H753" s="52"/>
      <c r="I753" s="52"/>
      <c r="J753" s="52"/>
      <c r="K753" s="52"/>
      <c r="L753" s="52"/>
      <c r="M753" s="52"/>
      <c r="N753" s="52"/>
      <c r="O753" s="52"/>
      <c r="P753" s="52"/>
      <c r="Q753" s="52"/>
      <c r="R753" s="52"/>
      <c r="S753" s="52"/>
      <c r="T753" s="52"/>
      <c r="U753" s="52"/>
      <c r="V753" s="52"/>
      <c r="W753" s="52"/>
      <c r="X753" s="52"/>
      <c r="Y753" s="52"/>
      <c r="Z753" s="52"/>
    </row>
    <row r="754">
      <c r="A754" s="59"/>
      <c r="B754" s="34"/>
      <c r="C754" s="52"/>
      <c r="D754" s="52"/>
      <c r="E754" s="52"/>
      <c r="F754" s="52"/>
      <c r="G754" s="52"/>
      <c r="H754" s="52"/>
      <c r="I754" s="52"/>
      <c r="J754" s="52"/>
      <c r="K754" s="52"/>
      <c r="L754" s="52"/>
      <c r="M754" s="52"/>
      <c r="N754" s="52"/>
      <c r="O754" s="52"/>
      <c r="P754" s="52"/>
      <c r="Q754" s="52"/>
      <c r="R754" s="52"/>
      <c r="S754" s="52"/>
      <c r="T754" s="52"/>
      <c r="U754" s="52"/>
      <c r="V754" s="52"/>
      <c r="W754" s="52"/>
      <c r="X754" s="52"/>
      <c r="Y754" s="52"/>
      <c r="Z754" s="52"/>
    </row>
    <row r="755">
      <c r="A755" s="59"/>
      <c r="B755" s="34"/>
      <c r="C755" s="52"/>
      <c r="D755" s="52"/>
      <c r="E755" s="52"/>
      <c r="F755" s="52"/>
      <c r="G755" s="52"/>
      <c r="H755" s="52"/>
      <c r="I755" s="52"/>
      <c r="J755" s="52"/>
      <c r="K755" s="52"/>
      <c r="L755" s="52"/>
      <c r="M755" s="52"/>
      <c r="N755" s="52"/>
      <c r="O755" s="52"/>
      <c r="P755" s="52"/>
      <c r="Q755" s="52"/>
      <c r="R755" s="52"/>
      <c r="S755" s="52"/>
      <c r="T755" s="52"/>
      <c r="U755" s="52"/>
      <c r="V755" s="52"/>
      <c r="W755" s="52"/>
      <c r="X755" s="52"/>
      <c r="Y755" s="52"/>
      <c r="Z755" s="52"/>
    </row>
    <row r="756">
      <c r="A756" s="59"/>
      <c r="B756" s="34"/>
      <c r="C756" s="52"/>
      <c r="D756" s="52"/>
      <c r="E756" s="52"/>
      <c r="F756" s="52"/>
      <c r="G756" s="52"/>
      <c r="H756" s="52"/>
      <c r="I756" s="52"/>
      <c r="J756" s="52"/>
      <c r="K756" s="52"/>
      <c r="L756" s="52"/>
      <c r="M756" s="52"/>
      <c r="N756" s="52"/>
      <c r="O756" s="52"/>
      <c r="P756" s="52"/>
      <c r="Q756" s="52"/>
      <c r="R756" s="52"/>
      <c r="S756" s="52"/>
      <c r="T756" s="52"/>
      <c r="U756" s="52"/>
      <c r="V756" s="52"/>
      <c r="W756" s="52"/>
      <c r="X756" s="52"/>
      <c r="Y756" s="52"/>
      <c r="Z756" s="52"/>
    </row>
    <row r="757">
      <c r="A757" s="59"/>
      <c r="B757" s="34"/>
      <c r="C757" s="52"/>
      <c r="D757" s="52"/>
      <c r="E757" s="52"/>
      <c r="F757" s="52"/>
      <c r="G757" s="52"/>
      <c r="H757" s="52"/>
      <c r="I757" s="52"/>
      <c r="J757" s="52"/>
      <c r="K757" s="52"/>
      <c r="L757" s="52"/>
      <c r="M757" s="52"/>
      <c r="N757" s="52"/>
      <c r="O757" s="52"/>
      <c r="P757" s="52"/>
      <c r="Q757" s="52"/>
      <c r="R757" s="52"/>
      <c r="S757" s="52"/>
      <c r="T757" s="52"/>
      <c r="U757" s="52"/>
      <c r="V757" s="52"/>
      <c r="W757" s="52"/>
      <c r="X757" s="52"/>
      <c r="Y757" s="52"/>
      <c r="Z757" s="52"/>
    </row>
    <row r="758">
      <c r="A758" s="59"/>
      <c r="B758" s="34"/>
      <c r="C758" s="52"/>
      <c r="D758" s="52"/>
      <c r="E758" s="52"/>
      <c r="F758" s="52"/>
      <c r="G758" s="52"/>
      <c r="H758" s="52"/>
      <c r="I758" s="52"/>
      <c r="J758" s="52"/>
      <c r="K758" s="52"/>
      <c r="L758" s="52"/>
      <c r="M758" s="52"/>
      <c r="N758" s="52"/>
      <c r="O758" s="52"/>
      <c r="P758" s="52"/>
      <c r="Q758" s="52"/>
      <c r="R758" s="52"/>
      <c r="S758" s="52"/>
      <c r="T758" s="52"/>
      <c r="U758" s="52"/>
      <c r="V758" s="52"/>
      <c r="W758" s="52"/>
      <c r="X758" s="52"/>
      <c r="Y758" s="52"/>
      <c r="Z758" s="52"/>
    </row>
    <row r="759">
      <c r="A759" s="59"/>
      <c r="B759" s="34"/>
      <c r="C759" s="52"/>
      <c r="D759" s="52"/>
      <c r="E759" s="52"/>
      <c r="F759" s="52"/>
      <c r="G759" s="52"/>
      <c r="H759" s="52"/>
      <c r="I759" s="52"/>
      <c r="J759" s="52"/>
      <c r="K759" s="52"/>
      <c r="L759" s="52"/>
      <c r="M759" s="52"/>
      <c r="N759" s="52"/>
      <c r="O759" s="52"/>
      <c r="P759" s="52"/>
      <c r="Q759" s="52"/>
      <c r="R759" s="52"/>
      <c r="S759" s="52"/>
      <c r="T759" s="52"/>
      <c r="U759" s="52"/>
      <c r="V759" s="52"/>
      <c r="W759" s="52"/>
      <c r="X759" s="52"/>
      <c r="Y759" s="52"/>
      <c r="Z759" s="52"/>
    </row>
    <row r="760">
      <c r="A760" s="59"/>
      <c r="B760" s="34"/>
      <c r="C760" s="52"/>
      <c r="D760" s="52"/>
      <c r="E760" s="52"/>
      <c r="F760" s="52"/>
      <c r="G760" s="52"/>
      <c r="H760" s="52"/>
      <c r="I760" s="52"/>
      <c r="J760" s="52"/>
      <c r="K760" s="52"/>
      <c r="L760" s="52"/>
      <c r="M760" s="52"/>
      <c r="N760" s="52"/>
      <c r="O760" s="52"/>
      <c r="P760" s="52"/>
      <c r="Q760" s="52"/>
      <c r="R760" s="52"/>
      <c r="S760" s="52"/>
      <c r="T760" s="52"/>
      <c r="U760" s="52"/>
      <c r="V760" s="52"/>
      <c r="W760" s="52"/>
      <c r="X760" s="52"/>
      <c r="Y760" s="52"/>
      <c r="Z760" s="52"/>
    </row>
    <row r="761">
      <c r="A761" s="59"/>
      <c r="B761" s="34"/>
      <c r="C761" s="52"/>
      <c r="D761" s="52"/>
      <c r="E761" s="52"/>
      <c r="F761" s="52"/>
      <c r="G761" s="52"/>
      <c r="H761" s="52"/>
      <c r="I761" s="52"/>
      <c r="J761" s="52"/>
      <c r="K761" s="52"/>
      <c r="L761" s="52"/>
      <c r="M761" s="52"/>
      <c r="N761" s="52"/>
      <c r="O761" s="52"/>
      <c r="P761" s="52"/>
      <c r="Q761" s="52"/>
      <c r="R761" s="52"/>
      <c r="S761" s="52"/>
      <c r="T761" s="52"/>
      <c r="U761" s="52"/>
      <c r="V761" s="52"/>
      <c r="W761" s="52"/>
      <c r="X761" s="52"/>
      <c r="Y761" s="52"/>
      <c r="Z761" s="52"/>
    </row>
    <row r="762">
      <c r="A762" s="59"/>
      <c r="B762" s="34"/>
      <c r="C762" s="52"/>
      <c r="D762" s="52"/>
      <c r="E762" s="52"/>
      <c r="F762" s="52"/>
      <c r="G762" s="52"/>
      <c r="H762" s="52"/>
      <c r="I762" s="52"/>
      <c r="J762" s="52"/>
      <c r="K762" s="52"/>
      <c r="L762" s="52"/>
      <c r="M762" s="52"/>
      <c r="N762" s="52"/>
      <c r="O762" s="52"/>
      <c r="P762" s="52"/>
      <c r="Q762" s="52"/>
      <c r="R762" s="52"/>
      <c r="S762" s="52"/>
      <c r="T762" s="52"/>
      <c r="U762" s="52"/>
      <c r="V762" s="52"/>
      <c r="W762" s="52"/>
      <c r="X762" s="52"/>
      <c r="Y762" s="52"/>
      <c r="Z762" s="52"/>
    </row>
    <row r="763">
      <c r="A763" s="59"/>
      <c r="B763" s="34"/>
      <c r="C763" s="52"/>
      <c r="D763" s="52"/>
      <c r="E763" s="52"/>
      <c r="F763" s="52"/>
      <c r="G763" s="52"/>
      <c r="H763" s="52"/>
      <c r="I763" s="52"/>
      <c r="J763" s="52"/>
      <c r="K763" s="52"/>
      <c r="L763" s="52"/>
      <c r="M763" s="52"/>
      <c r="N763" s="52"/>
      <c r="O763" s="52"/>
      <c r="P763" s="52"/>
      <c r="Q763" s="52"/>
      <c r="R763" s="52"/>
      <c r="S763" s="52"/>
      <c r="T763" s="52"/>
      <c r="U763" s="52"/>
      <c r="V763" s="52"/>
      <c r="W763" s="52"/>
      <c r="X763" s="52"/>
      <c r="Y763" s="52"/>
      <c r="Z763" s="52"/>
    </row>
    <row r="764">
      <c r="A764" s="59"/>
      <c r="B764" s="34"/>
      <c r="C764" s="52"/>
      <c r="D764" s="52"/>
      <c r="E764" s="52"/>
      <c r="F764" s="52"/>
      <c r="G764" s="52"/>
      <c r="H764" s="52"/>
      <c r="I764" s="52"/>
      <c r="J764" s="52"/>
      <c r="K764" s="52"/>
      <c r="L764" s="52"/>
      <c r="M764" s="52"/>
      <c r="N764" s="52"/>
      <c r="O764" s="52"/>
      <c r="P764" s="52"/>
      <c r="Q764" s="52"/>
      <c r="R764" s="52"/>
      <c r="S764" s="52"/>
      <c r="T764" s="52"/>
      <c r="U764" s="52"/>
      <c r="V764" s="52"/>
      <c r="W764" s="52"/>
      <c r="X764" s="52"/>
      <c r="Y764" s="52"/>
      <c r="Z764" s="52"/>
    </row>
    <row r="765">
      <c r="A765" s="59"/>
      <c r="B765" s="34"/>
      <c r="C765" s="52"/>
      <c r="D765" s="52"/>
      <c r="E765" s="52"/>
      <c r="F765" s="52"/>
      <c r="G765" s="52"/>
      <c r="H765" s="52"/>
      <c r="I765" s="52"/>
      <c r="J765" s="52"/>
      <c r="K765" s="52"/>
      <c r="L765" s="52"/>
      <c r="M765" s="52"/>
      <c r="N765" s="52"/>
      <c r="O765" s="52"/>
      <c r="P765" s="52"/>
      <c r="Q765" s="52"/>
      <c r="R765" s="52"/>
      <c r="S765" s="52"/>
      <c r="T765" s="52"/>
      <c r="U765" s="52"/>
      <c r="V765" s="52"/>
      <c r="W765" s="52"/>
      <c r="X765" s="52"/>
      <c r="Y765" s="52"/>
      <c r="Z765" s="52"/>
    </row>
    <row r="766">
      <c r="A766" s="59"/>
      <c r="B766" s="34"/>
      <c r="C766" s="52"/>
      <c r="D766" s="52"/>
      <c r="E766" s="52"/>
      <c r="F766" s="52"/>
      <c r="G766" s="52"/>
      <c r="H766" s="52"/>
      <c r="I766" s="52"/>
      <c r="J766" s="52"/>
      <c r="K766" s="52"/>
      <c r="L766" s="52"/>
      <c r="M766" s="52"/>
      <c r="N766" s="52"/>
      <c r="O766" s="52"/>
      <c r="P766" s="52"/>
      <c r="Q766" s="52"/>
      <c r="R766" s="52"/>
      <c r="S766" s="52"/>
      <c r="T766" s="52"/>
      <c r="U766" s="52"/>
      <c r="V766" s="52"/>
      <c r="W766" s="52"/>
      <c r="X766" s="52"/>
      <c r="Y766" s="52"/>
      <c r="Z766" s="52"/>
    </row>
    <row r="767">
      <c r="A767" s="59"/>
      <c r="B767" s="34"/>
      <c r="C767" s="52"/>
      <c r="D767" s="52"/>
      <c r="E767" s="52"/>
      <c r="F767" s="52"/>
      <c r="G767" s="52"/>
      <c r="H767" s="52"/>
      <c r="I767" s="52"/>
      <c r="J767" s="52"/>
      <c r="K767" s="52"/>
      <c r="L767" s="52"/>
      <c r="M767" s="52"/>
      <c r="N767" s="52"/>
      <c r="O767" s="52"/>
      <c r="P767" s="52"/>
      <c r="Q767" s="52"/>
      <c r="R767" s="52"/>
      <c r="S767" s="52"/>
      <c r="T767" s="52"/>
      <c r="U767" s="52"/>
      <c r="V767" s="52"/>
      <c r="W767" s="52"/>
      <c r="X767" s="52"/>
      <c r="Y767" s="52"/>
      <c r="Z767" s="52"/>
    </row>
    <row r="768">
      <c r="A768" s="59"/>
      <c r="B768" s="34"/>
      <c r="C768" s="52"/>
      <c r="D768" s="52"/>
      <c r="E768" s="52"/>
      <c r="F768" s="52"/>
      <c r="G768" s="52"/>
      <c r="H768" s="52"/>
      <c r="I768" s="52"/>
      <c r="J768" s="52"/>
      <c r="K768" s="52"/>
      <c r="L768" s="52"/>
      <c r="M768" s="52"/>
      <c r="N768" s="52"/>
      <c r="O768" s="52"/>
      <c r="P768" s="52"/>
      <c r="Q768" s="52"/>
      <c r="R768" s="52"/>
      <c r="S768" s="52"/>
      <c r="T768" s="52"/>
      <c r="U768" s="52"/>
      <c r="V768" s="52"/>
      <c r="W768" s="52"/>
      <c r="X768" s="52"/>
      <c r="Y768" s="52"/>
      <c r="Z768" s="52"/>
    </row>
    <row r="769">
      <c r="A769" s="59"/>
      <c r="B769" s="34"/>
      <c r="C769" s="52"/>
      <c r="D769" s="52"/>
      <c r="E769" s="52"/>
      <c r="F769" s="52"/>
      <c r="G769" s="52"/>
      <c r="H769" s="52"/>
      <c r="I769" s="52"/>
      <c r="J769" s="52"/>
      <c r="K769" s="52"/>
      <c r="L769" s="52"/>
      <c r="M769" s="52"/>
      <c r="N769" s="52"/>
      <c r="O769" s="52"/>
      <c r="P769" s="52"/>
      <c r="Q769" s="52"/>
      <c r="R769" s="52"/>
      <c r="S769" s="52"/>
      <c r="T769" s="52"/>
      <c r="U769" s="52"/>
      <c r="V769" s="52"/>
      <c r="W769" s="52"/>
      <c r="X769" s="52"/>
      <c r="Y769" s="52"/>
      <c r="Z769" s="52"/>
    </row>
    <row r="770">
      <c r="A770" s="59"/>
      <c r="B770" s="34"/>
      <c r="C770" s="52"/>
      <c r="D770" s="52"/>
      <c r="E770" s="52"/>
      <c r="F770" s="52"/>
      <c r="G770" s="52"/>
      <c r="H770" s="52"/>
      <c r="I770" s="52"/>
      <c r="J770" s="52"/>
      <c r="K770" s="52"/>
      <c r="L770" s="52"/>
      <c r="M770" s="52"/>
      <c r="N770" s="52"/>
      <c r="O770" s="52"/>
      <c r="P770" s="52"/>
      <c r="Q770" s="52"/>
      <c r="R770" s="52"/>
      <c r="S770" s="52"/>
      <c r="T770" s="52"/>
      <c r="U770" s="52"/>
      <c r="V770" s="52"/>
      <c r="W770" s="52"/>
      <c r="X770" s="52"/>
      <c r="Y770" s="52"/>
      <c r="Z770" s="52"/>
    </row>
    <row r="771">
      <c r="A771" s="59"/>
      <c r="B771" s="34"/>
      <c r="C771" s="52"/>
      <c r="D771" s="52"/>
      <c r="E771" s="52"/>
      <c r="F771" s="52"/>
      <c r="G771" s="52"/>
      <c r="H771" s="52"/>
      <c r="I771" s="52"/>
      <c r="J771" s="52"/>
      <c r="K771" s="52"/>
      <c r="L771" s="52"/>
      <c r="M771" s="52"/>
      <c r="N771" s="52"/>
      <c r="O771" s="52"/>
      <c r="P771" s="52"/>
      <c r="Q771" s="52"/>
      <c r="R771" s="52"/>
      <c r="S771" s="52"/>
      <c r="T771" s="52"/>
      <c r="U771" s="52"/>
      <c r="V771" s="52"/>
      <c r="W771" s="52"/>
      <c r="X771" s="52"/>
      <c r="Y771" s="52"/>
      <c r="Z771" s="52"/>
    </row>
    <row r="772">
      <c r="A772" s="59"/>
      <c r="B772" s="34"/>
      <c r="C772" s="52"/>
      <c r="D772" s="52"/>
      <c r="E772" s="52"/>
      <c r="F772" s="52"/>
      <c r="G772" s="52"/>
      <c r="H772" s="52"/>
      <c r="I772" s="52"/>
      <c r="J772" s="52"/>
      <c r="K772" s="52"/>
      <c r="L772" s="52"/>
      <c r="M772" s="52"/>
      <c r="N772" s="52"/>
      <c r="O772" s="52"/>
      <c r="P772" s="52"/>
      <c r="Q772" s="52"/>
      <c r="R772" s="52"/>
      <c r="S772" s="52"/>
      <c r="T772" s="52"/>
      <c r="U772" s="52"/>
      <c r="V772" s="52"/>
      <c r="W772" s="52"/>
      <c r="X772" s="52"/>
      <c r="Y772" s="52"/>
      <c r="Z772" s="52"/>
    </row>
    <row r="773">
      <c r="A773" s="59"/>
      <c r="B773" s="34"/>
      <c r="C773" s="52"/>
      <c r="D773" s="52"/>
      <c r="E773" s="52"/>
      <c r="F773" s="52"/>
      <c r="G773" s="52"/>
      <c r="H773" s="52"/>
      <c r="I773" s="52"/>
      <c r="J773" s="52"/>
      <c r="K773" s="52"/>
      <c r="L773" s="52"/>
      <c r="M773" s="52"/>
      <c r="N773" s="52"/>
      <c r="O773" s="52"/>
      <c r="P773" s="52"/>
      <c r="Q773" s="52"/>
      <c r="R773" s="52"/>
      <c r="S773" s="52"/>
      <c r="T773" s="52"/>
      <c r="U773" s="52"/>
      <c r="V773" s="52"/>
      <c r="W773" s="52"/>
      <c r="X773" s="52"/>
      <c r="Y773" s="52"/>
      <c r="Z773" s="52"/>
    </row>
    <row r="774">
      <c r="A774" s="59"/>
      <c r="B774" s="34"/>
      <c r="C774" s="52"/>
      <c r="D774" s="52"/>
      <c r="E774" s="52"/>
      <c r="F774" s="52"/>
      <c r="G774" s="52"/>
      <c r="H774" s="52"/>
      <c r="I774" s="52"/>
      <c r="J774" s="52"/>
      <c r="K774" s="52"/>
      <c r="L774" s="52"/>
      <c r="M774" s="52"/>
      <c r="N774" s="52"/>
      <c r="O774" s="52"/>
      <c r="P774" s="52"/>
      <c r="Q774" s="52"/>
      <c r="R774" s="52"/>
      <c r="S774" s="52"/>
      <c r="T774" s="52"/>
      <c r="U774" s="52"/>
      <c r="V774" s="52"/>
      <c r="W774" s="52"/>
      <c r="X774" s="52"/>
      <c r="Y774" s="52"/>
      <c r="Z774" s="52"/>
    </row>
    <row r="775">
      <c r="A775" s="59"/>
      <c r="B775" s="34"/>
      <c r="C775" s="52"/>
      <c r="D775" s="52"/>
      <c r="E775" s="52"/>
      <c r="F775" s="52"/>
      <c r="G775" s="52"/>
      <c r="H775" s="52"/>
      <c r="I775" s="52"/>
      <c r="J775" s="52"/>
      <c r="K775" s="52"/>
      <c r="L775" s="52"/>
      <c r="M775" s="52"/>
      <c r="N775" s="52"/>
      <c r="O775" s="52"/>
      <c r="P775" s="52"/>
      <c r="Q775" s="52"/>
      <c r="R775" s="52"/>
      <c r="S775" s="52"/>
      <c r="T775" s="52"/>
      <c r="U775" s="52"/>
      <c r="V775" s="52"/>
      <c r="W775" s="52"/>
      <c r="X775" s="52"/>
      <c r="Y775" s="52"/>
      <c r="Z775" s="52"/>
    </row>
    <row r="776">
      <c r="A776" s="59"/>
      <c r="B776" s="34"/>
      <c r="C776" s="52"/>
      <c r="D776" s="52"/>
      <c r="E776" s="52"/>
      <c r="F776" s="52"/>
      <c r="G776" s="52"/>
      <c r="H776" s="52"/>
      <c r="I776" s="52"/>
      <c r="J776" s="52"/>
      <c r="K776" s="52"/>
      <c r="L776" s="52"/>
      <c r="M776" s="52"/>
      <c r="N776" s="52"/>
      <c r="O776" s="52"/>
      <c r="P776" s="52"/>
      <c r="Q776" s="52"/>
      <c r="R776" s="52"/>
      <c r="S776" s="52"/>
      <c r="T776" s="52"/>
      <c r="U776" s="52"/>
      <c r="V776" s="52"/>
      <c r="W776" s="52"/>
      <c r="X776" s="52"/>
      <c r="Y776" s="52"/>
      <c r="Z776" s="52"/>
    </row>
    <row r="777">
      <c r="A777" s="59"/>
      <c r="B777" s="34"/>
      <c r="C777" s="52"/>
      <c r="D777" s="52"/>
      <c r="E777" s="52"/>
      <c r="F777" s="52"/>
      <c r="G777" s="52"/>
      <c r="H777" s="52"/>
      <c r="I777" s="52"/>
      <c r="J777" s="52"/>
      <c r="K777" s="52"/>
      <c r="L777" s="52"/>
      <c r="M777" s="52"/>
      <c r="N777" s="52"/>
      <c r="O777" s="52"/>
      <c r="P777" s="52"/>
      <c r="Q777" s="52"/>
      <c r="R777" s="52"/>
      <c r="S777" s="52"/>
      <c r="T777" s="52"/>
      <c r="U777" s="52"/>
      <c r="V777" s="52"/>
      <c r="W777" s="52"/>
      <c r="X777" s="52"/>
      <c r="Y777" s="52"/>
      <c r="Z777" s="52"/>
    </row>
    <row r="778">
      <c r="A778" s="59"/>
      <c r="B778" s="34"/>
      <c r="C778" s="52"/>
      <c r="D778" s="52"/>
      <c r="E778" s="52"/>
      <c r="F778" s="52"/>
      <c r="G778" s="52"/>
      <c r="H778" s="52"/>
      <c r="I778" s="52"/>
      <c r="J778" s="52"/>
      <c r="K778" s="52"/>
      <c r="L778" s="52"/>
      <c r="M778" s="52"/>
      <c r="N778" s="52"/>
      <c r="O778" s="52"/>
      <c r="P778" s="52"/>
      <c r="Q778" s="52"/>
      <c r="R778" s="52"/>
      <c r="S778" s="52"/>
      <c r="T778" s="52"/>
      <c r="U778" s="52"/>
      <c r="V778" s="52"/>
      <c r="W778" s="52"/>
      <c r="X778" s="52"/>
      <c r="Y778" s="52"/>
      <c r="Z778" s="52"/>
    </row>
    <row r="779">
      <c r="A779" s="59"/>
      <c r="B779" s="34"/>
      <c r="C779" s="52"/>
      <c r="D779" s="52"/>
      <c r="E779" s="52"/>
      <c r="F779" s="52"/>
      <c r="G779" s="52"/>
      <c r="H779" s="52"/>
      <c r="I779" s="52"/>
      <c r="J779" s="52"/>
      <c r="K779" s="52"/>
      <c r="L779" s="52"/>
      <c r="M779" s="52"/>
      <c r="N779" s="52"/>
      <c r="O779" s="52"/>
      <c r="P779" s="52"/>
      <c r="Q779" s="52"/>
      <c r="R779" s="52"/>
      <c r="S779" s="52"/>
      <c r="T779" s="52"/>
      <c r="U779" s="52"/>
      <c r="V779" s="52"/>
      <c r="W779" s="52"/>
      <c r="X779" s="52"/>
      <c r="Y779" s="52"/>
      <c r="Z779" s="52"/>
    </row>
    <row r="780">
      <c r="A780" s="59"/>
      <c r="B780" s="34"/>
      <c r="C780" s="52"/>
      <c r="D780" s="52"/>
      <c r="E780" s="52"/>
      <c r="F780" s="52"/>
      <c r="G780" s="52"/>
      <c r="H780" s="52"/>
      <c r="I780" s="52"/>
      <c r="J780" s="52"/>
      <c r="K780" s="52"/>
      <c r="L780" s="52"/>
      <c r="M780" s="52"/>
      <c r="N780" s="52"/>
      <c r="O780" s="52"/>
      <c r="P780" s="52"/>
      <c r="Q780" s="52"/>
      <c r="R780" s="52"/>
      <c r="S780" s="52"/>
      <c r="T780" s="52"/>
      <c r="U780" s="52"/>
      <c r="V780" s="52"/>
      <c r="W780" s="52"/>
      <c r="X780" s="52"/>
      <c r="Y780" s="52"/>
      <c r="Z780" s="52"/>
    </row>
    <row r="781">
      <c r="A781" s="59"/>
      <c r="B781" s="34"/>
      <c r="C781" s="52"/>
      <c r="D781" s="52"/>
      <c r="E781" s="52"/>
      <c r="F781" s="52"/>
      <c r="G781" s="52"/>
      <c r="H781" s="52"/>
      <c r="I781" s="52"/>
      <c r="J781" s="52"/>
      <c r="K781" s="52"/>
      <c r="L781" s="52"/>
      <c r="M781" s="52"/>
      <c r="N781" s="52"/>
      <c r="O781" s="52"/>
      <c r="P781" s="52"/>
      <c r="Q781" s="52"/>
      <c r="R781" s="52"/>
      <c r="S781" s="52"/>
      <c r="T781" s="52"/>
      <c r="U781" s="52"/>
      <c r="V781" s="52"/>
      <c r="W781" s="52"/>
      <c r="X781" s="52"/>
      <c r="Y781" s="52"/>
      <c r="Z781" s="52"/>
    </row>
    <row r="782">
      <c r="A782" s="59"/>
      <c r="B782" s="34"/>
      <c r="C782" s="52"/>
      <c r="D782" s="52"/>
      <c r="E782" s="52"/>
      <c r="F782" s="52"/>
      <c r="G782" s="52"/>
      <c r="H782" s="52"/>
      <c r="I782" s="52"/>
      <c r="J782" s="52"/>
      <c r="K782" s="52"/>
      <c r="L782" s="52"/>
      <c r="M782" s="52"/>
      <c r="N782" s="52"/>
      <c r="O782" s="52"/>
      <c r="P782" s="52"/>
      <c r="Q782" s="52"/>
      <c r="R782" s="52"/>
      <c r="S782" s="52"/>
      <c r="T782" s="52"/>
      <c r="U782" s="52"/>
      <c r="V782" s="52"/>
      <c r="W782" s="52"/>
      <c r="X782" s="52"/>
      <c r="Y782" s="52"/>
      <c r="Z782" s="52"/>
    </row>
    <row r="783">
      <c r="A783" s="59"/>
      <c r="B783" s="34"/>
      <c r="C783" s="52"/>
      <c r="D783" s="52"/>
      <c r="E783" s="52"/>
      <c r="F783" s="52"/>
      <c r="G783" s="52"/>
      <c r="H783" s="52"/>
      <c r="I783" s="52"/>
      <c r="J783" s="52"/>
      <c r="K783" s="52"/>
      <c r="L783" s="52"/>
      <c r="M783" s="52"/>
      <c r="N783" s="52"/>
      <c r="O783" s="52"/>
      <c r="P783" s="52"/>
      <c r="Q783" s="52"/>
      <c r="R783" s="52"/>
      <c r="S783" s="52"/>
      <c r="T783" s="52"/>
      <c r="U783" s="52"/>
      <c r="V783" s="52"/>
      <c r="W783" s="52"/>
      <c r="X783" s="52"/>
      <c r="Y783" s="52"/>
      <c r="Z783" s="52"/>
    </row>
    <row r="784">
      <c r="A784" s="59"/>
      <c r="B784" s="34"/>
      <c r="C784" s="52"/>
      <c r="D784" s="52"/>
      <c r="E784" s="52"/>
      <c r="F784" s="52"/>
      <c r="G784" s="52"/>
      <c r="H784" s="52"/>
      <c r="I784" s="52"/>
      <c r="J784" s="52"/>
      <c r="K784" s="52"/>
      <c r="L784" s="52"/>
      <c r="M784" s="52"/>
      <c r="N784" s="52"/>
      <c r="O784" s="52"/>
      <c r="P784" s="52"/>
      <c r="Q784" s="52"/>
      <c r="R784" s="52"/>
      <c r="S784" s="52"/>
      <c r="T784" s="52"/>
      <c r="U784" s="52"/>
      <c r="V784" s="52"/>
      <c r="W784" s="52"/>
      <c r="X784" s="52"/>
      <c r="Y784" s="52"/>
      <c r="Z784" s="52"/>
    </row>
    <row r="785">
      <c r="A785" s="59"/>
      <c r="B785" s="34"/>
      <c r="C785" s="52"/>
      <c r="D785" s="52"/>
      <c r="E785" s="52"/>
      <c r="F785" s="52"/>
      <c r="G785" s="52"/>
      <c r="H785" s="52"/>
      <c r="I785" s="52"/>
      <c r="J785" s="52"/>
      <c r="K785" s="52"/>
      <c r="L785" s="52"/>
      <c r="M785" s="52"/>
      <c r="N785" s="52"/>
      <c r="O785" s="52"/>
      <c r="P785" s="52"/>
      <c r="Q785" s="52"/>
      <c r="R785" s="52"/>
      <c r="S785" s="52"/>
      <c r="T785" s="52"/>
      <c r="U785" s="52"/>
      <c r="V785" s="52"/>
      <c r="W785" s="52"/>
      <c r="X785" s="52"/>
      <c r="Y785" s="52"/>
      <c r="Z785" s="52"/>
    </row>
    <row r="786">
      <c r="A786" s="59"/>
      <c r="B786" s="34"/>
      <c r="C786" s="52"/>
      <c r="D786" s="52"/>
      <c r="E786" s="52"/>
      <c r="F786" s="52"/>
      <c r="G786" s="52"/>
      <c r="H786" s="52"/>
      <c r="I786" s="52"/>
      <c r="J786" s="52"/>
      <c r="K786" s="52"/>
      <c r="L786" s="52"/>
      <c r="M786" s="52"/>
      <c r="N786" s="52"/>
      <c r="O786" s="52"/>
      <c r="P786" s="52"/>
      <c r="Q786" s="52"/>
      <c r="R786" s="52"/>
      <c r="S786" s="52"/>
      <c r="T786" s="52"/>
      <c r="U786" s="52"/>
      <c r="V786" s="52"/>
      <c r="W786" s="52"/>
      <c r="X786" s="52"/>
      <c r="Y786" s="52"/>
      <c r="Z786" s="52"/>
    </row>
    <row r="787">
      <c r="A787" s="59"/>
      <c r="B787" s="34"/>
      <c r="C787" s="52"/>
      <c r="D787" s="52"/>
      <c r="E787" s="52"/>
      <c r="F787" s="52"/>
      <c r="G787" s="52"/>
      <c r="H787" s="52"/>
      <c r="I787" s="52"/>
      <c r="J787" s="52"/>
      <c r="K787" s="52"/>
      <c r="L787" s="52"/>
      <c r="M787" s="52"/>
      <c r="N787" s="52"/>
      <c r="O787" s="52"/>
      <c r="P787" s="52"/>
      <c r="Q787" s="52"/>
      <c r="R787" s="52"/>
      <c r="S787" s="52"/>
      <c r="T787" s="52"/>
      <c r="U787" s="52"/>
      <c r="V787" s="52"/>
      <c r="W787" s="52"/>
      <c r="X787" s="52"/>
      <c r="Y787" s="52"/>
      <c r="Z787" s="52"/>
    </row>
    <row r="788">
      <c r="A788" s="59"/>
      <c r="B788" s="34"/>
      <c r="C788" s="52"/>
      <c r="D788" s="52"/>
      <c r="E788" s="52"/>
      <c r="F788" s="52"/>
      <c r="G788" s="52"/>
      <c r="H788" s="52"/>
      <c r="I788" s="52"/>
      <c r="J788" s="52"/>
      <c r="K788" s="52"/>
      <c r="L788" s="52"/>
      <c r="M788" s="52"/>
      <c r="N788" s="52"/>
      <c r="O788" s="52"/>
      <c r="P788" s="52"/>
      <c r="Q788" s="52"/>
      <c r="R788" s="52"/>
      <c r="S788" s="52"/>
      <c r="T788" s="52"/>
      <c r="U788" s="52"/>
      <c r="V788" s="52"/>
      <c r="W788" s="52"/>
      <c r="X788" s="52"/>
      <c r="Y788" s="52"/>
      <c r="Z788" s="52"/>
    </row>
    <row r="789">
      <c r="A789" s="59"/>
      <c r="B789" s="34"/>
      <c r="C789" s="52"/>
      <c r="D789" s="52"/>
      <c r="E789" s="52"/>
      <c r="F789" s="52"/>
      <c r="G789" s="52"/>
      <c r="H789" s="52"/>
      <c r="I789" s="52"/>
      <c r="J789" s="52"/>
      <c r="K789" s="52"/>
      <c r="L789" s="52"/>
      <c r="M789" s="52"/>
      <c r="N789" s="52"/>
      <c r="O789" s="52"/>
      <c r="P789" s="52"/>
      <c r="Q789" s="52"/>
      <c r="R789" s="52"/>
      <c r="S789" s="52"/>
      <c r="T789" s="52"/>
      <c r="U789" s="52"/>
      <c r="V789" s="52"/>
      <c r="W789" s="52"/>
      <c r="X789" s="52"/>
      <c r="Y789" s="52"/>
      <c r="Z789" s="52"/>
    </row>
    <row r="790">
      <c r="A790" s="59"/>
      <c r="B790" s="34"/>
      <c r="C790" s="52"/>
      <c r="D790" s="52"/>
      <c r="E790" s="52"/>
      <c r="F790" s="52"/>
      <c r="G790" s="52"/>
      <c r="H790" s="52"/>
      <c r="I790" s="52"/>
      <c r="J790" s="52"/>
      <c r="K790" s="52"/>
      <c r="L790" s="52"/>
      <c r="M790" s="52"/>
      <c r="N790" s="52"/>
      <c r="O790" s="52"/>
      <c r="P790" s="52"/>
      <c r="Q790" s="52"/>
      <c r="R790" s="52"/>
      <c r="S790" s="52"/>
      <c r="T790" s="52"/>
      <c r="U790" s="52"/>
      <c r="V790" s="52"/>
      <c r="W790" s="52"/>
      <c r="X790" s="52"/>
      <c r="Y790" s="52"/>
      <c r="Z790" s="52"/>
    </row>
    <row r="791">
      <c r="A791" s="59"/>
      <c r="B791" s="34"/>
      <c r="C791" s="52"/>
      <c r="D791" s="52"/>
      <c r="E791" s="52"/>
      <c r="F791" s="52"/>
      <c r="G791" s="52"/>
      <c r="H791" s="52"/>
      <c r="I791" s="52"/>
      <c r="J791" s="52"/>
      <c r="K791" s="52"/>
      <c r="L791" s="52"/>
      <c r="M791" s="52"/>
      <c r="N791" s="52"/>
      <c r="O791" s="52"/>
      <c r="P791" s="52"/>
      <c r="Q791" s="52"/>
      <c r="R791" s="52"/>
      <c r="S791" s="52"/>
      <c r="T791" s="52"/>
      <c r="U791" s="52"/>
      <c r="V791" s="52"/>
      <c r="W791" s="52"/>
      <c r="X791" s="52"/>
      <c r="Y791" s="52"/>
      <c r="Z791" s="52"/>
    </row>
    <row r="792">
      <c r="A792" s="59"/>
      <c r="B792" s="34"/>
      <c r="C792" s="52"/>
      <c r="D792" s="52"/>
      <c r="E792" s="52"/>
      <c r="F792" s="52"/>
      <c r="G792" s="52"/>
      <c r="H792" s="52"/>
      <c r="I792" s="52"/>
      <c r="J792" s="52"/>
      <c r="K792" s="52"/>
      <c r="L792" s="52"/>
      <c r="M792" s="52"/>
      <c r="N792" s="52"/>
      <c r="O792" s="52"/>
      <c r="P792" s="52"/>
      <c r="Q792" s="52"/>
      <c r="R792" s="52"/>
      <c r="S792" s="52"/>
      <c r="T792" s="52"/>
      <c r="U792" s="52"/>
      <c r="V792" s="52"/>
      <c r="W792" s="52"/>
      <c r="X792" s="52"/>
      <c r="Y792" s="52"/>
      <c r="Z792" s="52"/>
    </row>
    <row r="793">
      <c r="A793" s="59"/>
      <c r="B793" s="34"/>
      <c r="C793" s="52"/>
      <c r="D793" s="52"/>
      <c r="E793" s="52"/>
      <c r="F793" s="52"/>
      <c r="G793" s="52"/>
      <c r="H793" s="52"/>
      <c r="I793" s="52"/>
      <c r="J793" s="52"/>
      <c r="K793" s="52"/>
      <c r="L793" s="52"/>
      <c r="M793" s="52"/>
      <c r="N793" s="52"/>
      <c r="O793" s="52"/>
      <c r="P793" s="52"/>
      <c r="Q793" s="52"/>
      <c r="R793" s="52"/>
      <c r="S793" s="52"/>
      <c r="T793" s="52"/>
      <c r="U793" s="52"/>
      <c r="V793" s="52"/>
      <c r="W793" s="52"/>
      <c r="X793" s="52"/>
      <c r="Y793" s="52"/>
      <c r="Z793" s="52"/>
    </row>
    <row r="794">
      <c r="A794" s="59"/>
      <c r="B794" s="34"/>
      <c r="C794" s="52"/>
      <c r="D794" s="52"/>
      <c r="E794" s="52"/>
      <c r="F794" s="52"/>
      <c r="G794" s="52"/>
      <c r="H794" s="52"/>
      <c r="I794" s="52"/>
      <c r="J794" s="52"/>
      <c r="K794" s="52"/>
      <c r="L794" s="52"/>
      <c r="M794" s="52"/>
      <c r="N794" s="52"/>
      <c r="O794" s="52"/>
      <c r="P794" s="52"/>
      <c r="Q794" s="52"/>
      <c r="R794" s="52"/>
      <c r="S794" s="52"/>
      <c r="T794" s="52"/>
      <c r="U794" s="52"/>
      <c r="V794" s="52"/>
      <c r="W794" s="52"/>
      <c r="X794" s="52"/>
      <c r="Y794" s="52"/>
      <c r="Z794" s="52"/>
    </row>
    <row r="795">
      <c r="A795" s="59"/>
      <c r="B795" s="34"/>
      <c r="C795" s="52"/>
      <c r="D795" s="52"/>
      <c r="E795" s="52"/>
      <c r="F795" s="52"/>
      <c r="G795" s="52"/>
      <c r="H795" s="52"/>
      <c r="I795" s="52"/>
      <c r="J795" s="52"/>
      <c r="K795" s="52"/>
      <c r="L795" s="52"/>
      <c r="M795" s="52"/>
      <c r="N795" s="52"/>
      <c r="O795" s="52"/>
      <c r="P795" s="52"/>
      <c r="Q795" s="52"/>
      <c r="R795" s="52"/>
      <c r="S795" s="52"/>
      <c r="T795" s="52"/>
      <c r="U795" s="52"/>
      <c r="V795" s="52"/>
      <c r="W795" s="52"/>
      <c r="X795" s="52"/>
      <c r="Y795" s="52"/>
      <c r="Z795" s="52"/>
    </row>
    <row r="796">
      <c r="A796" s="59"/>
      <c r="B796" s="34"/>
      <c r="C796" s="52"/>
      <c r="D796" s="52"/>
      <c r="E796" s="52"/>
      <c r="F796" s="52"/>
      <c r="G796" s="52"/>
      <c r="H796" s="52"/>
      <c r="I796" s="52"/>
      <c r="J796" s="52"/>
      <c r="K796" s="52"/>
      <c r="L796" s="52"/>
      <c r="M796" s="52"/>
      <c r="N796" s="52"/>
      <c r="O796" s="52"/>
      <c r="P796" s="52"/>
      <c r="Q796" s="52"/>
      <c r="R796" s="52"/>
      <c r="S796" s="52"/>
      <c r="T796" s="52"/>
      <c r="U796" s="52"/>
      <c r="V796" s="52"/>
      <c r="W796" s="52"/>
      <c r="X796" s="52"/>
      <c r="Y796" s="52"/>
      <c r="Z796" s="52"/>
    </row>
    <row r="797">
      <c r="A797" s="59"/>
      <c r="B797" s="34"/>
      <c r="C797" s="52"/>
      <c r="D797" s="52"/>
      <c r="E797" s="52"/>
      <c r="F797" s="52"/>
      <c r="G797" s="52"/>
      <c r="H797" s="52"/>
      <c r="I797" s="52"/>
      <c r="J797" s="52"/>
      <c r="K797" s="52"/>
      <c r="L797" s="52"/>
      <c r="M797" s="52"/>
      <c r="N797" s="52"/>
      <c r="O797" s="52"/>
      <c r="P797" s="52"/>
      <c r="Q797" s="52"/>
      <c r="R797" s="52"/>
      <c r="S797" s="52"/>
      <c r="T797" s="52"/>
      <c r="U797" s="52"/>
      <c r="V797" s="52"/>
      <c r="W797" s="52"/>
      <c r="X797" s="52"/>
      <c r="Y797" s="52"/>
      <c r="Z797" s="52"/>
    </row>
    <row r="798">
      <c r="A798" s="59"/>
      <c r="B798" s="34"/>
      <c r="C798" s="52"/>
      <c r="D798" s="52"/>
      <c r="E798" s="52"/>
      <c r="F798" s="52"/>
      <c r="G798" s="52"/>
      <c r="H798" s="52"/>
      <c r="I798" s="52"/>
      <c r="J798" s="52"/>
      <c r="K798" s="52"/>
      <c r="L798" s="52"/>
      <c r="M798" s="52"/>
      <c r="N798" s="52"/>
      <c r="O798" s="52"/>
      <c r="P798" s="52"/>
      <c r="Q798" s="52"/>
      <c r="R798" s="52"/>
      <c r="S798" s="52"/>
      <c r="T798" s="52"/>
      <c r="U798" s="52"/>
      <c r="V798" s="52"/>
      <c r="W798" s="52"/>
      <c r="X798" s="52"/>
      <c r="Y798" s="52"/>
      <c r="Z798" s="52"/>
    </row>
    <row r="799">
      <c r="A799" s="59"/>
      <c r="B799" s="34"/>
      <c r="C799" s="52"/>
      <c r="D799" s="52"/>
      <c r="E799" s="52"/>
      <c r="F799" s="52"/>
      <c r="G799" s="52"/>
      <c r="H799" s="52"/>
      <c r="I799" s="52"/>
      <c r="J799" s="52"/>
      <c r="K799" s="52"/>
      <c r="L799" s="52"/>
      <c r="M799" s="52"/>
      <c r="N799" s="52"/>
      <c r="O799" s="52"/>
      <c r="P799" s="52"/>
      <c r="Q799" s="52"/>
      <c r="R799" s="52"/>
      <c r="S799" s="52"/>
      <c r="T799" s="52"/>
      <c r="U799" s="52"/>
      <c r="V799" s="52"/>
      <c r="W799" s="52"/>
      <c r="X799" s="52"/>
      <c r="Y799" s="52"/>
      <c r="Z799" s="52"/>
    </row>
    <row r="800">
      <c r="A800" s="59"/>
      <c r="B800" s="34"/>
      <c r="C800" s="52"/>
      <c r="D800" s="52"/>
      <c r="E800" s="52"/>
      <c r="F800" s="52"/>
      <c r="G800" s="52"/>
      <c r="H800" s="52"/>
      <c r="I800" s="52"/>
      <c r="J800" s="52"/>
      <c r="K800" s="52"/>
      <c r="L800" s="52"/>
      <c r="M800" s="52"/>
      <c r="N800" s="52"/>
      <c r="O800" s="52"/>
      <c r="P800" s="52"/>
      <c r="Q800" s="52"/>
      <c r="R800" s="52"/>
      <c r="S800" s="52"/>
      <c r="T800" s="52"/>
      <c r="U800" s="52"/>
      <c r="V800" s="52"/>
      <c r="W800" s="52"/>
      <c r="X800" s="52"/>
      <c r="Y800" s="52"/>
      <c r="Z800" s="52"/>
    </row>
    <row r="801">
      <c r="A801" s="59"/>
      <c r="B801" s="34"/>
      <c r="C801" s="52"/>
      <c r="D801" s="52"/>
      <c r="E801" s="52"/>
      <c r="F801" s="52"/>
      <c r="G801" s="52"/>
      <c r="H801" s="52"/>
      <c r="I801" s="52"/>
      <c r="J801" s="52"/>
      <c r="K801" s="52"/>
      <c r="L801" s="52"/>
      <c r="M801" s="52"/>
      <c r="N801" s="52"/>
      <c r="O801" s="52"/>
      <c r="P801" s="52"/>
      <c r="Q801" s="52"/>
      <c r="R801" s="52"/>
      <c r="S801" s="52"/>
      <c r="T801" s="52"/>
      <c r="U801" s="52"/>
      <c r="V801" s="52"/>
      <c r="W801" s="52"/>
      <c r="X801" s="52"/>
      <c r="Y801" s="52"/>
      <c r="Z801" s="52"/>
    </row>
    <row r="802">
      <c r="A802" s="59"/>
      <c r="B802" s="34"/>
      <c r="C802" s="52"/>
      <c r="D802" s="52"/>
      <c r="E802" s="52"/>
      <c r="F802" s="52"/>
      <c r="G802" s="52"/>
      <c r="H802" s="52"/>
      <c r="I802" s="52"/>
      <c r="J802" s="52"/>
      <c r="K802" s="52"/>
      <c r="L802" s="52"/>
      <c r="M802" s="52"/>
      <c r="N802" s="52"/>
      <c r="O802" s="52"/>
      <c r="P802" s="52"/>
      <c r="Q802" s="52"/>
      <c r="R802" s="52"/>
      <c r="S802" s="52"/>
      <c r="T802" s="52"/>
      <c r="U802" s="52"/>
      <c r="V802" s="52"/>
      <c r="W802" s="52"/>
      <c r="X802" s="52"/>
      <c r="Y802" s="52"/>
      <c r="Z802" s="52"/>
    </row>
    <row r="803">
      <c r="A803" s="59"/>
      <c r="B803" s="34"/>
      <c r="C803" s="52"/>
      <c r="D803" s="52"/>
      <c r="E803" s="52"/>
      <c r="F803" s="52"/>
      <c r="G803" s="52"/>
      <c r="H803" s="52"/>
      <c r="I803" s="52"/>
      <c r="J803" s="52"/>
      <c r="K803" s="52"/>
      <c r="L803" s="52"/>
      <c r="M803" s="52"/>
      <c r="N803" s="52"/>
      <c r="O803" s="52"/>
      <c r="P803" s="52"/>
      <c r="Q803" s="52"/>
      <c r="R803" s="52"/>
      <c r="S803" s="52"/>
      <c r="T803" s="52"/>
      <c r="U803" s="52"/>
      <c r="V803" s="52"/>
      <c r="W803" s="52"/>
      <c r="X803" s="52"/>
      <c r="Y803" s="52"/>
      <c r="Z803" s="52"/>
    </row>
    <row r="804">
      <c r="A804" s="59"/>
      <c r="B804" s="34"/>
      <c r="C804" s="52"/>
      <c r="D804" s="52"/>
      <c r="E804" s="52"/>
      <c r="F804" s="52"/>
      <c r="G804" s="52"/>
      <c r="H804" s="52"/>
      <c r="I804" s="52"/>
      <c r="J804" s="52"/>
      <c r="K804" s="52"/>
      <c r="L804" s="52"/>
      <c r="M804" s="52"/>
      <c r="N804" s="52"/>
      <c r="O804" s="52"/>
      <c r="P804" s="52"/>
      <c r="Q804" s="52"/>
      <c r="R804" s="52"/>
      <c r="S804" s="52"/>
      <c r="T804" s="52"/>
      <c r="U804" s="52"/>
      <c r="V804" s="52"/>
      <c r="W804" s="52"/>
      <c r="X804" s="52"/>
      <c r="Y804" s="52"/>
      <c r="Z804" s="52"/>
    </row>
    <row r="805">
      <c r="A805" s="59"/>
      <c r="B805" s="34"/>
      <c r="C805" s="52"/>
      <c r="D805" s="52"/>
      <c r="E805" s="52"/>
      <c r="F805" s="52"/>
      <c r="G805" s="52"/>
      <c r="H805" s="52"/>
      <c r="I805" s="52"/>
      <c r="J805" s="52"/>
      <c r="K805" s="52"/>
      <c r="L805" s="52"/>
      <c r="M805" s="52"/>
      <c r="N805" s="52"/>
      <c r="O805" s="52"/>
      <c r="P805" s="52"/>
      <c r="Q805" s="52"/>
      <c r="R805" s="52"/>
      <c r="S805" s="52"/>
      <c r="T805" s="52"/>
      <c r="U805" s="52"/>
      <c r="V805" s="52"/>
      <c r="W805" s="52"/>
      <c r="X805" s="52"/>
      <c r="Y805" s="52"/>
      <c r="Z805" s="52"/>
    </row>
    <row r="806">
      <c r="A806" s="59"/>
      <c r="B806" s="34"/>
      <c r="C806" s="52"/>
      <c r="D806" s="52"/>
      <c r="E806" s="52"/>
      <c r="F806" s="52"/>
      <c r="G806" s="52"/>
      <c r="H806" s="52"/>
      <c r="I806" s="52"/>
      <c r="J806" s="52"/>
      <c r="K806" s="52"/>
      <c r="L806" s="52"/>
      <c r="M806" s="52"/>
      <c r="N806" s="52"/>
      <c r="O806" s="52"/>
      <c r="P806" s="52"/>
      <c r="Q806" s="52"/>
      <c r="R806" s="52"/>
      <c r="S806" s="52"/>
      <c r="T806" s="52"/>
      <c r="U806" s="52"/>
      <c r="V806" s="52"/>
      <c r="W806" s="52"/>
      <c r="X806" s="52"/>
      <c r="Y806" s="52"/>
      <c r="Z806" s="52"/>
    </row>
    <row r="807">
      <c r="A807" s="59"/>
      <c r="B807" s="34"/>
      <c r="C807" s="52"/>
      <c r="D807" s="52"/>
      <c r="E807" s="52"/>
      <c r="F807" s="52"/>
      <c r="G807" s="52"/>
      <c r="H807" s="52"/>
      <c r="I807" s="52"/>
      <c r="J807" s="52"/>
      <c r="K807" s="52"/>
      <c r="L807" s="52"/>
      <c r="M807" s="52"/>
      <c r="N807" s="52"/>
      <c r="O807" s="52"/>
      <c r="P807" s="52"/>
      <c r="Q807" s="52"/>
      <c r="R807" s="52"/>
      <c r="S807" s="52"/>
      <c r="T807" s="52"/>
      <c r="U807" s="52"/>
      <c r="V807" s="52"/>
      <c r="W807" s="52"/>
      <c r="X807" s="52"/>
      <c r="Y807" s="52"/>
      <c r="Z807" s="52"/>
    </row>
    <row r="808">
      <c r="A808" s="59"/>
      <c r="B808" s="34"/>
      <c r="C808" s="52"/>
      <c r="D808" s="52"/>
      <c r="E808" s="52"/>
      <c r="F808" s="52"/>
      <c r="G808" s="52"/>
      <c r="H808" s="52"/>
      <c r="I808" s="52"/>
      <c r="J808" s="52"/>
      <c r="K808" s="52"/>
      <c r="L808" s="52"/>
      <c r="M808" s="52"/>
      <c r="N808" s="52"/>
      <c r="O808" s="52"/>
      <c r="P808" s="52"/>
      <c r="Q808" s="52"/>
      <c r="R808" s="52"/>
      <c r="S808" s="52"/>
      <c r="T808" s="52"/>
      <c r="U808" s="52"/>
      <c r="V808" s="52"/>
      <c r="W808" s="52"/>
      <c r="X808" s="52"/>
      <c r="Y808" s="52"/>
      <c r="Z808" s="52"/>
    </row>
    <row r="809">
      <c r="A809" s="59"/>
      <c r="B809" s="34"/>
      <c r="C809" s="52"/>
      <c r="D809" s="52"/>
      <c r="E809" s="52"/>
      <c r="F809" s="52"/>
      <c r="G809" s="52"/>
      <c r="H809" s="52"/>
      <c r="I809" s="52"/>
      <c r="J809" s="52"/>
      <c r="K809" s="52"/>
      <c r="L809" s="52"/>
      <c r="M809" s="52"/>
      <c r="N809" s="52"/>
      <c r="O809" s="52"/>
      <c r="P809" s="52"/>
      <c r="Q809" s="52"/>
      <c r="R809" s="52"/>
      <c r="S809" s="52"/>
      <c r="T809" s="52"/>
      <c r="U809" s="52"/>
      <c r="V809" s="52"/>
      <c r="W809" s="52"/>
      <c r="X809" s="52"/>
      <c r="Y809" s="52"/>
      <c r="Z809" s="52"/>
    </row>
    <row r="810">
      <c r="A810" s="59"/>
      <c r="B810" s="34"/>
      <c r="C810" s="52"/>
      <c r="D810" s="52"/>
      <c r="E810" s="52"/>
      <c r="F810" s="52"/>
      <c r="G810" s="52"/>
      <c r="H810" s="52"/>
      <c r="I810" s="52"/>
      <c r="J810" s="52"/>
      <c r="K810" s="52"/>
      <c r="L810" s="52"/>
      <c r="M810" s="52"/>
      <c r="N810" s="52"/>
      <c r="O810" s="52"/>
      <c r="P810" s="52"/>
      <c r="Q810" s="52"/>
      <c r="R810" s="52"/>
      <c r="S810" s="52"/>
      <c r="T810" s="52"/>
      <c r="U810" s="52"/>
      <c r="V810" s="52"/>
      <c r="W810" s="52"/>
      <c r="X810" s="52"/>
      <c r="Y810" s="52"/>
      <c r="Z810" s="52"/>
    </row>
    <row r="811">
      <c r="A811" s="59"/>
      <c r="B811" s="34"/>
      <c r="C811" s="52"/>
      <c r="D811" s="52"/>
      <c r="E811" s="52"/>
      <c r="F811" s="52"/>
      <c r="G811" s="52"/>
      <c r="H811" s="52"/>
      <c r="I811" s="52"/>
      <c r="J811" s="52"/>
      <c r="K811" s="52"/>
      <c r="L811" s="52"/>
      <c r="M811" s="52"/>
      <c r="N811" s="52"/>
      <c r="O811" s="52"/>
      <c r="P811" s="52"/>
      <c r="Q811" s="52"/>
      <c r="R811" s="52"/>
      <c r="S811" s="52"/>
      <c r="T811" s="52"/>
      <c r="U811" s="52"/>
      <c r="V811" s="52"/>
      <c r="W811" s="52"/>
      <c r="X811" s="52"/>
      <c r="Y811" s="52"/>
      <c r="Z811" s="52"/>
    </row>
    <row r="812">
      <c r="A812" s="59"/>
      <c r="B812" s="34"/>
      <c r="C812" s="52"/>
      <c r="D812" s="52"/>
      <c r="E812" s="52"/>
      <c r="F812" s="52"/>
      <c r="G812" s="52"/>
      <c r="H812" s="52"/>
      <c r="I812" s="52"/>
      <c r="J812" s="52"/>
      <c r="K812" s="52"/>
      <c r="L812" s="52"/>
      <c r="M812" s="52"/>
      <c r="N812" s="52"/>
      <c r="O812" s="52"/>
      <c r="P812" s="52"/>
      <c r="Q812" s="52"/>
      <c r="R812" s="52"/>
      <c r="S812" s="52"/>
      <c r="T812" s="52"/>
      <c r="U812" s="52"/>
      <c r="V812" s="52"/>
      <c r="W812" s="52"/>
      <c r="X812" s="52"/>
      <c r="Y812" s="52"/>
      <c r="Z812" s="52"/>
    </row>
    <row r="813">
      <c r="A813" s="59"/>
      <c r="B813" s="34"/>
      <c r="C813" s="52"/>
      <c r="D813" s="52"/>
      <c r="E813" s="52"/>
      <c r="F813" s="52"/>
      <c r="G813" s="52"/>
      <c r="H813" s="52"/>
      <c r="I813" s="52"/>
      <c r="J813" s="52"/>
      <c r="K813" s="52"/>
      <c r="L813" s="52"/>
      <c r="M813" s="52"/>
      <c r="N813" s="52"/>
      <c r="O813" s="52"/>
      <c r="P813" s="52"/>
      <c r="Q813" s="52"/>
      <c r="R813" s="52"/>
      <c r="S813" s="52"/>
      <c r="T813" s="52"/>
      <c r="U813" s="52"/>
      <c r="V813" s="52"/>
      <c r="W813" s="52"/>
      <c r="X813" s="52"/>
      <c r="Y813" s="52"/>
      <c r="Z813" s="52"/>
    </row>
    <row r="814">
      <c r="A814" s="59"/>
      <c r="B814" s="34"/>
      <c r="C814" s="52"/>
      <c r="D814" s="52"/>
      <c r="E814" s="52"/>
      <c r="F814" s="52"/>
      <c r="G814" s="52"/>
      <c r="H814" s="52"/>
      <c r="I814" s="52"/>
      <c r="J814" s="52"/>
      <c r="K814" s="52"/>
      <c r="L814" s="52"/>
      <c r="M814" s="52"/>
      <c r="N814" s="52"/>
      <c r="O814" s="52"/>
      <c r="P814" s="52"/>
      <c r="Q814" s="52"/>
      <c r="R814" s="52"/>
      <c r="S814" s="52"/>
      <c r="T814" s="52"/>
      <c r="U814" s="52"/>
      <c r="V814" s="52"/>
      <c r="W814" s="52"/>
      <c r="X814" s="52"/>
      <c r="Y814" s="52"/>
      <c r="Z814" s="52"/>
    </row>
    <row r="815">
      <c r="A815" s="59"/>
      <c r="B815" s="34"/>
      <c r="C815" s="52"/>
      <c r="D815" s="52"/>
      <c r="E815" s="52"/>
      <c r="F815" s="52"/>
      <c r="G815" s="52"/>
      <c r="H815" s="52"/>
      <c r="I815" s="52"/>
      <c r="J815" s="52"/>
      <c r="K815" s="52"/>
      <c r="L815" s="52"/>
      <c r="M815" s="52"/>
      <c r="N815" s="52"/>
      <c r="O815" s="52"/>
      <c r="P815" s="52"/>
      <c r="Q815" s="52"/>
      <c r="R815" s="52"/>
      <c r="S815" s="52"/>
      <c r="T815" s="52"/>
      <c r="U815" s="52"/>
      <c r="V815" s="52"/>
      <c r="W815" s="52"/>
      <c r="X815" s="52"/>
      <c r="Y815" s="52"/>
      <c r="Z815" s="52"/>
    </row>
    <row r="816">
      <c r="A816" s="59"/>
      <c r="B816" s="34"/>
      <c r="C816" s="52"/>
      <c r="D816" s="52"/>
      <c r="E816" s="52"/>
      <c r="F816" s="52"/>
      <c r="G816" s="52"/>
      <c r="H816" s="52"/>
      <c r="I816" s="52"/>
      <c r="J816" s="52"/>
      <c r="K816" s="52"/>
      <c r="L816" s="52"/>
      <c r="M816" s="52"/>
      <c r="N816" s="52"/>
      <c r="O816" s="52"/>
      <c r="P816" s="52"/>
      <c r="Q816" s="52"/>
      <c r="R816" s="52"/>
      <c r="S816" s="52"/>
      <c r="T816" s="52"/>
      <c r="U816" s="52"/>
      <c r="V816" s="52"/>
      <c r="W816" s="52"/>
      <c r="X816" s="52"/>
      <c r="Y816" s="52"/>
      <c r="Z816" s="52"/>
    </row>
    <row r="817">
      <c r="A817" s="59"/>
      <c r="B817" s="34"/>
      <c r="C817" s="52"/>
      <c r="D817" s="52"/>
      <c r="E817" s="52"/>
      <c r="F817" s="52"/>
      <c r="G817" s="52"/>
      <c r="H817" s="52"/>
      <c r="I817" s="52"/>
      <c r="J817" s="52"/>
      <c r="K817" s="52"/>
      <c r="L817" s="52"/>
      <c r="M817" s="52"/>
      <c r="N817" s="52"/>
      <c r="O817" s="52"/>
      <c r="P817" s="52"/>
      <c r="Q817" s="52"/>
      <c r="R817" s="52"/>
      <c r="S817" s="52"/>
      <c r="T817" s="52"/>
      <c r="U817" s="52"/>
      <c r="V817" s="52"/>
      <c r="W817" s="52"/>
      <c r="X817" s="52"/>
      <c r="Y817" s="52"/>
      <c r="Z817" s="52"/>
    </row>
    <row r="818">
      <c r="A818" s="59"/>
      <c r="B818" s="34"/>
      <c r="C818" s="52"/>
      <c r="D818" s="52"/>
      <c r="E818" s="52"/>
      <c r="F818" s="52"/>
      <c r="G818" s="52"/>
      <c r="H818" s="52"/>
      <c r="I818" s="52"/>
      <c r="J818" s="52"/>
      <c r="K818" s="52"/>
      <c r="L818" s="52"/>
      <c r="M818" s="52"/>
      <c r="N818" s="52"/>
      <c r="O818" s="52"/>
      <c r="P818" s="52"/>
      <c r="Q818" s="52"/>
      <c r="R818" s="52"/>
      <c r="S818" s="52"/>
      <c r="T818" s="52"/>
      <c r="U818" s="52"/>
      <c r="V818" s="52"/>
      <c r="W818" s="52"/>
      <c r="X818" s="52"/>
      <c r="Y818" s="52"/>
      <c r="Z818" s="52"/>
    </row>
    <row r="819">
      <c r="A819" s="59"/>
      <c r="B819" s="34"/>
      <c r="C819" s="52"/>
      <c r="D819" s="52"/>
      <c r="E819" s="52"/>
      <c r="F819" s="52"/>
      <c r="G819" s="52"/>
      <c r="H819" s="52"/>
      <c r="I819" s="52"/>
      <c r="J819" s="52"/>
      <c r="K819" s="52"/>
      <c r="L819" s="52"/>
      <c r="M819" s="52"/>
      <c r="N819" s="52"/>
      <c r="O819" s="52"/>
      <c r="P819" s="52"/>
      <c r="Q819" s="52"/>
      <c r="R819" s="52"/>
      <c r="S819" s="52"/>
      <c r="T819" s="52"/>
      <c r="U819" s="52"/>
      <c r="V819" s="52"/>
      <c r="W819" s="52"/>
      <c r="X819" s="52"/>
      <c r="Y819" s="52"/>
      <c r="Z819" s="52"/>
    </row>
    <row r="820">
      <c r="A820" s="59"/>
      <c r="B820" s="34"/>
      <c r="C820" s="52"/>
      <c r="D820" s="52"/>
      <c r="E820" s="52"/>
      <c r="F820" s="52"/>
      <c r="G820" s="52"/>
      <c r="H820" s="52"/>
      <c r="I820" s="52"/>
      <c r="J820" s="52"/>
      <c r="K820" s="52"/>
      <c r="L820" s="52"/>
      <c r="M820" s="52"/>
      <c r="N820" s="52"/>
      <c r="O820" s="52"/>
      <c r="P820" s="52"/>
      <c r="Q820" s="52"/>
      <c r="R820" s="52"/>
      <c r="S820" s="52"/>
      <c r="T820" s="52"/>
      <c r="U820" s="52"/>
      <c r="V820" s="52"/>
      <c r="W820" s="52"/>
      <c r="X820" s="52"/>
      <c r="Y820" s="52"/>
      <c r="Z820" s="52"/>
    </row>
    <row r="821">
      <c r="A821" s="59"/>
      <c r="B821" s="34"/>
      <c r="C821" s="52"/>
      <c r="D821" s="52"/>
      <c r="E821" s="52"/>
      <c r="F821" s="52"/>
      <c r="G821" s="52"/>
      <c r="H821" s="52"/>
      <c r="I821" s="52"/>
      <c r="J821" s="52"/>
      <c r="K821" s="52"/>
      <c r="L821" s="52"/>
      <c r="M821" s="52"/>
      <c r="N821" s="52"/>
      <c r="O821" s="52"/>
      <c r="P821" s="52"/>
      <c r="Q821" s="52"/>
      <c r="R821" s="52"/>
      <c r="S821" s="52"/>
      <c r="T821" s="52"/>
      <c r="U821" s="52"/>
      <c r="V821" s="52"/>
      <c r="W821" s="52"/>
      <c r="X821" s="52"/>
      <c r="Y821" s="52"/>
      <c r="Z821" s="52"/>
    </row>
    <row r="822">
      <c r="A822" s="59"/>
      <c r="B822" s="34"/>
      <c r="C822" s="52"/>
      <c r="D822" s="52"/>
      <c r="E822" s="52"/>
      <c r="F822" s="52"/>
      <c r="G822" s="52"/>
      <c r="H822" s="52"/>
      <c r="I822" s="52"/>
      <c r="J822" s="52"/>
      <c r="K822" s="52"/>
      <c r="L822" s="52"/>
      <c r="M822" s="52"/>
      <c r="N822" s="52"/>
      <c r="O822" s="52"/>
      <c r="P822" s="52"/>
      <c r="Q822" s="52"/>
      <c r="R822" s="52"/>
      <c r="S822" s="52"/>
      <c r="T822" s="52"/>
      <c r="U822" s="52"/>
      <c r="V822" s="52"/>
      <c r="W822" s="52"/>
      <c r="X822" s="52"/>
      <c r="Y822" s="52"/>
      <c r="Z822" s="52"/>
    </row>
    <row r="823">
      <c r="A823" s="59"/>
      <c r="B823" s="34"/>
      <c r="C823" s="52"/>
      <c r="D823" s="52"/>
      <c r="E823" s="52"/>
      <c r="F823" s="52"/>
      <c r="G823" s="52"/>
      <c r="H823" s="52"/>
      <c r="I823" s="52"/>
      <c r="J823" s="52"/>
      <c r="K823" s="52"/>
      <c r="L823" s="52"/>
      <c r="M823" s="52"/>
      <c r="N823" s="52"/>
      <c r="O823" s="52"/>
      <c r="P823" s="52"/>
      <c r="Q823" s="52"/>
      <c r="R823" s="52"/>
      <c r="S823" s="52"/>
      <c r="T823" s="52"/>
      <c r="U823" s="52"/>
      <c r="V823" s="52"/>
      <c r="W823" s="52"/>
      <c r="X823" s="52"/>
      <c r="Y823" s="52"/>
      <c r="Z823" s="52"/>
    </row>
    <row r="824">
      <c r="A824" s="59"/>
      <c r="B824" s="34"/>
      <c r="C824" s="52"/>
      <c r="D824" s="52"/>
      <c r="E824" s="52"/>
      <c r="F824" s="52"/>
      <c r="G824" s="52"/>
      <c r="H824" s="52"/>
      <c r="I824" s="52"/>
      <c r="J824" s="52"/>
      <c r="K824" s="52"/>
      <c r="L824" s="52"/>
      <c r="M824" s="52"/>
      <c r="N824" s="52"/>
      <c r="O824" s="52"/>
      <c r="P824" s="52"/>
      <c r="Q824" s="52"/>
      <c r="R824" s="52"/>
      <c r="S824" s="52"/>
      <c r="T824" s="52"/>
      <c r="U824" s="52"/>
      <c r="V824" s="52"/>
      <c r="W824" s="52"/>
      <c r="X824" s="52"/>
      <c r="Y824" s="52"/>
      <c r="Z824" s="52"/>
    </row>
    <row r="825">
      <c r="A825" s="59"/>
      <c r="B825" s="34"/>
      <c r="C825" s="52"/>
      <c r="D825" s="52"/>
      <c r="E825" s="52"/>
      <c r="F825" s="52"/>
      <c r="G825" s="52"/>
      <c r="H825" s="52"/>
      <c r="I825" s="52"/>
      <c r="J825" s="52"/>
      <c r="K825" s="52"/>
      <c r="L825" s="52"/>
      <c r="M825" s="52"/>
      <c r="N825" s="52"/>
      <c r="O825" s="52"/>
      <c r="P825" s="52"/>
      <c r="Q825" s="52"/>
      <c r="R825" s="52"/>
      <c r="S825" s="52"/>
      <c r="T825" s="52"/>
      <c r="U825" s="52"/>
      <c r="V825" s="52"/>
      <c r="W825" s="52"/>
      <c r="X825" s="52"/>
      <c r="Y825" s="52"/>
      <c r="Z825" s="52"/>
    </row>
    <row r="826">
      <c r="A826" s="59"/>
      <c r="B826" s="34"/>
      <c r="C826" s="52"/>
      <c r="D826" s="52"/>
      <c r="E826" s="52"/>
      <c r="F826" s="52"/>
      <c r="G826" s="52"/>
      <c r="H826" s="52"/>
      <c r="I826" s="52"/>
      <c r="J826" s="52"/>
      <c r="K826" s="52"/>
      <c r="L826" s="52"/>
      <c r="M826" s="52"/>
      <c r="N826" s="52"/>
      <c r="O826" s="52"/>
      <c r="P826" s="52"/>
      <c r="Q826" s="52"/>
      <c r="R826" s="52"/>
      <c r="S826" s="52"/>
      <c r="T826" s="52"/>
      <c r="U826" s="52"/>
      <c r="V826" s="52"/>
      <c r="W826" s="52"/>
      <c r="X826" s="52"/>
      <c r="Y826" s="52"/>
      <c r="Z826" s="52"/>
    </row>
    <row r="827">
      <c r="A827" s="59"/>
      <c r="B827" s="34"/>
      <c r="C827" s="52"/>
      <c r="D827" s="52"/>
      <c r="E827" s="52"/>
      <c r="F827" s="52"/>
      <c r="G827" s="52"/>
      <c r="H827" s="52"/>
      <c r="I827" s="52"/>
      <c r="J827" s="52"/>
      <c r="K827" s="52"/>
      <c r="L827" s="52"/>
      <c r="M827" s="52"/>
      <c r="N827" s="52"/>
      <c r="O827" s="52"/>
      <c r="P827" s="52"/>
      <c r="Q827" s="52"/>
      <c r="R827" s="52"/>
      <c r="S827" s="52"/>
      <c r="T827" s="52"/>
      <c r="U827" s="52"/>
      <c r="V827" s="52"/>
      <c r="W827" s="52"/>
      <c r="X827" s="52"/>
      <c r="Y827" s="52"/>
      <c r="Z827" s="52"/>
    </row>
    <row r="828">
      <c r="A828" s="59"/>
      <c r="B828" s="34"/>
      <c r="C828" s="52"/>
      <c r="D828" s="52"/>
      <c r="E828" s="52"/>
      <c r="F828" s="52"/>
      <c r="G828" s="52"/>
      <c r="H828" s="52"/>
      <c r="I828" s="52"/>
      <c r="J828" s="52"/>
      <c r="K828" s="52"/>
      <c r="L828" s="52"/>
      <c r="M828" s="52"/>
      <c r="N828" s="52"/>
      <c r="O828" s="52"/>
      <c r="P828" s="52"/>
      <c r="Q828" s="52"/>
      <c r="R828" s="52"/>
      <c r="S828" s="52"/>
      <c r="T828" s="52"/>
      <c r="U828" s="52"/>
      <c r="V828" s="52"/>
      <c r="W828" s="52"/>
      <c r="X828" s="52"/>
      <c r="Y828" s="52"/>
      <c r="Z828" s="52"/>
    </row>
    <row r="829">
      <c r="A829" s="59"/>
      <c r="B829" s="34"/>
      <c r="C829" s="52"/>
      <c r="D829" s="52"/>
      <c r="E829" s="52"/>
      <c r="F829" s="52"/>
      <c r="G829" s="52"/>
      <c r="H829" s="52"/>
      <c r="I829" s="52"/>
      <c r="J829" s="52"/>
      <c r="K829" s="52"/>
      <c r="L829" s="52"/>
      <c r="M829" s="52"/>
      <c r="N829" s="52"/>
      <c r="O829" s="52"/>
      <c r="P829" s="52"/>
      <c r="Q829" s="52"/>
      <c r="R829" s="52"/>
      <c r="S829" s="52"/>
      <c r="T829" s="52"/>
      <c r="U829" s="52"/>
      <c r="V829" s="52"/>
      <c r="W829" s="52"/>
      <c r="X829" s="52"/>
      <c r="Y829" s="52"/>
      <c r="Z829" s="52"/>
    </row>
    <row r="830">
      <c r="A830" s="59"/>
      <c r="B830" s="34"/>
      <c r="C830" s="52"/>
      <c r="D830" s="52"/>
      <c r="E830" s="52"/>
      <c r="F830" s="52"/>
      <c r="G830" s="52"/>
      <c r="H830" s="52"/>
      <c r="I830" s="52"/>
      <c r="J830" s="52"/>
      <c r="K830" s="52"/>
      <c r="L830" s="52"/>
      <c r="M830" s="52"/>
      <c r="N830" s="52"/>
      <c r="O830" s="52"/>
      <c r="P830" s="52"/>
      <c r="Q830" s="52"/>
      <c r="R830" s="52"/>
      <c r="S830" s="52"/>
      <c r="T830" s="52"/>
      <c r="U830" s="52"/>
      <c r="V830" s="52"/>
      <c r="W830" s="52"/>
      <c r="X830" s="52"/>
      <c r="Y830" s="52"/>
      <c r="Z830" s="52"/>
    </row>
    <row r="831">
      <c r="A831" s="59"/>
      <c r="B831" s="34"/>
      <c r="C831" s="52"/>
      <c r="D831" s="52"/>
      <c r="E831" s="52"/>
      <c r="F831" s="52"/>
      <c r="G831" s="52"/>
      <c r="H831" s="52"/>
      <c r="I831" s="52"/>
      <c r="J831" s="52"/>
      <c r="K831" s="52"/>
      <c r="L831" s="52"/>
      <c r="M831" s="52"/>
      <c r="N831" s="52"/>
      <c r="O831" s="52"/>
      <c r="P831" s="52"/>
      <c r="Q831" s="52"/>
      <c r="R831" s="52"/>
      <c r="S831" s="52"/>
      <c r="T831" s="52"/>
      <c r="U831" s="52"/>
      <c r="V831" s="52"/>
      <c r="W831" s="52"/>
      <c r="X831" s="52"/>
      <c r="Y831" s="52"/>
      <c r="Z831" s="52"/>
    </row>
    <row r="832">
      <c r="A832" s="59"/>
      <c r="B832" s="34"/>
      <c r="C832" s="52"/>
      <c r="D832" s="52"/>
      <c r="E832" s="52"/>
      <c r="F832" s="52"/>
      <c r="G832" s="52"/>
      <c r="H832" s="52"/>
      <c r="I832" s="52"/>
      <c r="J832" s="52"/>
      <c r="K832" s="52"/>
      <c r="L832" s="52"/>
      <c r="M832" s="52"/>
      <c r="N832" s="52"/>
      <c r="O832" s="52"/>
      <c r="P832" s="52"/>
      <c r="Q832" s="52"/>
      <c r="R832" s="52"/>
      <c r="S832" s="52"/>
      <c r="T832" s="52"/>
      <c r="U832" s="52"/>
      <c r="V832" s="52"/>
      <c r="W832" s="52"/>
      <c r="X832" s="52"/>
      <c r="Y832" s="52"/>
      <c r="Z832" s="52"/>
    </row>
    <row r="833">
      <c r="A833" s="59"/>
      <c r="B833" s="34"/>
      <c r="C833" s="52"/>
      <c r="D833" s="52"/>
      <c r="E833" s="52"/>
      <c r="F833" s="52"/>
      <c r="G833" s="52"/>
      <c r="H833" s="52"/>
      <c r="I833" s="52"/>
      <c r="J833" s="52"/>
      <c r="K833" s="52"/>
      <c r="L833" s="52"/>
      <c r="M833" s="52"/>
      <c r="N833" s="52"/>
      <c r="O833" s="52"/>
      <c r="P833" s="52"/>
      <c r="Q833" s="52"/>
      <c r="R833" s="52"/>
      <c r="S833" s="52"/>
      <c r="T833" s="52"/>
      <c r="U833" s="52"/>
      <c r="V833" s="52"/>
      <c r="W833" s="52"/>
      <c r="X833" s="52"/>
      <c r="Y833" s="52"/>
      <c r="Z833" s="52"/>
    </row>
    <row r="834">
      <c r="A834" s="59"/>
      <c r="B834" s="34"/>
      <c r="C834" s="52"/>
      <c r="D834" s="52"/>
      <c r="E834" s="52"/>
      <c r="F834" s="52"/>
      <c r="G834" s="52"/>
      <c r="H834" s="52"/>
      <c r="I834" s="52"/>
      <c r="J834" s="52"/>
      <c r="K834" s="52"/>
      <c r="L834" s="52"/>
      <c r="M834" s="52"/>
      <c r="N834" s="52"/>
      <c r="O834" s="52"/>
      <c r="P834" s="52"/>
      <c r="Q834" s="52"/>
      <c r="R834" s="52"/>
      <c r="S834" s="52"/>
      <c r="T834" s="52"/>
      <c r="U834" s="52"/>
      <c r="V834" s="52"/>
      <c r="W834" s="52"/>
      <c r="X834" s="52"/>
      <c r="Y834" s="52"/>
      <c r="Z834" s="52"/>
    </row>
    <row r="835">
      <c r="A835" s="59"/>
      <c r="B835" s="34"/>
      <c r="C835" s="52"/>
      <c r="D835" s="52"/>
      <c r="E835" s="52"/>
      <c r="F835" s="52"/>
      <c r="G835" s="52"/>
      <c r="H835" s="52"/>
      <c r="I835" s="52"/>
      <c r="J835" s="52"/>
      <c r="K835" s="52"/>
      <c r="L835" s="52"/>
      <c r="M835" s="52"/>
      <c r="N835" s="52"/>
      <c r="O835" s="52"/>
      <c r="P835" s="52"/>
      <c r="Q835" s="52"/>
      <c r="R835" s="52"/>
      <c r="S835" s="52"/>
      <c r="T835" s="52"/>
      <c r="U835" s="52"/>
      <c r="V835" s="52"/>
      <c r="W835" s="52"/>
      <c r="X835" s="52"/>
      <c r="Y835" s="52"/>
      <c r="Z835" s="52"/>
    </row>
    <row r="836">
      <c r="A836" s="59"/>
      <c r="B836" s="34"/>
      <c r="C836" s="52"/>
      <c r="D836" s="52"/>
      <c r="E836" s="52"/>
      <c r="F836" s="52"/>
      <c r="G836" s="52"/>
      <c r="H836" s="52"/>
      <c r="I836" s="52"/>
      <c r="J836" s="52"/>
      <c r="K836" s="52"/>
      <c r="L836" s="52"/>
      <c r="M836" s="52"/>
      <c r="N836" s="52"/>
      <c r="O836" s="52"/>
      <c r="P836" s="52"/>
      <c r="Q836" s="52"/>
      <c r="R836" s="52"/>
      <c r="S836" s="52"/>
      <c r="T836" s="52"/>
      <c r="U836" s="52"/>
      <c r="V836" s="52"/>
      <c r="W836" s="52"/>
      <c r="X836" s="52"/>
      <c r="Y836" s="52"/>
      <c r="Z836" s="52"/>
    </row>
    <row r="837">
      <c r="A837" s="59"/>
      <c r="B837" s="34"/>
      <c r="C837" s="52"/>
      <c r="D837" s="52"/>
      <c r="E837" s="52"/>
      <c r="F837" s="52"/>
      <c r="G837" s="52"/>
      <c r="H837" s="52"/>
      <c r="I837" s="52"/>
      <c r="J837" s="52"/>
      <c r="K837" s="52"/>
      <c r="L837" s="52"/>
      <c r="M837" s="52"/>
      <c r="N837" s="52"/>
      <c r="O837" s="52"/>
      <c r="P837" s="52"/>
      <c r="Q837" s="52"/>
      <c r="R837" s="52"/>
      <c r="S837" s="52"/>
      <c r="T837" s="52"/>
      <c r="U837" s="52"/>
      <c r="V837" s="52"/>
      <c r="W837" s="52"/>
      <c r="X837" s="52"/>
      <c r="Y837" s="52"/>
      <c r="Z837" s="52"/>
    </row>
    <row r="838">
      <c r="A838" s="59"/>
      <c r="B838" s="34"/>
      <c r="C838" s="52"/>
      <c r="D838" s="52"/>
      <c r="E838" s="52"/>
      <c r="F838" s="52"/>
      <c r="G838" s="52"/>
      <c r="H838" s="52"/>
      <c r="I838" s="52"/>
      <c r="J838" s="52"/>
      <c r="K838" s="52"/>
      <c r="L838" s="52"/>
      <c r="M838" s="52"/>
      <c r="N838" s="52"/>
      <c r="O838" s="52"/>
      <c r="P838" s="52"/>
      <c r="Q838" s="52"/>
      <c r="R838" s="52"/>
      <c r="S838" s="52"/>
      <c r="T838" s="52"/>
      <c r="U838" s="52"/>
      <c r="V838" s="52"/>
      <c r="W838" s="52"/>
      <c r="X838" s="52"/>
      <c r="Y838" s="52"/>
      <c r="Z838" s="52"/>
    </row>
    <row r="839">
      <c r="A839" s="59"/>
      <c r="B839" s="34"/>
      <c r="C839" s="52"/>
      <c r="D839" s="52"/>
      <c r="E839" s="52"/>
      <c r="F839" s="52"/>
      <c r="G839" s="52"/>
      <c r="H839" s="52"/>
      <c r="I839" s="52"/>
      <c r="J839" s="52"/>
      <c r="K839" s="52"/>
      <c r="L839" s="52"/>
      <c r="M839" s="52"/>
      <c r="N839" s="52"/>
      <c r="O839" s="52"/>
      <c r="P839" s="52"/>
      <c r="Q839" s="52"/>
      <c r="R839" s="52"/>
      <c r="S839" s="52"/>
      <c r="T839" s="52"/>
      <c r="U839" s="52"/>
      <c r="V839" s="52"/>
      <c r="W839" s="52"/>
      <c r="X839" s="52"/>
      <c r="Y839" s="52"/>
      <c r="Z839" s="52"/>
    </row>
    <row r="840">
      <c r="A840" s="59"/>
      <c r="B840" s="34"/>
      <c r="C840" s="52"/>
      <c r="D840" s="52"/>
      <c r="E840" s="52"/>
      <c r="F840" s="52"/>
      <c r="G840" s="52"/>
      <c r="H840" s="52"/>
      <c r="I840" s="52"/>
      <c r="J840" s="52"/>
      <c r="K840" s="52"/>
      <c r="L840" s="52"/>
      <c r="M840" s="52"/>
      <c r="N840" s="52"/>
      <c r="O840" s="52"/>
      <c r="P840" s="52"/>
      <c r="Q840" s="52"/>
      <c r="R840" s="52"/>
      <c r="S840" s="52"/>
      <c r="T840" s="52"/>
      <c r="U840" s="52"/>
      <c r="V840" s="52"/>
      <c r="W840" s="52"/>
      <c r="X840" s="52"/>
      <c r="Y840" s="52"/>
      <c r="Z840" s="52"/>
    </row>
    <row r="841">
      <c r="A841" s="59"/>
      <c r="B841" s="34"/>
      <c r="C841" s="52"/>
      <c r="D841" s="52"/>
      <c r="E841" s="52"/>
      <c r="F841" s="52"/>
      <c r="G841" s="52"/>
      <c r="H841" s="52"/>
      <c r="I841" s="52"/>
      <c r="J841" s="52"/>
      <c r="K841" s="52"/>
      <c r="L841" s="52"/>
      <c r="M841" s="52"/>
      <c r="N841" s="52"/>
      <c r="O841" s="52"/>
      <c r="P841" s="52"/>
      <c r="Q841" s="52"/>
      <c r="R841" s="52"/>
      <c r="S841" s="52"/>
      <c r="T841" s="52"/>
      <c r="U841" s="52"/>
      <c r="V841" s="52"/>
      <c r="W841" s="52"/>
      <c r="X841" s="52"/>
      <c r="Y841" s="52"/>
      <c r="Z841" s="52"/>
    </row>
    <row r="842">
      <c r="A842" s="59"/>
      <c r="B842" s="34"/>
      <c r="C842" s="52"/>
      <c r="D842" s="52"/>
      <c r="E842" s="52"/>
      <c r="F842" s="52"/>
      <c r="G842" s="52"/>
      <c r="H842" s="52"/>
      <c r="I842" s="52"/>
      <c r="J842" s="52"/>
      <c r="K842" s="52"/>
      <c r="L842" s="52"/>
      <c r="M842" s="52"/>
      <c r="N842" s="52"/>
      <c r="O842" s="52"/>
      <c r="P842" s="52"/>
      <c r="Q842" s="52"/>
      <c r="R842" s="52"/>
      <c r="S842" s="52"/>
      <c r="T842" s="52"/>
      <c r="U842" s="52"/>
      <c r="V842" s="52"/>
      <c r="W842" s="52"/>
      <c r="X842" s="52"/>
      <c r="Y842" s="52"/>
      <c r="Z842" s="52"/>
    </row>
    <row r="843">
      <c r="A843" s="59"/>
      <c r="B843" s="34"/>
      <c r="C843" s="52"/>
      <c r="D843" s="52"/>
      <c r="E843" s="52"/>
      <c r="F843" s="52"/>
      <c r="G843" s="52"/>
      <c r="H843" s="52"/>
      <c r="I843" s="52"/>
      <c r="J843" s="52"/>
      <c r="K843" s="52"/>
      <c r="L843" s="52"/>
      <c r="M843" s="52"/>
      <c r="N843" s="52"/>
      <c r="O843" s="52"/>
      <c r="P843" s="52"/>
      <c r="Q843" s="52"/>
      <c r="R843" s="52"/>
      <c r="S843" s="52"/>
      <c r="T843" s="52"/>
      <c r="U843" s="52"/>
      <c r="V843" s="52"/>
      <c r="W843" s="52"/>
      <c r="X843" s="52"/>
      <c r="Y843" s="52"/>
      <c r="Z843" s="52"/>
    </row>
    <row r="844">
      <c r="A844" s="59"/>
      <c r="B844" s="34"/>
      <c r="C844" s="52"/>
      <c r="D844" s="52"/>
      <c r="E844" s="52"/>
      <c r="F844" s="52"/>
      <c r="G844" s="52"/>
      <c r="H844" s="52"/>
      <c r="I844" s="52"/>
      <c r="J844" s="52"/>
      <c r="K844" s="52"/>
      <c r="L844" s="52"/>
      <c r="M844" s="52"/>
      <c r="N844" s="52"/>
      <c r="O844" s="52"/>
      <c r="P844" s="52"/>
      <c r="Q844" s="52"/>
      <c r="R844" s="52"/>
      <c r="S844" s="52"/>
      <c r="T844" s="52"/>
      <c r="U844" s="52"/>
      <c r="V844" s="52"/>
      <c r="W844" s="52"/>
      <c r="X844" s="52"/>
      <c r="Y844" s="52"/>
      <c r="Z844" s="52"/>
    </row>
    <row r="845">
      <c r="A845" s="59"/>
      <c r="B845" s="34"/>
      <c r="C845" s="52"/>
      <c r="D845" s="52"/>
      <c r="E845" s="52"/>
      <c r="F845" s="52"/>
      <c r="G845" s="52"/>
      <c r="H845" s="52"/>
      <c r="I845" s="52"/>
      <c r="J845" s="52"/>
      <c r="K845" s="52"/>
      <c r="L845" s="52"/>
      <c r="M845" s="52"/>
      <c r="N845" s="52"/>
      <c r="O845" s="52"/>
      <c r="P845" s="52"/>
      <c r="Q845" s="52"/>
      <c r="R845" s="52"/>
      <c r="S845" s="52"/>
      <c r="T845" s="52"/>
      <c r="U845" s="52"/>
      <c r="V845" s="52"/>
      <c r="W845" s="52"/>
      <c r="X845" s="52"/>
      <c r="Y845" s="52"/>
      <c r="Z845" s="52"/>
    </row>
    <row r="846">
      <c r="A846" s="59"/>
      <c r="B846" s="34"/>
      <c r="C846" s="52"/>
      <c r="D846" s="52"/>
      <c r="E846" s="52"/>
      <c r="F846" s="52"/>
      <c r="G846" s="52"/>
      <c r="H846" s="52"/>
      <c r="I846" s="52"/>
      <c r="J846" s="52"/>
      <c r="K846" s="52"/>
      <c r="L846" s="52"/>
      <c r="M846" s="52"/>
      <c r="N846" s="52"/>
      <c r="O846" s="52"/>
      <c r="P846" s="52"/>
      <c r="Q846" s="52"/>
      <c r="R846" s="52"/>
      <c r="S846" s="52"/>
      <c r="T846" s="52"/>
      <c r="U846" s="52"/>
      <c r="V846" s="52"/>
      <c r="W846" s="52"/>
      <c r="X846" s="52"/>
      <c r="Y846" s="52"/>
      <c r="Z846" s="52"/>
    </row>
    <row r="847">
      <c r="A847" s="59"/>
      <c r="B847" s="34"/>
      <c r="C847" s="52"/>
      <c r="D847" s="52"/>
      <c r="E847" s="52"/>
      <c r="F847" s="52"/>
      <c r="G847" s="52"/>
      <c r="H847" s="52"/>
      <c r="I847" s="52"/>
      <c r="J847" s="52"/>
      <c r="K847" s="52"/>
      <c r="L847" s="52"/>
      <c r="M847" s="52"/>
      <c r="N847" s="52"/>
      <c r="O847" s="52"/>
      <c r="P847" s="52"/>
      <c r="Q847" s="52"/>
      <c r="R847" s="52"/>
      <c r="S847" s="52"/>
      <c r="T847" s="52"/>
      <c r="U847" s="52"/>
      <c r="V847" s="52"/>
      <c r="W847" s="52"/>
      <c r="X847" s="52"/>
      <c r="Y847" s="52"/>
      <c r="Z847" s="52"/>
    </row>
    <row r="848">
      <c r="A848" s="59"/>
      <c r="B848" s="34"/>
      <c r="C848" s="52"/>
      <c r="D848" s="52"/>
      <c r="E848" s="52"/>
      <c r="F848" s="52"/>
      <c r="G848" s="52"/>
      <c r="H848" s="52"/>
      <c r="I848" s="52"/>
      <c r="J848" s="52"/>
      <c r="K848" s="52"/>
      <c r="L848" s="52"/>
      <c r="M848" s="52"/>
      <c r="N848" s="52"/>
      <c r="O848" s="52"/>
      <c r="P848" s="52"/>
      <c r="Q848" s="52"/>
      <c r="R848" s="52"/>
      <c r="S848" s="52"/>
      <c r="T848" s="52"/>
      <c r="U848" s="52"/>
      <c r="V848" s="52"/>
      <c r="W848" s="52"/>
      <c r="X848" s="52"/>
      <c r="Y848" s="52"/>
      <c r="Z848" s="52"/>
    </row>
    <row r="849">
      <c r="A849" s="59"/>
      <c r="B849" s="34"/>
      <c r="C849" s="52"/>
      <c r="D849" s="52"/>
      <c r="E849" s="52"/>
      <c r="F849" s="52"/>
      <c r="G849" s="52"/>
      <c r="H849" s="52"/>
      <c r="I849" s="52"/>
      <c r="J849" s="52"/>
      <c r="K849" s="52"/>
      <c r="L849" s="52"/>
      <c r="M849" s="52"/>
      <c r="N849" s="52"/>
      <c r="O849" s="52"/>
      <c r="P849" s="52"/>
      <c r="Q849" s="52"/>
      <c r="R849" s="52"/>
      <c r="S849" s="52"/>
      <c r="T849" s="52"/>
      <c r="U849" s="52"/>
      <c r="V849" s="52"/>
      <c r="W849" s="52"/>
      <c r="X849" s="52"/>
      <c r="Y849" s="52"/>
      <c r="Z849" s="52"/>
    </row>
    <row r="850">
      <c r="A850" s="59"/>
      <c r="B850" s="34"/>
      <c r="C850" s="52"/>
      <c r="D850" s="52"/>
      <c r="E850" s="52"/>
      <c r="F850" s="52"/>
      <c r="G850" s="52"/>
      <c r="H850" s="52"/>
      <c r="I850" s="52"/>
      <c r="J850" s="52"/>
      <c r="K850" s="52"/>
      <c r="L850" s="52"/>
      <c r="M850" s="52"/>
      <c r="N850" s="52"/>
      <c r="O850" s="52"/>
      <c r="P850" s="52"/>
      <c r="Q850" s="52"/>
      <c r="R850" s="52"/>
      <c r="S850" s="52"/>
      <c r="T850" s="52"/>
      <c r="U850" s="52"/>
      <c r="V850" s="52"/>
      <c r="W850" s="52"/>
      <c r="X850" s="52"/>
      <c r="Y850" s="52"/>
      <c r="Z850" s="52"/>
    </row>
    <row r="851">
      <c r="A851" s="59"/>
      <c r="B851" s="34"/>
      <c r="C851" s="52"/>
      <c r="D851" s="52"/>
      <c r="E851" s="52"/>
      <c r="F851" s="52"/>
      <c r="G851" s="52"/>
      <c r="H851" s="52"/>
      <c r="I851" s="52"/>
      <c r="J851" s="52"/>
      <c r="K851" s="52"/>
      <c r="L851" s="52"/>
      <c r="M851" s="52"/>
      <c r="N851" s="52"/>
      <c r="O851" s="52"/>
      <c r="P851" s="52"/>
      <c r="Q851" s="52"/>
      <c r="R851" s="52"/>
      <c r="S851" s="52"/>
      <c r="T851" s="52"/>
      <c r="U851" s="52"/>
      <c r="V851" s="52"/>
      <c r="W851" s="52"/>
      <c r="X851" s="52"/>
      <c r="Y851" s="52"/>
      <c r="Z851" s="52"/>
    </row>
    <row r="852">
      <c r="A852" s="59"/>
      <c r="B852" s="34"/>
      <c r="C852" s="52"/>
      <c r="D852" s="52"/>
      <c r="E852" s="52"/>
      <c r="F852" s="52"/>
      <c r="G852" s="52"/>
      <c r="H852" s="52"/>
      <c r="I852" s="52"/>
      <c r="J852" s="52"/>
      <c r="K852" s="52"/>
      <c r="L852" s="52"/>
      <c r="M852" s="52"/>
      <c r="N852" s="52"/>
      <c r="O852" s="52"/>
      <c r="P852" s="52"/>
      <c r="Q852" s="52"/>
      <c r="R852" s="52"/>
      <c r="S852" s="52"/>
      <c r="T852" s="52"/>
      <c r="U852" s="52"/>
      <c r="V852" s="52"/>
      <c r="W852" s="52"/>
      <c r="X852" s="52"/>
      <c r="Y852" s="52"/>
      <c r="Z852" s="52"/>
    </row>
    <row r="853">
      <c r="A853" s="59"/>
      <c r="B853" s="34"/>
      <c r="C853" s="52"/>
      <c r="D853" s="52"/>
      <c r="E853" s="52"/>
      <c r="F853" s="52"/>
      <c r="G853" s="52"/>
      <c r="H853" s="52"/>
      <c r="I853" s="52"/>
      <c r="J853" s="52"/>
      <c r="K853" s="52"/>
      <c r="L853" s="52"/>
      <c r="M853" s="52"/>
      <c r="N853" s="52"/>
      <c r="O853" s="52"/>
      <c r="P853" s="52"/>
      <c r="Q853" s="52"/>
      <c r="R853" s="52"/>
      <c r="S853" s="52"/>
      <c r="T853" s="52"/>
      <c r="U853" s="52"/>
      <c r="V853" s="52"/>
      <c r="W853" s="52"/>
      <c r="X853" s="52"/>
      <c r="Y853" s="52"/>
      <c r="Z853" s="52"/>
    </row>
    <row r="854">
      <c r="A854" s="59"/>
      <c r="B854" s="34"/>
      <c r="C854" s="52"/>
      <c r="D854" s="52"/>
      <c r="E854" s="52"/>
      <c r="F854" s="52"/>
      <c r="G854" s="52"/>
      <c r="H854" s="52"/>
      <c r="I854" s="52"/>
      <c r="J854" s="52"/>
      <c r="K854" s="52"/>
      <c r="L854" s="52"/>
      <c r="M854" s="52"/>
      <c r="N854" s="52"/>
      <c r="O854" s="52"/>
      <c r="P854" s="52"/>
      <c r="Q854" s="52"/>
      <c r="R854" s="52"/>
      <c r="S854" s="52"/>
      <c r="T854" s="52"/>
      <c r="U854" s="52"/>
      <c r="V854" s="52"/>
      <c r="W854" s="52"/>
      <c r="X854" s="52"/>
      <c r="Y854" s="52"/>
      <c r="Z854" s="52"/>
    </row>
    <row r="855">
      <c r="A855" s="59"/>
      <c r="B855" s="34"/>
      <c r="C855" s="52"/>
      <c r="D855" s="52"/>
      <c r="E855" s="52"/>
      <c r="F855" s="52"/>
      <c r="G855" s="52"/>
      <c r="H855" s="52"/>
      <c r="I855" s="52"/>
      <c r="J855" s="52"/>
      <c r="K855" s="52"/>
      <c r="L855" s="52"/>
      <c r="M855" s="52"/>
      <c r="N855" s="52"/>
      <c r="O855" s="52"/>
      <c r="P855" s="52"/>
      <c r="Q855" s="52"/>
      <c r="R855" s="52"/>
      <c r="S855" s="52"/>
      <c r="T855" s="52"/>
      <c r="U855" s="52"/>
      <c r="V855" s="52"/>
      <c r="W855" s="52"/>
      <c r="X855" s="52"/>
      <c r="Y855" s="52"/>
      <c r="Z855" s="52"/>
    </row>
    <row r="856">
      <c r="A856" s="59"/>
      <c r="B856" s="34"/>
      <c r="C856" s="52"/>
      <c r="D856" s="52"/>
      <c r="E856" s="52"/>
      <c r="F856" s="52"/>
      <c r="G856" s="52"/>
      <c r="H856" s="52"/>
      <c r="I856" s="52"/>
      <c r="J856" s="52"/>
      <c r="K856" s="52"/>
      <c r="L856" s="52"/>
      <c r="M856" s="52"/>
      <c r="N856" s="52"/>
      <c r="O856" s="52"/>
      <c r="P856" s="52"/>
      <c r="Q856" s="52"/>
      <c r="R856" s="52"/>
      <c r="S856" s="52"/>
      <c r="T856" s="52"/>
      <c r="U856" s="52"/>
      <c r="V856" s="52"/>
      <c r="W856" s="52"/>
      <c r="X856" s="52"/>
      <c r="Y856" s="52"/>
      <c r="Z856" s="52"/>
    </row>
    <row r="857">
      <c r="A857" s="59"/>
      <c r="B857" s="34"/>
      <c r="C857" s="52"/>
      <c r="D857" s="52"/>
      <c r="E857" s="52"/>
      <c r="F857" s="52"/>
      <c r="G857" s="52"/>
      <c r="H857" s="52"/>
      <c r="I857" s="52"/>
      <c r="J857" s="52"/>
      <c r="K857" s="52"/>
      <c r="L857" s="52"/>
      <c r="M857" s="52"/>
      <c r="N857" s="52"/>
      <c r="O857" s="52"/>
      <c r="P857" s="52"/>
      <c r="Q857" s="52"/>
      <c r="R857" s="52"/>
      <c r="S857" s="52"/>
      <c r="T857" s="52"/>
      <c r="U857" s="52"/>
      <c r="V857" s="52"/>
      <c r="W857" s="52"/>
      <c r="X857" s="52"/>
      <c r="Y857" s="52"/>
      <c r="Z857" s="52"/>
    </row>
    <row r="858">
      <c r="A858" s="59"/>
      <c r="B858" s="34"/>
      <c r="C858" s="52"/>
      <c r="D858" s="52"/>
      <c r="E858" s="52"/>
      <c r="F858" s="52"/>
      <c r="G858" s="52"/>
      <c r="H858" s="52"/>
      <c r="I858" s="52"/>
      <c r="J858" s="52"/>
      <c r="K858" s="52"/>
      <c r="L858" s="52"/>
      <c r="M858" s="52"/>
      <c r="N858" s="52"/>
      <c r="O858" s="52"/>
      <c r="P858" s="52"/>
      <c r="Q858" s="52"/>
      <c r="R858" s="52"/>
      <c r="S858" s="52"/>
      <c r="T858" s="52"/>
      <c r="U858" s="52"/>
      <c r="V858" s="52"/>
      <c r="W858" s="52"/>
      <c r="X858" s="52"/>
      <c r="Y858" s="52"/>
      <c r="Z858" s="52"/>
    </row>
    <row r="859">
      <c r="A859" s="59"/>
      <c r="B859" s="34"/>
      <c r="C859" s="52"/>
      <c r="D859" s="52"/>
      <c r="E859" s="52"/>
      <c r="F859" s="52"/>
      <c r="G859" s="52"/>
      <c r="H859" s="52"/>
      <c r="I859" s="52"/>
      <c r="J859" s="52"/>
      <c r="K859" s="52"/>
      <c r="L859" s="52"/>
      <c r="M859" s="52"/>
      <c r="N859" s="52"/>
      <c r="O859" s="52"/>
      <c r="P859" s="52"/>
      <c r="Q859" s="52"/>
      <c r="R859" s="52"/>
      <c r="S859" s="52"/>
      <c r="T859" s="52"/>
      <c r="U859" s="52"/>
      <c r="V859" s="52"/>
      <c r="W859" s="52"/>
      <c r="X859" s="52"/>
      <c r="Y859" s="52"/>
      <c r="Z859" s="52"/>
    </row>
    <row r="860">
      <c r="A860" s="59"/>
      <c r="B860" s="34"/>
      <c r="C860" s="52"/>
      <c r="D860" s="52"/>
      <c r="E860" s="52"/>
      <c r="F860" s="52"/>
      <c r="G860" s="52"/>
      <c r="H860" s="52"/>
      <c r="I860" s="52"/>
      <c r="J860" s="52"/>
      <c r="K860" s="52"/>
      <c r="L860" s="52"/>
      <c r="M860" s="52"/>
      <c r="N860" s="52"/>
      <c r="O860" s="52"/>
      <c r="P860" s="52"/>
      <c r="Q860" s="52"/>
      <c r="R860" s="52"/>
      <c r="S860" s="52"/>
      <c r="T860" s="52"/>
      <c r="U860" s="52"/>
      <c r="V860" s="52"/>
      <c r="W860" s="52"/>
      <c r="X860" s="52"/>
      <c r="Y860" s="52"/>
      <c r="Z860" s="52"/>
    </row>
    <row r="861">
      <c r="A861" s="59"/>
      <c r="B861" s="34"/>
      <c r="C861" s="52"/>
      <c r="D861" s="52"/>
      <c r="E861" s="52"/>
      <c r="F861" s="52"/>
      <c r="G861" s="52"/>
      <c r="H861" s="52"/>
      <c r="I861" s="52"/>
      <c r="J861" s="52"/>
      <c r="K861" s="52"/>
      <c r="L861" s="52"/>
      <c r="M861" s="52"/>
      <c r="N861" s="52"/>
      <c r="O861" s="52"/>
      <c r="P861" s="52"/>
      <c r="Q861" s="52"/>
      <c r="R861" s="52"/>
      <c r="S861" s="52"/>
      <c r="T861" s="52"/>
      <c r="U861" s="52"/>
      <c r="V861" s="52"/>
      <c r="W861" s="52"/>
      <c r="X861" s="52"/>
      <c r="Y861" s="52"/>
      <c r="Z861" s="52"/>
    </row>
    <row r="862">
      <c r="A862" s="59"/>
      <c r="B862" s="34"/>
      <c r="C862" s="52"/>
      <c r="D862" s="52"/>
      <c r="E862" s="52"/>
      <c r="F862" s="52"/>
      <c r="G862" s="52"/>
      <c r="H862" s="52"/>
      <c r="I862" s="52"/>
      <c r="J862" s="52"/>
      <c r="K862" s="52"/>
      <c r="L862" s="52"/>
      <c r="M862" s="52"/>
      <c r="N862" s="52"/>
      <c r="O862" s="52"/>
      <c r="P862" s="52"/>
      <c r="Q862" s="52"/>
      <c r="R862" s="52"/>
      <c r="S862" s="52"/>
      <c r="T862" s="52"/>
      <c r="U862" s="52"/>
      <c r="V862" s="52"/>
      <c r="W862" s="52"/>
      <c r="X862" s="52"/>
      <c r="Y862" s="52"/>
      <c r="Z862" s="52"/>
    </row>
    <row r="863">
      <c r="A863" s="59"/>
      <c r="B863" s="34"/>
      <c r="C863" s="52"/>
      <c r="D863" s="52"/>
      <c r="E863" s="52"/>
      <c r="F863" s="52"/>
      <c r="G863" s="52"/>
      <c r="H863" s="52"/>
      <c r="I863" s="52"/>
      <c r="J863" s="52"/>
      <c r="K863" s="52"/>
      <c r="L863" s="52"/>
      <c r="M863" s="52"/>
      <c r="N863" s="52"/>
      <c r="O863" s="52"/>
      <c r="P863" s="52"/>
      <c r="Q863" s="52"/>
      <c r="R863" s="52"/>
      <c r="S863" s="52"/>
      <c r="T863" s="52"/>
      <c r="U863" s="52"/>
      <c r="V863" s="52"/>
      <c r="W863" s="52"/>
      <c r="X863" s="52"/>
      <c r="Y863" s="52"/>
      <c r="Z863" s="52"/>
    </row>
    <row r="864">
      <c r="A864" s="59"/>
      <c r="B864" s="34"/>
      <c r="C864" s="52"/>
      <c r="D864" s="52"/>
      <c r="E864" s="52"/>
      <c r="F864" s="52"/>
      <c r="G864" s="52"/>
      <c r="H864" s="52"/>
      <c r="I864" s="52"/>
      <c r="J864" s="52"/>
      <c r="K864" s="52"/>
      <c r="L864" s="52"/>
      <c r="M864" s="52"/>
      <c r="N864" s="52"/>
      <c r="O864" s="52"/>
      <c r="P864" s="52"/>
      <c r="Q864" s="52"/>
      <c r="R864" s="52"/>
      <c r="S864" s="52"/>
      <c r="T864" s="52"/>
      <c r="U864" s="52"/>
      <c r="V864" s="52"/>
      <c r="W864" s="52"/>
      <c r="X864" s="52"/>
      <c r="Y864" s="52"/>
      <c r="Z864" s="52"/>
    </row>
    <row r="865">
      <c r="A865" s="59"/>
      <c r="B865" s="34"/>
      <c r="C865" s="52"/>
      <c r="D865" s="52"/>
      <c r="E865" s="52"/>
      <c r="F865" s="52"/>
      <c r="G865" s="52"/>
      <c r="H865" s="52"/>
      <c r="I865" s="52"/>
      <c r="J865" s="52"/>
      <c r="K865" s="52"/>
      <c r="L865" s="52"/>
      <c r="M865" s="52"/>
      <c r="N865" s="52"/>
      <c r="O865" s="52"/>
      <c r="P865" s="52"/>
      <c r="Q865" s="52"/>
      <c r="R865" s="52"/>
      <c r="S865" s="52"/>
      <c r="T865" s="52"/>
      <c r="U865" s="52"/>
      <c r="V865" s="52"/>
      <c r="W865" s="52"/>
      <c r="X865" s="52"/>
      <c r="Y865" s="52"/>
      <c r="Z865" s="52"/>
    </row>
    <row r="866">
      <c r="A866" s="59"/>
      <c r="B866" s="34"/>
      <c r="C866" s="52"/>
      <c r="D866" s="52"/>
      <c r="E866" s="52"/>
      <c r="F866" s="52"/>
      <c r="G866" s="52"/>
      <c r="H866" s="52"/>
      <c r="I866" s="52"/>
      <c r="J866" s="52"/>
      <c r="K866" s="52"/>
      <c r="L866" s="52"/>
      <c r="M866" s="52"/>
      <c r="N866" s="52"/>
      <c r="O866" s="52"/>
      <c r="P866" s="52"/>
      <c r="Q866" s="52"/>
      <c r="R866" s="52"/>
      <c r="S866" s="52"/>
      <c r="T866" s="52"/>
      <c r="U866" s="52"/>
      <c r="V866" s="52"/>
      <c r="W866" s="52"/>
      <c r="X866" s="52"/>
      <c r="Y866" s="52"/>
      <c r="Z866" s="52"/>
    </row>
    <row r="867">
      <c r="A867" s="59"/>
      <c r="B867" s="34"/>
      <c r="C867" s="52"/>
      <c r="D867" s="52"/>
      <c r="E867" s="52"/>
      <c r="F867" s="52"/>
      <c r="G867" s="52"/>
      <c r="H867" s="52"/>
      <c r="I867" s="52"/>
      <c r="J867" s="52"/>
      <c r="K867" s="52"/>
      <c r="L867" s="52"/>
      <c r="M867" s="52"/>
      <c r="N867" s="52"/>
      <c r="O867" s="52"/>
      <c r="P867" s="52"/>
      <c r="Q867" s="52"/>
      <c r="R867" s="52"/>
      <c r="S867" s="52"/>
      <c r="T867" s="52"/>
      <c r="U867" s="52"/>
      <c r="V867" s="52"/>
      <c r="W867" s="52"/>
      <c r="X867" s="52"/>
      <c r="Y867" s="52"/>
      <c r="Z867" s="52"/>
    </row>
    <row r="868">
      <c r="A868" s="59"/>
      <c r="B868" s="34"/>
      <c r="C868" s="52"/>
      <c r="D868" s="52"/>
      <c r="E868" s="52"/>
      <c r="F868" s="52"/>
      <c r="G868" s="52"/>
      <c r="H868" s="52"/>
      <c r="I868" s="52"/>
      <c r="J868" s="52"/>
      <c r="K868" s="52"/>
      <c r="L868" s="52"/>
      <c r="M868" s="52"/>
      <c r="N868" s="52"/>
      <c r="O868" s="52"/>
      <c r="P868" s="52"/>
      <c r="Q868" s="52"/>
      <c r="R868" s="52"/>
      <c r="S868" s="52"/>
      <c r="T868" s="52"/>
      <c r="U868" s="52"/>
      <c r="V868" s="52"/>
      <c r="W868" s="52"/>
      <c r="X868" s="52"/>
      <c r="Y868" s="52"/>
      <c r="Z868" s="52"/>
    </row>
    <row r="869">
      <c r="A869" s="59"/>
      <c r="B869" s="34"/>
      <c r="C869" s="52"/>
      <c r="D869" s="52"/>
      <c r="E869" s="52"/>
      <c r="F869" s="52"/>
      <c r="G869" s="52"/>
      <c r="H869" s="52"/>
      <c r="I869" s="52"/>
      <c r="J869" s="52"/>
      <c r="K869" s="52"/>
      <c r="L869" s="52"/>
      <c r="M869" s="52"/>
      <c r="N869" s="52"/>
      <c r="O869" s="52"/>
      <c r="P869" s="52"/>
      <c r="Q869" s="52"/>
      <c r="R869" s="52"/>
      <c r="S869" s="52"/>
      <c r="T869" s="52"/>
      <c r="U869" s="52"/>
      <c r="V869" s="52"/>
      <c r="W869" s="52"/>
      <c r="X869" s="52"/>
      <c r="Y869" s="52"/>
      <c r="Z869" s="52"/>
    </row>
    <row r="870">
      <c r="A870" s="59"/>
      <c r="B870" s="34"/>
      <c r="C870" s="52"/>
      <c r="D870" s="52"/>
      <c r="E870" s="52"/>
      <c r="F870" s="52"/>
      <c r="G870" s="52"/>
      <c r="H870" s="52"/>
      <c r="I870" s="52"/>
      <c r="J870" s="52"/>
      <c r="K870" s="52"/>
      <c r="L870" s="52"/>
      <c r="M870" s="52"/>
      <c r="N870" s="52"/>
      <c r="O870" s="52"/>
      <c r="P870" s="52"/>
      <c r="Q870" s="52"/>
      <c r="R870" s="52"/>
      <c r="S870" s="52"/>
      <c r="T870" s="52"/>
      <c r="U870" s="52"/>
      <c r="V870" s="52"/>
      <c r="W870" s="52"/>
      <c r="X870" s="52"/>
      <c r="Y870" s="52"/>
      <c r="Z870" s="52"/>
    </row>
    <row r="871">
      <c r="A871" s="59"/>
      <c r="B871" s="34"/>
      <c r="C871" s="52"/>
      <c r="D871" s="52"/>
      <c r="E871" s="52"/>
      <c r="F871" s="52"/>
      <c r="G871" s="52"/>
      <c r="H871" s="52"/>
      <c r="I871" s="52"/>
      <c r="J871" s="52"/>
      <c r="K871" s="52"/>
      <c r="L871" s="52"/>
      <c r="M871" s="52"/>
      <c r="N871" s="52"/>
      <c r="O871" s="52"/>
      <c r="P871" s="52"/>
      <c r="Q871" s="52"/>
      <c r="R871" s="52"/>
      <c r="S871" s="52"/>
      <c r="T871" s="52"/>
      <c r="U871" s="52"/>
      <c r="V871" s="52"/>
      <c r="W871" s="52"/>
      <c r="X871" s="52"/>
      <c r="Y871" s="52"/>
      <c r="Z871" s="52"/>
    </row>
    <row r="872">
      <c r="A872" s="59"/>
      <c r="B872" s="34"/>
      <c r="C872" s="52"/>
      <c r="D872" s="52"/>
      <c r="E872" s="52"/>
      <c r="F872" s="52"/>
      <c r="G872" s="52"/>
      <c r="H872" s="52"/>
      <c r="I872" s="52"/>
      <c r="J872" s="52"/>
      <c r="K872" s="52"/>
      <c r="L872" s="52"/>
      <c r="M872" s="52"/>
      <c r="N872" s="52"/>
      <c r="O872" s="52"/>
      <c r="P872" s="52"/>
      <c r="Q872" s="52"/>
      <c r="R872" s="52"/>
      <c r="S872" s="52"/>
      <c r="T872" s="52"/>
      <c r="U872" s="52"/>
      <c r="V872" s="52"/>
      <c r="W872" s="52"/>
      <c r="X872" s="52"/>
      <c r="Y872" s="52"/>
      <c r="Z872" s="52"/>
    </row>
    <row r="873">
      <c r="A873" s="59"/>
      <c r="B873" s="34"/>
      <c r="C873" s="52"/>
      <c r="D873" s="52"/>
      <c r="E873" s="52"/>
      <c r="F873" s="52"/>
      <c r="G873" s="52"/>
      <c r="H873" s="52"/>
      <c r="I873" s="52"/>
      <c r="J873" s="52"/>
      <c r="K873" s="52"/>
      <c r="L873" s="52"/>
      <c r="M873" s="52"/>
      <c r="N873" s="52"/>
      <c r="O873" s="52"/>
      <c r="P873" s="52"/>
      <c r="Q873" s="52"/>
      <c r="R873" s="52"/>
      <c r="S873" s="52"/>
      <c r="T873" s="52"/>
      <c r="U873" s="52"/>
      <c r="V873" s="52"/>
      <c r="W873" s="52"/>
      <c r="X873" s="52"/>
      <c r="Y873" s="52"/>
      <c r="Z873" s="52"/>
    </row>
    <row r="874">
      <c r="A874" s="59"/>
      <c r="B874" s="34"/>
      <c r="C874" s="52"/>
      <c r="D874" s="52"/>
      <c r="E874" s="52"/>
      <c r="F874" s="52"/>
      <c r="G874" s="52"/>
      <c r="H874" s="52"/>
      <c r="I874" s="52"/>
      <c r="J874" s="52"/>
      <c r="K874" s="52"/>
      <c r="L874" s="52"/>
      <c r="M874" s="52"/>
      <c r="N874" s="52"/>
      <c r="O874" s="52"/>
      <c r="P874" s="52"/>
      <c r="Q874" s="52"/>
      <c r="R874" s="52"/>
      <c r="S874" s="52"/>
      <c r="T874" s="52"/>
      <c r="U874" s="52"/>
      <c r="V874" s="52"/>
      <c r="W874" s="52"/>
      <c r="X874" s="52"/>
      <c r="Y874" s="52"/>
      <c r="Z874" s="52"/>
    </row>
    <row r="875">
      <c r="A875" s="59"/>
      <c r="B875" s="34"/>
      <c r="C875" s="52"/>
      <c r="D875" s="52"/>
      <c r="E875" s="52"/>
      <c r="F875" s="52"/>
      <c r="G875" s="52"/>
      <c r="H875" s="52"/>
      <c r="I875" s="52"/>
      <c r="J875" s="52"/>
      <c r="K875" s="52"/>
      <c r="L875" s="52"/>
      <c r="M875" s="52"/>
      <c r="N875" s="52"/>
      <c r="O875" s="52"/>
      <c r="P875" s="52"/>
      <c r="Q875" s="52"/>
      <c r="R875" s="52"/>
      <c r="S875" s="52"/>
      <c r="T875" s="52"/>
      <c r="U875" s="52"/>
      <c r="V875" s="52"/>
      <c r="W875" s="52"/>
      <c r="X875" s="52"/>
      <c r="Y875" s="52"/>
      <c r="Z875" s="52"/>
    </row>
    <row r="876">
      <c r="A876" s="59"/>
      <c r="B876" s="34"/>
      <c r="C876" s="52"/>
      <c r="D876" s="52"/>
      <c r="E876" s="52"/>
      <c r="F876" s="52"/>
      <c r="G876" s="52"/>
      <c r="H876" s="52"/>
      <c r="I876" s="52"/>
      <c r="J876" s="52"/>
      <c r="K876" s="52"/>
      <c r="L876" s="52"/>
      <c r="M876" s="52"/>
      <c r="N876" s="52"/>
      <c r="O876" s="52"/>
      <c r="P876" s="52"/>
      <c r="Q876" s="52"/>
      <c r="R876" s="52"/>
      <c r="S876" s="52"/>
      <c r="T876" s="52"/>
      <c r="U876" s="52"/>
      <c r="V876" s="52"/>
      <c r="W876" s="52"/>
      <c r="X876" s="52"/>
      <c r="Y876" s="52"/>
      <c r="Z876" s="52"/>
    </row>
    <row r="877">
      <c r="A877" s="59"/>
      <c r="B877" s="34"/>
      <c r="C877" s="52"/>
      <c r="D877" s="52"/>
      <c r="E877" s="52"/>
      <c r="F877" s="52"/>
      <c r="G877" s="52"/>
      <c r="H877" s="52"/>
      <c r="I877" s="52"/>
      <c r="J877" s="52"/>
      <c r="K877" s="52"/>
      <c r="L877" s="52"/>
      <c r="M877" s="52"/>
      <c r="N877" s="52"/>
      <c r="O877" s="52"/>
      <c r="P877" s="52"/>
      <c r="Q877" s="52"/>
      <c r="R877" s="52"/>
      <c r="S877" s="52"/>
      <c r="T877" s="52"/>
      <c r="U877" s="52"/>
      <c r="V877" s="52"/>
      <c r="W877" s="52"/>
      <c r="X877" s="52"/>
      <c r="Y877" s="52"/>
      <c r="Z877" s="52"/>
    </row>
    <row r="878">
      <c r="A878" s="59"/>
      <c r="B878" s="34"/>
      <c r="C878" s="52"/>
      <c r="D878" s="52"/>
      <c r="E878" s="52"/>
      <c r="F878" s="52"/>
      <c r="G878" s="52"/>
      <c r="H878" s="52"/>
      <c r="I878" s="52"/>
      <c r="J878" s="52"/>
      <c r="K878" s="52"/>
      <c r="L878" s="52"/>
      <c r="M878" s="52"/>
      <c r="N878" s="52"/>
      <c r="O878" s="52"/>
      <c r="P878" s="52"/>
      <c r="Q878" s="52"/>
      <c r="R878" s="52"/>
      <c r="S878" s="52"/>
      <c r="T878" s="52"/>
      <c r="U878" s="52"/>
      <c r="V878" s="52"/>
      <c r="W878" s="52"/>
      <c r="X878" s="52"/>
      <c r="Y878" s="52"/>
      <c r="Z878" s="52"/>
    </row>
    <row r="879">
      <c r="A879" s="59"/>
      <c r="B879" s="34"/>
      <c r="C879" s="52"/>
      <c r="D879" s="52"/>
      <c r="E879" s="52"/>
      <c r="F879" s="52"/>
      <c r="G879" s="52"/>
      <c r="H879" s="52"/>
      <c r="I879" s="52"/>
      <c r="J879" s="52"/>
      <c r="K879" s="52"/>
      <c r="L879" s="52"/>
      <c r="M879" s="52"/>
      <c r="N879" s="52"/>
      <c r="O879" s="52"/>
      <c r="P879" s="52"/>
      <c r="Q879" s="52"/>
      <c r="R879" s="52"/>
      <c r="S879" s="52"/>
      <c r="T879" s="52"/>
      <c r="U879" s="52"/>
      <c r="V879" s="52"/>
      <c r="W879" s="52"/>
      <c r="X879" s="52"/>
      <c r="Y879" s="52"/>
      <c r="Z879" s="52"/>
    </row>
    <row r="880">
      <c r="A880" s="59"/>
      <c r="B880" s="34"/>
      <c r="C880" s="52"/>
      <c r="D880" s="52"/>
      <c r="E880" s="52"/>
      <c r="F880" s="52"/>
      <c r="G880" s="52"/>
      <c r="H880" s="52"/>
      <c r="I880" s="52"/>
      <c r="J880" s="52"/>
      <c r="K880" s="52"/>
      <c r="L880" s="52"/>
      <c r="M880" s="52"/>
      <c r="N880" s="52"/>
      <c r="O880" s="52"/>
      <c r="P880" s="52"/>
      <c r="Q880" s="52"/>
      <c r="R880" s="52"/>
      <c r="S880" s="52"/>
      <c r="T880" s="52"/>
      <c r="U880" s="52"/>
      <c r="V880" s="52"/>
      <c r="W880" s="52"/>
      <c r="X880" s="52"/>
      <c r="Y880" s="52"/>
      <c r="Z880" s="52"/>
    </row>
    <row r="881">
      <c r="A881" s="59"/>
      <c r="B881" s="34"/>
      <c r="C881" s="52"/>
      <c r="D881" s="52"/>
      <c r="E881" s="52"/>
      <c r="F881" s="52"/>
      <c r="G881" s="52"/>
      <c r="H881" s="52"/>
      <c r="I881" s="52"/>
      <c r="J881" s="52"/>
      <c r="K881" s="52"/>
      <c r="L881" s="52"/>
      <c r="M881" s="52"/>
      <c r="N881" s="52"/>
      <c r="O881" s="52"/>
      <c r="P881" s="52"/>
      <c r="Q881" s="52"/>
      <c r="R881" s="52"/>
      <c r="S881" s="52"/>
      <c r="T881" s="52"/>
      <c r="U881" s="52"/>
      <c r="V881" s="52"/>
      <c r="W881" s="52"/>
      <c r="X881" s="52"/>
      <c r="Y881" s="52"/>
      <c r="Z881" s="52"/>
    </row>
    <row r="882">
      <c r="A882" s="59"/>
      <c r="B882" s="34"/>
      <c r="C882" s="52"/>
      <c r="D882" s="52"/>
      <c r="E882" s="52"/>
      <c r="F882" s="52"/>
      <c r="G882" s="52"/>
      <c r="H882" s="52"/>
      <c r="I882" s="52"/>
      <c r="J882" s="52"/>
      <c r="K882" s="52"/>
      <c r="L882" s="52"/>
      <c r="M882" s="52"/>
      <c r="N882" s="52"/>
      <c r="O882" s="52"/>
      <c r="P882" s="52"/>
      <c r="Q882" s="52"/>
      <c r="R882" s="52"/>
      <c r="S882" s="52"/>
      <c r="T882" s="52"/>
      <c r="U882" s="52"/>
      <c r="V882" s="52"/>
      <c r="W882" s="52"/>
      <c r="X882" s="52"/>
      <c r="Y882" s="52"/>
      <c r="Z882" s="52"/>
    </row>
    <row r="883">
      <c r="A883" s="59"/>
      <c r="B883" s="34"/>
      <c r="C883" s="52"/>
      <c r="D883" s="52"/>
      <c r="E883" s="52"/>
      <c r="F883" s="52"/>
      <c r="G883" s="52"/>
      <c r="H883" s="52"/>
      <c r="I883" s="52"/>
      <c r="J883" s="52"/>
      <c r="K883" s="52"/>
      <c r="L883" s="52"/>
      <c r="M883" s="52"/>
      <c r="N883" s="52"/>
      <c r="O883" s="52"/>
      <c r="P883" s="52"/>
      <c r="Q883" s="52"/>
      <c r="R883" s="52"/>
      <c r="S883" s="52"/>
      <c r="T883" s="52"/>
      <c r="U883" s="52"/>
      <c r="V883" s="52"/>
      <c r="W883" s="52"/>
      <c r="X883" s="52"/>
      <c r="Y883" s="52"/>
      <c r="Z883" s="52"/>
    </row>
    <row r="884">
      <c r="A884" s="59"/>
      <c r="B884" s="34"/>
      <c r="C884" s="52"/>
      <c r="D884" s="52"/>
      <c r="E884" s="52"/>
      <c r="F884" s="52"/>
      <c r="G884" s="52"/>
      <c r="H884" s="52"/>
      <c r="I884" s="52"/>
      <c r="J884" s="52"/>
      <c r="K884" s="52"/>
      <c r="L884" s="52"/>
      <c r="M884" s="52"/>
      <c r="N884" s="52"/>
      <c r="O884" s="52"/>
      <c r="P884" s="52"/>
      <c r="Q884" s="52"/>
      <c r="R884" s="52"/>
      <c r="S884" s="52"/>
      <c r="T884" s="52"/>
      <c r="U884" s="52"/>
      <c r="V884" s="52"/>
      <c r="W884" s="52"/>
      <c r="X884" s="52"/>
      <c r="Y884" s="52"/>
      <c r="Z884" s="52"/>
    </row>
    <row r="885">
      <c r="A885" s="59"/>
      <c r="B885" s="34"/>
      <c r="C885" s="52"/>
      <c r="D885" s="52"/>
      <c r="E885" s="52"/>
      <c r="F885" s="52"/>
      <c r="G885" s="52"/>
      <c r="H885" s="52"/>
      <c r="I885" s="52"/>
      <c r="J885" s="52"/>
      <c r="K885" s="52"/>
      <c r="L885" s="52"/>
      <c r="M885" s="52"/>
      <c r="N885" s="52"/>
      <c r="O885" s="52"/>
      <c r="P885" s="52"/>
      <c r="Q885" s="52"/>
      <c r="R885" s="52"/>
      <c r="S885" s="52"/>
      <c r="T885" s="52"/>
      <c r="U885" s="52"/>
      <c r="V885" s="52"/>
      <c r="W885" s="52"/>
      <c r="X885" s="52"/>
      <c r="Y885" s="52"/>
      <c r="Z885" s="52"/>
    </row>
    <row r="886">
      <c r="A886" s="59"/>
      <c r="B886" s="34"/>
      <c r="C886" s="52"/>
      <c r="D886" s="52"/>
      <c r="E886" s="52"/>
      <c r="F886" s="52"/>
      <c r="G886" s="52"/>
      <c r="H886" s="52"/>
      <c r="I886" s="52"/>
      <c r="J886" s="52"/>
      <c r="K886" s="52"/>
      <c r="L886" s="52"/>
      <c r="M886" s="52"/>
      <c r="N886" s="52"/>
      <c r="O886" s="52"/>
      <c r="P886" s="52"/>
      <c r="Q886" s="52"/>
      <c r="R886" s="52"/>
      <c r="S886" s="52"/>
      <c r="T886" s="52"/>
      <c r="U886" s="52"/>
      <c r="V886" s="52"/>
      <c r="W886" s="52"/>
      <c r="X886" s="52"/>
      <c r="Y886" s="52"/>
      <c r="Z886" s="52"/>
    </row>
    <row r="887">
      <c r="A887" s="59"/>
      <c r="B887" s="34"/>
      <c r="C887" s="52"/>
      <c r="D887" s="52"/>
      <c r="E887" s="52"/>
      <c r="F887" s="52"/>
      <c r="G887" s="52"/>
      <c r="H887" s="52"/>
      <c r="I887" s="52"/>
      <c r="J887" s="52"/>
      <c r="K887" s="52"/>
      <c r="L887" s="52"/>
      <c r="M887" s="52"/>
      <c r="N887" s="52"/>
      <c r="O887" s="52"/>
      <c r="P887" s="52"/>
      <c r="Q887" s="52"/>
      <c r="R887" s="52"/>
      <c r="S887" s="52"/>
      <c r="T887" s="52"/>
      <c r="U887" s="52"/>
      <c r="V887" s="52"/>
      <c r="W887" s="52"/>
      <c r="X887" s="52"/>
      <c r="Y887" s="52"/>
      <c r="Z887" s="52"/>
    </row>
    <row r="888">
      <c r="A888" s="59"/>
      <c r="B888" s="34"/>
      <c r="C888" s="52"/>
      <c r="D888" s="52"/>
      <c r="E888" s="52"/>
      <c r="F888" s="52"/>
      <c r="G888" s="52"/>
      <c r="H888" s="52"/>
      <c r="I888" s="52"/>
      <c r="J888" s="52"/>
      <c r="K888" s="52"/>
      <c r="L888" s="52"/>
      <c r="M888" s="52"/>
      <c r="N888" s="52"/>
      <c r="O888" s="52"/>
      <c r="P888" s="52"/>
      <c r="Q888" s="52"/>
      <c r="R888" s="52"/>
      <c r="S888" s="52"/>
      <c r="T888" s="52"/>
      <c r="U888" s="52"/>
      <c r="V888" s="52"/>
      <c r="W888" s="52"/>
      <c r="X888" s="52"/>
      <c r="Y888" s="52"/>
      <c r="Z888" s="52"/>
    </row>
    <row r="889">
      <c r="A889" s="59"/>
      <c r="B889" s="34"/>
      <c r="C889" s="52"/>
      <c r="D889" s="52"/>
      <c r="E889" s="52"/>
      <c r="F889" s="52"/>
      <c r="G889" s="52"/>
      <c r="H889" s="52"/>
      <c r="I889" s="52"/>
      <c r="J889" s="52"/>
      <c r="K889" s="52"/>
      <c r="L889" s="52"/>
      <c r="M889" s="52"/>
      <c r="N889" s="52"/>
      <c r="O889" s="52"/>
      <c r="P889" s="52"/>
      <c r="Q889" s="52"/>
      <c r="R889" s="52"/>
      <c r="S889" s="52"/>
      <c r="T889" s="52"/>
      <c r="U889" s="52"/>
      <c r="V889" s="52"/>
      <c r="W889" s="52"/>
      <c r="X889" s="52"/>
      <c r="Y889" s="52"/>
      <c r="Z889" s="52"/>
    </row>
    <row r="890">
      <c r="A890" s="59"/>
      <c r="B890" s="34"/>
      <c r="C890" s="52"/>
      <c r="D890" s="52"/>
      <c r="E890" s="52"/>
      <c r="F890" s="52"/>
      <c r="G890" s="52"/>
      <c r="H890" s="52"/>
      <c r="I890" s="52"/>
      <c r="J890" s="52"/>
      <c r="K890" s="52"/>
      <c r="L890" s="52"/>
      <c r="M890" s="52"/>
      <c r="N890" s="52"/>
      <c r="O890" s="52"/>
      <c r="P890" s="52"/>
      <c r="Q890" s="52"/>
      <c r="R890" s="52"/>
      <c r="S890" s="52"/>
      <c r="T890" s="52"/>
      <c r="U890" s="52"/>
      <c r="V890" s="52"/>
      <c r="W890" s="52"/>
      <c r="X890" s="52"/>
      <c r="Y890" s="52"/>
      <c r="Z890" s="52"/>
    </row>
    <row r="891">
      <c r="A891" s="59"/>
      <c r="B891" s="34"/>
      <c r="C891" s="52"/>
      <c r="D891" s="52"/>
      <c r="E891" s="52"/>
      <c r="F891" s="52"/>
      <c r="G891" s="52"/>
      <c r="H891" s="52"/>
      <c r="I891" s="52"/>
      <c r="J891" s="52"/>
      <c r="K891" s="52"/>
      <c r="L891" s="52"/>
      <c r="M891" s="52"/>
      <c r="N891" s="52"/>
      <c r="O891" s="52"/>
      <c r="P891" s="52"/>
      <c r="Q891" s="52"/>
      <c r="R891" s="52"/>
      <c r="S891" s="52"/>
      <c r="T891" s="52"/>
      <c r="U891" s="52"/>
      <c r="V891" s="52"/>
      <c r="W891" s="52"/>
      <c r="X891" s="52"/>
      <c r="Y891" s="52"/>
      <c r="Z891" s="52"/>
    </row>
    <row r="892">
      <c r="A892" s="59"/>
      <c r="B892" s="34"/>
      <c r="C892" s="52"/>
      <c r="D892" s="52"/>
      <c r="E892" s="52"/>
      <c r="F892" s="52"/>
      <c r="G892" s="52"/>
      <c r="H892" s="52"/>
      <c r="I892" s="52"/>
      <c r="J892" s="52"/>
      <c r="K892" s="52"/>
      <c r="L892" s="52"/>
      <c r="M892" s="52"/>
      <c r="N892" s="52"/>
      <c r="O892" s="52"/>
      <c r="P892" s="52"/>
      <c r="Q892" s="52"/>
      <c r="R892" s="52"/>
      <c r="S892" s="52"/>
      <c r="T892" s="52"/>
      <c r="U892" s="52"/>
      <c r="V892" s="52"/>
      <c r="W892" s="52"/>
      <c r="X892" s="52"/>
      <c r="Y892" s="52"/>
      <c r="Z892" s="52"/>
    </row>
    <row r="893">
      <c r="A893" s="59"/>
      <c r="B893" s="34"/>
      <c r="C893" s="52"/>
      <c r="D893" s="52"/>
      <c r="E893" s="52"/>
      <c r="F893" s="52"/>
      <c r="G893" s="52"/>
      <c r="H893" s="52"/>
      <c r="I893" s="52"/>
      <c r="J893" s="52"/>
      <c r="K893" s="52"/>
      <c r="L893" s="52"/>
      <c r="M893" s="52"/>
      <c r="N893" s="52"/>
      <c r="O893" s="52"/>
      <c r="P893" s="52"/>
      <c r="Q893" s="52"/>
      <c r="R893" s="52"/>
      <c r="S893" s="52"/>
      <c r="T893" s="52"/>
      <c r="U893" s="52"/>
      <c r="V893" s="52"/>
      <c r="W893" s="52"/>
      <c r="X893" s="52"/>
      <c r="Y893" s="52"/>
      <c r="Z893" s="52"/>
    </row>
    <row r="894">
      <c r="A894" s="59"/>
      <c r="B894" s="34"/>
      <c r="C894" s="52"/>
      <c r="D894" s="52"/>
      <c r="E894" s="52"/>
      <c r="F894" s="52"/>
      <c r="G894" s="52"/>
      <c r="H894" s="52"/>
      <c r="I894" s="52"/>
      <c r="J894" s="52"/>
      <c r="K894" s="52"/>
      <c r="L894" s="52"/>
      <c r="M894" s="52"/>
      <c r="N894" s="52"/>
      <c r="O894" s="52"/>
      <c r="P894" s="52"/>
      <c r="Q894" s="52"/>
      <c r="R894" s="52"/>
      <c r="S894" s="52"/>
      <c r="T894" s="52"/>
      <c r="U894" s="52"/>
      <c r="V894" s="52"/>
      <c r="W894" s="52"/>
      <c r="X894" s="52"/>
      <c r="Y894" s="52"/>
      <c r="Z894" s="52"/>
    </row>
    <row r="895">
      <c r="A895" s="59"/>
      <c r="B895" s="34"/>
      <c r="C895" s="52"/>
      <c r="D895" s="52"/>
      <c r="E895" s="52"/>
      <c r="F895" s="52"/>
      <c r="G895" s="52"/>
      <c r="H895" s="52"/>
      <c r="I895" s="52"/>
      <c r="J895" s="52"/>
      <c r="K895" s="52"/>
      <c r="L895" s="52"/>
      <c r="M895" s="52"/>
      <c r="N895" s="52"/>
      <c r="O895" s="52"/>
      <c r="P895" s="52"/>
      <c r="Q895" s="52"/>
      <c r="R895" s="52"/>
      <c r="S895" s="52"/>
      <c r="T895" s="52"/>
      <c r="U895" s="52"/>
      <c r="V895" s="52"/>
      <c r="W895" s="52"/>
      <c r="X895" s="52"/>
      <c r="Y895" s="52"/>
      <c r="Z895" s="52"/>
    </row>
    <row r="896">
      <c r="A896" s="59"/>
      <c r="B896" s="34"/>
      <c r="C896" s="52"/>
      <c r="D896" s="52"/>
      <c r="E896" s="52"/>
      <c r="F896" s="52"/>
      <c r="G896" s="52"/>
      <c r="H896" s="52"/>
      <c r="I896" s="52"/>
      <c r="J896" s="52"/>
      <c r="K896" s="52"/>
      <c r="L896" s="52"/>
      <c r="M896" s="52"/>
      <c r="N896" s="52"/>
      <c r="O896" s="52"/>
      <c r="P896" s="52"/>
      <c r="Q896" s="52"/>
      <c r="R896" s="52"/>
      <c r="S896" s="52"/>
      <c r="T896" s="52"/>
      <c r="U896" s="52"/>
      <c r="V896" s="52"/>
      <c r="W896" s="52"/>
      <c r="X896" s="52"/>
      <c r="Y896" s="52"/>
      <c r="Z896" s="52"/>
    </row>
    <row r="897">
      <c r="A897" s="59"/>
      <c r="B897" s="34"/>
      <c r="C897" s="52"/>
      <c r="D897" s="52"/>
      <c r="E897" s="52"/>
      <c r="F897" s="52"/>
      <c r="G897" s="52"/>
      <c r="H897" s="52"/>
      <c r="I897" s="52"/>
      <c r="J897" s="52"/>
      <c r="K897" s="52"/>
      <c r="L897" s="52"/>
      <c r="M897" s="52"/>
      <c r="N897" s="52"/>
      <c r="O897" s="52"/>
      <c r="P897" s="52"/>
      <c r="Q897" s="52"/>
      <c r="R897" s="52"/>
      <c r="S897" s="52"/>
      <c r="T897" s="52"/>
      <c r="U897" s="52"/>
      <c r="V897" s="52"/>
      <c r="W897" s="52"/>
      <c r="X897" s="52"/>
      <c r="Y897" s="52"/>
      <c r="Z897" s="52"/>
    </row>
    <row r="898">
      <c r="A898" s="59"/>
      <c r="B898" s="34"/>
      <c r="C898" s="52"/>
      <c r="D898" s="52"/>
      <c r="E898" s="52"/>
      <c r="F898" s="52"/>
      <c r="G898" s="52"/>
      <c r="H898" s="52"/>
      <c r="I898" s="52"/>
      <c r="J898" s="52"/>
      <c r="K898" s="52"/>
      <c r="L898" s="52"/>
      <c r="M898" s="52"/>
      <c r="N898" s="52"/>
      <c r="O898" s="52"/>
      <c r="P898" s="52"/>
      <c r="Q898" s="52"/>
      <c r="R898" s="52"/>
      <c r="S898" s="52"/>
      <c r="T898" s="52"/>
      <c r="U898" s="52"/>
      <c r="V898" s="52"/>
      <c r="W898" s="52"/>
      <c r="X898" s="52"/>
      <c r="Y898" s="52"/>
      <c r="Z898" s="52"/>
    </row>
    <row r="899">
      <c r="A899" s="59"/>
      <c r="B899" s="34"/>
      <c r="C899" s="52"/>
      <c r="D899" s="52"/>
      <c r="E899" s="52"/>
      <c r="F899" s="52"/>
      <c r="G899" s="52"/>
      <c r="H899" s="52"/>
      <c r="I899" s="52"/>
      <c r="J899" s="52"/>
      <c r="K899" s="52"/>
      <c r="L899" s="52"/>
      <c r="M899" s="52"/>
      <c r="N899" s="52"/>
      <c r="O899" s="52"/>
      <c r="P899" s="52"/>
      <c r="Q899" s="52"/>
      <c r="R899" s="52"/>
      <c r="S899" s="52"/>
      <c r="T899" s="52"/>
      <c r="U899" s="52"/>
      <c r="V899" s="52"/>
      <c r="W899" s="52"/>
      <c r="X899" s="52"/>
      <c r="Y899" s="52"/>
      <c r="Z899" s="52"/>
    </row>
    <row r="900">
      <c r="A900" s="59"/>
      <c r="B900" s="34"/>
      <c r="C900" s="52"/>
      <c r="D900" s="52"/>
      <c r="E900" s="52"/>
      <c r="F900" s="52"/>
      <c r="G900" s="52"/>
      <c r="H900" s="52"/>
      <c r="I900" s="52"/>
      <c r="J900" s="52"/>
      <c r="K900" s="52"/>
      <c r="L900" s="52"/>
      <c r="M900" s="52"/>
      <c r="N900" s="52"/>
      <c r="O900" s="52"/>
      <c r="P900" s="52"/>
      <c r="Q900" s="52"/>
      <c r="R900" s="52"/>
      <c r="S900" s="52"/>
      <c r="T900" s="52"/>
      <c r="U900" s="52"/>
      <c r="V900" s="52"/>
      <c r="W900" s="52"/>
      <c r="X900" s="52"/>
      <c r="Y900" s="52"/>
      <c r="Z900" s="52"/>
    </row>
    <row r="901">
      <c r="A901" s="59"/>
      <c r="B901" s="34"/>
      <c r="C901" s="52"/>
      <c r="D901" s="52"/>
      <c r="E901" s="52"/>
      <c r="F901" s="52"/>
      <c r="G901" s="52"/>
      <c r="H901" s="52"/>
      <c r="I901" s="52"/>
      <c r="J901" s="52"/>
      <c r="K901" s="52"/>
      <c r="L901" s="52"/>
      <c r="M901" s="52"/>
      <c r="N901" s="52"/>
      <c r="O901" s="52"/>
      <c r="P901" s="52"/>
      <c r="Q901" s="52"/>
      <c r="R901" s="52"/>
      <c r="S901" s="52"/>
      <c r="T901" s="52"/>
      <c r="U901" s="52"/>
      <c r="V901" s="52"/>
      <c r="W901" s="52"/>
      <c r="X901" s="52"/>
      <c r="Y901" s="52"/>
      <c r="Z901" s="52"/>
    </row>
    <row r="902">
      <c r="A902" s="59"/>
      <c r="B902" s="34"/>
      <c r="C902" s="52"/>
      <c r="D902" s="52"/>
      <c r="E902" s="52"/>
      <c r="F902" s="52"/>
      <c r="G902" s="52"/>
      <c r="H902" s="52"/>
      <c r="I902" s="52"/>
      <c r="J902" s="52"/>
      <c r="K902" s="52"/>
      <c r="L902" s="52"/>
      <c r="M902" s="52"/>
      <c r="N902" s="52"/>
      <c r="O902" s="52"/>
      <c r="P902" s="52"/>
      <c r="Q902" s="52"/>
      <c r="R902" s="52"/>
      <c r="S902" s="52"/>
      <c r="T902" s="52"/>
      <c r="U902" s="52"/>
      <c r="V902" s="52"/>
      <c r="W902" s="52"/>
      <c r="X902" s="52"/>
      <c r="Y902" s="52"/>
      <c r="Z902" s="52"/>
    </row>
    <row r="903">
      <c r="A903" s="59"/>
      <c r="B903" s="34"/>
      <c r="C903" s="52"/>
      <c r="D903" s="52"/>
      <c r="E903" s="52"/>
      <c r="F903" s="52"/>
      <c r="G903" s="52"/>
      <c r="H903" s="52"/>
      <c r="I903" s="52"/>
      <c r="J903" s="52"/>
      <c r="K903" s="52"/>
      <c r="L903" s="52"/>
      <c r="M903" s="52"/>
      <c r="N903" s="52"/>
      <c r="O903" s="52"/>
      <c r="P903" s="52"/>
      <c r="Q903" s="52"/>
      <c r="R903" s="52"/>
      <c r="S903" s="52"/>
      <c r="T903" s="52"/>
      <c r="U903" s="52"/>
      <c r="V903" s="52"/>
      <c r="W903" s="52"/>
      <c r="X903" s="52"/>
      <c r="Y903" s="52"/>
      <c r="Z903" s="52"/>
    </row>
    <row r="904">
      <c r="A904" s="59"/>
      <c r="B904" s="34"/>
      <c r="C904" s="52"/>
      <c r="D904" s="52"/>
      <c r="E904" s="52"/>
      <c r="F904" s="52"/>
      <c r="G904" s="52"/>
      <c r="H904" s="52"/>
      <c r="I904" s="52"/>
      <c r="J904" s="52"/>
      <c r="K904" s="52"/>
      <c r="L904" s="52"/>
      <c r="M904" s="52"/>
      <c r="N904" s="52"/>
      <c r="O904" s="52"/>
      <c r="P904" s="52"/>
      <c r="Q904" s="52"/>
      <c r="R904" s="52"/>
      <c r="S904" s="52"/>
      <c r="T904" s="52"/>
      <c r="U904" s="52"/>
      <c r="V904" s="52"/>
      <c r="W904" s="52"/>
      <c r="X904" s="52"/>
      <c r="Y904" s="52"/>
      <c r="Z904" s="52"/>
    </row>
    <row r="905">
      <c r="A905" s="59"/>
      <c r="B905" s="34"/>
      <c r="C905" s="52"/>
      <c r="D905" s="52"/>
      <c r="E905" s="52"/>
      <c r="F905" s="52"/>
      <c r="G905" s="52"/>
      <c r="H905" s="52"/>
      <c r="I905" s="52"/>
      <c r="J905" s="52"/>
      <c r="K905" s="52"/>
      <c r="L905" s="52"/>
      <c r="M905" s="52"/>
      <c r="N905" s="52"/>
      <c r="O905" s="52"/>
      <c r="P905" s="52"/>
      <c r="Q905" s="52"/>
      <c r="R905" s="52"/>
      <c r="S905" s="52"/>
      <c r="T905" s="52"/>
      <c r="U905" s="52"/>
      <c r="V905" s="52"/>
      <c r="W905" s="52"/>
      <c r="X905" s="52"/>
      <c r="Y905" s="52"/>
      <c r="Z905" s="52"/>
    </row>
    <row r="906">
      <c r="A906" s="59"/>
      <c r="B906" s="34"/>
      <c r="C906" s="52"/>
      <c r="D906" s="52"/>
      <c r="E906" s="52"/>
      <c r="F906" s="52"/>
      <c r="G906" s="52"/>
      <c r="H906" s="52"/>
      <c r="I906" s="52"/>
      <c r="J906" s="52"/>
      <c r="K906" s="52"/>
      <c r="L906" s="52"/>
      <c r="M906" s="52"/>
      <c r="N906" s="52"/>
      <c r="O906" s="52"/>
      <c r="P906" s="52"/>
      <c r="Q906" s="52"/>
      <c r="R906" s="52"/>
      <c r="S906" s="52"/>
      <c r="T906" s="52"/>
      <c r="U906" s="52"/>
      <c r="V906" s="52"/>
      <c r="W906" s="52"/>
      <c r="X906" s="52"/>
      <c r="Y906" s="52"/>
      <c r="Z906" s="52"/>
    </row>
    <row r="907">
      <c r="A907" s="59"/>
      <c r="B907" s="34"/>
      <c r="C907" s="52"/>
      <c r="D907" s="52"/>
      <c r="E907" s="52"/>
      <c r="F907" s="52"/>
      <c r="G907" s="52"/>
      <c r="H907" s="52"/>
      <c r="I907" s="52"/>
      <c r="J907" s="52"/>
      <c r="K907" s="52"/>
      <c r="L907" s="52"/>
      <c r="M907" s="52"/>
      <c r="N907" s="52"/>
      <c r="O907" s="52"/>
      <c r="P907" s="52"/>
      <c r="Q907" s="52"/>
      <c r="R907" s="52"/>
      <c r="S907" s="52"/>
      <c r="T907" s="52"/>
      <c r="U907" s="52"/>
      <c r="V907" s="52"/>
      <c r="W907" s="52"/>
      <c r="X907" s="52"/>
      <c r="Y907" s="52"/>
      <c r="Z907" s="52"/>
    </row>
    <row r="908">
      <c r="A908" s="59"/>
      <c r="B908" s="34"/>
      <c r="C908" s="52"/>
      <c r="D908" s="52"/>
      <c r="E908" s="52"/>
      <c r="F908" s="52"/>
      <c r="G908" s="52"/>
      <c r="H908" s="52"/>
      <c r="I908" s="52"/>
      <c r="J908" s="52"/>
      <c r="K908" s="52"/>
      <c r="L908" s="52"/>
      <c r="M908" s="52"/>
      <c r="N908" s="52"/>
      <c r="O908" s="52"/>
      <c r="P908" s="52"/>
      <c r="Q908" s="52"/>
      <c r="R908" s="52"/>
      <c r="S908" s="52"/>
      <c r="T908" s="52"/>
      <c r="U908" s="52"/>
      <c r="V908" s="52"/>
      <c r="W908" s="52"/>
      <c r="X908" s="52"/>
      <c r="Y908" s="52"/>
      <c r="Z908" s="52"/>
    </row>
    <row r="909">
      <c r="A909" s="59"/>
      <c r="B909" s="34"/>
      <c r="C909" s="52"/>
      <c r="D909" s="52"/>
      <c r="E909" s="52"/>
      <c r="F909" s="52"/>
      <c r="G909" s="52"/>
      <c r="H909" s="52"/>
      <c r="I909" s="52"/>
      <c r="J909" s="52"/>
      <c r="K909" s="52"/>
      <c r="L909" s="52"/>
      <c r="M909" s="52"/>
      <c r="N909" s="52"/>
      <c r="O909" s="52"/>
      <c r="P909" s="52"/>
      <c r="Q909" s="52"/>
      <c r="R909" s="52"/>
      <c r="S909" s="52"/>
      <c r="T909" s="52"/>
      <c r="U909" s="52"/>
      <c r="V909" s="52"/>
      <c r="W909" s="52"/>
      <c r="X909" s="52"/>
      <c r="Y909" s="52"/>
      <c r="Z909" s="52"/>
    </row>
    <row r="910">
      <c r="A910" s="59"/>
      <c r="B910" s="34"/>
      <c r="C910" s="52"/>
      <c r="D910" s="52"/>
      <c r="E910" s="52"/>
      <c r="F910" s="52"/>
      <c r="G910" s="52"/>
      <c r="H910" s="52"/>
      <c r="I910" s="52"/>
      <c r="J910" s="52"/>
      <c r="K910" s="52"/>
      <c r="L910" s="52"/>
      <c r="M910" s="52"/>
      <c r="N910" s="52"/>
      <c r="O910" s="52"/>
      <c r="P910" s="52"/>
      <c r="Q910" s="52"/>
      <c r="R910" s="52"/>
      <c r="S910" s="52"/>
      <c r="T910" s="52"/>
      <c r="U910" s="52"/>
      <c r="V910" s="52"/>
      <c r="W910" s="52"/>
      <c r="X910" s="52"/>
      <c r="Y910" s="52"/>
      <c r="Z910" s="52"/>
    </row>
    <row r="911">
      <c r="A911" s="59"/>
      <c r="B911" s="34"/>
      <c r="C911" s="52"/>
      <c r="D911" s="52"/>
      <c r="E911" s="52"/>
      <c r="F911" s="52"/>
      <c r="G911" s="52"/>
      <c r="H911" s="52"/>
      <c r="I911" s="52"/>
      <c r="J911" s="52"/>
      <c r="K911" s="52"/>
      <c r="L911" s="52"/>
      <c r="M911" s="52"/>
      <c r="N911" s="52"/>
      <c r="O911" s="52"/>
      <c r="P911" s="52"/>
      <c r="Q911" s="52"/>
      <c r="R911" s="52"/>
      <c r="S911" s="52"/>
      <c r="T911" s="52"/>
      <c r="U911" s="52"/>
      <c r="V911" s="52"/>
      <c r="W911" s="52"/>
      <c r="X911" s="52"/>
      <c r="Y911" s="52"/>
      <c r="Z911" s="52"/>
    </row>
    <row r="912">
      <c r="A912" s="59"/>
      <c r="B912" s="34"/>
      <c r="C912" s="52"/>
      <c r="D912" s="52"/>
      <c r="E912" s="52"/>
      <c r="F912" s="52"/>
      <c r="G912" s="52"/>
      <c r="H912" s="52"/>
      <c r="I912" s="52"/>
      <c r="J912" s="52"/>
      <c r="K912" s="52"/>
      <c r="L912" s="52"/>
      <c r="M912" s="52"/>
      <c r="N912" s="52"/>
      <c r="O912" s="52"/>
      <c r="P912" s="52"/>
      <c r="Q912" s="52"/>
      <c r="R912" s="52"/>
      <c r="S912" s="52"/>
      <c r="T912" s="52"/>
      <c r="U912" s="52"/>
      <c r="V912" s="52"/>
      <c r="W912" s="52"/>
      <c r="X912" s="52"/>
      <c r="Y912" s="52"/>
      <c r="Z912" s="52"/>
    </row>
    <row r="913">
      <c r="A913" s="59"/>
      <c r="B913" s="34"/>
      <c r="C913" s="52"/>
      <c r="D913" s="52"/>
      <c r="E913" s="52"/>
      <c r="F913" s="52"/>
      <c r="G913" s="52"/>
      <c r="H913" s="52"/>
      <c r="I913" s="52"/>
      <c r="J913" s="52"/>
      <c r="K913" s="52"/>
      <c r="L913" s="52"/>
      <c r="M913" s="52"/>
      <c r="N913" s="52"/>
      <c r="O913" s="52"/>
      <c r="P913" s="52"/>
      <c r="Q913" s="52"/>
      <c r="R913" s="52"/>
      <c r="S913" s="52"/>
      <c r="T913" s="52"/>
      <c r="U913" s="52"/>
      <c r="V913" s="52"/>
      <c r="W913" s="52"/>
      <c r="X913" s="52"/>
      <c r="Y913" s="52"/>
      <c r="Z913" s="52"/>
    </row>
    <row r="914">
      <c r="A914" s="59"/>
      <c r="B914" s="34"/>
      <c r="C914" s="52"/>
      <c r="D914" s="52"/>
      <c r="E914" s="52"/>
      <c r="F914" s="52"/>
      <c r="G914" s="52"/>
      <c r="H914" s="52"/>
      <c r="I914" s="52"/>
      <c r="J914" s="52"/>
      <c r="K914" s="52"/>
      <c r="L914" s="52"/>
      <c r="M914" s="52"/>
      <c r="N914" s="52"/>
      <c r="O914" s="52"/>
      <c r="P914" s="52"/>
      <c r="Q914" s="52"/>
      <c r="R914" s="52"/>
      <c r="S914" s="52"/>
      <c r="T914" s="52"/>
      <c r="U914" s="52"/>
      <c r="V914" s="52"/>
      <c r="W914" s="52"/>
      <c r="X914" s="52"/>
      <c r="Y914" s="52"/>
      <c r="Z914" s="52"/>
    </row>
    <row r="915">
      <c r="A915" s="59"/>
      <c r="B915" s="34"/>
      <c r="C915" s="52"/>
      <c r="D915" s="52"/>
      <c r="E915" s="52"/>
      <c r="F915" s="52"/>
      <c r="G915" s="52"/>
      <c r="H915" s="52"/>
      <c r="I915" s="52"/>
      <c r="J915" s="52"/>
      <c r="K915" s="52"/>
      <c r="L915" s="52"/>
      <c r="M915" s="52"/>
      <c r="N915" s="52"/>
      <c r="O915" s="52"/>
      <c r="P915" s="52"/>
      <c r="Q915" s="52"/>
      <c r="R915" s="52"/>
      <c r="S915" s="52"/>
      <c r="T915" s="52"/>
      <c r="U915" s="52"/>
      <c r="V915" s="52"/>
      <c r="W915" s="52"/>
      <c r="X915" s="52"/>
      <c r="Y915" s="52"/>
      <c r="Z915" s="52"/>
    </row>
    <row r="916">
      <c r="A916" s="59"/>
      <c r="B916" s="34"/>
      <c r="C916" s="52"/>
      <c r="D916" s="52"/>
      <c r="E916" s="52"/>
      <c r="F916" s="52"/>
      <c r="G916" s="52"/>
      <c r="H916" s="52"/>
      <c r="I916" s="52"/>
      <c r="J916" s="52"/>
      <c r="K916" s="52"/>
      <c r="L916" s="52"/>
      <c r="M916" s="52"/>
      <c r="N916" s="52"/>
      <c r="O916" s="52"/>
      <c r="P916" s="52"/>
      <c r="Q916" s="52"/>
      <c r="R916" s="52"/>
      <c r="S916" s="52"/>
      <c r="T916" s="52"/>
      <c r="U916" s="52"/>
      <c r="V916" s="52"/>
      <c r="W916" s="52"/>
      <c r="X916" s="52"/>
      <c r="Y916" s="52"/>
      <c r="Z916" s="52"/>
    </row>
    <row r="917">
      <c r="A917" s="59"/>
      <c r="B917" s="34"/>
      <c r="C917" s="52"/>
      <c r="D917" s="52"/>
      <c r="E917" s="52"/>
      <c r="F917" s="52"/>
      <c r="G917" s="52"/>
      <c r="H917" s="52"/>
      <c r="I917" s="52"/>
      <c r="J917" s="52"/>
      <c r="K917" s="52"/>
      <c r="L917" s="52"/>
      <c r="M917" s="52"/>
      <c r="N917" s="52"/>
      <c r="O917" s="52"/>
      <c r="P917" s="52"/>
      <c r="Q917" s="52"/>
      <c r="R917" s="52"/>
      <c r="S917" s="52"/>
      <c r="T917" s="52"/>
      <c r="U917" s="52"/>
      <c r="V917" s="52"/>
      <c r="W917" s="52"/>
      <c r="X917" s="52"/>
      <c r="Y917" s="52"/>
      <c r="Z917" s="52"/>
    </row>
    <row r="918">
      <c r="A918" s="59"/>
      <c r="B918" s="34"/>
      <c r="C918" s="52"/>
      <c r="D918" s="52"/>
      <c r="E918" s="52"/>
      <c r="F918" s="52"/>
      <c r="G918" s="52"/>
      <c r="H918" s="52"/>
      <c r="I918" s="52"/>
      <c r="J918" s="52"/>
      <c r="K918" s="52"/>
      <c r="L918" s="52"/>
      <c r="M918" s="52"/>
      <c r="N918" s="52"/>
      <c r="O918" s="52"/>
      <c r="P918" s="52"/>
      <c r="Q918" s="52"/>
      <c r="R918" s="52"/>
      <c r="S918" s="52"/>
      <c r="T918" s="52"/>
      <c r="U918" s="52"/>
      <c r="V918" s="52"/>
      <c r="W918" s="52"/>
      <c r="X918" s="52"/>
      <c r="Y918" s="52"/>
      <c r="Z918" s="52"/>
    </row>
    <row r="919">
      <c r="A919" s="59"/>
      <c r="B919" s="34"/>
      <c r="C919" s="52"/>
      <c r="D919" s="52"/>
      <c r="E919" s="52"/>
      <c r="F919" s="52"/>
      <c r="G919" s="52"/>
      <c r="H919" s="52"/>
      <c r="I919" s="52"/>
      <c r="J919" s="52"/>
      <c r="K919" s="52"/>
      <c r="L919" s="52"/>
      <c r="M919" s="52"/>
      <c r="N919" s="52"/>
      <c r="O919" s="52"/>
      <c r="P919" s="52"/>
      <c r="Q919" s="52"/>
      <c r="R919" s="52"/>
      <c r="S919" s="52"/>
      <c r="T919" s="52"/>
      <c r="U919" s="52"/>
      <c r="V919" s="52"/>
      <c r="W919" s="52"/>
      <c r="X919" s="52"/>
      <c r="Y919" s="52"/>
      <c r="Z919" s="52"/>
    </row>
    <row r="920">
      <c r="A920" s="59"/>
      <c r="B920" s="34"/>
      <c r="C920" s="52"/>
      <c r="D920" s="52"/>
      <c r="E920" s="52"/>
      <c r="F920" s="52"/>
      <c r="G920" s="52"/>
      <c r="H920" s="52"/>
      <c r="I920" s="52"/>
      <c r="J920" s="52"/>
      <c r="K920" s="52"/>
      <c r="L920" s="52"/>
      <c r="M920" s="52"/>
      <c r="N920" s="52"/>
      <c r="O920" s="52"/>
      <c r="P920" s="52"/>
      <c r="Q920" s="52"/>
      <c r="R920" s="52"/>
      <c r="S920" s="52"/>
      <c r="T920" s="52"/>
      <c r="U920" s="52"/>
      <c r="V920" s="52"/>
      <c r="W920" s="52"/>
      <c r="X920" s="52"/>
      <c r="Y920" s="52"/>
      <c r="Z920" s="52"/>
    </row>
    <row r="921">
      <c r="A921" s="59"/>
      <c r="B921" s="34"/>
      <c r="C921" s="52"/>
      <c r="D921" s="52"/>
      <c r="E921" s="52"/>
      <c r="F921" s="52"/>
      <c r="G921" s="52"/>
      <c r="H921" s="52"/>
      <c r="I921" s="52"/>
      <c r="J921" s="52"/>
      <c r="K921" s="52"/>
      <c r="L921" s="52"/>
      <c r="M921" s="52"/>
      <c r="N921" s="52"/>
      <c r="O921" s="52"/>
      <c r="P921" s="52"/>
      <c r="Q921" s="52"/>
      <c r="R921" s="52"/>
      <c r="S921" s="52"/>
      <c r="T921" s="52"/>
      <c r="U921" s="52"/>
      <c r="V921" s="52"/>
      <c r="W921" s="52"/>
      <c r="X921" s="52"/>
      <c r="Y921" s="52"/>
      <c r="Z921" s="52"/>
    </row>
    <row r="922">
      <c r="A922" s="59"/>
      <c r="B922" s="34"/>
      <c r="C922" s="52"/>
      <c r="D922" s="52"/>
      <c r="E922" s="52"/>
      <c r="F922" s="52"/>
      <c r="G922" s="52"/>
      <c r="H922" s="52"/>
      <c r="I922" s="52"/>
      <c r="J922" s="52"/>
      <c r="K922" s="52"/>
      <c r="L922" s="52"/>
      <c r="M922" s="52"/>
      <c r="N922" s="52"/>
      <c r="O922" s="52"/>
      <c r="P922" s="52"/>
      <c r="Q922" s="52"/>
      <c r="R922" s="52"/>
      <c r="S922" s="52"/>
      <c r="T922" s="52"/>
      <c r="U922" s="52"/>
      <c r="V922" s="52"/>
      <c r="W922" s="52"/>
      <c r="X922" s="52"/>
      <c r="Y922" s="52"/>
      <c r="Z922" s="52"/>
    </row>
    <row r="923">
      <c r="A923" s="59"/>
      <c r="B923" s="34"/>
      <c r="C923" s="52"/>
      <c r="D923" s="52"/>
      <c r="E923" s="52"/>
      <c r="F923" s="52"/>
      <c r="G923" s="52"/>
      <c r="H923" s="52"/>
      <c r="I923" s="52"/>
      <c r="J923" s="52"/>
      <c r="K923" s="52"/>
      <c r="L923" s="52"/>
      <c r="M923" s="52"/>
      <c r="N923" s="52"/>
      <c r="O923" s="52"/>
      <c r="P923" s="52"/>
      <c r="Q923" s="52"/>
      <c r="R923" s="52"/>
      <c r="S923" s="52"/>
      <c r="T923" s="52"/>
      <c r="U923" s="52"/>
      <c r="V923" s="52"/>
      <c r="W923" s="52"/>
      <c r="X923" s="52"/>
      <c r="Y923" s="52"/>
      <c r="Z923" s="52"/>
    </row>
    <row r="924">
      <c r="A924" s="59"/>
      <c r="B924" s="34"/>
      <c r="C924" s="52"/>
      <c r="D924" s="52"/>
      <c r="E924" s="52"/>
      <c r="F924" s="52"/>
      <c r="G924" s="52"/>
      <c r="H924" s="52"/>
      <c r="I924" s="52"/>
      <c r="J924" s="52"/>
      <c r="K924" s="52"/>
      <c r="L924" s="52"/>
      <c r="M924" s="52"/>
      <c r="N924" s="52"/>
      <c r="O924" s="52"/>
      <c r="P924" s="52"/>
      <c r="Q924" s="52"/>
      <c r="R924" s="52"/>
      <c r="S924" s="52"/>
      <c r="T924" s="52"/>
      <c r="U924" s="52"/>
      <c r="V924" s="52"/>
      <c r="W924" s="52"/>
      <c r="X924" s="52"/>
      <c r="Y924" s="52"/>
      <c r="Z924" s="52"/>
    </row>
    <row r="925">
      <c r="A925" s="59"/>
      <c r="B925" s="34"/>
      <c r="C925" s="52"/>
      <c r="D925" s="52"/>
      <c r="E925" s="52"/>
      <c r="F925" s="52"/>
      <c r="G925" s="52"/>
      <c r="H925" s="52"/>
      <c r="I925" s="52"/>
      <c r="J925" s="52"/>
      <c r="K925" s="52"/>
      <c r="L925" s="52"/>
      <c r="M925" s="52"/>
      <c r="N925" s="52"/>
      <c r="O925" s="52"/>
      <c r="P925" s="52"/>
      <c r="Q925" s="52"/>
      <c r="R925" s="52"/>
      <c r="S925" s="52"/>
      <c r="T925" s="52"/>
      <c r="U925" s="52"/>
      <c r="V925" s="52"/>
      <c r="W925" s="52"/>
      <c r="X925" s="52"/>
      <c r="Y925" s="52"/>
      <c r="Z925" s="52"/>
    </row>
    <row r="926">
      <c r="A926" s="59"/>
      <c r="B926" s="34"/>
      <c r="C926" s="52"/>
      <c r="D926" s="52"/>
      <c r="E926" s="52"/>
      <c r="F926" s="52"/>
      <c r="G926" s="52"/>
      <c r="H926" s="52"/>
      <c r="I926" s="52"/>
      <c r="J926" s="52"/>
      <c r="K926" s="52"/>
      <c r="L926" s="52"/>
      <c r="M926" s="52"/>
      <c r="N926" s="52"/>
      <c r="O926" s="52"/>
      <c r="P926" s="52"/>
      <c r="Q926" s="52"/>
      <c r="R926" s="52"/>
      <c r="S926" s="52"/>
      <c r="T926" s="52"/>
      <c r="U926" s="52"/>
      <c r="V926" s="52"/>
      <c r="W926" s="52"/>
      <c r="X926" s="52"/>
      <c r="Y926" s="52"/>
      <c r="Z926" s="52"/>
    </row>
    <row r="927">
      <c r="A927" s="59"/>
      <c r="B927" s="34"/>
      <c r="C927" s="52"/>
      <c r="D927" s="52"/>
      <c r="E927" s="52"/>
      <c r="F927" s="52"/>
      <c r="G927" s="52"/>
      <c r="H927" s="52"/>
      <c r="I927" s="52"/>
      <c r="J927" s="52"/>
      <c r="K927" s="52"/>
      <c r="L927" s="52"/>
      <c r="M927" s="52"/>
      <c r="N927" s="52"/>
      <c r="O927" s="52"/>
      <c r="P927" s="52"/>
      <c r="Q927" s="52"/>
      <c r="R927" s="52"/>
      <c r="S927" s="52"/>
      <c r="T927" s="52"/>
      <c r="U927" s="52"/>
      <c r="V927" s="52"/>
      <c r="W927" s="52"/>
      <c r="X927" s="52"/>
      <c r="Y927" s="52"/>
      <c r="Z927" s="52"/>
    </row>
    <row r="928">
      <c r="A928" s="59"/>
      <c r="B928" s="34"/>
      <c r="C928" s="52"/>
      <c r="D928" s="52"/>
      <c r="E928" s="52"/>
      <c r="F928" s="52"/>
      <c r="G928" s="52"/>
      <c r="H928" s="52"/>
      <c r="I928" s="52"/>
      <c r="J928" s="52"/>
      <c r="K928" s="52"/>
      <c r="L928" s="52"/>
      <c r="M928" s="52"/>
      <c r="N928" s="52"/>
      <c r="O928" s="52"/>
      <c r="P928" s="52"/>
      <c r="Q928" s="52"/>
      <c r="R928" s="52"/>
      <c r="S928" s="52"/>
      <c r="T928" s="52"/>
      <c r="U928" s="52"/>
      <c r="V928" s="52"/>
      <c r="W928" s="52"/>
      <c r="X928" s="52"/>
      <c r="Y928" s="52"/>
      <c r="Z928" s="52"/>
    </row>
    <row r="929">
      <c r="A929" s="59"/>
      <c r="B929" s="34"/>
      <c r="C929" s="52"/>
      <c r="D929" s="52"/>
      <c r="E929" s="52"/>
      <c r="F929" s="52"/>
      <c r="G929" s="52"/>
      <c r="H929" s="52"/>
      <c r="I929" s="52"/>
      <c r="J929" s="52"/>
      <c r="K929" s="52"/>
      <c r="L929" s="52"/>
      <c r="M929" s="52"/>
      <c r="N929" s="52"/>
      <c r="O929" s="52"/>
      <c r="P929" s="52"/>
      <c r="Q929" s="52"/>
      <c r="R929" s="52"/>
      <c r="S929" s="52"/>
      <c r="T929" s="52"/>
      <c r="U929" s="52"/>
      <c r="V929" s="52"/>
      <c r="W929" s="52"/>
      <c r="X929" s="52"/>
      <c r="Y929" s="52"/>
      <c r="Z929" s="52"/>
    </row>
    <row r="930">
      <c r="A930" s="59"/>
      <c r="B930" s="34"/>
      <c r="C930" s="52"/>
      <c r="D930" s="52"/>
      <c r="E930" s="52"/>
      <c r="F930" s="52"/>
      <c r="G930" s="52"/>
      <c r="H930" s="52"/>
      <c r="I930" s="52"/>
      <c r="J930" s="52"/>
      <c r="K930" s="52"/>
      <c r="L930" s="52"/>
      <c r="M930" s="52"/>
      <c r="N930" s="52"/>
      <c r="O930" s="52"/>
      <c r="P930" s="52"/>
      <c r="Q930" s="52"/>
      <c r="R930" s="52"/>
      <c r="S930" s="52"/>
      <c r="T930" s="52"/>
      <c r="U930" s="52"/>
      <c r="V930" s="52"/>
      <c r="W930" s="52"/>
      <c r="X930" s="52"/>
      <c r="Y930" s="52"/>
      <c r="Z930" s="52"/>
    </row>
    <row r="931">
      <c r="A931" s="59"/>
      <c r="B931" s="34"/>
      <c r="C931" s="52"/>
      <c r="D931" s="52"/>
      <c r="E931" s="52"/>
      <c r="F931" s="52"/>
      <c r="G931" s="52"/>
      <c r="H931" s="52"/>
      <c r="I931" s="52"/>
      <c r="J931" s="52"/>
      <c r="K931" s="52"/>
      <c r="L931" s="52"/>
      <c r="M931" s="52"/>
      <c r="N931" s="52"/>
      <c r="O931" s="52"/>
      <c r="P931" s="52"/>
      <c r="Q931" s="52"/>
      <c r="R931" s="52"/>
      <c r="S931" s="52"/>
      <c r="T931" s="52"/>
      <c r="U931" s="52"/>
      <c r="V931" s="52"/>
      <c r="W931" s="52"/>
      <c r="X931" s="52"/>
      <c r="Y931" s="52"/>
      <c r="Z931" s="52"/>
    </row>
    <row r="932">
      <c r="A932" s="59"/>
      <c r="B932" s="34"/>
      <c r="C932" s="52"/>
      <c r="D932" s="52"/>
      <c r="E932" s="52"/>
      <c r="F932" s="52"/>
      <c r="G932" s="52"/>
      <c r="H932" s="52"/>
      <c r="I932" s="52"/>
      <c r="J932" s="52"/>
      <c r="K932" s="52"/>
      <c r="L932" s="52"/>
      <c r="M932" s="52"/>
      <c r="N932" s="52"/>
      <c r="O932" s="52"/>
      <c r="P932" s="52"/>
      <c r="Q932" s="52"/>
      <c r="R932" s="52"/>
      <c r="S932" s="52"/>
      <c r="T932" s="52"/>
      <c r="U932" s="52"/>
      <c r="V932" s="52"/>
      <c r="W932" s="52"/>
      <c r="X932" s="52"/>
      <c r="Y932" s="52"/>
      <c r="Z932" s="52"/>
    </row>
    <row r="933">
      <c r="A933" s="59"/>
      <c r="B933" s="34"/>
      <c r="C933" s="52"/>
      <c r="D933" s="52"/>
      <c r="E933" s="52"/>
      <c r="F933" s="52"/>
      <c r="G933" s="52"/>
      <c r="H933" s="52"/>
      <c r="I933" s="52"/>
      <c r="J933" s="52"/>
      <c r="K933" s="52"/>
      <c r="L933" s="52"/>
      <c r="M933" s="52"/>
      <c r="N933" s="52"/>
      <c r="O933" s="52"/>
      <c r="P933" s="52"/>
      <c r="Q933" s="52"/>
      <c r="R933" s="52"/>
      <c r="S933" s="52"/>
      <c r="T933" s="52"/>
      <c r="U933" s="52"/>
      <c r="V933" s="52"/>
      <c r="W933" s="52"/>
      <c r="X933" s="52"/>
      <c r="Y933" s="52"/>
      <c r="Z933" s="52"/>
    </row>
    <row r="934">
      <c r="A934" s="59"/>
      <c r="B934" s="34"/>
      <c r="C934" s="52"/>
      <c r="D934" s="52"/>
      <c r="E934" s="52"/>
      <c r="F934" s="52"/>
      <c r="G934" s="52"/>
      <c r="H934" s="52"/>
      <c r="I934" s="52"/>
      <c r="J934" s="52"/>
      <c r="K934" s="52"/>
      <c r="L934" s="52"/>
      <c r="M934" s="52"/>
      <c r="N934" s="52"/>
      <c r="O934" s="52"/>
      <c r="P934" s="52"/>
      <c r="Q934" s="52"/>
      <c r="R934" s="52"/>
      <c r="S934" s="52"/>
      <c r="T934" s="52"/>
      <c r="U934" s="52"/>
      <c r="V934" s="52"/>
      <c r="W934" s="52"/>
      <c r="X934" s="52"/>
      <c r="Y934" s="52"/>
      <c r="Z934" s="52"/>
    </row>
    <row r="935">
      <c r="A935" s="59"/>
      <c r="B935" s="34"/>
      <c r="C935" s="52"/>
      <c r="D935" s="52"/>
      <c r="E935" s="52"/>
      <c r="F935" s="52"/>
      <c r="G935" s="52"/>
      <c r="H935" s="52"/>
      <c r="I935" s="52"/>
      <c r="J935" s="52"/>
      <c r="K935" s="52"/>
      <c r="L935" s="52"/>
      <c r="M935" s="52"/>
      <c r="N935" s="52"/>
      <c r="O935" s="52"/>
      <c r="P935" s="52"/>
      <c r="Q935" s="52"/>
      <c r="R935" s="52"/>
      <c r="S935" s="52"/>
      <c r="T935" s="52"/>
      <c r="U935" s="52"/>
      <c r="V935" s="52"/>
      <c r="W935" s="52"/>
      <c r="X935" s="52"/>
      <c r="Y935" s="52"/>
      <c r="Z935" s="52"/>
    </row>
    <row r="936">
      <c r="A936" s="59"/>
      <c r="B936" s="34"/>
      <c r="C936" s="52"/>
      <c r="D936" s="52"/>
      <c r="E936" s="52"/>
      <c r="F936" s="52"/>
      <c r="G936" s="52"/>
      <c r="H936" s="52"/>
      <c r="I936" s="52"/>
      <c r="J936" s="52"/>
      <c r="K936" s="52"/>
      <c r="L936" s="52"/>
      <c r="M936" s="52"/>
      <c r="N936" s="52"/>
      <c r="O936" s="52"/>
      <c r="P936" s="52"/>
      <c r="Q936" s="52"/>
      <c r="R936" s="52"/>
      <c r="S936" s="52"/>
      <c r="T936" s="52"/>
      <c r="U936" s="52"/>
      <c r="V936" s="52"/>
      <c r="W936" s="52"/>
      <c r="X936" s="52"/>
      <c r="Y936" s="52"/>
      <c r="Z936" s="52"/>
    </row>
    <row r="937">
      <c r="A937" s="59"/>
      <c r="B937" s="34"/>
      <c r="C937" s="52"/>
      <c r="D937" s="52"/>
      <c r="E937" s="52"/>
      <c r="F937" s="52"/>
      <c r="G937" s="52"/>
      <c r="H937" s="52"/>
      <c r="I937" s="52"/>
      <c r="J937" s="52"/>
      <c r="K937" s="52"/>
      <c r="L937" s="52"/>
      <c r="M937" s="52"/>
      <c r="N937" s="52"/>
      <c r="O937" s="52"/>
      <c r="P937" s="52"/>
      <c r="Q937" s="52"/>
      <c r="R937" s="52"/>
      <c r="S937" s="52"/>
      <c r="T937" s="52"/>
      <c r="U937" s="52"/>
      <c r="V937" s="52"/>
      <c r="W937" s="52"/>
      <c r="X937" s="52"/>
      <c r="Y937" s="52"/>
      <c r="Z937" s="52"/>
    </row>
    <row r="938">
      <c r="A938" s="59"/>
      <c r="B938" s="34"/>
      <c r="C938" s="52"/>
      <c r="D938" s="52"/>
      <c r="E938" s="52"/>
      <c r="F938" s="52"/>
      <c r="G938" s="52"/>
      <c r="H938" s="52"/>
      <c r="I938" s="52"/>
      <c r="J938" s="52"/>
      <c r="K938" s="52"/>
      <c r="L938" s="52"/>
      <c r="M938" s="52"/>
      <c r="N938" s="52"/>
      <c r="O938" s="52"/>
      <c r="P938" s="52"/>
      <c r="Q938" s="52"/>
      <c r="R938" s="52"/>
      <c r="S938" s="52"/>
      <c r="T938" s="52"/>
      <c r="U938" s="52"/>
      <c r="V938" s="52"/>
      <c r="W938" s="52"/>
      <c r="X938" s="52"/>
      <c r="Y938" s="52"/>
      <c r="Z938" s="52"/>
    </row>
    <row r="939">
      <c r="A939" s="59"/>
      <c r="B939" s="34"/>
      <c r="C939" s="52"/>
      <c r="D939" s="52"/>
      <c r="E939" s="52"/>
      <c r="F939" s="52"/>
      <c r="G939" s="52"/>
      <c r="H939" s="52"/>
      <c r="I939" s="52"/>
      <c r="J939" s="52"/>
      <c r="K939" s="52"/>
      <c r="L939" s="52"/>
      <c r="M939" s="52"/>
      <c r="N939" s="52"/>
      <c r="O939" s="52"/>
      <c r="P939" s="52"/>
      <c r="Q939" s="52"/>
      <c r="R939" s="52"/>
      <c r="S939" s="52"/>
      <c r="T939" s="52"/>
      <c r="U939" s="52"/>
      <c r="V939" s="52"/>
      <c r="W939" s="52"/>
      <c r="X939" s="52"/>
      <c r="Y939" s="52"/>
      <c r="Z939" s="52"/>
    </row>
    <row r="940">
      <c r="A940" s="59"/>
      <c r="B940" s="34"/>
      <c r="C940" s="52"/>
      <c r="D940" s="52"/>
      <c r="E940" s="52"/>
      <c r="F940" s="52"/>
      <c r="G940" s="52"/>
      <c r="H940" s="52"/>
      <c r="I940" s="52"/>
      <c r="J940" s="52"/>
      <c r="K940" s="52"/>
      <c r="L940" s="52"/>
      <c r="M940" s="52"/>
      <c r="N940" s="52"/>
      <c r="O940" s="52"/>
      <c r="P940" s="52"/>
      <c r="Q940" s="52"/>
      <c r="R940" s="52"/>
      <c r="S940" s="52"/>
      <c r="T940" s="52"/>
      <c r="U940" s="52"/>
      <c r="V940" s="52"/>
      <c r="W940" s="52"/>
      <c r="X940" s="52"/>
      <c r="Y940" s="52"/>
      <c r="Z940" s="52"/>
    </row>
    <row r="941">
      <c r="A941" s="59"/>
      <c r="B941" s="34"/>
      <c r="C941" s="52"/>
      <c r="D941" s="52"/>
      <c r="E941" s="52"/>
      <c r="F941" s="52"/>
      <c r="G941" s="52"/>
      <c r="H941" s="52"/>
      <c r="I941" s="52"/>
      <c r="J941" s="52"/>
      <c r="K941" s="52"/>
      <c r="L941" s="52"/>
      <c r="M941" s="52"/>
      <c r="N941" s="52"/>
      <c r="O941" s="52"/>
      <c r="P941" s="52"/>
      <c r="Q941" s="52"/>
      <c r="R941" s="52"/>
      <c r="S941" s="52"/>
      <c r="T941" s="52"/>
      <c r="U941" s="52"/>
      <c r="V941" s="52"/>
      <c r="W941" s="52"/>
      <c r="X941" s="52"/>
      <c r="Y941" s="52"/>
      <c r="Z941" s="52"/>
    </row>
    <row r="942">
      <c r="A942" s="59"/>
      <c r="B942" s="34"/>
      <c r="C942" s="52"/>
      <c r="D942" s="52"/>
      <c r="E942" s="52"/>
      <c r="F942" s="52"/>
      <c r="G942" s="52"/>
      <c r="H942" s="52"/>
      <c r="I942" s="52"/>
      <c r="J942" s="52"/>
      <c r="K942" s="52"/>
      <c r="L942" s="52"/>
      <c r="M942" s="52"/>
      <c r="N942" s="52"/>
      <c r="O942" s="52"/>
      <c r="P942" s="52"/>
      <c r="Q942" s="52"/>
      <c r="R942" s="52"/>
      <c r="S942" s="52"/>
      <c r="T942" s="52"/>
      <c r="U942" s="52"/>
      <c r="V942" s="52"/>
      <c r="W942" s="52"/>
      <c r="X942" s="52"/>
      <c r="Y942" s="52"/>
      <c r="Z942" s="52"/>
    </row>
    <row r="943">
      <c r="A943" s="59"/>
      <c r="B943" s="34"/>
      <c r="C943" s="52"/>
      <c r="D943" s="52"/>
      <c r="E943" s="52"/>
      <c r="F943" s="52"/>
      <c r="G943" s="52"/>
      <c r="H943" s="52"/>
      <c r="I943" s="52"/>
      <c r="J943" s="52"/>
      <c r="K943" s="52"/>
      <c r="L943" s="52"/>
      <c r="M943" s="52"/>
      <c r="N943" s="52"/>
      <c r="O943" s="52"/>
      <c r="P943" s="52"/>
      <c r="Q943" s="52"/>
      <c r="R943" s="52"/>
      <c r="S943" s="52"/>
      <c r="T943" s="52"/>
      <c r="U943" s="52"/>
      <c r="V943" s="52"/>
      <c r="W943" s="52"/>
      <c r="X943" s="52"/>
      <c r="Y943" s="52"/>
      <c r="Z943" s="52"/>
    </row>
    <row r="944">
      <c r="A944" s="59"/>
      <c r="B944" s="34"/>
      <c r="C944" s="52"/>
      <c r="D944" s="52"/>
      <c r="E944" s="52"/>
      <c r="F944" s="52"/>
      <c r="G944" s="52"/>
      <c r="H944" s="52"/>
      <c r="I944" s="52"/>
      <c r="J944" s="52"/>
      <c r="K944" s="52"/>
      <c r="L944" s="52"/>
      <c r="M944" s="52"/>
      <c r="N944" s="52"/>
      <c r="O944" s="52"/>
      <c r="P944" s="52"/>
      <c r="Q944" s="52"/>
      <c r="R944" s="52"/>
      <c r="S944" s="52"/>
      <c r="T944" s="52"/>
      <c r="U944" s="52"/>
      <c r="V944" s="52"/>
      <c r="W944" s="52"/>
      <c r="X944" s="52"/>
      <c r="Y944" s="52"/>
      <c r="Z944" s="52"/>
    </row>
    <row r="945">
      <c r="A945" s="59"/>
      <c r="B945" s="34"/>
      <c r="C945" s="52"/>
      <c r="D945" s="52"/>
      <c r="E945" s="52"/>
      <c r="F945" s="52"/>
      <c r="G945" s="52"/>
      <c r="H945" s="52"/>
      <c r="I945" s="52"/>
      <c r="J945" s="52"/>
      <c r="K945" s="52"/>
      <c r="L945" s="52"/>
      <c r="M945" s="52"/>
      <c r="N945" s="52"/>
      <c r="O945" s="52"/>
      <c r="P945" s="52"/>
      <c r="Q945" s="52"/>
      <c r="R945" s="52"/>
      <c r="S945" s="52"/>
      <c r="T945" s="52"/>
      <c r="U945" s="52"/>
      <c r="V945" s="52"/>
      <c r="W945" s="52"/>
      <c r="X945" s="52"/>
      <c r="Y945" s="52"/>
      <c r="Z945" s="52"/>
    </row>
    <row r="946">
      <c r="A946" s="59"/>
      <c r="B946" s="34"/>
      <c r="C946" s="52"/>
      <c r="D946" s="52"/>
      <c r="E946" s="52"/>
      <c r="F946" s="52"/>
      <c r="G946" s="52"/>
      <c r="H946" s="52"/>
      <c r="I946" s="52"/>
      <c r="J946" s="52"/>
      <c r="K946" s="52"/>
      <c r="L946" s="52"/>
      <c r="M946" s="52"/>
      <c r="N946" s="52"/>
      <c r="O946" s="52"/>
      <c r="P946" s="52"/>
      <c r="Q946" s="52"/>
      <c r="R946" s="52"/>
      <c r="S946" s="52"/>
      <c r="T946" s="52"/>
      <c r="U946" s="52"/>
      <c r="V946" s="52"/>
      <c r="W946" s="52"/>
      <c r="X946" s="52"/>
      <c r="Y946" s="52"/>
      <c r="Z946" s="52"/>
    </row>
    <row r="947">
      <c r="A947" s="59"/>
      <c r="B947" s="34"/>
      <c r="C947" s="52"/>
      <c r="D947" s="52"/>
      <c r="E947" s="52"/>
      <c r="F947" s="52"/>
      <c r="G947" s="52"/>
      <c r="H947" s="52"/>
      <c r="I947" s="52"/>
      <c r="J947" s="52"/>
      <c r="K947" s="52"/>
      <c r="L947" s="52"/>
      <c r="M947" s="52"/>
      <c r="N947" s="52"/>
      <c r="O947" s="52"/>
      <c r="P947" s="52"/>
      <c r="Q947" s="52"/>
      <c r="R947" s="52"/>
      <c r="S947" s="52"/>
      <c r="T947" s="52"/>
      <c r="U947" s="52"/>
      <c r="V947" s="52"/>
      <c r="W947" s="52"/>
      <c r="X947" s="52"/>
      <c r="Y947" s="52"/>
      <c r="Z947" s="52"/>
    </row>
    <row r="948">
      <c r="A948" s="59"/>
      <c r="B948" s="34"/>
      <c r="C948" s="52"/>
      <c r="D948" s="52"/>
      <c r="E948" s="52"/>
      <c r="F948" s="52"/>
      <c r="G948" s="52"/>
      <c r="H948" s="52"/>
      <c r="I948" s="52"/>
      <c r="J948" s="52"/>
      <c r="K948" s="52"/>
      <c r="L948" s="52"/>
      <c r="M948" s="52"/>
      <c r="N948" s="52"/>
      <c r="O948" s="52"/>
      <c r="P948" s="52"/>
      <c r="Q948" s="52"/>
      <c r="R948" s="52"/>
      <c r="S948" s="52"/>
      <c r="T948" s="52"/>
      <c r="U948" s="52"/>
      <c r="V948" s="52"/>
      <c r="W948" s="52"/>
      <c r="X948" s="52"/>
      <c r="Y948" s="52"/>
      <c r="Z948" s="52"/>
    </row>
    <row r="949">
      <c r="A949" s="59"/>
      <c r="B949" s="34"/>
      <c r="C949" s="52"/>
      <c r="D949" s="52"/>
      <c r="E949" s="52"/>
      <c r="F949" s="52"/>
      <c r="G949" s="52"/>
      <c r="H949" s="52"/>
      <c r="I949" s="52"/>
      <c r="J949" s="52"/>
      <c r="K949" s="52"/>
      <c r="L949" s="52"/>
      <c r="M949" s="52"/>
      <c r="N949" s="52"/>
      <c r="O949" s="52"/>
      <c r="P949" s="52"/>
      <c r="Q949" s="52"/>
      <c r="R949" s="52"/>
      <c r="S949" s="52"/>
      <c r="T949" s="52"/>
      <c r="U949" s="52"/>
      <c r="V949" s="52"/>
      <c r="W949" s="52"/>
      <c r="X949" s="52"/>
      <c r="Y949" s="52"/>
      <c r="Z949" s="52"/>
    </row>
    <row r="950">
      <c r="A950" s="59"/>
      <c r="B950" s="34"/>
      <c r="C950" s="52"/>
      <c r="D950" s="52"/>
      <c r="E950" s="52"/>
      <c r="F950" s="52"/>
      <c r="G950" s="52"/>
      <c r="H950" s="52"/>
      <c r="I950" s="52"/>
      <c r="J950" s="52"/>
      <c r="K950" s="52"/>
      <c r="L950" s="52"/>
      <c r="M950" s="52"/>
      <c r="N950" s="52"/>
      <c r="O950" s="52"/>
      <c r="P950" s="52"/>
      <c r="Q950" s="52"/>
      <c r="R950" s="52"/>
      <c r="S950" s="52"/>
      <c r="T950" s="52"/>
      <c r="U950" s="52"/>
      <c r="V950" s="52"/>
      <c r="W950" s="52"/>
      <c r="X950" s="52"/>
      <c r="Y950" s="52"/>
      <c r="Z950" s="52"/>
    </row>
    <row r="951">
      <c r="A951" s="59"/>
      <c r="B951" s="34"/>
      <c r="C951" s="52"/>
      <c r="D951" s="52"/>
      <c r="E951" s="52"/>
      <c r="F951" s="52"/>
      <c r="G951" s="52"/>
      <c r="H951" s="52"/>
      <c r="I951" s="52"/>
      <c r="J951" s="52"/>
      <c r="K951" s="52"/>
      <c r="L951" s="52"/>
      <c r="M951" s="52"/>
      <c r="N951" s="52"/>
      <c r="O951" s="52"/>
      <c r="P951" s="52"/>
      <c r="Q951" s="52"/>
      <c r="R951" s="52"/>
      <c r="S951" s="52"/>
      <c r="T951" s="52"/>
      <c r="U951" s="52"/>
      <c r="V951" s="52"/>
      <c r="W951" s="52"/>
      <c r="X951" s="52"/>
      <c r="Y951" s="52"/>
      <c r="Z951" s="52"/>
    </row>
    <row r="952">
      <c r="A952" s="59"/>
      <c r="B952" s="34"/>
      <c r="C952" s="52"/>
      <c r="D952" s="52"/>
      <c r="E952" s="52"/>
      <c r="F952" s="52"/>
      <c r="G952" s="52"/>
      <c r="H952" s="52"/>
      <c r="I952" s="52"/>
      <c r="J952" s="52"/>
      <c r="K952" s="52"/>
      <c r="L952" s="52"/>
      <c r="M952" s="52"/>
      <c r="N952" s="52"/>
      <c r="O952" s="52"/>
      <c r="P952" s="52"/>
      <c r="Q952" s="52"/>
      <c r="R952" s="52"/>
      <c r="S952" s="52"/>
      <c r="T952" s="52"/>
      <c r="U952" s="52"/>
      <c r="V952" s="52"/>
      <c r="W952" s="52"/>
      <c r="X952" s="52"/>
      <c r="Y952" s="52"/>
      <c r="Z952" s="52"/>
    </row>
    <row r="953">
      <c r="A953" s="59"/>
      <c r="B953" s="34"/>
      <c r="C953" s="52"/>
      <c r="D953" s="52"/>
      <c r="E953" s="52"/>
      <c r="F953" s="52"/>
      <c r="G953" s="52"/>
      <c r="H953" s="52"/>
      <c r="I953" s="52"/>
      <c r="J953" s="52"/>
      <c r="K953" s="52"/>
      <c r="L953" s="52"/>
      <c r="M953" s="52"/>
      <c r="N953" s="52"/>
      <c r="O953" s="52"/>
      <c r="P953" s="52"/>
      <c r="Q953" s="52"/>
      <c r="R953" s="52"/>
      <c r="S953" s="52"/>
      <c r="T953" s="52"/>
      <c r="U953" s="52"/>
      <c r="V953" s="52"/>
      <c r="W953" s="52"/>
      <c r="X953" s="52"/>
      <c r="Y953" s="52"/>
      <c r="Z953" s="52"/>
    </row>
    <row r="954">
      <c r="A954" s="59"/>
      <c r="B954" s="34"/>
      <c r="C954" s="52"/>
      <c r="D954" s="52"/>
      <c r="E954" s="52"/>
      <c r="F954" s="52"/>
      <c r="G954" s="52"/>
      <c r="H954" s="52"/>
      <c r="I954" s="52"/>
      <c r="J954" s="52"/>
      <c r="K954" s="52"/>
      <c r="L954" s="52"/>
      <c r="M954" s="52"/>
      <c r="N954" s="52"/>
      <c r="O954" s="52"/>
      <c r="P954" s="52"/>
      <c r="Q954" s="52"/>
      <c r="R954" s="52"/>
      <c r="S954" s="52"/>
      <c r="T954" s="52"/>
      <c r="U954" s="52"/>
      <c r="V954" s="52"/>
      <c r="W954" s="52"/>
      <c r="X954" s="52"/>
      <c r="Y954" s="52"/>
      <c r="Z954" s="52"/>
    </row>
    <row r="955">
      <c r="A955" s="59"/>
      <c r="B955" s="34"/>
      <c r="C955" s="52"/>
      <c r="D955" s="52"/>
      <c r="E955" s="52"/>
      <c r="F955" s="52"/>
      <c r="G955" s="52"/>
      <c r="H955" s="52"/>
      <c r="I955" s="52"/>
      <c r="J955" s="52"/>
      <c r="K955" s="52"/>
      <c r="L955" s="52"/>
      <c r="M955" s="52"/>
      <c r="N955" s="52"/>
      <c r="O955" s="52"/>
      <c r="P955" s="52"/>
      <c r="Q955" s="52"/>
      <c r="R955" s="52"/>
      <c r="S955" s="52"/>
      <c r="T955" s="52"/>
      <c r="U955" s="52"/>
      <c r="V955" s="52"/>
      <c r="W955" s="52"/>
      <c r="X955" s="52"/>
      <c r="Y955" s="52"/>
      <c r="Z955" s="52"/>
    </row>
    <row r="956">
      <c r="A956" s="59"/>
      <c r="B956" s="34"/>
      <c r="C956" s="52"/>
      <c r="D956" s="52"/>
      <c r="E956" s="52"/>
      <c r="F956" s="52"/>
      <c r="G956" s="52"/>
      <c r="H956" s="52"/>
      <c r="I956" s="52"/>
      <c r="J956" s="52"/>
      <c r="K956" s="52"/>
      <c r="L956" s="52"/>
      <c r="M956" s="52"/>
      <c r="N956" s="52"/>
      <c r="O956" s="52"/>
      <c r="P956" s="52"/>
      <c r="Q956" s="52"/>
      <c r="R956" s="52"/>
      <c r="S956" s="52"/>
      <c r="T956" s="52"/>
      <c r="U956" s="52"/>
      <c r="V956" s="52"/>
      <c r="W956" s="52"/>
      <c r="X956" s="52"/>
      <c r="Y956" s="52"/>
      <c r="Z956" s="52"/>
    </row>
    <row r="957">
      <c r="A957" s="59"/>
      <c r="B957" s="34"/>
      <c r="C957" s="52"/>
      <c r="D957" s="52"/>
      <c r="E957" s="52"/>
      <c r="F957" s="52"/>
      <c r="G957" s="52"/>
      <c r="H957" s="52"/>
      <c r="I957" s="52"/>
      <c r="J957" s="52"/>
      <c r="K957" s="52"/>
      <c r="L957" s="52"/>
      <c r="M957" s="52"/>
      <c r="N957" s="52"/>
      <c r="O957" s="52"/>
      <c r="P957" s="52"/>
      <c r="Q957" s="52"/>
      <c r="R957" s="52"/>
      <c r="S957" s="52"/>
      <c r="T957" s="52"/>
      <c r="U957" s="52"/>
      <c r="V957" s="52"/>
      <c r="W957" s="52"/>
      <c r="X957" s="52"/>
      <c r="Y957" s="52"/>
      <c r="Z957" s="52"/>
    </row>
    <row r="958">
      <c r="A958" s="59"/>
      <c r="B958" s="34"/>
      <c r="C958" s="52"/>
      <c r="D958" s="52"/>
      <c r="E958" s="52"/>
      <c r="F958" s="52"/>
      <c r="G958" s="52"/>
      <c r="H958" s="52"/>
      <c r="I958" s="52"/>
      <c r="J958" s="52"/>
      <c r="K958" s="52"/>
      <c r="L958" s="52"/>
      <c r="M958" s="52"/>
      <c r="N958" s="52"/>
      <c r="O958" s="52"/>
      <c r="P958" s="52"/>
      <c r="Q958" s="52"/>
      <c r="R958" s="52"/>
      <c r="S958" s="52"/>
      <c r="T958" s="52"/>
      <c r="U958" s="52"/>
      <c r="V958" s="52"/>
      <c r="W958" s="52"/>
      <c r="X958" s="52"/>
      <c r="Y958" s="52"/>
      <c r="Z958" s="52"/>
    </row>
    <row r="959">
      <c r="A959" s="59"/>
      <c r="B959" s="34"/>
      <c r="C959" s="52"/>
      <c r="D959" s="52"/>
      <c r="E959" s="52"/>
      <c r="F959" s="52"/>
      <c r="G959" s="52"/>
      <c r="H959" s="52"/>
      <c r="I959" s="52"/>
      <c r="J959" s="52"/>
      <c r="K959" s="52"/>
      <c r="L959" s="52"/>
      <c r="M959" s="52"/>
      <c r="N959" s="52"/>
      <c r="O959" s="52"/>
      <c r="P959" s="52"/>
      <c r="Q959" s="52"/>
      <c r="R959" s="52"/>
      <c r="S959" s="52"/>
      <c r="T959" s="52"/>
      <c r="U959" s="52"/>
      <c r="V959" s="52"/>
      <c r="W959" s="52"/>
      <c r="X959" s="52"/>
      <c r="Y959" s="52"/>
      <c r="Z959" s="52"/>
    </row>
    <row r="960">
      <c r="A960" s="59"/>
      <c r="B960" s="34"/>
      <c r="C960" s="52"/>
      <c r="D960" s="52"/>
      <c r="E960" s="52"/>
      <c r="F960" s="52"/>
      <c r="G960" s="52"/>
      <c r="H960" s="52"/>
      <c r="I960" s="52"/>
      <c r="J960" s="52"/>
      <c r="K960" s="52"/>
      <c r="L960" s="52"/>
      <c r="M960" s="52"/>
      <c r="N960" s="52"/>
      <c r="O960" s="52"/>
      <c r="P960" s="52"/>
      <c r="Q960" s="52"/>
      <c r="R960" s="52"/>
      <c r="S960" s="52"/>
      <c r="T960" s="52"/>
      <c r="U960" s="52"/>
      <c r="V960" s="52"/>
      <c r="W960" s="52"/>
      <c r="X960" s="52"/>
      <c r="Y960" s="52"/>
      <c r="Z960" s="52"/>
    </row>
    <row r="961">
      <c r="A961" s="59"/>
      <c r="B961" s="34"/>
      <c r="C961" s="52"/>
      <c r="D961" s="52"/>
      <c r="E961" s="52"/>
      <c r="F961" s="52"/>
      <c r="G961" s="52"/>
      <c r="H961" s="52"/>
      <c r="I961" s="52"/>
      <c r="J961" s="52"/>
      <c r="K961" s="52"/>
      <c r="L961" s="52"/>
      <c r="M961" s="52"/>
      <c r="N961" s="52"/>
      <c r="O961" s="52"/>
      <c r="P961" s="52"/>
      <c r="Q961" s="52"/>
      <c r="R961" s="52"/>
      <c r="S961" s="52"/>
      <c r="T961" s="52"/>
      <c r="U961" s="52"/>
      <c r="V961" s="52"/>
      <c r="W961" s="52"/>
      <c r="X961" s="52"/>
      <c r="Y961" s="52"/>
      <c r="Z961" s="52"/>
    </row>
    <row r="962">
      <c r="A962" s="59"/>
      <c r="B962" s="34"/>
      <c r="C962" s="52"/>
      <c r="D962" s="52"/>
      <c r="E962" s="52"/>
      <c r="F962" s="52"/>
      <c r="G962" s="52"/>
      <c r="H962" s="52"/>
      <c r="I962" s="52"/>
      <c r="J962" s="52"/>
      <c r="K962" s="52"/>
      <c r="L962" s="52"/>
      <c r="M962" s="52"/>
      <c r="N962" s="52"/>
      <c r="O962" s="52"/>
      <c r="P962" s="52"/>
      <c r="Q962" s="52"/>
      <c r="R962" s="52"/>
      <c r="S962" s="52"/>
      <c r="T962" s="52"/>
      <c r="U962" s="52"/>
      <c r="V962" s="52"/>
      <c r="W962" s="52"/>
      <c r="X962" s="52"/>
      <c r="Y962" s="52"/>
      <c r="Z962" s="52"/>
    </row>
    <row r="963">
      <c r="A963" s="59"/>
      <c r="B963" s="34"/>
      <c r="C963" s="52"/>
      <c r="D963" s="52"/>
      <c r="E963" s="52"/>
      <c r="F963" s="52"/>
      <c r="G963" s="52"/>
      <c r="H963" s="52"/>
      <c r="I963" s="52"/>
      <c r="J963" s="52"/>
      <c r="K963" s="52"/>
      <c r="L963" s="52"/>
      <c r="M963" s="52"/>
      <c r="N963" s="52"/>
      <c r="O963" s="52"/>
      <c r="P963" s="52"/>
      <c r="Q963" s="52"/>
      <c r="R963" s="52"/>
      <c r="S963" s="52"/>
      <c r="T963" s="52"/>
      <c r="U963" s="52"/>
      <c r="V963" s="52"/>
      <c r="W963" s="52"/>
      <c r="X963" s="52"/>
      <c r="Y963" s="52"/>
      <c r="Z963" s="52"/>
    </row>
    <row r="964">
      <c r="A964" s="59"/>
      <c r="B964" s="34"/>
      <c r="C964" s="52"/>
      <c r="D964" s="52"/>
      <c r="E964" s="52"/>
      <c r="F964" s="52"/>
      <c r="G964" s="52"/>
      <c r="H964" s="52"/>
      <c r="I964" s="52"/>
      <c r="J964" s="52"/>
      <c r="K964" s="52"/>
      <c r="L964" s="52"/>
      <c r="M964" s="52"/>
      <c r="N964" s="52"/>
      <c r="O964" s="52"/>
      <c r="P964" s="52"/>
      <c r="Q964" s="52"/>
      <c r="R964" s="52"/>
      <c r="S964" s="52"/>
      <c r="T964" s="52"/>
      <c r="U964" s="52"/>
      <c r="V964" s="52"/>
      <c r="W964" s="52"/>
      <c r="X964" s="52"/>
      <c r="Y964" s="52"/>
      <c r="Z964" s="52"/>
    </row>
    <row r="965">
      <c r="A965" s="59"/>
      <c r="B965" s="34"/>
      <c r="C965" s="52"/>
      <c r="D965" s="52"/>
      <c r="E965" s="52"/>
      <c r="F965" s="52"/>
      <c r="G965" s="52"/>
      <c r="H965" s="52"/>
      <c r="I965" s="52"/>
      <c r="J965" s="52"/>
      <c r="K965" s="52"/>
      <c r="L965" s="52"/>
      <c r="M965" s="52"/>
      <c r="N965" s="52"/>
      <c r="O965" s="52"/>
      <c r="P965" s="52"/>
      <c r="Q965" s="52"/>
      <c r="R965" s="52"/>
      <c r="S965" s="52"/>
      <c r="T965" s="52"/>
      <c r="U965" s="52"/>
      <c r="V965" s="52"/>
      <c r="W965" s="52"/>
      <c r="X965" s="52"/>
      <c r="Y965" s="52"/>
      <c r="Z965" s="52"/>
    </row>
    <row r="966">
      <c r="A966" s="59"/>
      <c r="B966" s="34"/>
      <c r="C966" s="52"/>
      <c r="D966" s="52"/>
      <c r="E966" s="52"/>
      <c r="F966" s="52"/>
      <c r="G966" s="52"/>
      <c r="H966" s="52"/>
      <c r="I966" s="52"/>
      <c r="J966" s="52"/>
      <c r="K966" s="52"/>
      <c r="L966" s="52"/>
      <c r="M966" s="52"/>
      <c r="N966" s="52"/>
      <c r="O966" s="52"/>
      <c r="P966" s="52"/>
      <c r="Q966" s="52"/>
      <c r="R966" s="52"/>
      <c r="S966" s="52"/>
      <c r="T966" s="52"/>
      <c r="U966" s="52"/>
      <c r="V966" s="52"/>
      <c r="W966" s="52"/>
      <c r="X966" s="52"/>
      <c r="Y966" s="52"/>
      <c r="Z966" s="52"/>
    </row>
    <row r="967">
      <c r="A967" s="59"/>
      <c r="B967" s="34"/>
      <c r="C967" s="52"/>
      <c r="D967" s="52"/>
      <c r="E967" s="52"/>
      <c r="F967" s="52"/>
      <c r="G967" s="52"/>
      <c r="H967" s="52"/>
      <c r="I967" s="52"/>
      <c r="J967" s="52"/>
      <c r="K967" s="52"/>
      <c r="L967" s="52"/>
      <c r="M967" s="52"/>
      <c r="N967" s="52"/>
      <c r="O967" s="52"/>
      <c r="P967" s="52"/>
      <c r="Q967" s="52"/>
      <c r="R967" s="52"/>
      <c r="S967" s="52"/>
      <c r="T967" s="52"/>
      <c r="U967" s="52"/>
      <c r="V967" s="52"/>
      <c r="W967" s="52"/>
      <c r="X967" s="52"/>
      <c r="Y967" s="52"/>
      <c r="Z967" s="52"/>
    </row>
    <row r="968">
      <c r="A968" s="59"/>
      <c r="B968" s="34"/>
      <c r="C968" s="52"/>
      <c r="D968" s="52"/>
      <c r="E968" s="52"/>
      <c r="F968" s="52"/>
      <c r="G968" s="52"/>
      <c r="H968" s="52"/>
      <c r="I968" s="52"/>
      <c r="J968" s="52"/>
      <c r="K968" s="52"/>
      <c r="L968" s="52"/>
      <c r="M968" s="52"/>
      <c r="N968" s="52"/>
      <c r="O968" s="52"/>
      <c r="P968" s="52"/>
      <c r="Q968" s="52"/>
      <c r="R968" s="52"/>
      <c r="S968" s="52"/>
      <c r="T968" s="52"/>
      <c r="U968" s="52"/>
      <c r="V968" s="52"/>
      <c r="W968" s="52"/>
      <c r="X968" s="52"/>
      <c r="Y968" s="52"/>
      <c r="Z968" s="52"/>
    </row>
    <row r="969">
      <c r="A969" s="59"/>
      <c r="B969" s="34"/>
      <c r="C969" s="52"/>
      <c r="D969" s="52"/>
      <c r="E969" s="52"/>
      <c r="F969" s="52"/>
      <c r="G969" s="52"/>
      <c r="H969" s="52"/>
      <c r="I969" s="52"/>
      <c r="J969" s="52"/>
      <c r="K969" s="52"/>
      <c r="L969" s="52"/>
      <c r="M969" s="52"/>
      <c r="N969" s="52"/>
      <c r="O969" s="52"/>
      <c r="P969" s="52"/>
      <c r="Q969" s="52"/>
      <c r="R969" s="52"/>
      <c r="S969" s="52"/>
      <c r="T969" s="52"/>
      <c r="U969" s="52"/>
      <c r="V969" s="52"/>
      <c r="W969" s="52"/>
      <c r="X969" s="52"/>
      <c r="Y969" s="52"/>
      <c r="Z969" s="52"/>
    </row>
    <row r="970">
      <c r="A970" s="59"/>
      <c r="B970" s="34"/>
      <c r="C970" s="52"/>
      <c r="D970" s="52"/>
      <c r="E970" s="52"/>
      <c r="F970" s="52"/>
      <c r="G970" s="52"/>
      <c r="H970" s="52"/>
      <c r="I970" s="52"/>
      <c r="J970" s="52"/>
      <c r="K970" s="52"/>
      <c r="L970" s="52"/>
      <c r="M970" s="52"/>
      <c r="N970" s="52"/>
      <c r="O970" s="52"/>
      <c r="P970" s="52"/>
      <c r="Q970" s="52"/>
      <c r="R970" s="52"/>
      <c r="S970" s="52"/>
      <c r="T970" s="52"/>
      <c r="U970" s="52"/>
      <c r="V970" s="52"/>
      <c r="W970" s="52"/>
      <c r="X970" s="52"/>
      <c r="Y970" s="52"/>
      <c r="Z970" s="52"/>
    </row>
    <row r="971">
      <c r="A971" s="59"/>
      <c r="B971" s="34"/>
      <c r="C971" s="52"/>
      <c r="D971" s="52"/>
      <c r="E971" s="52"/>
      <c r="F971" s="52"/>
      <c r="G971" s="52"/>
      <c r="H971" s="52"/>
      <c r="I971" s="52"/>
      <c r="J971" s="52"/>
      <c r="K971" s="52"/>
      <c r="L971" s="52"/>
      <c r="M971" s="52"/>
      <c r="N971" s="52"/>
      <c r="O971" s="52"/>
      <c r="P971" s="52"/>
      <c r="Q971" s="52"/>
      <c r="R971" s="52"/>
      <c r="S971" s="52"/>
      <c r="T971" s="52"/>
      <c r="U971" s="52"/>
      <c r="V971" s="52"/>
      <c r="W971" s="52"/>
      <c r="X971" s="52"/>
      <c r="Y971" s="52"/>
      <c r="Z971" s="52"/>
    </row>
    <row r="972">
      <c r="A972" s="59"/>
      <c r="B972" s="34"/>
      <c r="C972" s="52"/>
      <c r="D972" s="52"/>
      <c r="E972" s="52"/>
      <c r="F972" s="52"/>
      <c r="G972" s="52"/>
      <c r="H972" s="52"/>
      <c r="I972" s="52"/>
      <c r="J972" s="52"/>
      <c r="K972" s="52"/>
      <c r="L972" s="52"/>
      <c r="M972" s="52"/>
      <c r="N972" s="52"/>
      <c r="O972" s="52"/>
      <c r="P972" s="52"/>
      <c r="Q972" s="52"/>
      <c r="R972" s="52"/>
      <c r="S972" s="52"/>
      <c r="T972" s="52"/>
      <c r="U972" s="52"/>
      <c r="V972" s="52"/>
      <c r="W972" s="52"/>
      <c r="X972" s="52"/>
      <c r="Y972" s="52"/>
      <c r="Z972" s="52"/>
    </row>
    <row r="973">
      <c r="A973" s="59"/>
      <c r="B973" s="34"/>
      <c r="C973" s="52"/>
      <c r="D973" s="52"/>
      <c r="E973" s="52"/>
      <c r="F973" s="52"/>
      <c r="G973" s="52"/>
      <c r="H973" s="52"/>
      <c r="I973" s="52"/>
      <c r="J973" s="52"/>
      <c r="K973" s="52"/>
      <c r="L973" s="52"/>
      <c r="M973" s="52"/>
      <c r="N973" s="52"/>
      <c r="O973" s="52"/>
      <c r="P973" s="52"/>
      <c r="Q973" s="52"/>
      <c r="R973" s="52"/>
      <c r="S973" s="52"/>
      <c r="T973" s="52"/>
      <c r="U973" s="52"/>
      <c r="V973" s="52"/>
      <c r="W973" s="52"/>
      <c r="X973" s="52"/>
      <c r="Y973" s="52"/>
      <c r="Z973" s="52"/>
    </row>
    <row r="974">
      <c r="A974" s="59"/>
      <c r="B974" s="34"/>
      <c r="C974" s="52"/>
      <c r="D974" s="52"/>
      <c r="E974" s="52"/>
      <c r="F974" s="52"/>
      <c r="G974" s="52"/>
      <c r="H974" s="52"/>
      <c r="I974" s="52"/>
      <c r="J974" s="52"/>
      <c r="K974" s="52"/>
      <c r="L974" s="52"/>
      <c r="M974" s="52"/>
      <c r="N974" s="52"/>
      <c r="O974" s="52"/>
      <c r="P974" s="52"/>
      <c r="Q974" s="52"/>
      <c r="R974" s="52"/>
      <c r="S974" s="52"/>
      <c r="T974" s="52"/>
      <c r="U974" s="52"/>
      <c r="V974" s="52"/>
      <c r="W974" s="52"/>
      <c r="X974" s="52"/>
      <c r="Y974" s="52"/>
      <c r="Z974" s="52"/>
    </row>
    <row r="975">
      <c r="A975" s="59"/>
      <c r="B975" s="34"/>
      <c r="C975" s="52"/>
      <c r="D975" s="52"/>
      <c r="E975" s="52"/>
      <c r="F975" s="52"/>
      <c r="G975" s="52"/>
      <c r="H975" s="52"/>
      <c r="I975" s="52"/>
      <c r="J975" s="52"/>
      <c r="K975" s="52"/>
      <c r="L975" s="52"/>
      <c r="M975" s="52"/>
      <c r="N975" s="52"/>
      <c r="O975" s="52"/>
      <c r="P975" s="52"/>
      <c r="Q975" s="52"/>
      <c r="R975" s="52"/>
      <c r="S975" s="52"/>
      <c r="T975" s="52"/>
      <c r="U975" s="52"/>
      <c r="V975" s="52"/>
      <c r="W975" s="52"/>
      <c r="X975" s="52"/>
      <c r="Y975" s="52"/>
      <c r="Z975" s="52"/>
    </row>
    <row r="976">
      <c r="A976" s="59"/>
      <c r="B976" s="34"/>
      <c r="C976" s="52"/>
      <c r="D976" s="52"/>
      <c r="E976" s="52"/>
      <c r="F976" s="52"/>
      <c r="G976" s="52"/>
      <c r="H976" s="52"/>
      <c r="I976" s="52"/>
      <c r="J976" s="52"/>
      <c r="K976" s="52"/>
      <c r="L976" s="52"/>
      <c r="M976" s="52"/>
      <c r="N976" s="52"/>
      <c r="O976" s="52"/>
      <c r="P976" s="52"/>
      <c r="Q976" s="52"/>
      <c r="R976" s="52"/>
      <c r="S976" s="52"/>
      <c r="T976" s="52"/>
      <c r="U976" s="52"/>
      <c r="V976" s="52"/>
      <c r="W976" s="52"/>
      <c r="X976" s="52"/>
      <c r="Y976" s="52"/>
      <c r="Z976" s="52"/>
    </row>
    <row r="977">
      <c r="A977" s="59"/>
      <c r="B977" s="34"/>
      <c r="C977" s="52"/>
      <c r="D977" s="52"/>
      <c r="E977" s="52"/>
      <c r="F977" s="52"/>
      <c r="G977" s="52"/>
      <c r="H977" s="52"/>
      <c r="I977" s="52"/>
      <c r="J977" s="52"/>
      <c r="K977" s="52"/>
      <c r="L977" s="52"/>
      <c r="M977" s="52"/>
      <c r="N977" s="52"/>
      <c r="O977" s="52"/>
      <c r="P977" s="52"/>
      <c r="Q977" s="52"/>
      <c r="R977" s="52"/>
      <c r="S977" s="52"/>
      <c r="T977" s="52"/>
      <c r="U977" s="52"/>
      <c r="V977" s="52"/>
      <c r="W977" s="52"/>
      <c r="X977" s="52"/>
      <c r="Y977" s="52"/>
      <c r="Z977" s="52"/>
    </row>
    <row r="978">
      <c r="A978" s="59"/>
      <c r="B978" s="34"/>
      <c r="C978" s="52"/>
      <c r="D978" s="52"/>
      <c r="E978" s="52"/>
      <c r="F978" s="52"/>
      <c r="G978" s="52"/>
      <c r="H978" s="52"/>
      <c r="I978" s="52"/>
      <c r="J978" s="52"/>
      <c r="K978" s="52"/>
      <c r="L978" s="52"/>
      <c r="M978" s="52"/>
      <c r="N978" s="52"/>
      <c r="O978" s="52"/>
      <c r="P978" s="52"/>
      <c r="Q978" s="52"/>
      <c r="R978" s="52"/>
      <c r="S978" s="52"/>
      <c r="T978" s="52"/>
      <c r="U978" s="52"/>
      <c r="V978" s="52"/>
      <c r="W978" s="52"/>
      <c r="X978" s="52"/>
      <c r="Y978" s="52"/>
      <c r="Z978" s="52"/>
    </row>
    <row r="979">
      <c r="A979" s="59"/>
      <c r="B979" s="34"/>
      <c r="C979" s="52"/>
      <c r="D979" s="52"/>
      <c r="E979" s="52"/>
      <c r="F979" s="52"/>
      <c r="G979" s="52"/>
      <c r="H979" s="52"/>
      <c r="I979" s="52"/>
      <c r="J979" s="52"/>
      <c r="K979" s="52"/>
      <c r="L979" s="52"/>
      <c r="M979" s="52"/>
      <c r="N979" s="52"/>
      <c r="O979" s="52"/>
      <c r="P979" s="52"/>
      <c r="Q979" s="52"/>
      <c r="R979" s="52"/>
      <c r="S979" s="52"/>
      <c r="T979" s="52"/>
      <c r="U979" s="52"/>
      <c r="V979" s="52"/>
      <c r="W979" s="52"/>
      <c r="X979" s="52"/>
      <c r="Y979" s="52"/>
      <c r="Z979" s="52"/>
    </row>
    <row r="980">
      <c r="A980" s="59"/>
      <c r="B980" s="34"/>
      <c r="C980" s="52"/>
      <c r="D980" s="52"/>
      <c r="E980" s="52"/>
      <c r="F980" s="52"/>
      <c r="G980" s="52"/>
      <c r="H980" s="52"/>
      <c r="I980" s="52"/>
      <c r="J980" s="52"/>
      <c r="K980" s="52"/>
      <c r="L980" s="52"/>
      <c r="M980" s="52"/>
      <c r="N980" s="52"/>
      <c r="O980" s="52"/>
      <c r="P980" s="52"/>
      <c r="Q980" s="52"/>
      <c r="R980" s="52"/>
      <c r="S980" s="52"/>
      <c r="T980" s="52"/>
      <c r="U980" s="52"/>
      <c r="V980" s="52"/>
      <c r="W980" s="52"/>
      <c r="X980" s="52"/>
      <c r="Y980" s="52"/>
      <c r="Z980" s="52"/>
    </row>
    <row r="981">
      <c r="A981" s="59"/>
      <c r="B981" s="34"/>
      <c r="C981" s="52"/>
      <c r="D981" s="52"/>
      <c r="E981" s="52"/>
      <c r="F981" s="52"/>
      <c r="G981" s="52"/>
      <c r="H981" s="52"/>
      <c r="I981" s="52"/>
      <c r="J981" s="52"/>
      <c r="K981" s="52"/>
      <c r="L981" s="52"/>
      <c r="M981" s="52"/>
      <c r="N981" s="52"/>
      <c r="O981" s="52"/>
      <c r="P981" s="52"/>
      <c r="Q981" s="52"/>
      <c r="R981" s="52"/>
      <c r="S981" s="52"/>
      <c r="T981" s="52"/>
      <c r="U981" s="52"/>
      <c r="V981" s="52"/>
      <c r="W981" s="52"/>
      <c r="X981" s="52"/>
      <c r="Y981" s="52"/>
      <c r="Z981" s="52"/>
    </row>
    <row r="982">
      <c r="A982" s="59"/>
      <c r="B982" s="34"/>
      <c r="C982" s="52"/>
      <c r="D982" s="52"/>
      <c r="E982" s="52"/>
      <c r="F982" s="52"/>
      <c r="G982" s="52"/>
      <c r="H982" s="52"/>
      <c r="I982" s="52"/>
      <c r="J982" s="52"/>
      <c r="K982" s="52"/>
      <c r="L982" s="52"/>
      <c r="M982" s="52"/>
      <c r="N982" s="52"/>
      <c r="O982" s="52"/>
      <c r="P982" s="52"/>
      <c r="Q982" s="52"/>
      <c r="R982" s="52"/>
      <c r="S982" s="52"/>
      <c r="T982" s="52"/>
      <c r="U982" s="52"/>
      <c r="V982" s="52"/>
      <c r="W982" s="52"/>
      <c r="X982" s="52"/>
      <c r="Y982" s="52"/>
      <c r="Z982" s="52"/>
    </row>
    <row r="983">
      <c r="A983" s="59"/>
      <c r="B983" s="34"/>
      <c r="C983" s="52"/>
      <c r="D983" s="52"/>
      <c r="E983" s="52"/>
      <c r="F983" s="52"/>
      <c r="G983" s="52"/>
      <c r="H983" s="52"/>
      <c r="I983" s="52"/>
      <c r="J983" s="52"/>
      <c r="K983" s="52"/>
      <c r="L983" s="52"/>
      <c r="M983" s="52"/>
      <c r="N983" s="52"/>
      <c r="O983" s="52"/>
      <c r="P983" s="52"/>
      <c r="Q983" s="52"/>
      <c r="R983" s="52"/>
      <c r="S983" s="52"/>
      <c r="T983" s="52"/>
      <c r="U983" s="52"/>
      <c r="V983" s="52"/>
      <c r="W983" s="52"/>
      <c r="X983" s="52"/>
      <c r="Y983" s="52"/>
      <c r="Z983" s="52"/>
    </row>
    <row r="984">
      <c r="A984" s="59"/>
      <c r="B984" s="34"/>
      <c r="C984" s="52"/>
      <c r="D984" s="52"/>
      <c r="E984" s="52"/>
      <c r="F984" s="52"/>
      <c r="G984" s="52"/>
      <c r="H984" s="52"/>
      <c r="I984" s="52"/>
      <c r="J984" s="52"/>
      <c r="K984" s="52"/>
      <c r="L984" s="52"/>
      <c r="M984" s="52"/>
      <c r="N984" s="52"/>
      <c r="O984" s="52"/>
      <c r="P984" s="52"/>
      <c r="Q984" s="52"/>
      <c r="R984" s="52"/>
      <c r="S984" s="52"/>
      <c r="T984" s="52"/>
      <c r="U984" s="52"/>
      <c r="V984" s="52"/>
      <c r="W984" s="52"/>
      <c r="X984" s="52"/>
      <c r="Y984" s="52"/>
      <c r="Z984" s="52"/>
    </row>
    <row r="985">
      <c r="A985" s="59"/>
      <c r="B985" s="34"/>
      <c r="C985" s="52"/>
      <c r="D985" s="52"/>
      <c r="E985" s="52"/>
      <c r="F985" s="52"/>
      <c r="G985" s="52"/>
      <c r="H985" s="52"/>
      <c r="I985" s="52"/>
      <c r="J985" s="52"/>
      <c r="K985" s="52"/>
      <c r="L985" s="52"/>
      <c r="M985" s="52"/>
      <c r="N985" s="52"/>
      <c r="O985" s="52"/>
      <c r="P985" s="52"/>
      <c r="Q985" s="52"/>
      <c r="R985" s="52"/>
      <c r="S985" s="52"/>
      <c r="T985" s="52"/>
      <c r="U985" s="52"/>
      <c r="V985" s="52"/>
      <c r="W985" s="52"/>
      <c r="X985" s="52"/>
      <c r="Y985" s="52"/>
      <c r="Z985" s="52"/>
    </row>
    <row r="986">
      <c r="A986" s="59"/>
      <c r="B986" s="34"/>
      <c r="C986" s="52"/>
      <c r="D986" s="52"/>
      <c r="E986" s="52"/>
      <c r="F986" s="52"/>
      <c r="G986" s="52"/>
      <c r="H986" s="52"/>
      <c r="I986" s="52"/>
      <c r="J986" s="52"/>
      <c r="K986" s="52"/>
      <c r="L986" s="52"/>
      <c r="M986" s="52"/>
      <c r="N986" s="52"/>
      <c r="O986" s="52"/>
      <c r="P986" s="52"/>
      <c r="Q986" s="52"/>
      <c r="R986" s="52"/>
      <c r="S986" s="52"/>
      <c r="T986" s="52"/>
      <c r="U986" s="52"/>
      <c r="V986" s="52"/>
      <c r="W986" s="52"/>
      <c r="X986" s="52"/>
      <c r="Y986" s="52"/>
      <c r="Z986" s="52"/>
    </row>
    <row r="987">
      <c r="A987" s="59"/>
      <c r="B987" s="34"/>
      <c r="C987" s="52"/>
      <c r="D987" s="52"/>
      <c r="E987" s="52"/>
      <c r="F987" s="52"/>
      <c r="G987" s="52"/>
      <c r="H987" s="52"/>
      <c r="I987" s="52"/>
      <c r="J987" s="52"/>
      <c r="K987" s="52"/>
      <c r="L987" s="52"/>
      <c r="M987" s="52"/>
      <c r="N987" s="52"/>
      <c r="O987" s="52"/>
      <c r="P987" s="52"/>
      <c r="Q987" s="52"/>
      <c r="R987" s="52"/>
      <c r="S987" s="52"/>
      <c r="T987" s="52"/>
      <c r="U987" s="52"/>
      <c r="V987" s="52"/>
      <c r="W987" s="52"/>
      <c r="X987" s="52"/>
      <c r="Y987" s="52"/>
      <c r="Z987" s="52"/>
    </row>
    <row r="988">
      <c r="A988" s="59"/>
      <c r="B988" s="34"/>
      <c r="C988" s="52"/>
      <c r="D988" s="52"/>
      <c r="E988" s="52"/>
      <c r="F988" s="52"/>
      <c r="G988" s="52"/>
      <c r="H988" s="52"/>
      <c r="I988" s="52"/>
      <c r="J988" s="52"/>
      <c r="K988" s="52"/>
      <c r="L988" s="52"/>
      <c r="M988" s="52"/>
      <c r="N988" s="52"/>
      <c r="O988" s="52"/>
      <c r="P988" s="52"/>
      <c r="Q988" s="52"/>
      <c r="R988" s="52"/>
      <c r="S988" s="52"/>
      <c r="T988" s="52"/>
      <c r="U988" s="52"/>
      <c r="V988" s="52"/>
      <c r="W988" s="52"/>
      <c r="X988" s="52"/>
      <c r="Y988" s="52"/>
      <c r="Z988" s="52"/>
    </row>
    <row r="989">
      <c r="A989" s="59"/>
      <c r="B989" s="34"/>
      <c r="C989" s="52"/>
      <c r="D989" s="52"/>
      <c r="E989" s="52"/>
      <c r="F989" s="52"/>
      <c r="G989" s="52"/>
      <c r="H989" s="52"/>
      <c r="I989" s="52"/>
      <c r="J989" s="52"/>
      <c r="K989" s="52"/>
      <c r="L989" s="52"/>
      <c r="M989" s="52"/>
      <c r="N989" s="52"/>
      <c r="O989" s="52"/>
      <c r="P989" s="52"/>
      <c r="Q989" s="52"/>
      <c r="R989" s="52"/>
      <c r="S989" s="52"/>
      <c r="T989" s="52"/>
      <c r="U989" s="52"/>
      <c r="V989" s="52"/>
      <c r="W989" s="52"/>
      <c r="X989" s="52"/>
      <c r="Y989" s="52"/>
      <c r="Z989" s="52"/>
    </row>
    <row r="990">
      <c r="A990" s="59"/>
      <c r="B990" s="34"/>
      <c r="C990" s="52"/>
      <c r="D990" s="52"/>
      <c r="E990" s="52"/>
      <c r="F990" s="52"/>
      <c r="G990" s="52"/>
      <c r="H990" s="52"/>
      <c r="I990" s="52"/>
      <c r="J990" s="52"/>
      <c r="K990" s="52"/>
      <c r="L990" s="52"/>
      <c r="M990" s="52"/>
      <c r="N990" s="52"/>
      <c r="O990" s="52"/>
      <c r="P990" s="52"/>
      <c r="Q990" s="52"/>
      <c r="R990" s="52"/>
      <c r="S990" s="52"/>
      <c r="T990" s="52"/>
      <c r="U990" s="52"/>
      <c r="V990" s="52"/>
      <c r="W990" s="52"/>
      <c r="X990" s="52"/>
      <c r="Y990" s="52"/>
      <c r="Z990" s="52"/>
    </row>
    <row r="991">
      <c r="A991" s="59"/>
      <c r="B991" s="34"/>
      <c r="C991" s="52"/>
      <c r="D991" s="52"/>
      <c r="E991" s="52"/>
      <c r="F991" s="52"/>
      <c r="G991" s="52"/>
      <c r="H991" s="52"/>
      <c r="I991" s="52"/>
      <c r="J991" s="52"/>
      <c r="K991" s="52"/>
      <c r="L991" s="52"/>
      <c r="M991" s="52"/>
      <c r="N991" s="52"/>
      <c r="O991" s="52"/>
      <c r="P991" s="52"/>
      <c r="Q991" s="52"/>
      <c r="R991" s="52"/>
      <c r="S991" s="52"/>
      <c r="T991" s="52"/>
      <c r="U991" s="52"/>
      <c r="V991" s="52"/>
      <c r="W991" s="52"/>
      <c r="X991" s="52"/>
      <c r="Y991" s="52"/>
      <c r="Z991" s="52"/>
    </row>
    <row r="992">
      <c r="A992" s="59"/>
      <c r="B992" s="34"/>
      <c r="C992" s="52"/>
      <c r="D992" s="52"/>
      <c r="E992" s="52"/>
      <c r="F992" s="52"/>
      <c r="G992" s="52"/>
      <c r="H992" s="52"/>
      <c r="I992" s="52"/>
      <c r="J992" s="52"/>
      <c r="K992" s="52"/>
      <c r="L992" s="52"/>
      <c r="M992" s="52"/>
      <c r="N992" s="52"/>
      <c r="O992" s="52"/>
      <c r="P992" s="52"/>
      <c r="Q992" s="52"/>
      <c r="R992" s="52"/>
      <c r="S992" s="52"/>
      <c r="T992" s="52"/>
      <c r="U992" s="52"/>
      <c r="V992" s="52"/>
      <c r="W992" s="52"/>
      <c r="X992" s="52"/>
      <c r="Y992" s="52"/>
      <c r="Z992" s="52"/>
    </row>
    <row r="993">
      <c r="A993" s="59"/>
      <c r="B993" s="34"/>
      <c r="C993" s="52"/>
      <c r="D993" s="52"/>
      <c r="E993" s="52"/>
      <c r="F993" s="52"/>
      <c r="G993" s="52"/>
      <c r="H993" s="52"/>
      <c r="I993" s="52"/>
      <c r="J993" s="52"/>
      <c r="K993" s="52"/>
      <c r="L993" s="52"/>
      <c r="M993" s="52"/>
      <c r="N993" s="52"/>
      <c r="O993" s="52"/>
      <c r="P993" s="52"/>
      <c r="Q993" s="52"/>
      <c r="R993" s="52"/>
      <c r="S993" s="52"/>
      <c r="T993" s="52"/>
      <c r="U993" s="52"/>
      <c r="V993" s="52"/>
      <c r="W993" s="52"/>
      <c r="X993" s="52"/>
      <c r="Y993" s="52"/>
      <c r="Z993" s="52"/>
    </row>
    <row r="994">
      <c r="A994" s="59"/>
      <c r="B994" s="34"/>
      <c r="C994" s="52"/>
      <c r="D994" s="52"/>
      <c r="E994" s="52"/>
      <c r="F994" s="52"/>
      <c r="G994" s="52"/>
      <c r="H994" s="52"/>
      <c r="I994" s="52"/>
      <c r="J994" s="52"/>
      <c r="K994" s="52"/>
      <c r="L994" s="52"/>
      <c r="M994" s="52"/>
      <c r="N994" s="52"/>
      <c r="O994" s="52"/>
      <c r="P994" s="52"/>
      <c r="Q994" s="52"/>
      <c r="R994" s="52"/>
      <c r="S994" s="52"/>
      <c r="T994" s="52"/>
      <c r="U994" s="52"/>
      <c r="V994" s="52"/>
      <c r="W994" s="52"/>
      <c r="X994" s="52"/>
      <c r="Y994" s="52"/>
      <c r="Z994" s="52"/>
    </row>
    <row r="995">
      <c r="A995" s="59"/>
      <c r="B995" s="34"/>
      <c r="C995" s="52"/>
      <c r="D995" s="52"/>
      <c r="E995" s="52"/>
      <c r="F995" s="52"/>
      <c r="G995" s="52"/>
      <c r="H995" s="52"/>
      <c r="I995" s="52"/>
      <c r="J995" s="52"/>
      <c r="K995" s="52"/>
      <c r="L995" s="52"/>
      <c r="M995" s="52"/>
      <c r="N995" s="52"/>
      <c r="O995" s="52"/>
      <c r="P995" s="52"/>
      <c r="Q995" s="52"/>
      <c r="R995" s="52"/>
      <c r="S995" s="52"/>
      <c r="T995" s="52"/>
      <c r="U995" s="52"/>
      <c r="V995" s="52"/>
      <c r="W995" s="52"/>
      <c r="X995" s="52"/>
      <c r="Y995" s="52"/>
      <c r="Z995" s="52"/>
    </row>
    <row r="996">
      <c r="A996" s="59"/>
      <c r="B996" s="34"/>
      <c r="C996" s="52"/>
      <c r="D996" s="52"/>
      <c r="E996" s="52"/>
      <c r="F996" s="52"/>
      <c r="G996" s="52"/>
      <c r="H996" s="52"/>
      <c r="I996" s="52"/>
      <c r="J996" s="52"/>
      <c r="K996" s="52"/>
      <c r="L996" s="52"/>
      <c r="M996" s="52"/>
      <c r="N996" s="52"/>
      <c r="O996" s="52"/>
      <c r="P996" s="52"/>
      <c r="Q996" s="52"/>
      <c r="R996" s="52"/>
      <c r="S996" s="52"/>
      <c r="T996" s="52"/>
      <c r="U996" s="52"/>
      <c r="V996" s="52"/>
      <c r="W996" s="52"/>
      <c r="X996" s="52"/>
      <c r="Y996" s="52"/>
      <c r="Z996" s="52"/>
    </row>
    <row r="997">
      <c r="A997" s="59"/>
      <c r="B997" s="34"/>
      <c r="C997" s="52"/>
      <c r="D997" s="52"/>
      <c r="E997" s="52"/>
      <c r="F997" s="52"/>
      <c r="G997" s="52"/>
      <c r="H997" s="52"/>
      <c r="I997" s="52"/>
      <c r="J997" s="52"/>
      <c r="K997" s="52"/>
      <c r="L997" s="52"/>
      <c r="M997" s="52"/>
      <c r="N997" s="52"/>
      <c r="O997" s="52"/>
      <c r="P997" s="52"/>
      <c r="Q997" s="52"/>
      <c r="R997" s="52"/>
      <c r="S997" s="52"/>
      <c r="T997" s="52"/>
      <c r="U997" s="52"/>
      <c r="V997" s="52"/>
      <c r="W997" s="52"/>
      <c r="X997" s="52"/>
      <c r="Y997" s="52"/>
      <c r="Z997" s="52"/>
    </row>
    <row r="998">
      <c r="A998" s="59"/>
      <c r="B998" s="34"/>
      <c r="C998" s="52"/>
      <c r="D998" s="52"/>
      <c r="E998" s="52"/>
      <c r="F998" s="52"/>
      <c r="G998" s="52"/>
      <c r="H998" s="52"/>
      <c r="I998" s="52"/>
      <c r="J998" s="52"/>
      <c r="K998" s="52"/>
      <c r="L998" s="52"/>
      <c r="M998" s="52"/>
      <c r="N998" s="52"/>
      <c r="O998" s="52"/>
      <c r="P998" s="52"/>
      <c r="Q998" s="52"/>
      <c r="R998" s="52"/>
      <c r="S998" s="52"/>
      <c r="T998" s="52"/>
      <c r="U998" s="52"/>
      <c r="V998" s="52"/>
      <c r="W998" s="52"/>
      <c r="X998" s="52"/>
      <c r="Y998" s="52"/>
      <c r="Z998" s="52"/>
    </row>
    <row r="999">
      <c r="A999" s="59"/>
      <c r="B999" s="34"/>
      <c r="C999" s="52"/>
      <c r="D999" s="52"/>
      <c r="E999" s="52"/>
      <c r="F999" s="52"/>
      <c r="G999" s="52"/>
      <c r="H999" s="52"/>
      <c r="I999" s="52"/>
      <c r="J999" s="52"/>
      <c r="K999" s="52"/>
      <c r="L999" s="52"/>
      <c r="M999" s="52"/>
      <c r="N999" s="52"/>
      <c r="O999" s="52"/>
      <c r="P999" s="52"/>
      <c r="Q999" s="52"/>
      <c r="R999" s="52"/>
      <c r="S999" s="52"/>
      <c r="T999" s="52"/>
      <c r="U999" s="52"/>
      <c r="V999" s="52"/>
      <c r="W999" s="52"/>
      <c r="X999" s="52"/>
      <c r="Y999" s="52"/>
      <c r="Z999" s="52"/>
    </row>
    <row r="1000">
      <c r="A1000" s="59"/>
      <c r="B1000" s="34"/>
      <c r="C1000" s="52"/>
      <c r="D1000" s="52"/>
      <c r="E1000" s="52"/>
      <c r="F1000" s="52"/>
      <c r="G1000" s="52"/>
      <c r="H1000" s="52"/>
      <c r="I1000" s="52"/>
      <c r="J1000" s="52"/>
      <c r="K1000" s="52"/>
      <c r="L1000" s="52"/>
      <c r="M1000" s="52"/>
      <c r="N1000" s="52"/>
      <c r="O1000" s="52"/>
      <c r="P1000" s="52"/>
      <c r="Q1000" s="52"/>
      <c r="R1000" s="52"/>
      <c r="S1000" s="52"/>
      <c r="T1000" s="52"/>
      <c r="U1000" s="52"/>
      <c r="V1000" s="52"/>
      <c r="W1000" s="52"/>
      <c r="X1000" s="52"/>
      <c r="Y1000" s="52"/>
      <c r="Z1000" s="52"/>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 customWidth="1" min="2" max="2" width="34.75"/>
  </cols>
  <sheetData>
    <row r="1">
      <c r="A1" s="56" t="s">
        <v>264</v>
      </c>
      <c r="B1" s="57" t="s">
        <v>271</v>
      </c>
      <c r="C1" s="52"/>
      <c r="D1" s="52"/>
      <c r="E1" s="52"/>
      <c r="F1" s="52"/>
      <c r="G1" s="52"/>
      <c r="H1" s="52"/>
      <c r="I1" s="52"/>
      <c r="J1" s="52"/>
      <c r="K1" s="52"/>
      <c r="L1" s="52"/>
      <c r="M1" s="52"/>
      <c r="N1" s="52"/>
      <c r="O1" s="52"/>
      <c r="P1" s="52"/>
      <c r="Q1" s="52"/>
      <c r="R1" s="52"/>
      <c r="S1" s="52"/>
      <c r="T1" s="52"/>
      <c r="U1" s="52"/>
      <c r="V1" s="52"/>
      <c r="W1" s="52"/>
      <c r="X1" s="52"/>
      <c r="Y1" s="52"/>
      <c r="Z1" s="52"/>
    </row>
    <row r="2">
      <c r="A2" s="52">
        <f>if(B2="","",0)</f>
        <v>0</v>
      </c>
      <c r="B2" s="27" t="s">
        <v>62</v>
      </c>
      <c r="C2" s="52"/>
      <c r="D2" s="52"/>
      <c r="E2" s="52"/>
      <c r="F2" s="52"/>
      <c r="G2" s="52"/>
      <c r="H2" s="52"/>
      <c r="I2" s="52"/>
      <c r="J2" s="52"/>
      <c r="K2" s="52"/>
      <c r="L2" s="52"/>
      <c r="M2" s="52"/>
      <c r="N2" s="52"/>
      <c r="O2" s="52"/>
      <c r="P2" s="52"/>
      <c r="Q2" s="52"/>
      <c r="R2" s="52"/>
      <c r="S2" s="52"/>
      <c r="T2" s="52"/>
      <c r="U2" s="52"/>
      <c r="V2" s="52"/>
      <c r="W2" s="52"/>
      <c r="X2" s="52"/>
      <c r="Y2" s="52"/>
      <c r="Z2" s="52"/>
    </row>
    <row r="3">
      <c r="A3" s="58">
        <f t="shared" ref="A3:A150" si="1">if(B3="","",A2+1)</f>
        <v>1</v>
      </c>
      <c r="B3" s="27" t="s">
        <v>35</v>
      </c>
      <c r="C3" s="52"/>
      <c r="D3" s="52"/>
      <c r="E3" s="52"/>
      <c r="F3" s="52"/>
      <c r="G3" s="52"/>
      <c r="H3" s="52"/>
      <c r="I3" s="52"/>
      <c r="J3" s="52"/>
      <c r="K3" s="52"/>
      <c r="L3" s="52"/>
      <c r="M3" s="52"/>
      <c r="N3" s="52"/>
      <c r="O3" s="52"/>
      <c r="P3" s="52"/>
      <c r="Q3" s="52"/>
      <c r="R3" s="52"/>
      <c r="S3" s="52"/>
      <c r="T3" s="52"/>
      <c r="U3" s="52"/>
      <c r="V3" s="52"/>
      <c r="W3" s="52"/>
      <c r="X3" s="52"/>
      <c r="Y3" s="52"/>
      <c r="Z3" s="52"/>
    </row>
    <row r="4">
      <c r="A4" s="58">
        <f t="shared" si="1"/>
        <v>2</v>
      </c>
      <c r="B4" s="27" t="s">
        <v>26</v>
      </c>
      <c r="C4" s="52"/>
      <c r="D4" s="52"/>
      <c r="E4" s="52"/>
      <c r="F4" s="52"/>
      <c r="G4" s="52"/>
      <c r="H4" s="52"/>
      <c r="I4" s="52"/>
      <c r="J4" s="52"/>
      <c r="K4" s="52"/>
      <c r="L4" s="52"/>
      <c r="M4" s="52"/>
      <c r="N4" s="52"/>
      <c r="O4" s="52"/>
      <c r="P4" s="52"/>
      <c r="Q4" s="52"/>
      <c r="R4" s="52"/>
      <c r="S4" s="52"/>
      <c r="T4" s="52"/>
      <c r="U4" s="52"/>
      <c r="V4" s="52"/>
      <c r="W4" s="52"/>
      <c r="X4" s="52"/>
      <c r="Y4" s="52"/>
      <c r="Z4" s="52"/>
    </row>
    <row r="5">
      <c r="A5" s="58">
        <f t="shared" si="1"/>
        <v>3</v>
      </c>
      <c r="B5" s="27" t="s">
        <v>217</v>
      </c>
      <c r="C5" s="52"/>
      <c r="D5" s="52"/>
      <c r="E5" s="52"/>
      <c r="F5" s="52"/>
      <c r="G5" s="52"/>
      <c r="H5" s="52"/>
      <c r="I5" s="52"/>
      <c r="J5" s="52"/>
      <c r="K5" s="52"/>
      <c r="L5" s="52"/>
      <c r="M5" s="52"/>
      <c r="N5" s="52"/>
      <c r="O5" s="52"/>
      <c r="P5" s="52"/>
      <c r="Q5" s="52"/>
      <c r="R5" s="52"/>
      <c r="S5" s="52"/>
      <c r="T5" s="52"/>
      <c r="U5" s="52"/>
      <c r="V5" s="52"/>
      <c r="W5" s="52"/>
      <c r="X5" s="52"/>
      <c r="Y5" s="52"/>
      <c r="Z5" s="52"/>
    </row>
    <row r="6">
      <c r="A6" s="58">
        <f t="shared" si="1"/>
        <v>4</v>
      </c>
      <c r="B6" s="27" t="s">
        <v>272</v>
      </c>
      <c r="C6" s="52"/>
      <c r="D6" s="52"/>
      <c r="E6" s="52"/>
      <c r="F6" s="52"/>
      <c r="G6" s="52"/>
      <c r="H6" s="52"/>
      <c r="I6" s="52"/>
      <c r="J6" s="52"/>
      <c r="K6" s="52"/>
      <c r="L6" s="52"/>
      <c r="M6" s="52"/>
      <c r="N6" s="52"/>
      <c r="O6" s="52"/>
      <c r="P6" s="52"/>
      <c r="Q6" s="52"/>
      <c r="R6" s="52"/>
      <c r="S6" s="52"/>
      <c r="T6" s="52"/>
      <c r="U6" s="52"/>
      <c r="V6" s="52"/>
      <c r="W6" s="52"/>
      <c r="X6" s="52"/>
      <c r="Y6" s="52"/>
      <c r="Z6" s="52"/>
    </row>
    <row r="7">
      <c r="A7" s="58">
        <f t="shared" si="1"/>
        <v>5</v>
      </c>
      <c r="B7" s="27" t="s">
        <v>273</v>
      </c>
      <c r="C7" s="52"/>
      <c r="D7" s="52"/>
      <c r="E7" s="52"/>
      <c r="F7" s="52"/>
      <c r="G7" s="52"/>
      <c r="H7" s="52"/>
      <c r="I7" s="52"/>
      <c r="J7" s="52"/>
      <c r="K7" s="52"/>
      <c r="L7" s="52"/>
      <c r="M7" s="52"/>
      <c r="N7" s="52"/>
      <c r="O7" s="52"/>
      <c r="P7" s="52"/>
      <c r="Q7" s="52"/>
      <c r="R7" s="52"/>
      <c r="S7" s="52"/>
      <c r="T7" s="52"/>
      <c r="U7" s="52"/>
      <c r="V7" s="52"/>
      <c r="W7" s="52"/>
      <c r="X7" s="52"/>
      <c r="Y7" s="52"/>
      <c r="Z7" s="52"/>
    </row>
    <row r="8">
      <c r="A8" s="58">
        <f t="shared" si="1"/>
        <v>6</v>
      </c>
      <c r="B8" s="27" t="s">
        <v>274</v>
      </c>
      <c r="C8" s="52"/>
      <c r="D8" s="52"/>
      <c r="E8" s="52"/>
      <c r="F8" s="52"/>
      <c r="G8" s="52"/>
      <c r="H8" s="52"/>
      <c r="I8" s="52"/>
      <c r="J8" s="52"/>
      <c r="K8" s="52"/>
      <c r="L8" s="52"/>
      <c r="M8" s="52"/>
      <c r="N8" s="52"/>
      <c r="O8" s="52"/>
      <c r="P8" s="52"/>
      <c r="Q8" s="52"/>
      <c r="R8" s="52"/>
      <c r="S8" s="52"/>
      <c r="T8" s="52"/>
      <c r="U8" s="52"/>
      <c r="V8" s="52"/>
      <c r="W8" s="52"/>
      <c r="X8" s="52"/>
      <c r="Y8" s="52"/>
      <c r="Z8" s="52"/>
    </row>
    <row r="9">
      <c r="A9" s="58">
        <f t="shared" si="1"/>
        <v>7</v>
      </c>
      <c r="B9" s="27" t="s">
        <v>275</v>
      </c>
      <c r="C9" s="52"/>
      <c r="D9" s="52"/>
      <c r="E9" s="52"/>
      <c r="F9" s="52"/>
      <c r="G9" s="52"/>
      <c r="H9" s="52"/>
      <c r="I9" s="52"/>
      <c r="J9" s="52"/>
      <c r="K9" s="52"/>
      <c r="L9" s="52"/>
      <c r="M9" s="52"/>
      <c r="N9" s="52"/>
      <c r="O9" s="52"/>
      <c r="P9" s="52"/>
      <c r="Q9" s="52"/>
      <c r="R9" s="52"/>
      <c r="S9" s="52"/>
      <c r="T9" s="52"/>
      <c r="U9" s="52"/>
      <c r="V9" s="52"/>
      <c r="W9" s="52"/>
      <c r="X9" s="52"/>
      <c r="Y9" s="52"/>
      <c r="Z9" s="52"/>
    </row>
    <row r="10">
      <c r="A10" s="58">
        <f t="shared" si="1"/>
        <v>8</v>
      </c>
      <c r="B10" s="27" t="s">
        <v>131</v>
      </c>
      <c r="C10" s="52"/>
      <c r="D10" s="52"/>
      <c r="E10" s="52"/>
      <c r="F10" s="52"/>
      <c r="G10" s="52"/>
      <c r="H10" s="52"/>
      <c r="I10" s="52"/>
      <c r="J10" s="52"/>
      <c r="K10" s="52"/>
      <c r="L10" s="52"/>
      <c r="M10" s="52"/>
      <c r="N10" s="52"/>
      <c r="O10" s="52"/>
      <c r="P10" s="52"/>
      <c r="Q10" s="52"/>
      <c r="R10" s="52"/>
      <c r="S10" s="52"/>
      <c r="T10" s="52"/>
      <c r="U10" s="52"/>
      <c r="V10" s="52"/>
      <c r="W10" s="52"/>
      <c r="X10" s="52"/>
      <c r="Y10" s="52"/>
      <c r="Z10" s="52"/>
    </row>
    <row r="11">
      <c r="A11" s="58">
        <f t="shared" si="1"/>
        <v>9</v>
      </c>
      <c r="B11" s="27" t="s">
        <v>276</v>
      </c>
      <c r="C11" s="52"/>
      <c r="D11" s="52"/>
      <c r="E11" s="52"/>
      <c r="F11" s="52"/>
      <c r="G11" s="52"/>
      <c r="H11" s="52"/>
      <c r="I11" s="52"/>
      <c r="J11" s="52"/>
      <c r="K11" s="52"/>
      <c r="L11" s="52"/>
      <c r="M11" s="52"/>
      <c r="N11" s="52"/>
      <c r="O11" s="52"/>
      <c r="P11" s="52"/>
      <c r="Q11" s="52"/>
      <c r="R11" s="52"/>
      <c r="S11" s="52"/>
      <c r="T11" s="52"/>
      <c r="U11" s="52"/>
      <c r="V11" s="52"/>
      <c r="W11" s="52"/>
      <c r="X11" s="52"/>
      <c r="Y11" s="52"/>
      <c r="Z11" s="52"/>
    </row>
    <row r="12">
      <c r="A12" s="58" t="str">
        <f t="shared" si="1"/>
        <v/>
      </c>
      <c r="B12" s="34"/>
      <c r="C12" s="52"/>
      <c r="D12" s="52"/>
      <c r="E12" s="52"/>
      <c r="F12" s="52"/>
      <c r="G12" s="52"/>
      <c r="H12" s="52"/>
      <c r="I12" s="52"/>
      <c r="J12" s="52"/>
      <c r="K12" s="52"/>
      <c r="L12" s="52"/>
      <c r="M12" s="52"/>
      <c r="N12" s="52"/>
      <c r="O12" s="52"/>
      <c r="P12" s="52"/>
      <c r="Q12" s="52"/>
      <c r="R12" s="52"/>
      <c r="S12" s="52"/>
      <c r="T12" s="52"/>
      <c r="U12" s="52"/>
      <c r="V12" s="52"/>
      <c r="W12" s="52"/>
      <c r="X12" s="52"/>
      <c r="Y12" s="52"/>
      <c r="Z12" s="52"/>
    </row>
    <row r="13">
      <c r="A13" s="58" t="str">
        <f t="shared" si="1"/>
        <v/>
      </c>
      <c r="B13" s="34"/>
      <c r="C13" s="52"/>
      <c r="D13" s="52"/>
      <c r="E13" s="52"/>
      <c r="F13" s="52"/>
      <c r="G13" s="52"/>
      <c r="H13" s="52"/>
      <c r="I13" s="52"/>
      <c r="J13" s="52"/>
      <c r="K13" s="52"/>
      <c r="L13" s="52"/>
      <c r="M13" s="52"/>
      <c r="N13" s="52"/>
      <c r="O13" s="52"/>
      <c r="P13" s="52"/>
      <c r="Q13" s="52"/>
      <c r="R13" s="52"/>
      <c r="S13" s="52"/>
      <c r="T13" s="52"/>
      <c r="U13" s="52"/>
      <c r="V13" s="52"/>
      <c r="W13" s="52"/>
      <c r="X13" s="52"/>
      <c r="Y13" s="52"/>
      <c r="Z13" s="52"/>
    </row>
    <row r="14">
      <c r="A14" s="58" t="str">
        <f t="shared" si="1"/>
        <v/>
      </c>
      <c r="B14" s="34"/>
      <c r="C14" s="52"/>
      <c r="D14" s="52"/>
      <c r="E14" s="52"/>
      <c r="F14" s="52"/>
      <c r="G14" s="52"/>
      <c r="H14" s="52"/>
      <c r="I14" s="52"/>
      <c r="J14" s="52"/>
      <c r="K14" s="52"/>
      <c r="L14" s="52"/>
      <c r="M14" s="52"/>
      <c r="N14" s="52"/>
      <c r="O14" s="52"/>
      <c r="P14" s="52"/>
      <c r="Q14" s="52"/>
      <c r="R14" s="52"/>
      <c r="S14" s="52"/>
      <c r="T14" s="52"/>
      <c r="U14" s="52"/>
      <c r="V14" s="52"/>
      <c r="W14" s="52"/>
      <c r="X14" s="52"/>
      <c r="Y14" s="52"/>
      <c r="Z14" s="52"/>
    </row>
    <row r="15">
      <c r="A15" s="58" t="str">
        <f t="shared" si="1"/>
        <v/>
      </c>
      <c r="B15" s="34"/>
      <c r="C15" s="52"/>
      <c r="D15" s="52"/>
      <c r="E15" s="52"/>
      <c r="F15" s="52"/>
      <c r="G15" s="52"/>
      <c r="H15" s="52"/>
      <c r="I15" s="52"/>
      <c r="J15" s="52"/>
      <c r="K15" s="52"/>
      <c r="L15" s="52"/>
      <c r="M15" s="52"/>
      <c r="N15" s="52"/>
      <c r="O15" s="52"/>
      <c r="P15" s="52"/>
      <c r="Q15" s="52"/>
      <c r="R15" s="52"/>
      <c r="S15" s="52"/>
      <c r="T15" s="52"/>
      <c r="U15" s="52"/>
      <c r="V15" s="52"/>
      <c r="W15" s="52"/>
      <c r="X15" s="52"/>
      <c r="Y15" s="52"/>
      <c r="Z15" s="52"/>
    </row>
    <row r="16">
      <c r="A16" s="58" t="str">
        <f t="shared" si="1"/>
        <v/>
      </c>
      <c r="B16" s="34"/>
      <c r="C16" s="52"/>
      <c r="D16" s="52"/>
      <c r="E16" s="52"/>
      <c r="F16" s="52"/>
      <c r="G16" s="52"/>
      <c r="H16" s="52"/>
      <c r="I16" s="52"/>
      <c r="J16" s="52"/>
      <c r="K16" s="52"/>
      <c r="L16" s="52"/>
      <c r="M16" s="52"/>
      <c r="N16" s="52"/>
      <c r="O16" s="52"/>
      <c r="P16" s="52"/>
      <c r="Q16" s="52"/>
      <c r="R16" s="52"/>
      <c r="S16" s="52"/>
      <c r="T16" s="52"/>
      <c r="U16" s="52"/>
      <c r="V16" s="52"/>
      <c r="W16" s="52"/>
      <c r="X16" s="52"/>
      <c r="Y16" s="52"/>
      <c r="Z16" s="52"/>
    </row>
    <row r="17">
      <c r="A17" s="58" t="str">
        <f t="shared" si="1"/>
        <v/>
      </c>
      <c r="B17" s="34"/>
      <c r="C17" s="52"/>
      <c r="D17" s="52"/>
      <c r="E17" s="52"/>
      <c r="F17" s="52"/>
      <c r="G17" s="52"/>
      <c r="H17" s="52"/>
      <c r="I17" s="52"/>
      <c r="J17" s="52"/>
      <c r="K17" s="52"/>
      <c r="L17" s="52"/>
      <c r="M17" s="52"/>
      <c r="N17" s="52"/>
      <c r="O17" s="52"/>
      <c r="P17" s="52"/>
      <c r="Q17" s="52"/>
      <c r="R17" s="52"/>
      <c r="S17" s="52"/>
      <c r="T17" s="52"/>
      <c r="U17" s="52"/>
      <c r="V17" s="52"/>
      <c r="W17" s="52"/>
      <c r="X17" s="52"/>
      <c r="Y17" s="52"/>
      <c r="Z17" s="52"/>
    </row>
    <row r="18">
      <c r="A18" s="58" t="str">
        <f t="shared" si="1"/>
        <v/>
      </c>
      <c r="B18" s="34"/>
      <c r="C18" s="52"/>
      <c r="D18" s="52"/>
      <c r="E18" s="52"/>
      <c r="F18" s="52"/>
      <c r="G18" s="52"/>
      <c r="H18" s="52"/>
      <c r="I18" s="52"/>
      <c r="J18" s="52"/>
      <c r="K18" s="52"/>
      <c r="L18" s="52"/>
      <c r="M18" s="52"/>
      <c r="N18" s="52"/>
      <c r="O18" s="52"/>
      <c r="P18" s="52"/>
      <c r="Q18" s="52"/>
      <c r="R18" s="52"/>
      <c r="S18" s="52"/>
      <c r="T18" s="52"/>
      <c r="U18" s="52"/>
      <c r="V18" s="52"/>
      <c r="W18" s="52"/>
      <c r="X18" s="52"/>
      <c r="Y18" s="52"/>
      <c r="Z18" s="52"/>
    </row>
    <row r="19">
      <c r="A19" s="58" t="str">
        <f t="shared" si="1"/>
        <v/>
      </c>
      <c r="B19" s="34"/>
      <c r="C19" s="52"/>
      <c r="D19" s="52"/>
      <c r="E19" s="52"/>
      <c r="F19" s="52"/>
      <c r="G19" s="52"/>
      <c r="H19" s="52"/>
      <c r="I19" s="52"/>
      <c r="J19" s="52"/>
      <c r="K19" s="52"/>
      <c r="L19" s="52"/>
      <c r="M19" s="52"/>
      <c r="N19" s="52"/>
      <c r="O19" s="52"/>
      <c r="P19" s="52"/>
      <c r="Q19" s="52"/>
      <c r="R19" s="52"/>
      <c r="S19" s="52"/>
      <c r="T19" s="52"/>
      <c r="U19" s="52"/>
      <c r="V19" s="52"/>
      <c r="W19" s="52"/>
      <c r="X19" s="52"/>
      <c r="Y19" s="52"/>
      <c r="Z19" s="52"/>
    </row>
    <row r="20">
      <c r="A20" s="58" t="str">
        <f t="shared" si="1"/>
        <v/>
      </c>
      <c r="B20" s="34"/>
      <c r="C20" s="52"/>
      <c r="D20" s="52"/>
      <c r="E20" s="52"/>
      <c r="F20" s="52"/>
      <c r="G20" s="52"/>
      <c r="H20" s="52"/>
      <c r="I20" s="52"/>
      <c r="J20" s="52"/>
      <c r="K20" s="52"/>
      <c r="L20" s="52"/>
      <c r="M20" s="52"/>
      <c r="N20" s="52"/>
      <c r="O20" s="52"/>
      <c r="P20" s="52"/>
      <c r="Q20" s="52"/>
      <c r="R20" s="52"/>
      <c r="S20" s="52"/>
      <c r="T20" s="52"/>
      <c r="U20" s="52"/>
      <c r="V20" s="52"/>
      <c r="W20" s="52"/>
      <c r="X20" s="52"/>
      <c r="Y20" s="52"/>
      <c r="Z20" s="52"/>
    </row>
    <row r="21">
      <c r="A21" s="58" t="str">
        <f t="shared" si="1"/>
        <v/>
      </c>
      <c r="B21" s="34"/>
      <c r="C21" s="52"/>
      <c r="D21" s="52"/>
      <c r="E21" s="52"/>
      <c r="F21" s="52"/>
      <c r="G21" s="52"/>
      <c r="H21" s="52"/>
      <c r="I21" s="52"/>
      <c r="J21" s="52"/>
      <c r="K21" s="52"/>
      <c r="L21" s="52"/>
      <c r="M21" s="52"/>
      <c r="N21" s="52"/>
      <c r="O21" s="52"/>
      <c r="P21" s="52"/>
      <c r="Q21" s="52"/>
      <c r="R21" s="52"/>
      <c r="S21" s="52"/>
      <c r="T21" s="52"/>
      <c r="U21" s="52"/>
      <c r="V21" s="52"/>
      <c r="W21" s="52"/>
      <c r="X21" s="52"/>
      <c r="Y21" s="52"/>
      <c r="Z21" s="52"/>
    </row>
    <row r="22">
      <c r="A22" s="58" t="str">
        <f t="shared" si="1"/>
        <v/>
      </c>
      <c r="B22" s="34"/>
      <c r="C22" s="52"/>
      <c r="D22" s="52"/>
      <c r="E22" s="52"/>
      <c r="F22" s="52"/>
      <c r="G22" s="52"/>
      <c r="H22" s="52"/>
      <c r="I22" s="52"/>
      <c r="J22" s="52"/>
      <c r="K22" s="52"/>
      <c r="L22" s="52"/>
      <c r="M22" s="52"/>
      <c r="N22" s="52"/>
      <c r="O22" s="52"/>
      <c r="P22" s="52"/>
      <c r="Q22" s="52"/>
      <c r="R22" s="52"/>
      <c r="S22" s="52"/>
      <c r="T22" s="52"/>
      <c r="U22" s="52"/>
      <c r="V22" s="52"/>
      <c r="W22" s="52"/>
      <c r="X22" s="52"/>
      <c r="Y22" s="52"/>
      <c r="Z22" s="52"/>
    </row>
    <row r="23">
      <c r="A23" s="58" t="str">
        <f t="shared" si="1"/>
        <v/>
      </c>
      <c r="B23" s="34"/>
      <c r="C23" s="52"/>
      <c r="D23" s="52"/>
      <c r="E23" s="52"/>
      <c r="F23" s="52"/>
      <c r="G23" s="52"/>
      <c r="H23" s="52"/>
      <c r="I23" s="52"/>
      <c r="J23" s="52"/>
      <c r="K23" s="52"/>
      <c r="L23" s="52"/>
      <c r="M23" s="52"/>
      <c r="N23" s="52"/>
      <c r="O23" s="52"/>
      <c r="P23" s="52"/>
      <c r="Q23" s="52"/>
      <c r="R23" s="52"/>
      <c r="S23" s="52"/>
      <c r="T23" s="52"/>
      <c r="U23" s="52"/>
      <c r="V23" s="52"/>
      <c r="W23" s="52"/>
      <c r="X23" s="52"/>
      <c r="Y23" s="52"/>
      <c r="Z23" s="52"/>
    </row>
    <row r="24">
      <c r="A24" s="58" t="str">
        <f t="shared" si="1"/>
        <v/>
      </c>
      <c r="B24" s="34"/>
      <c r="C24" s="52"/>
      <c r="D24" s="52"/>
      <c r="E24" s="52"/>
      <c r="F24" s="52"/>
      <c r="G24" s="52"/>
      <c r="H24" s="52"/>
      <c r="I24" s="52"/>
      <c r="J24" s="52"/>
      <c r="K24" s="52"/>
      <c r="L24" s="52"/>
      <c r="M24" s="52"/>
      <c r="N24" s="52"/>
      <c r="O24" s="52"/>
      <c r="P24" s="52"/>
      <c r="Q24" s="52"/>
      <c r="R24" s="52"/>
      <c r="S24" s="52"/>
      <c r="T24" s="52"/>
      <c r="U24" s="52"/>
      <c r="V24" s="52"/>
      <c r="W24" s="52"/>
      <c r="X24" s="52"/>
      <c r="Y24" s="52"/>
      <c r="Z24" s="52"/>
    </row>
    <row r="25">
      <c r="A25" s="58" t="str">
        <f t="shared" si="1"/>
        <v/>
      </c>
      <c r="B25" s="34"/>
      <c r="C25" s="52"/>
      <c r="D25" s="52"/>
      <c r="E25" s="52"/>
      <c r="F25" s="52"/>
      <c r="G25" s="52"/>
      <c r="H25" s="52"/>
      <c r="I25" s="52"/>
      <c r="J25" s="52"/>
      <c r="K25" s="52"/>
      <c r="L25" s="52"/>
      <c r="M25" s="52"/>
      <c r="N25" s="52"/>
      <c r="O25" s="52"/>
      <c r="P25" s="52"/>
      <c r="Q25" s="52"/>
      <c r="R25" s="52"/>
      <c r="S25" s="52"/>
      <c r="T25" s="52"/>
      <c r="U25" s="52"/>
      <c r="V25" s="52"/>
      <c r="W25" s="52"/>
      <c r="X25" s="52"/>
      <c r="Y25" s="52"/>
      <c r="Z25" s="52"/>
    </row>
    <row r="26">
      <c r="A26" s="58" t="str">
        <f t="shared" si="1"/>
        <v/>
      </c>
      <c r="B26" s="34"/>
      <c r="C26" s="52"/>
      <c r="D26" s="52"/>
      <c r="E26" s="52"/>
      <c r="F26" s="52"/>
      <c r="G26" s="52"/>
      <c r="H26" s="52"/>
      <c r="I26" s="52"/>
      <c r="J26" s="52"/>
      <c r="K26" s="52"/>
      <c r="L26" s="52"/>
      <c r="M26" s="52"/>
      <c r="N26" s="52"/>
      <c r="O26" s="52"/>
      <c r="P26" s="52"/>
      <c r="Q26" s="52"/>
      <c r="R26" s="52"/>
      <c r="S26" s="52"/>
      <c r="T26" s="52"/>
      <c r="U26" s="52"/>
      <c r="V26" s="52"/>
      <c r="W26" s="52"/>
      <c r="X26" s="52"/>
      <c r="Y26" s="52"/>
      <c r="Z26" s="52"/>
    </row>
    <row r="27">
      <c r="A27" s="58" t="str">
        <f t="shared" si="1"/>
        <v/>
      </c>
      <c r="B27" s="34"/>
      <c r="C27" s="52"/>
      <c r="D27" s="52"/>
      <c r="E27" s="52"/>
      <c r="F27" s="52"/>
      <c r="G27" s="52"/>
      <c r="H27" s="52"/>
      <c r="I27" s="52"/>
      <c r="J27" s="52"/>
      <c r="K27" s="52"/>
      <c r="L27" s="52"/>
      <c r="M27" s="52"/>
      <c r="N27" s="52"/>
      <c r="O27" s="52"/>
      <c r="P27" s="52"/>
      <c r="Q27" s="52"/>
      <c r="R27" s="52"/>
      <c r="S27" s="52"/>
      <c r="T27" s="52"/>
      <c r="U27" s="52"/>
      <c r="V27" s="52"/>
      <c r="W27" s="52"/>
      <c r="X27" s="52"/>
      <c r="Y27" s="52"/>
      <c r="Z27" s="52"/>
    </row>
    <row r="28">
      <c r="A28" s="58" t="str">
        <f t="shared" si="1"/>
        <v/>
      </c>
      <c r="B28" s="34"/>
      <c r="C28" s="52"/>
      <c r="D28" s="52"/>
      <c r="E28" s="52"/>
      <c r="F28" s="52"/>
      <c r="G28" s="52"/>
      <c r="H28" s="52"/>
      <c r="I28" s="52"/>
      <c r="J28" s="52"/>
      <c r="K28" s="52"/>
      <c r="L28" s="52"/>
      <c r="M28" s="52"/>
      <c r="N28" s="52"/>
      <c r="O28" s="52"/>
      <c r="P28" s="52"/>
      <c r="Q28" s="52"/>
      <c r="R28" s="52"/>
      <c r="S28" s="52"/>
      <c r="T28" s="52"/>
      <c r="U28" s="52"/>
      <c r="V28" s="52"/>
      <c r="W28" s="52"/>
      <c r="X28" s="52"/>
      <c r="Y28" s="52"/>
      <c r="Z28" s="52"/>
    </row>
    <row r="29">
      <c r="A29" s="58" t="str">
        <f t="shared" si="1"/>
        <v/>
      </c>
      <c r="B29" s="34"/>
      <c r="C29" s="52"/>
      <c r="D29" s="52"/>
      <c r="E29" s="52"/>
      <c r="F29" s="52"/>
      <c r="G29" s="52"/>
      <c r="H29" s="52"/>
      <c r="I29" s="52"/>
      <c r="J29" s="52"/>
      <c r="K29" s="52"/>
      <c r="L29" s="52"/>
      <c r="M29" s="52"/>
      <c r="N29" s="52"/>
      <c r="O29" s="52"/>
      <c r="P29" s="52"/>
      <c r="Q29" s="52"/>
      <c r="R29" s="52"/>
      <c r="S29" s="52"/>
      <c r="T29" s="52"/>
      <c r="U29" s="52"/>
      <c r="V29" s="52"/>
      <c r="W29" s="52"/>
      <c r="X29" s="52"/>
      <c r="Y29" s="52"/>
      <c r="Z29" s="52"/>
    </row>
    <row r="30">
      <c r="A30" s="58" t="str">
        <f t="shared" si="1"/>
        <v/>
      </c>
      <c r="B30" s="34"/>
      <c r="C30" s="52"/>
      <c r="D30" s="52"/>
      <c r="E30" s="52"/>
      <c r="F30" s="52"/>
      <c r="G30" s="52"/>
      <c r="H30" s="52"/>
      <c r="I30" s="52"/>
      <c r="J30" s="52"/>
      <c r="K30" s="52"/>
      <c r="L30" s="52"/>
      <c r="M30" s="52"/>
      <c r="N30" s="52"/>
      <c r="O30" s="52"/>
      <c r="P30" s="52"/>
      <c r="Q30" s="52"/>
      <c r="R30" s="52"/>
      <c r="S30" s="52"/>
      <c r="T30" s="52"/>
      <c r="U30" s="52"/>
      <c r="V30" s="52"/>
      <c r="W30" s="52"/>
      <c r="X30" s="52"/>
      <c r="Y30" s="52"/>
      <c r="Z30" s="52"/>
    </row>
    <row r="31">
      <c r="A31" s="58" t="str">
        <f t="shared" si="1"/>
        <v/>
      </c>
      <c r="B31" s="34"/>
      <c r="C31" s="52"/>
      <c r="D31" s="52"/>
      <c r="E31" s="52"/>
      <c r="F31" s="52"/>
      <c r="G31" s="52"/>
      <c r="H31" s="52"/>
      <c r="I31" s="52"/>
      <c r="J31" s="52"/>
      <c r="K31" s="52"/>
      <c r="L31" s="52"/>
      <c r="M31" s="52"/>
      <c r="N31" s="52"/>
      <c r="O31" s="52"/>
      <c r="P31" s="52"/>
      <c r="Q31" s="52"/>
      <c r="R31" s="52"/>
      <c r="S31" s="52"/>
      <c r="T31" s="52"/>
      <c r="U31" s="52"/>
      <c r="V31" s="52"/>
      <c r="W31" s="52"/>
      <c r="X31" s="52"/>
      <c r="Y31" s="52"/>
      <c r="Z31" s="52"/>
    </row>
    <row r="32">
      <c r="A32" s="58" t="str">
        <f t="shared" si="1"/>
        <v/>
      </c>
      <c r="B32" s="34"/>
      <c r="C32" s="52"/>
      <c r="D32" s="52"/>
      <c r="E32" s="52"/>
      <c r="F32" s="52"/>
      <c r="G32" s="52"/>
      <c r="H32" s="52"/>
      <c r="I32" s="52"/>
      <c r="J32" s="52"/>
      <c r="K32" s="52"/>
      <c r="L32" s="52"/>
      <c r="M32" s="52"/>
      <c r="N32" s="52"/>
      <c r="O32" s="52"/>
      <c r="P32" s="52"/>
      <c r="Q32" s="52"/>
      <c r="R32" s="52"/>
      <c r="S32" s="52"/>
      <c r="T32" s="52"/>
      <c r="U32" s="52"/>
      <c r="V32" s="52"/>
      <c r="W32" s="52"/>
      <c r="X32" s="52"/>
      <c r="Y32" s="52"/>
      <c r="Z32" s="52"/>
    </row>
    <row r="33">
      <c r="A33" s="58" t="str">
        <f t="shared" si="1"/>
        <v/>
      </c>
      <c r="B33" s="34"/>
      <c r="C33" s="52"/>
      <c r="D33" s="52"/>
      <c r="E33" s="52"/>
      <c r="F33" s="52"/>
      <c r="G33" s="52"/>
      <c r="H33" s="52"/>
      <c r="I33" s="52"/>
      <c r="J33" s="52"/>
      <c r="K33" s="52"/>
      <c r="L33" s="52"/>
      <c r="M33" s="52"/>
      <c r="N33" s="52"/>
      <c r="O33" s="52"/>
      <c r="P33" s="52"/>
      <c r="Q33" s="52"/>
      <c r="R33" s="52"/>
      <c r="S33" s="52"/>
      <c r="T33" s="52"/>
      <c r="U33" s="52"/>
      <c r="V33" s="52"/>
      <c r="W33" s="52"/>
      <c r="X33" s="52"/>
      <c r="Y33" s="52"/>
      <c r="Z33" s="52"/>
    </row>
    <row r="34">
      <c r="A34" s="58" t="str">
        <f t="shared" si="1"/>
        <v/>
      </c>
      <c r="B34" s="34"/>
      <c r="C34" s="52"/>
      <c r="D34" s="52"/>
      <c r="E34" s="52"/>
      <c r="F34" s="52"/>
      <c r="G34" s="52"/>
      <c r="H34" s="52"/>
      <c r="I34" s="52"/>
      <c r="J34" s="52"/>
      <c r="K34" s="52"/>
      <c r="L34" s="52"/>
      <c r="M34" s="52"/>
      <c r="N34" s="52"/>
      <c r="O34" s="52"/>
      <c r="P34" s="52"/>
      <c r="Q34" s="52"/>
      <c r="R34" s="52"/>
      <c r="S34" s="52"/>
      <c r="T34" s="52"/>
      <c r="U34" s="52"/>
      <c r="V34" s="52"/>
      <c r="W34" s="52"/>
      <c r="X34" s="52"/>
      <c r="Y34" s="52"/>
      <c r="Z34" s="52"/>
    </row>
    <row r="35">
      <c r="A35" s="58" t="str">
        <f t="shared" si="1"/>
        <v/>
      </c>
      <c r="B35" s="34"/>
      <c r="C35" s="52"/>
      <c r="D35" s="52"/>
      <c r="E35" s="52"/>
      <c r="F35" s="52"/>
      <c r="G35" s="52"/>
      <c r="H35" s="52"/>
      <c r="I35" s="52"/>
      <c r="J35" s="52"/>
      <c r="K35" s="52"/>
      <c r="L35" s="52"/>
      <c r="M35" s="52"/>
      <c r="N35" s="52"/>
      <c r="O35" s="52"/>
      <c r="P35" s="52"/>
      <c r="Q35" s="52"/>
      <c r="R35" s="52"/>
      <c r="S35" s="52"/>
      <c r="T35" s="52"/>
      <c r="U35" s="52"/>
      <c r="V35" s="52"/>
      <c r="W35" s="52"/>
      <c r="X35" s="52"/>
      <c r="Y35" s="52"/>
      <c r="Z35" s="52"/>
    </row>
    <row r="36">
      <c r="A36" s="58" t="str">
        <f t="shared" si="1"/>
        <v/>
      </c>
      <c r="B36" s="34"/>
      <c r="C36" s="52"/>
      <c r="D36" s="52"/>
      <c r="E36" s="52"/>
      <c r="F36" s="52"/>
      <c r="G36" s="52"/>
      <c r="H36" s="52"/>
      <c r="I36" s="52"/>
      <c r="J36" s="52"/>
      <c r="K36" s="52"/>
      <c r="L36" s="52"/>
      <c r="M36" s="52"/>
      <c r="N36" s="52"/>
      <c r="O36" s="52"/>
      <c r="P36" s="52"/>
      <c r="Q36" s="52"/>
      <c r="R36" s="52"/>
      <c r="S36" s="52"/>
      <c r="T36" s="52"/>
      <c r="U36" s="52"/>
      <c r="V36" s="52"/>
      <c r="W36" s="52"/>
      <c r="X36" s="52"/>
      <c r="Y36" s="52"/>
      <c r="Z36" s="52"/>
    </row>
    <row r="37">
      <c r="A37" s="58" t="str">
        <f t="shared" si="1"/>
        <v/>
      </c>
      <c r="B37" s="34"/>
      <c r="C37" s="52"/>
      <c r="D37" s="52"/>
      <c r="E37" s="52"/>
      <c r="F37" s="52"/>
      <c r="G37" s="52"/>
      <c r="H37" s="52"/>
      <c r="I37" s="52"/>
      <c r="J37" s="52"/>
      <c r="K37" s="52"/>
      <c r="L37" s="52"/>
      <c r="M37" s="52"/>
      <c r="N37" s="52"/>
      <c r="O37" s="52"/>
      <c r="P37" s="52"/>
      <c r="Q37" s="52"/>
      <c r="R37" s="52"/>
      <c r="S37" s="52"/>
      <c r="T37" s="52"/>
      <c r="U37" s="52"/>
      <c r="V37" s="52"/>
      <c r="W37" s="52"/>
      <c r="X37" s="52"/>
      <c r="Y37" s="52"/>
      <c r="Z37" s="52"/>
    </row>
    <row r="38">
      <c r="A38" s="58" t="str">
        <f t="shared" si="1"/>
        <v/>
      </c>
      <c r="B38" s="34"/>
      <c r="C38" s="52"/>
      <c r="D38" s="52"/>
      <c r="E38" s="52"/>
      <c r="F38" s="52"/>
      <c r="G38" s="52"/>
      <c r="H38" s="52"/>
      <c r="I38" s="52"/>
      <c r="J38" s="52"/>
      <c r="K38" s="52"/>
      <c r="L38" s="52"/>
      <c r="M38" s="52"/>
      <c r="N38" s="52"/>
      <c r="O38" s="52"/>
      <c r="P38" s="52"/>
      <c r="Q38" s="52"/>
      <c r="R38" s="52"/>
      <c r="S38" s="52"/>
      <c r="T38" s="52"/>
      <c r="U38" s="52"/>
      <c r="V38" s="52"/>
      <c r="W38" s="52"/>
      <c r="X38" s="52"/>
      <c r="Y38" s="52"/>
      <c r="Z38" s="52"/>
    </row>
    <row r="39">
      <c r="A39" s="58" t="str">
        <f t="shared" si="1"/>
        <v/>
      </c>
      <c r="B39" s="34"/>
      <c r="C39" s="52"/>
      <c r="D39" s="52"/>
      <c r="E39" s="52"/>
      <c r="F39" s="52"/>
      <c r="G39" s="52"/>
      <c r="H39" s="52"/>
      <c r="I39" s="52"/>
      <c r="J39" s="52"/>
      <c r="K39" s="52"/>
      <c r="L39" s="52"/>
      <c r="M39" s="52"/>
      <c r="N39" s="52"/>
      <c r="O39" s="52"/>
      <c r="P39" s="52"/>
      <c r="Q39" s="52"/>
      <c r="R39" s="52"/>
      <c r="S39" s="52"/>
      <c r="T39" s="52"/>
      <c r="U39" s="52"/>
      <c r="V39" s="52"/>
      <c r="W39" s="52"/>
      <c r="X39" s="52"/>
      <c r="Y39" s="52"/>
      <c r="Z39" s="52"/>
    </row>
    <row r="40">
      <c r="A40" s="58" t="str">
        <f t="shared" si="1"/>
        <v/>
      </c>
      <c r="B40" s="34"/>
      <c r="C40" s="52"/>
      <c r="D40" s="52"/>
      <c r="E40" s="52"/>
      <c r="F40" s="52"/>
      <c r="G40" s="52"/>
      <c r="H40" s="52"/>
      <c r="I40" s="52"/>
      <c r="J40" s="52"/>
      <c r="K40" s="52"/>
      <c r="L40" s="52"/>
      <c r="M40" s="52"/>
      <c r="N40" s="52"/>
      <c r="O40" s="52"/>
      <c r="P40" s="52"/>
      <c r="Q40" s="52"/>
      <c r="R40" s="52"/>
      <c r="S40" s="52"/>
      <c r="T40" s="52"/>
      <c r="U40" s="52"/>
      <c r="V40" s="52"/>
      <c r="W40" s="52"/>
      <c r="X40" s="52"/>
      <c r="Y40" s="52"/>
      <c r="Z40" s="52"/>
    </row>
    <row r="41">
      <c r="A41" s="58" t="str">
        <f t="shared" si="1"/>
        <v/>
      </c>
      <c r="B41" s="34"/>
      <c r="C41" s="52"/>
      <c r="D41" s="52"/>
      <c r="E41" s="52"/>
      <c r="F41" s="52"/>
      <c r="G41" s="52"/>
      <c r="H41" s="52"/>
      <c r="I41" s="52"/>
      <c r="J41" s="52"/>
      <c r="K41" s="52"/>
      <c r="L41" s="52"/>
      <c r="M41" s="52"/>
      <c r="N41" s="52"/>
      <c r="O41" s="52"/>
      <c r="P41" s="52"/>
      <c r="Q41" s="52"/>
      <c r="R41" s="52"/>
      <c r="S41" s="52"/>
      <c r="T41" s="52"/>
      <c r="U41" s="52"/>
      <c r="V41" s="52"/>
      <c r="W41" s="52"/>
      <c r="X41" s="52"/>
      <c r="Y41" s="52"/>
      <c r="Z41" s="52"/>
    </row>
    <row r="42">
      <c r="A42" s="58" t="str">
        <f t="shared" si="1"/>
        <v/>
      </c>
      <c r="B42" s="34"/>
      <c r="C42" s="52"/>
      <c r="D42" s="52"/>
      <c r="E42" s="52"/>
      <c r="F42" s="52"/>
      <c r="G42" s="52"/>
      <c r="H42" s="52"/>
      <c r="I42" s="52"/>
      <c r="J42" s="52"/>
      <c r="K42" s="52"/>
      <c r="L42" s="52"/>
      <c r="M42" s="52"/>
      <c r="N42" s="52"/>
      <c r="O42" s="52"/>
      <c r="P42" s="52"/>
      <c r="Q42" s="52"/>
      <c r="R42" s="52"/>
      <c r="S42" s="52"/>
      <c r="T42" s="52"/>
      <c r="U42" s="52"/>
      <c r="V42" s="52"/>
      <c r="W42" s="52"/>
      <c r="X42" s="52"/>
      <c r="Y42" s="52"/>
      <c r="Z42" s="52"/>
    </row>
    <row r="43">
      <c r="A43" s="58" t="str">
        <f t="shared" si="1"/>
        <v/>
      </c>
      <c r="B43" s="34"/>
      <c r="C43" s="52"/>
      <c r="D43" s="52"/>
      <c r="E43" s="52"/>
      <c r="F43" s="52"/>
      <c r="G43" s="52"/>
      <c r="H43" s="52"/>
      <c r="I43" s="52"/>
      <c r="J43" s="52"/>
      <c r="K43" s="52"/>
      <c r="L43" s="52"/>
      <c r="M43" s="52"/>
      <c r="N43" s="52"/>
      <c r="O43" s="52"/>
      <c r="P43" s="52"/>
      <c r="Q43" s="52"/>
      <c r="R43" s="52"/>
      <c r="S43" s="52"/>
      <c r="T43" s="52"/>
      <c r="U43" s="52"/>
      <c r="V43" s="52"/>
      <c r="W43" s="52"/>
      <c r="X43" s="52"/>
      <c r="Y43" s="52"/>
      <c r="Z43" s="52"/>
    </row>
    <row r="44">
      <c r="A44" s="58" t="str">
        <f t="shared" si="1"/>
        <v/>
      </c>
      <c r="B44" s="34"/>
      <c r="C44" s="52"/>
      <c r="D44" s="52"/>
      <c r="E44" s="52"/>
      <c r="F44" s="52"/>
      <c r="G44" s="52"/>
      <c r="H44" s="52"/>
      <c r="I44" s="52"/>
      <c r="J44" s="52"/>
      <c r="K44" s="52"/>
      <c r="L44" s="52"/>
      <c r="M44" s="52"/>
      <c r="N44" s="52"/>
      <c r="O44" s="52"/>
      <c r="P44" s="52"/>
      <c r="Q44" s="52"/>
      <c r="R44" s="52"/>
      <c r="S44" s="52"/>
      <c r="T44" s="52"/>
      <c r="U44" s="52"/>
      <c r="V44" s="52"/>
      <c r="W44" s="52"/>
      <c r="X44" s="52"/>
      <c r="Y44" s="52"/>
      <c r="Z44" s="52"/>
    </row>
    <row r="45">
      <c r="A45" s="58" t="str">
        <f t="shared" si="1"/>
        <v/>
      </c>
      <c r="B45" s="34"/>
      <c r="C45" s="52"/>
      <c r="D45" s="52"/>
      <c r="E45" s="52"/>
      <c r="F45" s="52"/>
      <c r="G45" s="52"/>
      <c r="H45" s="52"/>
      <c r="I45" s="52"/>
      <c r="J45" s="52"/>
      <c r="K45" s="52"/>
      <c r="L45" s="52"/>
      <c r="M45" s="52"/>
      <c r="N45" s="52"/>
      <c r="O45" s="52"/>
      <c r="P45" s="52"/>
      <c r="Q45" s="52"/>
      <c r="R45" s="52"/>
      <c r="S45" s="52"/>
      <c r="T45" s="52"/>
      <c r="U45" s="52"/>
      <c r="V45" s="52"/>
      <c r="W45" s="52"/>
      <c r="X45" s="52"/>
      <c r="Y45" s="52"/>
      <c r="Z45" s="52"/>
    </row>
    <row r="46">
      <c r="A46" s="58" t="str">
        <f t="shared" si="1"/>
        <v/>
      </c>
      <c r="B46" s="34"/>
      <c r="C46" s="52"/>
      <c r="D46" s="52"/>
      <c r="E46" s="52"/>
      <c r="F46" s="52"/>
      <c r="G46" s="52"/>
      <c r="H46" s="52"/>
      <c r="I46" s="52"/>
      <c r="J46" s="52"/>
      <c r="K46" s="52"/>
      <c r="L46" s="52"/>
      <c r="M46" s="52"/>
      <c r="N46" s="52"/>
      <c r="O46" s="52"/>
      <c r="P46" s="52"/>
      <c r="Q46" s="52"/>
      <c r="R46" s="52"/>
      <c r="S46" s="52"/>
      <c r="T46" s="52"/>
      <c r="U46" s="52"/>
      <c r="V46" s="52"/>
      <c r="W46" s="52"/>
      <c r="X46" s="52"/>
      <c r="Y46" s="52"/>
      <c r="Z46" s="52"/>
    </row>
    <row r="47">
      <c r="A47" s="58" t="str">
        <f t="shared" si="1"/>
        <v/>
      </c>
      <c r="B47" s="34"/>
      <c r="C47" s="52"/>
      <c r="D47" s="52"/>
      <c r="E47" s="52"/>
      <c r="F47" s="52"/>
      <c r="G47" s="52"/>
      <c r="H47" s="52"/>
      <c r="I47" s="52"/>
      <c r="J47" s="52"/>
      <c r="K47" s="52"/>
      <c r="L47" s="52"/>
      <c r="M47" s="52"/>
      <c r="N47" s="52"/>
      <c r="O47" s="52"/>
      <c r="P47" s="52"/>
      <c r="Q47" s="52"/>
      <c r="R47" s="52"/>
      <c r="S47" s="52"/>
      <c r="T47" s="52"/>
      <c r="U47" s="52"/>
      <c r="V47" s="52"/>
      <c r="W47" s="52"/>
      <c r="X47" s="52"/>
      <c r="Y47" s="52"/>
      <c r="Z47" s="52"/>
    </row>
    <row r="48">
      <c r="A48" s="58" t="str">
        <f t="shared" si="1"/>
        <v/>
      </c>
      <c r="B48" s="34"/>
      <c r="C48" s="52"/>
      <c r="D48" s="52"/>
      <c r="E48" s="52"/>
      <c r="F48" s="52"/>
      <c r="G48" s="52"/>
      <c r="H48" s="52"/>
      <c r="I48" s="52"/>
      <c r="J48" s="52"/>
      <c r="K48" s="52"/>
      <c r="L48" s="52"/>
      <c r="M48" s="52"/>
      <c r="N48" s="52"/>
      <c r="O48" s="52"/>
      <c r="P48" s="52"/>
      <c r="Q48" s="52"/>
      <c r="R48" s="52"/>
      <c r="S48" s="52"/>
      <c r="T48" s="52"/>
      <c r="U48" s="52"/>
      <c r="V48" s="52"/>
      <c r="W48" s="52"/>
      <c r="X48" s="52"/>
      <c r="Y48" s="52"/>
      <c r="Z48" s="52"/>
    </row>
    <row r="49">
      <c r="A49" s="58" t="str">
        <f t="shared" si="1"/>
        <v/>
      </c>
      <c r="B49" s="34"/>
      <c r="C49" s="52"/>
      <c r="D49" s="52"/>
      <c r="E49" s="52"/>
      <c r="F49" s="52"/>
      <c r="G49" s="52"/>
      <c r="H49" s="52"/>
      <c r="I49" s="52"/>
      <c r="J49" s="52"/>
      <c r="K49" s="52"/>
      <c r="L49" s="52"/>
      <c r="M49" s="52"/>
      <c r="N49" s="52"/>
      <c r="O49" s="52"/>
      <c r="P49" s="52"/>
      <c r="Q49" s="52"/>
      <c r="R49" s="52"/>
      <c r="S49" s="52"/>
      <c r="T49" s="52"/>
      <c r="U49" s="52"/>
      <c r="V49" s="52"/>
      <c r="W49" s="52"/>
      <c r="X49" s="52"/>
      <c r="Y49" s="52"/>
      <c r="Z49" s="52"/>
    </row>
    <row r="50">
      <c r="A50" s="58" t="str">
        <f t="shared" si="1"/>
        <v/>
      </c>
      <c r="B50" s="34"/>
      <c r="C50" s="52"/>
      <c r="D50" s="52"/>
      <c r="E50" s="52"/>
      <c r="F50" s="52"/>
      <c r="G50" s="52"/>
      <c r="H50" s="52"/>
      <c r="I50" s="52"/>
      <c r="J50" s="52"/>
      <c r="K50" s="52"/>
      <c r="L50" s="52"/>
      <c r="M50" s="52"/>
      <c r="N50" s="52"/>
      <c r="O50" s="52"/>
      <c r="P50" s="52"/>
      <c r="Q50" s="52"/>
      <c r="R50" s="52"/>
      <c r="S50" s="52"/>
      <c r="T50" s="52"/>
      <c r="U50" s="52"/>
      <c r="V50" s="52"/>
      <c r="W50" s="52"/>
      <c r="X50" s="52"/>
      <c r="Y50" s="52"/>
      <c r="Z50" s="52"/>
    </row>
    <row r="51">
      <c r="A51" s="58" t="str">
        <f t="shared" si="1"/>
        <v/>
      </c>
      <c r="B51" s="34"/>
      <c r="C51" s="52"/>
      <c r="D51" s="52"/>
      <c r="E51" s="52"/>
      <c r="F51" s="52"/>
      <c r="G51" s="52"/>
      <c r="H51" s="52"/>
      <c r="I51" s="52"/>
      <c r="J51" s="52"/>
      <c r="K51" s="52"/>
      <c r="L51" s="52"/>
      <c r="M51" s="52"/>
      <c r="N51" s="52"/>
      <c r="O51" s="52"/>
      <c r="P51" s="52"/>
      <c r="Q51" s="52"/>
      <c r="R51" s="52"/>
      <c r="S51" s="52"/>
      <c r="T51" s="52"/>
      <c r="U51" s="52"/>
      <c r="V51" s="52"/>
      <c r="W51" s="52"/>
      <c r="X51" s="52"/>
      <c r="Y51" s="52"/>
      <c r="Z51" s="52"/>
    </row>
    <row r="52">
      <c r="A52" s="58" t="str">
        <f t="shared" si="1"/>
        <v/>
      </c>
      <c r="B52" s="34"/>
      <c r="C52" s="52"/>
      <c r="D52" s="52"/>
      <c r="E52" s="52"/>
      <c r="F52" s="52"/>
      <c r="G52" s="52"/>
      <c r="H52" s="52"/>
      <c r="I52" s="52"/>
      <c r="J52" s="52"/>
      <c r="K52" s="52"/>
      <c r="L52" s="52"/>
      <c r="M52" s="52"/>
      <c r="N52" s="52"/>
      <c r="O52" s="52"/>
      <c r="P52" s="52"/>
      <c r="Q52" s="52"/>
      <c r="R52" s="52"/>
      <c r="S52" s="52"/>
      <c r="T52" s="52"/>
      <c r="U52" s="52"/>
      <c r="V52" s="52"/>
      <c r="W52" s="52"/>
      <c r="X52" s="52"/>
      <c r="Y52" s="52"/>
      <c r="Z52" s="52"/>
    </row>
    <row r="53">
      <c r="A53" s="58" t="str">
        <f t="shared" si="1"/>
        <v/>
      </c>
      <c r="B53" s="34"/>
      <c r="C53" s="52"/>
      <c r="D53" s="52"/>
      <c r="E53" s="52"/>
      <c r="F53" s="52"/>
      <c r="G53" s="52"/>
      <c r="H53" s="52"/>
      <c r="I53" s="52"/>
      <c r="J53" s="52"/>
      <c r="K53" s="52"/>
      <c r="L53" s="52"/>
      <c r="M53" s="52"/>
      <c r="N53" s="52"/>
      <c r="O53" s="52"/>
      <c r="P53" s="52"/>
      <c r="Q53" s="52"/>
      <c r="R53" s="52"/>
      <c r="S53" s="52"/>
      <c r="T53" s="52"/>
      <c r="U53" s="52"/>
      <c r="V53" s="52"/>
      <c r="W53" s="52"/>
      <c r="X53" s="52"/>
      <c r="Y53" s="52"/>
      <c r="Z53" s="52"/>
    </row>
    <row r="54">
      <c r="A54" s="58" t="str">
        <f t="shared" si="1"/>
        <v/>
      </c>
      <c r="B54" s="34"/>
      <c r="C54" s="52"/>
      <c r="D54" s="52"/>
      <c r="E54" s="52"/>
      <c r="F54" s="52"/>
      <c r="G54" s="52"/>
      <c r="H54" s="52"/>
      <c r="I54" s="52"/>
      <c r="J54" s="52"/>
      <c r="K54" s="52"/>
      <c r="L54" s="52"/>
      <c r="M54" s="52"/>
      <c r="N54" s="52"/>
      <c r="O54" s="52"/>
      <c r="P54" s="52"/>
      <c r="Q54" s="52"/>
      <c r="R54" s="52"/>
      <c r="S54" s="52"/>
      <c r="T54" s="52"/>
      <c r="U54" s="52"/>
      <c r="V54" s="52"/>
      <c r="W54" s="52"/>
      <c r="X54" s="52"/>
      <c r="Y54" s="52"/>
      <c r="Z54" s="52"/>
    </row>
    <row r="55">
      <c r="A55" s="58" t="str">
        <f t="shared" si="1"/>
        <v/>
      </c>
      <c r="B55" s="34"/>
      <c r="C55" s="52"/>
      <c r="D55" s="52"/>
      <c r="E55" s="52"/>
      <c r="F55" s="52"/>
      <c r="G55" s="52"/>
      <c r="H55" s="52"/>
      <c r="I55" s="52"/>
      <c r="J55" s="52"/>
      <c r="K55" s="52"/>
      <c r="L55" s="52"/>
      <c r="M55" s="52"/>
      <c r="N55" s="52"/>
      <c r="O55" s="52"/>
      <c r="P55" s="52"/>
      <c r="Q55" s="52"/>
      <c r="R55" s="52"/>
      <c r="S55" s="52"/>
      <c r="T55" s="52"/>
      <c r="U55" s="52"/>
      <c r="V55" s="52"/>
      <c r="W55" s="52"/>
      <c r="X55" s="52"/>
      <c r="Y55" s="52"/>
      <c r="Z55" s="52"/>
    </row>
    <row r="56">
      <c r="A56" s="58" t="str">
        <f t="shared" si="1"/>
        <v/>
      </c>
      <c r="B56" s="34"/>
      <c r="C56" s="52"/>
      <c r="D56" s="52"/>
      <c r="E56" s="52"/>
      <c r="F56" s="52"/>
      <c r="G56" s="52"/>
      <c r="H56" s="52"/>
      <c r="I56" s="52"/>
      <c r="J56" s="52"/>
      <c r="K56" s="52"/>
      <c r="L56" s="52"/>
      <c r="M56" s="52"/>
      <c r="N56" s="52"/>
      <c r="O56" s="52"/>
      <c r="P56" s="52"/>
      <c r="Q56" s="52"/>
      <c r="R56" s="52"/>
      <c r="S56" s="52"/>
      <c r="T56" s="52"/>
      <c r="U56" s="52"/>
      <c r="V56" s="52"/>
      <c r="W56" s="52"/>
      <c r="X56" s="52"/>
      <c r="Y56" s="52"/>
      <c r="Z56" s="52"/>
    </row>
    <row r="57">
      <c r="A57" s="58" t="str">
        <f t="shared" si="1"/>
        <v/>
      </c>
      <c r="B57" s="34"/>
      <c r="C57" s="52"/>
      <c r="D57" s="52"/>
      <c r="E57" s="52"/>
      <c r="F57" s="52"/>
      <c r="G57" s="52"/>
      <c r="H57" s="52"/>
      <c r="I57" s="52"/>
      <c r="J57" s="52"/>
      <c r="K57" s="52"/>
      <c r="L57" s="52"/>
      <c r="M57" s="52"/>
      <c r="N57" s="52"/>
      <c r="O57" s="52"/>
      <c r="P57" s="52"/>
      <c r="Q57" s="52"/>
      <c r="R57" s="52"/>
      <c r="S57" s="52"/>
      <c r="T57" s="52"/>
      <c r="U57" s="52"/>
      <c r="V57" s="52"/>
      <c r="W57" s="52"/>
      <c r="X57" s="52"/>
      <c r="Y57" s="52"/>
      <c r="Z57" s="52"/>
    </row>
    <row r="58">
      <c r="A58" s="58" t="str">
        <f t="shared" si="1"/>
        <v/>
      </c>
      <c r="B58" s="34"/>
      <c r="C58" s="52"/>
      <c r="D58" s="52"/>
      <c r="E58" s="52"/>
      <c r="F58" s="52"/>
      <c r="G58" s="52"/>
      <c r="H58" s="52"/>
      <c r="I58" s="52"/>
      <c r="J58" s="52"/>
      <c r="K58" s="52"/>
      <c r="L58" s="52"/>
      <c r="M58" s="52"/>
      <c r="N58" s="52"/>
      <c r="O58" s="52"/>
      <c r="P58" s="52"/>
      <c r="Q58" s="52"/>
      <c r="R58" s="52"/>
      <c r="S58" s="52"/>
      <c r="T58" s="52"/>
      <c r="U58" s="52"/>
      <c r="V58" s="52"/>
      <c r="W58" s="52"/>
      <c r="X58" s="52"/>
      <c r="Y58" s="52"/>
      <c r="Z58" s="52"/>
    </row>
    <row r="59">
      <c r="A59" s="58" t="str">
        <f t="shared" si="1"/>
        <v/>
      </c>
      <c r="B59" s="34"/>
      <c r="C59" s="52"/>
      <c r="D59" s="52"/>
      <c r="E59" s="52"/>
      <c r="F59" s="52"/>
      <c r="G59" s="52"/>
      <c r="H59" s="52"/>
      <c r="I59" s="52"/>
      <c r="J59" s="52"/>
      <c r="K59" s="52"/>
      <c r="L59" s="52"/>
      <c r="M59" s="52"/>
      <c r="N59" s="52"/>
      <c r="O59" s="52"/>
      <c r="P59" s="52"/>
      <c r="Q59" s="52"/>
      <c r="R59" s="52"/>
      <c r="S59" s="52"/>
      <c r="T59" s="52"/>
      <c r="U59" s="52"/>
      <c r="V59" s="52"/>
      <c r="W59" s="52"/>
      <c r="X59" s="52"/>
      <c r="Y59" s="52"/>
      <c r="Z59" s="52"/>
    </row>
    <row r="60">
      <c r="A60" s="58" t="str">
        <f t="shared" si="1"/>
        <v/>
      </c>
      <c r="B60" s="34"/>
      <c r="C60" s="52"/>
      <c r="D60" s="52"/>
      <c r="E60" s="52"/>
      <c r="F60" s="52"/>
      <c r="G60" s="52"/>
      <c r="H60" s="52"/>
      <c r="I60" s="52"/>
      <c r="J60" s="52"/>
      <c r="K60" s="52"/>
      <c r="L60" s="52"/>
      <c r="M60" s="52"/>
      <c r="N60" s="52"/>
      <c r="O60" s="52"/>
      <c r="P60" s="52"/>
      <c r="Q60" s="52"/>
      <c r="R60" s="52"/>
      <c r="S60" s="52"/>
      <c r="T60" s="52"/>
      <c r="U60" s="52"/>
      <c r="V60" s="52"/>
      <c r="W60" s="52"/>
      <c r="X60" s="52"/>
      <c r="Y60" s="52"/>
      <c r="Z60" s="52"/>
    </row>
    <row r="61">
      <c r="A61" s="58" t="str">
        <f t="shared" si="1"/>
        <v/>
      </c>
      <c r="B61" s="34"/>
      <c r="C61" s="52"/>
      <c r="D61" s="52"/>
      <c r="E61" s="52"/>
      <c r="F61" s="52"/>
      <c r="G61" s="52"/>
      <c r="H61" s="52"/>
      <c r="I61" s="52"/>
      <c r="J61" s="52"/>
      <c r="K61" s="52"/>
      <c r="L61" s="52"/>
      <c r="M61" s="52"/>
      <c r="N61" s="52"/>
      <c r="O61" s="52"/>
      <c r="P61" s="52"/>
      <c r="Q61" s="52"/>
      <c r="R61" s="52"/>
      <c r="S61" s="52"/>
      <c r="T61" s="52"/>
      <c r="U61" s="52"/>
      <c r="V61" s="52"/>
      <c r="W61" s="52"/>
      <c r="X61" s="52"/>
      <c r="Y61" s="52"/>
      <c r="Z61" s="52"/>
    </row>
    <row r="62">
      <c r="A62" s="58" t="str">
        <f t="shared" si="1"/>
        <v/>
      </c>
      <c r="B62" s="34"/>
      <c r="C62" s="52"/>
      <c r="D62" s="52"/>
      <c r="E62" s="52"/>
      <c r="F62" s="52"/>
      <c r="G62" s="52"/>
      <c r="H62" s="52"/>
      <c r="I62" s="52"/>
      <c r="J62" s="52"/>
      <c r="K62" s="52"/>
      <c r="L62" s="52"/>
      <c r="M62" s="52"/>
      <c r="N62" s="52"/>
      <c r="O62" s="52"/>
      <c r="P62" s="52"/>
      <c r="Q62" s="52"/>
      <c r="R62" s="52"/>
      <c r="S62" s="52"/>
      <c r="T62" s="52"/>
      <c r="U62" s="52"/>
      <c r="V62" s="52"/>
      <c r="W62" s="52"/>
      <c r="X62" s="52"/>
      <c r="Y62" s="52"/>
      <c r="Z62" s="52"/>
    </row>
    <row r="63">
      <c r="A63" s="58" t="str">
        <f t="shared" si="1"/>
        <v/>
      </c>
      <c r="B63" s="34"/>
      <c r="C63" s="52"/>
      <c r="D63" s="52"/>
      <c r="E63" s="52"/>
      <c r="F63" s="52"/>
      <c r="G63" s="52"/>
      <c r="H63" s="52"/>
      <c r="I63" s="52"/>
      <c r="J63" s="52"/>
      <c r="K63" s="52"/>
      <c r="L63" s="52"/>
      <c r="M63" s="52"/>
      <c r="N63" s="52"/>
      <c r="O63" s="52"/>
      <c r="P63" s="52"/>
      <c r="Q63" s="52"/>
      <c r="R63" s="52"/>
      <c r="S63" s="52"/>
      <c r="T63" s="52"/>
      <c r="U63" s="52"/>
      <c r="V63" s="52"/>
      <c r="W63" s="52"/>
      <c r="X63" s="52"/>
      <c r="Y63" s="52"/>
      <c r="Z63" s="52"/>
    </row>
    <row r="64">
      <c r="A64" s="58" t="str">
        <f t="shared" si="1"/>
        <v/>
      </c>
      <c r="B64" s="34"/>
      <c r="C64" s="52"/>
      <c r="D64" s="52"/>
      <c r="E64" s="52"/>
      <c r="F64" s="52"/>
      <c r="G64" s="52"/>
      <c r="H64" s="52"/>
      <c r="I64" s="52"/>
      <c r="J64" s="52"/>
      <c r="K64" s="52"/>
      <c r="L64" s="52"/>
      <c r="M64" s="52"/>
      <c r="N64" s="52"/>
      <c r="O64" s="52"/>
      <c r="P64" s="52"/>
      <c r="Q64" s="52"/>
      <c r="R64" s="52"/>
      <c r="S64" s="52"/>
      <c r="T64" s="52"/>
      <c r="U64" s="52"/>
      <c r="V64" s="52"/>
      <c r="W64" s="52"/>
      <c r="X64" s="52"/>
      <c r="Y64" s="52"/>
      <c r="Z64" s="52"/>
    </row>
    <row r="65">
      <c r="A65" s="58" t="str">
        <f t="shared" si="1"/>
        <v/>
      </c>
      <c r="B65" s="34"/>
      <c r="C65" s="52"/>
      <c r="D65" s="52"/>
      <c r="E65" s="52"/>
      <c r="F65" s="52"/>
      <c r="G65" s="52"/>
      <c r="H65" s="52"/>
      <c r="I65" s="52"/>
      <c r="J65" s="52"/>
      <c r="K65" s="52"/>
      <c r="L65" s="52"/>
      <c r="M65" s="52"/>
      <c r="N65" s="52"/>
      <c r="O65" s="52"/>
      <c r="P65" s="52"/>
      <c r="Q65" s="52"/>
      <c r="R65" s="52"/>
      <c r="S65" s="52"/>
      <c r="T65" s="52"/>
      <c r="U65" s="52"/>
      <c r="V65" s="52"/>
      <c r="W65" s="52"/>
      <c r="X65" s="52"/>
      <c r="Y65" s="52"/>
      <c r="Z65" s="52"/>
    </row>
    <row r="66">
      <c r="A66" s="58" t="str">
        <f t="shared" si="1"/>
        <v/>
      </c>
      <c r="B66" s="34"/>
      <c r="C66" s="52"/>
      <c r="D66" s="52"/>
      <c r="E66" s="52"/>
      <c r="F66" s="52"/>
      <c r="G66" s="52"/>
      <c r="H66" s="52"/>
      <c r="I66" s="52"/>
      <c r="J66" s="52"/>
      <c r="K66" s="52"/>
      <c r="L66" s="52"/>
      <c r="M66" s="52"/>
      <c r="N66" s="52"/>
      <c r="O66" s="52"/>
      <c r="P66" s="52"/>
      <c r="Q66" s="52"/>
      <c r="R66" s="52"/>
      <c r="S66" s="52"/>
      <c r="T66" s="52"/>
      <c r="U66" s="52"/>
      <c r="V66" s="52"/>
      <c r="W66" s="52"/>
      <c r="X66" s="52"/>
      <c r="Y66" s="52"/>
      <c r="Z66" s="52"/>
    </row>
    <row r="67">
      <c r="A67" s="58" t="str">
        <f t="shared" si="1"/>
        <v/>
      </c>
      <c r="B67" s="34"/>
      <c r="C67" s="52"/>
      <c r="D67" s="52"/>
      <c r="E67" s="52"/>
      <c r="F67" s="52"/>
      <c r="G67" s="52"/>
      <c r="H67" s="52"/>
      <c r="I67" s="52"/>
      <c r="J67" s="52"/>
      <c r="K67" s="52"/>
      <c r="L67" s="52"/>
      <c r="M67" s="52"/>
      <c r="N67" s="52"/>
      <c r="O67" s="52"/>
      <c r="P67" s="52"/>
      <c r="Q67" s="52"/>
      <c r="R67" s="52"/>
      <c r="S67" s="52"/>
      <c r="T67" s="52"/>
      <c r="U67" s="52"/>
      <c r="V67" s="52"/>
      <c r="W67" s="52"/>
      <c r="X67" s="52"/>
      <c r="Y67" s="52"/>
      <c r="Z67" s="52"/>
    </row>
    <row r="68">
      <c r="A68" s="58" t="str">
        <f t="shared" si="1"/>
        <v/>
      </c>
      <c r="B68" s="34"/>
      <c r="C68" s="52"/>
      <c r="D68" s="52"/>
      <c r="E68" s="52"/>
      <c r="F68" s="52"/>
      <c r="G68" s="52"/>
      <c r="H68" s="52"/>
      <c r="I68" s="52"/>
      <c r="J68" s="52"/>
      <c r="K68" s="52"/>
      <c r="L68" s="52"/>
      <c r="M68" s="52"/>
      <c r="N68" s="52"/>
      <c r="O68" s="52"/>
      <c r="P68" s="52"/>
      <c r="Q68" s="52"/>
      <c r="R68" s="52"/>
      <c r="S68" s="52"/>
      <c r="T68" s="52"/>
      <c r="U68" s="52"/>
      <c r="V68" s="52"/>
      <c r="W68" s="52"/>
      <c r="X68" s="52"/>
      <c r="Y68" s="52"/>
      <c r="Z68" s="52"/>
    </row>
    <row r="69">
      <c r="A69" s="58" t="str">
        <f t="shared" si="1"/>
        <v/>
      </c>
      <c r="B69" s="34"/>
      <c r="C69" s="52"/>
      <c r="D69" s="52"/>
      <c r="E69" s="52"/>
      <c r="F69" s="52"/>
      <c r="G69" s="52"/>
      <c r="H69" s="52"/>
      <c r="I69" s="52"/>
      <c r="J69" s="52"/>
      <c r="K69" s="52"/>
      <c r="L69" s="52"/>
      <c r="M69" s="52"/>
      <c r="N69" s="52"/>
      <c r="O69" s="52"/>
      <c r="P69" s="52"/>
      <c r="Q69" s="52"/>
      <c r="R69" s="52"/>
      <c r="S69" s="52"/>
      <c r="T69" s="52"/>
      <c r="U69" s="52"/>
      <c r="V69" s="52"/>
      <c r="W69" s="52"/>
      <c r="X69" s="52"/>
      <c r="Y69" s="52"/>
      <c r="Z69" s="52"/>
    </row>
    <row r="70">
      <c r="A70" s="58" t="str">
        <f t="shared" si="1"/>
        <v/>
      </c>
      <c r="B70" s="34"/>
      <c r="C70" s="52"/>
      <c r="D70" s="52"/>
      <c r="E70" s="52"/>
      <c r="F70" s="52"/>
      <c r="G70" s="52"/>
      <c r="H70" s="52"/>
      <c r="I70" s="52"/>
      <c r="J70" s="52"/>
      <c r="K70" s="52"/>
      <c r="L70" s="52"/>
      <c r="M70" s="52"/>
      <c r="N70" s="52"/>
      <c r="O70" s="52"/>
      <c r="P70" s="52"/>
      <c r="Q70" s="52"/>
      <c r="R70" s="52"/>
      <c r="S70" s="52"/>
      <c r="T70" s="52"/>
      <c r="U70" s="52"/>
      <c r="V70" s="52"/>
      <c r="W70" s="52"/>
      <c r="X70" s="52"/>
      <c r="Y70" s="52"/>
      <c r="Z70" s="52"/>
    </row>
    <row r="71">
      <c r="A71" s="58" t="str">
        <f t="shared" si="1"/>
        <v/>
      </c>
      <c r="B71" s="34"/>
      <c r="C71" s="52"/>
      <c r="D71" s="52"/>
      <c r="E71" s="52"/>
      <c r="F71" s="52"/>
      <c r="G71" s="52"/>
      <c r="H71" s="52"/>
      <c r="I71" s="52"/>
      <c r="J71" s="52"/>
      <c r="K71" s="52"/>
      <c r="L71" s="52"/>
      <c r="M71" s="52"/>
      <c r="N71" s="52"/>
      <c r="O71" s="52"/>
      <c r="P71" s="52"/>
      <c r="Q71" s="52"/>
      <c r="R71" s="52"/>
      <c r="S71" s="52"/>
      <c r="T71" s="52"/>
      <c r="U71" s="52"/>
      <c r="V71" s="52"/>
      <c r="W71" s="52"/>
      <c r="X71" s="52"/>
      <c r="Y71" s="52"/>
      <c r="Z71" s="52"/>
    </row>
    <row r="72">
      <c r="A72" s="58" t="str">
        <f t="shared" si="1"/>
        <v/>
      </c>
      <c r="B72" s="34"/>
      <c r="C72" s="52"/>
      <c r="D72" s="52"/>
      <c r="E72" s="52"/>
      <c r="F72" s="52"/>
      <c r="G72" s="52"/>
      <c r="H72" s="52"/>
      <c r="I72" s="52"/>
      <c r="J72" s="52"/>
      <c r="K72" s="52"/>
      <c r="L72" s="52"/>
      <c r="M72" s="52"/>
      <c r="N72" s="52"/>
      <c r="O72" s="52"/>
      <c r="P72" s="52"/>
      <c r="Q72" s="52"/>
      <c r="R72" s="52"/>
      <c r="S72" s="52"/>
      <c r="T72" s="52"/>
      <c r="U72" s="52"/>
      <c r="V72" s="52"/>
      <c r="W72" s="52"/>
      <c r="X72" s="52"/>
      <c r="Y72" s="52"/>
      <c r="Z72" s="52"/>
    </row>
    <row r="73">
      <c r="A73" s="58" t="str">
        <f t="shared" si="1"/>
        <v/>
      </c>
      <c r="B73" s="34"/>
      <c r="C73" s="52"/>
      <c r="D73" s="52"/>
      <c r="E73" s="52"/>
      <c r="F73" s="52"/>
      <c r="G73" s="52"/>
      <c r="H73" s="52"/>
      <c r="I73" s="52"/>
      <c r="J73" s="52"/>
      <c r="K73" s="52"/>
      <c r="L73" s="52"/>
      <c r="M73" s="52"/>
      <c r="N73" s="52"/>
      <c r="O73" s="52"/>
      <c r="P73" s="52"/>
      <c r="Q73" s="52"/>
      <c r="R73" s="52"/>
      <c r="S73" s="52"/>
      <c r="T73" s="52"/>
      <c r="U73" s="52"/>
      <c r="V73" s="52"/>
      <c r="W73" s="52"/>
      <c r="X73" s="52"/>
      <c r="Y73" s="52"/>
      <c r="Z73" s="52"/>
    </row>
    <row r="74">
      <c r="A74" s="58" t="str">
        <f t="shared" si="1"/>
        <v/>
      </c>
      <c r="B74" s="34"/>
      <c r="C74" s="52"/>
      <c r="D74" s="52"/>
      <c r="E74" s="52"/>
      <c r="F74" s="52"/>
      <c r="G74" s="52"/>
      <c r="H74" s="52"/>
      <c r="I74" s="52"/>
      <c r="J74" s="52"/>
      <c r="K74" s="52"/>
      <c r="L74" s="52"/>
      <c r="M74" s="52"/>
      <c r="N74" s="52"/>
      <c r="O74" s="52"/>
      <c r="P74" s="52"/>
      <c r="Q74" s="52"/>
      <c r="R74" s="52"/>
      <c r="S74" s="52"/>
      <c r="T74" s="52"/>
      <c r="U74" s="52"/>
      <c r="V74" s="52"/>
      <c r="W74" s="52"/>
      <c r="X74" s="52"/>
      <c r="Y74" s="52"/>
      <c r="Z74" s="52"/>
    </row>
    <row r="75">
      <c r="A75" s="58" t="str">
        <f t="shared" si="1"/>
        <v/>
      </c>
      <c r="B75" s="34"/>
      <c r="C75" s="52"/>
      <c r="D75" s="52"/>
      <c r="E75" s="52"/>
      <c r="F75" s="52"/>
      <c r="G75" s="52"/>
      <c r="H75" s="52"/>
      <c r="I75" s="52"/>
      <c r="J75" s="52"/>
      <c r="K75" s="52"/>
      <c r="L75" s="52"/>
      <c r="M75" s="52"/>
      <c r="N75" s="52"/>
      <c r="O75" s="52"/>
      <c r="P75" s="52"/>
      <c r="Q75" s="52"/>
      <c r="R75" s="52"/>
      <c r="S75" s="52"/>
      <c r="T75" s="52"/>
      <c r="U75" s="52"/>
      <c r="V75" s="52"/>
      <c r="W75" s="52"/>
      <c r="X75" s="52"/>
      <c r="Y75" s="52"/>
      <c r="Z75" s="52"/>
    </row>
    <row r="76">
      <c r="A76" s="58" t="str">
        <f t="shared" si="1"/>
        <v/>
      </c>
      <c r="B76" s="34"/>
      <c r="C76" s="52"/>
      <c r="D76" s="52"/>
      <c r="E76" s="52"/>
      <c r="F76" s="52"/>
      <c r="G76" s="52"/>
      <c r="H76" s="52"/>
      <c r="I76" s="52"/>
      <c r="J76" s="52"/>
      <c r="K76" s="52"/>
      <c r="L76" s="52"/>
      <c r="M76" s="52"/>
      <c r="N76" s="52"/>
      <c r="O76" s="52"/>
      <c r="P76" s="52"/>
      <c r="Q76" s="52"/>
      <c r="R76" s="52"/>
      <c r="S76" s="52"/>
      <c r="T76" s="52"/>
      <c r="U76" s="52"/>
      <c r="V76" s="52"/>
      <c r="W76" s="52"/>
      <c r="X76" s="52"/>
      <c r="Y76" s="52"/>
      <c r="Z76" s="52"/>
    </row>
    <row r="77">
      <c r="A77" s="58" t="str">
        <f t="shared" si="1"/>
        <v/>
      </c>
      <c r="B77" s="34"/>
      <c r="C77" s="52"/>
      <c r="D77" s="52"/>
      <c r="E77" s="52"/>
      <c r="F77" s="52"/>
      <c r="G77" s="52"/>
      <c r="H77" s="52"/>
      <c r="I77" s="52"/>
      <c r="J77" s="52"/>
      <c r="K77" s="52"/>
      <c r="L77" s="52"/>
      <c r="M77" s="52"/>
      <c r="N77" s="52"/>
      <c r="O77" s="52"/>
      <c r="P77" s="52"/>
      <c r="Q77" s="52"/>
      <c r="R77" s="52"/>
      <c r="S77" s="52"/>
      <c r="T77" s="52"/>
      <c r="U77" s="52"/>
      <c r="V77" s="52"/>
      <c r="W77" s="52"/>
      <c r="X77" s="52"/>
      <c r="Y77" s="52"/>
      <c r="Z77" s="52"/>
    </row>
    <row r="78">
      <c r="A78" s="58" t="str">
        <f t="shared" si="1"/>
        <v/>
      </c>
      <c r="B78" s="34"/>
      <c r="C78" s="52"/>
      <c r="D78" s="52"/>
      <c r="E78" s="52"/>
      <c r="F78" s="52"/>
      <c r="G78" s="52"/>
      <c r="H78" s="52"/>
      <c r="I78" s="52"/>
      <c r="J78" s="52"/>
      <c r="K78" s="52"/>
      <c r="L78" s="52"/>
      <c r="M78" s="52"/>
      <c r="N78" s="52"/>
      <c r="O78" s="52"/>
      <c r="P78" s="52"/>
      <c r="Q78" s="52"/>
      <c r="R78" s="52"/>
      <c r="S78" s="52"/>
      <c r="T78" s="52"/>
      <c r="U78" s="52"/>
      <c r="V78" s="52"/>
      <c r="W78" s="52"/>
      <c r="X78" s="52"/>
      <c r="Y78" s="52"/>
      <c r="Z78" s="52"/>
    </row>
    <row r="79">
      <c r="A79" s="58" t="str">
        <f t="shared" si="1"/>
        <v/>
      </c>
      <c r="B79" s="34"/>
      <c r="C79" s="52"/>
      <c r="D79" s="52"/>
      <c r="E79" s="52"/>
      <c r="F79" s="52"/>
      <c r="G79" s="52"/>
      <c r="H79" s="52"/>
      <c r="I79" s="52"/>
      <c r="J79" s="52"/>
      <c r="K79" s="52"/>
      <c r="L79" s="52"/>
      <c r="M79" s="52"/>
      <c r="N79" s="52"/>
      <c r="O79" s="52"/>
      <c r="P79" s="52"/>
      <c r="Q79" s="52"/>
      <c r="R79" s="52"/>
      <c r="S79" s="52"/>
      <c r="T79" s="52"/>
      <c r="U79" s="52"/>
      <c r="V79" s="52"/>
      <c r="W79" s="52"/>
      <c r="X79" s="52"/>
      <c r="Y79" s="52"/>
      <c r="Z79" s="52"/>
    </row>
    <row r="80">
      <c r="A80" s="58" t="str">
        <f t="shared" si="1"/>
        <v/>
      </c>
      <c r="B80" s="34"/>
      <c r="C80" s="52"/>
      <c r="D80" s="52"/>
      <c r="E80" s="52"/>
      <c r="F80" s="52"/>
      <c r="G80" s="52"/>
      <c r="H80" s="52"/>
      <c r="I80" s="52"/>
      <c r="J80" s="52"/>
      <c r="K80" s="52"/>
      <c r="L80" s="52"/>
      <c r="M80" s="52"/>
      <c r="N80" s="52"/>
      <c r="O80" s="52"/>
      <c r="P80" s="52"/>
      <c r="Q80" s="52"/>
      <c r="R80" s="52"/>
      <c r="S80" s="52"/>
      <c r="T80" s="52"/>
      <c r="U80" s="52"/>
      <c r="V80" s="52"/>
      <c r="W80" s="52"/>
      <c r="X80" s="52"/>
      <c r="Y80" s="52"/>
      <c r="Z80" s="52"/>
    </row>
    <row r="81">
      <c r="A81" s="58" t="str">
        <f t="shared" si="1"/>
        <v/>
      </c>
      <c r="B81" s="34"/>
      <c r="C81" s="52"/>
      <c r="D81" s="52"/>
      <c r="E81" s="52"/>
      <c r="F81" s="52"/>
      <c r="G81" s="52"/>
      <c r="H81" s="52"/>
      <c r="I81" s="52"/>
      <c r="J81" s="52"/>
      <c r="K81" s="52"/>
      <c r="L81" s="52"/>
      <c r="M81" s="52"/>
      <c r="N81" s="52"/>
      <c r="O81" s="52"/>
      <c r="P81" s="52"/>
      <c r="Q81" s="52"/>
      <c r="R81" s="52"/>
      <c r="S81" s="52"/>
      <c r="T81" s="52"/>
      <c r="U81" s="52"/>
      <c r="V81" s="52"/>
      <c r="W81" s="52"/>
      <c r="X81" s="52"/>
      <c r="Y81" s="52"/>
      <c r="Z81" s="52"/>
    </row>
    <row r="82">
      <c r="A82" s="58" t="str">
        <f t="shared" si="1"/>
        <v/>
      </c>
      <c r="B82" s="34"/>
      <c r="C82" s="52"/>
      <c r="D82" s="52"/>
      <c r="E82" s="52"/>
      <c r="F82" s="52"/>
      <c r="G82" s="52"/>
      <c r="H82" s="52"/>
      <c r="I82" s="52"/>
      <c r="J82" s="52"/>
      <c r="K82" s="52"/>
      <c r="L82" s="52"/>
      <c r="M82" s="52"/>
      <c r="N82" s="52"/>
      <c r="O82" s="52"/>
      <c r="P82" s="52"/>
      <c r="Q82" s="52"/>
      <c r="R82" s="52"/>
      <c r="S82" s="52"/>
      <c r="T82" s="52"/>
      <c r="U82" s="52"/>
      <c r="V82" s="52"/>
      <c r="W82" s="52"/>
      <c r="X82" s="52"/>
      <c r="Y82" s="52"/>
      <c r="Z82" s="52"/>
    </row>
    <row r="83">
      <c r="A83" s="58" t="str">
        <f t="shared" si="1"/>
        <v/>
      </c>
      <c r="B83" s="34"/>
      <c r="C83" s="52"/>
      <c r="D83" s="52"/>
      <c r="E83" s="52"/>
      <c r="F83" s="52"/>
      <c r="G83" s="52"/>
      <c r="H83" s="52"/>
      <c r="I83" s="52"/>
      <c r="J83" s="52"/>
      <c r="K83" s="52"/>
      <c r="L83" s="52"/>
      <c r="M83" s="52"/>
      <c r="N83" s="52"/>
      <c r="O83" s="52"/>
      <c r="P83" s="52"/>
      <c r="Q83" s="52"/>
      <c r="R83" s="52"/>
      <c r="S83" s="52"/>
      <c r="T83" s="52"/>
      <c r="U83" s="52"/>
      <c r="V83" s="52"/>
      <c r="W83" s="52"/>
      <c r="X83" s="52"/>
      <c r="Y83" s="52"/>
      <c r="Z83" s="52"/>
    </row>
    <row r="84">
      <c r="A84" s="58" t="str">
        <f t="shared" si="1"/>
        <v/>
      </c>
      <c r="B84" s="34"/>
      <c r="C84" s="52"/>
      <c r="D84" s="52"/>
      <c r="E84" s="52"/>
      <c r="F84" s="52"/>
      <c r="G84" s="52"/>
      <c r="H84" s="52"/>
      <c r="I84" s="52"/>
      <c r="J84" s="52"/>
      <c r="K84" s="52"/>
      <c r="L84" s="52"/>
      <c r="M84" s="52"/>
      <c r="N84" s="52"/>
      <c r="O84" s="52"/>
      <c r="P84" s="52"/>
      <c r="Q84" s="52"/>
      <c r="R84" s="52"/>
      <c r="S84" s="52"/>
      <c r="T84" s="52"/>
      <c r="U84" s="52"/>
      <c r="V84" s="52"/>
      <c r="W84" s="52"/>
      <c r="X84" s="52"/>
      <c r="Y84" s="52"/>
      <c r="Z84" s="52"/>
    </row>
    <row r="85">
      <c r="A85" s="58" t="str">
        <f t="shared" si="1"/>
        <v/>
      </c>
      <c r="B85" s="34"/>
      <c r="C85" s="52"/>
      <c r="D85" s="52"/>
      <c r="E85" s="52"/>
      <c r="F85" s="52"/>
      <c r="G85" s="52"/>
      <c r="H85" s="52"/>
      <c r="I85" s="52"/>
      <c r="J85" s="52"/>
      <c r="K85" s="52"/>
      <c r="L85" s="52"/>
      <c r="M85" s="52"/>
      <c r="N85" s="52"/>
      <c r="O85" s="52"/>
      <c r="P85" s="52"/>
      <c r="Q85" s="52"/>
      <c r="R85" s="52"/>
      <c r="S85" s="52"/>
      <c r="T85" s="52"/>
      <c r="U85" s="52"/>
      <c r="V85" s="52"/>
      <c r="W85" s="52"/>
      <c r="X85" s="52"/>
      <c r="Y85" s="52"/>
      <c r="Z85" s="52"/>
    </row>
    <row r="86">
      <c r="A86" s="58" t="str">
        <f t="shared" si="1"/>
        <v/>
      </c>
      <c r="B86" s="34"/>
      <c r="C86" s="52"/>
      <c r="D86" s="52"/>
      <c r="E86" s="52"/>
      <c r="F86" s="52"/>
      <c r="G86" s="52"/>
      <c r="H86" s="52"/>
      <c r="I86" s="52"/>
      <c r="J86" s="52"/>
      <c r="K86" s="52"/>
      <c r="L86" s="52"/>
      <c r="M86" s="52"/>
      <c r="N86" s="52"/>
      <c r="O86" s="52"/>
      <c r="P86" s="52"/>
      <c r="Q86" s="52"/>
      <c r="R86" s="52"/>
      <c r="S86" s="52"/>
      <c r="T86" s="52"/>
      <c r="U86" s="52"/>
      <c r="V86" s="52"/>
      <c r="W86" s="52"/>
      <c r="X86" s="52"/>
      <c r="Y86" s="52"/>
      <c r="Z86" s="52"/>
    </row>
    <row r="87">
      <c r="A87" s="58" t="str">
        <f t="shared" si="1"/>
        <v/>
      </c>
      <c r="B87" s="34"/>
      <c r="C87" s="52"/>
      <c r="D87" s="52"/>
      <c r="E87" s="52"/>
      <c r="F87" s="52"/>
      <c r="G87" s="52"/>
      <c r="H87" s="52"/>
      <c r="I87" s="52"/>
      <c r="J87" s="52"/>
      <c r="K87" s="52"/>
      <c r="L87" s="52"/>
      <c r="M87" s="52"/>
      <c r="N87" s="52"/>
      <c r="O87" s="52"/>
      <c r="P87" s="52"/>
      <c r="Q87" s="52"/>
      <c r="R87" s="52"/>
      <c r="S87" s="52"/>
      <c r="T87" s="52"/>
      <c r="U87" s="52"/>
      <c r="V87" s="52"/>
      <c r="W87" s="52"/>
      <c r="X87" s="52"/>
      <c r="Y87" s="52"/>
      <c r="Z87" s="52"/>
    </row>
    <row r="88">
      <c r="A88" s="58" t="str">
        <f t="shared" si="1"/>
        <v/>
      </c>
      <c r="B88" s="34"/>
      <c r="C88" s="52"/>
      <c r="D88" s="52"/>
      <c r="E88" s="52"/>
      <c r="F88" s="52"/>
      <c r="G88" s="52"/>
      <c r="H88" s="52"/>
      <c r="I88" s="52"/>
      <c r="J88" s="52"/>
      <c r="K88" s="52"/>
      <c r="L88" s="52"/>
      <c r="M88" s="52"/>
      <c r="N88" s="52"/>
      <c r="O88" s="52"/>
      <c r="P88" s="52"/>
      <c r="Q88" s="52"/>
      <c r="R88" s="52"/>
      <c r="S88" s="52"/>
      <c r="T88" s="52"/>
      <c r="U88" s="52"/>
      <c r="V88" s="52"/>
      <c r="W88" s="52"/>
      <c r="X88" s="52"/>
      <c r="Y88" s="52"/>
      <c r="Z88" s="52"/>
    </row>
    <row r="89">
      <c r="A89" s="58" t="str">
        <f t="shared" si="1"/>
        <v/>
      </c>
      <c r="B89" s="34"/>
      <c r="C89" s="52"/>
      <c r="D89" s="52"/>
      <c r="E89" s="52"/>
      <c r="F89" s="52"/>
      <c r="G89" s="52"/>
      <c r="H89" s="52"/>
      <c r="I89" s="52"/>
      <c r="J89" s="52"/>
      <c r="K89" s="52"/>
      <c r="L89" s="52"/>
      <c r="M89" s="52"/>
      <c r="N89" s="52"/>
      <c r="O89" s="52"/>
      <c r="P89" s="52"/>
      <c r="Q89" s="52"/>
      <c r="R89" s="52"/>
      <c r="S89" s="52"/>
      <c r="T89" s="52"/>
      <c r="U89" s="52"/>
      <c r="V89" s="52"/>
      <c r="W89" s="52"/>
      <c r="X89" s="52"/>
      <c r="Y89" s="52"/>
      <c r="Z89" s="52"/>
    </row>
    <row r="90">
      <c r="A90" s="58" t="str">
        <f t="shared" si="1"/>
        <v/>
      </c>
      <c r="B90" s="34"/>
      <c r="C90" s="52"/>
      <c r="D90" s="52"/>
      <c r="E90" s="52"/>
      <c r="F90" s="52"/>
      <c r="G90" s="52"/>
      <c r="H90" s="52"/>
      <c r="I90" s="52"/>
      <c r="J90" s="52"/>
      <c r="K90" s="52"/>
      <c r="L90" s="52"/>
      <c r="M90" s="52"/>
      <c r="N90" s="52"/>
      <c r="O90" s="52"/>
      <c r="P90" s="52"/>
      <c r="Q90" s="52"/>
      <c r="R90" s="52"/>
      <c r="S90" s="52"/>
      <c r="T90" s="52"/>
      <c r="U90" s="52"/>
      <c r="V90" s="52"/>
      <c r="W90" s="52"/>
      <c r="X90" s="52"/>
      <c r="Y90" s="52"/>
      <c r="Z90" s="52"/>
    </row>
    <row r="91">
      <c r="A91" s="58" t="str">
        <f t="shared" si="1"/>
        <v/>
      </c>
      <c r="B91" s="34"/>
      <c r="C91" s="52"/>
      <c r="D91" s="52"/>
      <c r="E91" s="52"/>
      <c r="F91" s="52"/>
      <c r="G91" s="52"/>
      <c r="H91" s="52"/>
      <c r="I91" s="52"/>
      <c r="J91" s="52"/>
      <c r="K91" s="52"/>
      <c r="L91" s="52"/>
      <c r="M91" s="52"/>
      <c r="N91" s="52"/>
      <c r="O91" s="52"/>
      <c r="P91" s="52"/>
      <c r="Q91" s="52"/>
      <c r="R91" s="52"/>
      <c r="S91" s="52"/>
      <c r="T91" s="52"/>
      <c r="U91" s="52"/>
      <c r="V91" s="52"/>
      <c r="W91" s="52"/>
      <c r="X91" s="52"/>
      <c r="Y91" s="52"/>
      <c r="Z91" s="52"/>
    </row>
    <row r="92">
      <c r="A92" s="58" t="str">
        <f t="shared" si="1"/>
        <v/>
      </c>
      <c r="B92" s="34"/>
      <c r="C92" s="52"/>
      <c r="D92" s="52"/>
      <c r="E92" s="52"/>
      <c r="F92" s="52"/>
      <c r="G92" s="52"/>
      <c r="H92" s="52"/>
      <c r="I92" s="52"/>
      <c r="J92" s="52"/>
      <c r="K92" s="52"/>
      <c r="L92" s="52"/>
      <c r="M92" s="52"/>
      <c r="N92" s="52"/>
      <c r="O92" s="52"/>
      <c r="P92" s="52"/>
      <c r="Q92" s="52"/>
      <c r="R92" s="52"/>
      <c r="S92" s="52"/>
      <c r="T92" s="52"/>
      <c r="U92" s="52"/>
      <c r="V92" s="52"/>
      <c r="W92" s="52"/>
      <c r="X92" s="52"/>
      <c r="Y92" s="52"/>
      <c r="Z92" s="52"/>
    </row>
    <row r="93">
      <c r="A93" s="58" t="str">
        <f t="shared" si="1"/>
        <v/>
      </c>
      <c r="B93" s="34"/>
      <c r="C93" s="52"/>
      <c r="D93" s="52"/>
      <c r="E93" s="52"/>
      <c r="F93" s="52"/>
      <c r="G93" s="52"/>
      <c r="H93" s="52"/>
      <c r="I93" s="52"/>
      <c r="J93" s="52"/>
      <c r="K93" s="52"/>
      <c r="L93" s="52"/>
      <c r="M93" s="52"/>
      <c r="N93" s="52"/>
      <c r="O93" s="52"/>
      <c r="P93" s="52"/>
      <c r="Q93" s="52"/>
      <c r="R93" s="52"/>
      <c r="S93" s="52"/>
      <c r="T93" s="52"/>
      <c r="U93" s="52"/>
      <c r="V93" s="52"/>
      <c r="W93" s="52"/>
      <c r="X93" s="52"/>
      <c r="Y93" s="52"/>
      <c r="Z93" s="52"/>
    </row>
    <row r="94">
      <c r="A94" s="58" t="str">
        <f t="shared" si="1"/>
        <v/>
      </c>
      <c r="B94" s="34"/>
      <c r="C94" s="52"/>
      <c r="D94" s="52"/>
      <c r="E94" s="52"/>
      <c r="F94" s="52"/>
      <c r="G94" s="52"/>
      <c r="H94" s="52"/>
      <c r="I94" s="52"/>
      <c r="J94" s="52"/>
      <c r="K94" s="52"/>
      <c r="L94" s="52"/>
      <c r="M94" s="52"/>
      <c r="N94" s="52"/>
      <c r="O94" s="52"/>
      <c r="P94" s="52"/>
      <c r="Q94" s="52"/>
      <c r="R94" s="52"/>
      <c r="S94" s="52"/>
      <c r="T94" s="52"/>
      <c r="U94" s="52"/>
      <c r="V94" s="52"/>
      <c r="W94" s="52"/>
      <c r="X94" s="52"/>
      <c r="Y94" s="52"/>
      <c r="Z94" s="52"/>
    </row>
    <row r="95">
      <c r="A95" s="58" t="str">
        <f t="shared" si="1"/>
        <v/>
      </c>
      <c r="B95" s="34"/>
      <c r="C95" s="52"/>
      <c r="D95" s="52"/>
      <c r="E95" s="52"/>
      <c r="F95" s="52"/>
      <c r="G95" s="52"/>
      <c r="H95" s="52"/>
      <c r="I95" s="52"/>
      <c r="J95" s="52"/>
      <c r="K95" s="52"/>
      <c r="L95" s="52"/>
      <c r="M95" s="52"/>
      <c r="N95" s="52"/>
      <c r="O95" s="52"/>
      <c r="P95" s="52"/>
      <c r="Q95" s="52"/>
      <c r="R95" s="52"/>
      <c r="S95" s="52"/>
      <c r="T95" s="52"/>
      <c r="U95" s="52"/>
      <c r="V95" s="52"/>
      <c r="W95" s="52"/>
      <c r="X95" s="52"/>
      <c r="Y95" s="52"/>
      <c r="Z95" s="52"/>
    </row>
    <row r="96">
      <c r="A96" s="58" t="str">
        <f t="shared" si="1"/>
        <v/>
      </c>
      <c r="B96" s="34"/>
      <c r="C96" s="52"/>
      <c r="D96" s="52"/>
      <c r="E96" s="52"/>
      <c r="F96" s="52"/>
      <c r="G96" s="52"/>
      <c r="H96" s="52"/>
      <c r="I96" s="52"/>
      <c r="J96" s="52"/>
      <c r="K96" s="52"/>
      <c r="L96" s="52"/>
      <c r="M96" s="52"/>
      <c r="N96" s="52"/>
      <c r="O96" s="52"/>
      <c r="P96" s="52"/>
      <c r="Q96" s="52"/>
      <c r="R96" s="52"/>
      <c r="S96" s="52"/>
      <c r="T96" s="52"/>
      <c r="U96" s="52"/>
      <c r="V96" s="52"/>
      <c r="W96" s="52"/>
      <c r="X96" s="52"/>
      <c r="Y96" s="52"/>
      <c r="Z96" s="52"/>
    </row>
    <row r="97">
      <c r="A97" s="58" t="str">
        <f t="shared" si="1"/>
        <v/>
      </c>
      <c r="B97" s="34"/>
      <c r="C97" s="52"/>
      <c r="D97" s="52"/>
      <c r="E97" s="52"/>
      <c r="F97" s="52"/>
      <c r="G97" s="52"/>
      <c r="H97" s="52"/>
      <c r="I97" s="52"/>
      <c r="J97" s="52"/>
      <c r="K97" s="52"/>
      <c r="L97" s="52"/>
      <c r="M97" s="52"/>
      <c r="N97" s="52"/>
      <c r="O97" s="52"/>
      <c r="P97" s="52"/>
      <c r="Q97" s="52"/>
      <c r="R97" s="52"/>
      <c r="S97" s="52"/>
      <c r="T97" s="52"/>
      <c r="U97" s="52"/>
      <c r="V97" s="52"/>
      <c r="W97" s="52"/>
      <c r="X97" s="52"/>
      <c r="Y97" s="52"/>
      <c r="Z97" s="52"/>
    </row>
    <row r="98">
      <c r="A98" s="58" t="str">
        <f t="shared" si="1"/>
        <v/>
      </c>
      <c r="B98" s="34"/>
      <c r="C98" s="52"/>
      <c r="D98" s="52"/>
      <c r="E98" s="52"/>
      <c r="F98" s="52"/>
      <c r="G98" s="52"/>
      <c r="H98" s="52"/>
      <c r="I98" s="52"/>
      <c r="J98" s="52"/>
      <c r="K98" s="52"/>
      <c r="L98" s="52"/>
      <c r="M98" s="52"/>
      <c r="N98" s="52"/>
      <c r="O98" s="52"/>
      <c r="P98" s="52"/>
      <c r="Q98" s="52"/>
      <c r="R98" s="52"/>
      <c r="S98" s="52"/>
      <c r="T98" s="52"/>
      <c r="U98" s="52"/>
      <c r="V98" s="52"/>
      <c r="W98" s="52"/>
      <c r="X98" s="52"/>
      <c r="Y98" s="52"/>
      <c r="Z98" s="52"/>
    </row>
    <row r="99">
      <c r="A99" s="58" t="str">
        <f t="shared" si="1"/>
        <v/>
      </c>
      <c r="B99" s="34"/>
      <c r="C99" s="52"/>
      <c r="D99" s="52"/>
      <c r="E99" s="52"/>
      <c r="F99" s="52"/>
      <c r="G99" s="52"/>
      <c r="H99" s="52"/>
      <c r="I99" s="52"/>
      <c r="J99" s="52"/>
      <c r="K99" s="52"/>
      <c r="L99" s="52"/>
      <c r="M99" s="52"/>
      <c r="N99" s="52"/>
      <c r="O99" s="52"/>
      <c r="P99" s="52"/>
      <c r="Q99" s="52"/>
      <c r="R99" s="52"/>
      <c r="S99" s="52"/>
      <c r="T99" s="52"/>
      <c r="U99" s="52"/>
      <c r="V99" s="52"/>
      <c r="W99" s="52"/>
      <c r="X99" s="52"/>
      <c r="Y99" s="52"/>
      <c r="Z99" s="52"/>
    </row>
    <row r="100">
      <c r="A100" s="58" t="str">
        <f t="shared" si="1"/>
        <v/>
      </c>
      <c r="B100" s="34"/>
      <c r="C100" s="52"/>
      <c r="D100" s="52"/>
      <c r="E100" s="52"/>
      <c r="F100" s="52"/>
      <c r="G100" s="52"/>
      <c r="H100" s="52"/>
      <c r="I100" s="52"/>
      <c r="J100" s="52"/>
      <c r="K100" s="52"/>
      <c r="L100" s="52"/>
      <c r="M100" s="52"/>
      <c r="N100" s="52"/>
      <c r="O100" s="52"/>
      <c r="P100" s="52"/>
      <c r="Q100" s="52"/>
      <c r="R100" s="52"/>
      <c r="S100" s="52"/>
      <c r="T100" s="52"/>
      <c r="U100" s="52"/>
      <c r="V100" s="52"/>
      <c r="W100" s="52"/>
      <c r="X100" s="52"/>
      <c r="Y100" s="52"/>
      <c r="Z100" s="52"/>
    </row>
    <row r="101">
      <c r="A101" s="58" t="str">
        <f t="shared" si="1"/>
        <v/>
      </c>
      <c r="B101" s="34"/>
      <c r="C101" s="52"/>
      <c r="D101" s="52"/>
      <c r="E101" s="52"/>
      <c r="F101" s="52"/>
      <c r="G101" s="52"/>
      <c r="H101" s="52"/>
      <c r="I101" s="52"/>
      <c r="J101" s="52"/>
      <c r="K101" s="52"/>
      <c r="L101" s="52"/>
      <c r="M101" s="52"/>
      <c r="N101" s="52"/>
      <c r="O101" s="52"/>
      <c r="P101" s="52"/>
      <c r="Q101" s="52"/>
      <c r="R101" s="52"/>
      <c r="S101" s="52"/>
      <c r="T101" s="52"/>
      <c r="U101" s="52"/>
      <c r="V101" s="52"/>
      <c r="W101" s="52"/>
      <c r="X101" s="52"/>
      <c r="Y101" s="52"/>
      <c r="Z101" s="52"/>
    </row>
    <row r="102">
      <c r="A102" s="58" t="str">
        <f t="shared" si="1"/>
        <v/>
      </c>
      <c r="B102" s="34"/>
      <c r="C102" s="52"/>
      <c r="D102" s="52"/>
      <c r="E102" s="52"/>
      <c r="F102" s="52"/>
      <c r="G102" s="52"/>
      <c r="H102" s="52"/>
      <c r="I102" s="52"/>
      <c r="J102" s="52"/>
      <c r="K102" s="52"/>
      <c r="L102" s="52"/>
      <c r="M102" s="52"/>
      <c r="N102" s="52"/>
      <c r="O102" s="52"/>
      <c r="P102" s="52"/>
      <c r="Q102" s="52"/>
      <c r="R102" s="52"/>
      <c r="S102" s="52"/>
      <c r="T102" s="52"/>
      <c r="U102" s="52"/>
      <c r="V102" s="52"/>
      <c r="W102" s="52"/>
      <c r="X102" s="52"/>
      <c r="Y102" s="52"/>
      <c r="Z102" s="52"/>
    </row>
    <row r="103">
      <c r="A103" s="58" t="str">
        <f t="shared" si="1"/>
        <v/>
      </c>
      <c r="B103" s="34"/>
      <c r="C103" s="52"/>
      <c r="D103" s="52"/>
      <c r="E103" s="52"/>
      <c r="F103" s="52"/>
      <c r="G103" s="52"/>
      <c r="H103" s="52"/>
      <c r="I103" s="52"/>
      <c r="J103" s="52"/>
      <c r="K103" s="52"/>
      <c r="L103" s="52"/>
      <c r="M103" s="52"/>
      <c r="N103" s="52"/>
      <c r="O103" s="52"/>
      <c r="P103" s="52"/>
      <c r="Q103" s="52"/>
      <c r="R103" s="52"/>
      <c r="S103" s="52"/>
      <c r="T103" s="52"/>
      <c r="U103" s="52"/>
      <c r="V103" s="52"/>
      <c r="W103" s="52"/>
      <c r="X103" s="52"/>
      <c r="Y103" s="52"/>
      <c r="Z103" s="52"/>
    </row>
    <row r="104">
      <c r="A104" s="58" t="str">
        <f t="shared" si="1"/>
        <v/>
      </c>
      <c r="B104" s="34"/>
      <c r="C104" s="52"/>
      <c r="D104" s="52"/>
      <c r="E104" s="52"/>
      <c r="F104" s="52"/>
      <c r="G104" s="52"/>
      <c r="H104" s="52"/>
      <c r="I104" s="52"/>
      <c r="J104" s="52"/>
      <c r="K104" s="52"/>
      <c r="L104" s="52"/>
      <c r="M104" s="52"/>
      <c r="N104" s="52"/>
      <c r="O104" s="52"/>
      <c r="P104" s="52"/>
      <c r="Q104" s="52"/>
      <c r="R104" s="52"/>
      <c r="S104" s="52"/>
      <c r="T104" s="52"/>
      <c r="U104" s="52"/>
      <c r="V104" s="52"/>
      <c r="W104" s="52"/>
      <c r="X104" s="52"/>
      <c r="Y104" s="52"/>
      <c r="Z104" s="52"/>
    </row>
    <row r="105">
      <c r="A105" s="58" t="str">
        <f t="shared" si="1"/>
        <v/>
      </c>
      <c r="B105" s="34"/>
      <c r="C105" s="52"/>
      <c r="D105" s="52"/>
      <c r="E105" s="52"/>
      <c r="F105" s="52"/>
      <c r="G105" s="52"/>
      <c r="H105" s="52"/>
      <c r="I105" s="52"/>
      <c r="J105" s="52"/>
      <c r="K105" s="52"/>
      <c r="L105" s="52"/>
      <c r="M105" s="52"/>
      <c r="N105" s="52"/>
      <c r="O105" s="52"/>
      <c r="P105" s="52"/>
      <c r="Q105" s="52"/>
      <c r="R105" s="52"/>
      <c r="S105" s="52"/>
      <c r="T105" s="52"/>
      <c r="U105" s="52"/>
      <c r="V105" s="52"/>
      <c r="W105" s="52"/>
      <c r="X105" s="52"/>
      <c r="Y105" s="52"/>
      <c r="Z105" s="52"/>
    </row>
    <row r="106">
      <c r="A106" s="58" t="str">
        <f t="shared" si="1"/>
        <v/>
      </c>
      <c r="B106" s="34"/>
      <c r="C106" s="52"/>
      <c r="D106" s="52"/>
      <c r="E106" s="52"/>
      <c r="F106" s="52"/>
      <c r="G106" s="52"/>
      <c r="H106" s="52"/>
      <c r="I106" s="52"/>
      <c r="J106" s="52"/>
      <c r="K106" s="52"/>
      <c r="L106" s="52"/>
      <c r="M106" s="52"/>
      <c r="N106" s="52"/>
      <c r="O106" s="52"/>
      <c r="P106" s="52"/>
      <c r="Q106" s="52"/>
      <c r="R106" s="52"/>
      <c r="S106" s="52"/>
      <c r="T106" s="52"/>
      <c r="U106" s="52"/>
      <c r="V106" s="52"/>
      <c r="W106" s="52"/>
      <c r="X106" s="52"/>
      <c r="Y106" s="52"/>
      <c r="Z106" s="52"/>
    </row>
    <row r="107">
      <c r="A107" s="58" t="str">
        <f t="shared" si="1"/>
        <v/>
      </c>
      <c r="B107" s="34"/>
      <c r="C107" s="52"/>
      <c r="D107" s="52"/>
      <c r="E107" s="52"/>
      <c r="F107" s="52"/>
      <c r="G107" s="52"/>
      <c r="H107" s="52"/>
      <c r="I107" s="52"/>
      <c r="J107" s="52"/>
      <c r="K107" s="52"/>
      <c r="L107" s="52"/>
      <c r="M107" s="52"/>
      <c r="N107" s="52"/>
      <c r="O107" s="52"/>
      <c r="P107" s="52"/>
      <c r="Q107" s="52"/>
      <c r="R107" s="52"/>
      <c r="S107" s="52"/>
      <c r="T107" s="52"/>
      <c r="U107" s="52"/>
      <c r="V107" s="52"/>
      <c r="W107" s="52"/>
      <c r="X107" s="52"/>
      <c r="Y107" s="52"/>
      <c r="Z107" s="52"/>
    </row>
    <row r="108">
      <c r="A108" s="58" t="str">
        <f t="shared" si="1"/>
        <v/>
      </c>
      <c r="B108" s="34"/>
      <c r="C108" s="52"/>
      <c r="D108" s="52"/>
      <c r="E108" s="52"/>
      <c r="F108" s="52"/>
      <c r="G108" s="52"/>
      <c r="H108" s="52"/>
      <c r="I108" s="52"/>
      <c r="J108" s="52"/>
      <c r="K108" s="52"/>
      <c r="L108" s="52"/>
      <c r="M108" s="52"/>
      <c r="N108" s="52"/>
      <c r="O108" s="52"/>
      <c r="P108" s="52"/>
      <c r="Q108" s="52"/>
      <c r="R108" s="52"/>
      <c r="S108" s="52"/>
      <c r="T108" s="52"/>
      <c r="U108" s="52"/>
      <c r="V108" s="52"/>
      <c r="W108" s="52"/>
      <c r="X108" s="52"/>
      <c r="Y108" s="52"/>
      <c r="Z108" s="52"/>
    </row>
    <row r="109">
      <c r="A109" s="58" t="str">
        <f t="shared" si="1"/>
        <v/>
      </c>
      <c r="B109" s="34"/>
      <c r="C109" s="52"/>
      <c r="D109" s="52"/>
      <c r="E109" s="52"/>
      <c r="F109" s="52"/>
      <c r="G109" s="52"/>
      <c r="H109" s="52"/>
      <c r="I109" s="52"/>
      <c r="J109" s="52"/>
      <c r="K109" s="52"/>
      <c r="L109" s="52"/>
      <c r="M109" s="52"/>
      <c r="N109" s="52"/>
      <c r="O109" s="52"/>
      <c r="P109" s="52"/>
      <c r="Q109" s="52"/>
      <c r="R109" s="52"/>
      <c r="S109" s="52"/>
      <c r="T109" s="52"/>
      <c r="U109" s="52"/>
      <c r="V109" s="52"/>
      <c r="W109" s="52"/>
      <c r="X109" s="52"/>
      <c r="Y109" s="52"/>
      <c r="Z109" s="52"/>
    </row>
    <row r="110">
      <c r="A110" s="58" t="str">
        <f t="shared" si="1"/>
        <v/>
      </c>
      <c r="B110" s="34"/>
      <c r="C110" s="52"/>
      <c r="D110" s="52"/>
      <c r="E110" s="52"/>
      <c r="F110" s="52"/>
      <c r="G110" s="52"/>
      <c r="H110" s="52"/>
      <c r="I110" s="52"/>
      <c r="J110" s="52"/>
      <c r="K110" s="52"/>
      <c r="L110" s="52"/>
      <c r="M110" s="52"/>
      <c r="N110" s="52"/>
      <c r="O110" s="52"/>
      <c r="P110" s="52"/>
      <c r="Q110" s="52"/>
      <c r="R110" s="52"/>
      <c r="S110" s="52"/>
      <c r="T110" s="52"/>
      <c r="U110" s="52"/>
      <c r="V110" s="52"/>
      <c r="W110" s="52"/>
      <c r="X110" s="52"/>
      <c r="Y110" s="52"/>
      <c r="Z110" s="52"/>
    </row>
    <row r="111">
      <c r="A111" s="58" t="str">
        <f t="shared" si="1"/>
        <v/>
      </c>
      <c r="B111" s="34"/>
      <c r="C111" s="52"/>
      <c r="D111" s="52"/>
      <c r="E111" s="52"/>
      <c r="F111" s="52"/>
      <c r="G111" s="52"/>
      <c r="H111" s="52"/>
      <c r="I111" s="52"/>
      <c r="J111" s="52"/>
      <c r="K111" s="52"/>
      <c r="L111" s="52"/>
      <c r="M111" s="52"/>
      <c r="N111" s="52"/>
      <c r="O111" s="52"/>
      <c r="P111" s="52"/>
      <c r="Q111" s="52"/>
      <c r="R111" s="52"/>
      <c r="S111" s="52"/>
      <c r="T111" s="52"/>
      <c r="U111" s="52"/>
      <c r="V111" s="52"/>
      <c r="W111" s="52"/>
      <c r="X111" s="52"/>
      <c r="Y111" s="52"/>
      <c r="Z111" s="52"/>
    </row>
    <row r="112">
      <c r="A112" s="58" t="str">
        <f t="shared" si="1"/>
        <v/>
      </c>
      <c r="B112" s="34"/>
      <c r="C112" s="52"/>
      <c r="D112" s="52"/>
      <c r="E112" s="52"/>
      <c r="F112" s="52"/>
      <c r="G112" s="52"/>
      <c r="H112" s="52"/>
      <c r="I112" s="52"/>
      <c r="J112" s="52"/>
      <c r="K112" s="52"/>
      <c r="L112" s="52"/>
      <c r="M112" s="52"/>
      <c r="N112" s="52"/>
      <c r="O112" s="52"/>
      <c r="P112" s="52"/>
      <c r="Q112" s="52"/>
      <c r="R112" s="52"/>
      <c r="S112" s="52"/>
      <c r="T112" s="52"/>
      <c r="U112" s="52"/>
      <c r="V112" s="52"/>
      <c r="W112" s="52"/>
      <c r="X112" s="52"/>
      <c r="Y112" s="52"/>
      <c r="Z112" s="52"/>
    </row>
    <row r="113">
      <c r="A113" s="58" t="str">
        <f t="shared" si="1"/>
        <v/>
      </c>
      <c r="B113" s="34"/>
      <c r="C113" s="52"/>
      <c r="D113" s="52"/>
      <c r="E113" s="52"/>
      <c r="F113" s="52"/>
      <c r="G113" s="52"/>
      <c r="H113" s="52"/>
      <c r="I113" s="52"/>
      <c r="J113" s="52"/>
      <c r="K113" s="52"/>
      <c r="L113" s="52"/>
      <c r="M113" s="52"/>
      <c r="N113" s="52"/>
      <c r="O113" s="52"/>
      <c r="P113" s="52"/>
      <c r="Q113" s="52"/>
      <c r="R113" s="52"/>
      <c r="S113" s="52"/>
      <c r="T113" s="52"/>
      <c r="U113" s="52"/>
      <c r="V113" s="52"/>
      <c r="W113" s="52"/>
      <c r="X113" s="52"/>
      <c r="Y113" s="52"/>
      <c r="Z113" s="52"/>
    </row>
    <row r="114">
      <c r="A114" s="58" t="str">
        <f t="shared" si="1"/>
        <v/>
      </c>
      <c r="B114" s="34"/>
      <c r="C114" s="52"/>
      <c r="D114" s="52"/>
      <c r="E114" s="52"/>
      <c r="F114" s="52"/>
      <c r="G114" s="52"/>
      <c r="H114" s="52"/>
      <c r="I114" s="52"/>
      <c r="J114" s="52"/>
      <c r="K114" s="52"/>
      <c r="L114" s="52"/>
      <c r="M114" s="52"/>
      <c r="N114" s="52"/>
      <c r="O114" s="52"/>
      <c r="P114" s="52"/>
      <c r="Q114" s="52"/>
      <c r="R114" s="52"/>
      <c r="S114" s="52"/>
      <c r="T114" s="52"/>
      <c r="U114" s="52"/>
      <c r="V114" s="52"/>
      <c r="W114" s="52"/>
      <c r="X114" s="52"/>
      <c r="Y114" s="52"/>
      <c r="Z114" s="52"/>
    </row>
    <row r="115">
      <c r="A115" s="58" t="str">
        <f t="shared" si="1"/>
        <v/>
      </c>
      <c r="B115" s="34"/>
      <c r="C115" s="52"/>
      <c r="D115" s="52"/>
      <c r="E115" s="52"/>
      <c r="F115" s="52"/>
      <c r="G115" s="52"/>
      <c r="H115" s="52"/>
      <c r="I115" s="52"/>
      <c r="J115" s="52"/>
      <c r="K115" s="52"/>
      <c r="L115" s="52"/>
      <c r="M115" s="52"/>
      <c r="N115" s="52"/>
      <c r="O115" s="52"/>
      <c r="P115" s="52"/>
      <c r="Q115" s="52"/>
      <c r="R115" s="52"/>
      <c r="S115" s="52"/>
      <c r="T115" s="52"/>
      <c r="U115" s="52"/>
      <c r="V115" s="52"/>
      <c r="W115" s="52"/>
      <c r="X115" s="52"/>
      <c r="Y115" s="52"/>
      <c r="Z115" s="52"/>
    </row>
    <row r="116">
      <c r="A116" s="58" t="str">
        <f t="shared" si="1"/>
        <v/>
      </c>
      <c r="B116" s="34"/>
      <c r="C116" s="52"/>
      <c r="D116" s="52"/>
      <c r="E116" s="52"/>
      <c r="F116" s="52"/>
      <c r="G116" s="52"/>
      <c r="H116" s="52"/>
      <c r="I116" s="52"/>
      <c r="J116" s="52"/>
      <c r="K116" s="52"/>
      <c r="L116" s="52"/>
      <c r="M116" s="52"/>
      <c r="N116" s="52"/>
      <c r="O116" s="52"/>
      <c r="P116" s="52"/>
      <c r="Q116" s="52"/>
      <c r="R116" s="52"/>
      <c r="S116" s="52"/>
      <c r="T116" s="52"/>
      <c r="U116" s="52"/>
      <c r="V116" s="52"/>
      <c r="W116" s="52"/>
      <c r="X116" s="52"/>
      <c r="Y116" s="52"/>
      <c r="Z116" s="52"/>
    </row>
    <row r="117">
      <c r="A117" s="58" t="str">
        <f t="shared" si="1"/>
        <v/>
      </c>
      <c r="B117" s="34"/>
      <c r="C117" s="52"/>
      <c r="D117" s="52"/>
      <c r="E117" s="52"/>
      <c r="F117" s="52"/>
      <c r="G117" s="52"/>
      <c r="H117" s="52"/>
      <c r="I117" s="52"/>
      <c r="J117" s="52"/>
      <c r="K117" s="52"/>
      <c r="L117" s="52"/>
      <c r="M117" s="52"/>
      <c r="N117" s="52"/>
      <c r="O117" s="52"/>
      <c r="P117" s="52"/>
      <c r="Q117" s="52"/>
      <c r="R117" s="52"/>
      <c r="S117" s="52"/>
      <c r="T117" s="52"/>
      <c r="U117" s="52"/>
      <c r="V117" s="52"/>
      <c r="W117" s="52"/>
      <c r="X117" s="52"/>
      <c r="Y117" s="52"/>
      <c r="Z117" s="52"/>
    </row>
    <row r="118">
      <c r="A118" s="58" t="str">
        <f t="shared" si="1"/>
        <v/>
      </c>
      <c r="B118" s="34"/>
      <c r="C118" s="52"/>
      <c r="D118" s="52"/>
      <c r="E118" s="52"/>
      <c r="F118" s="52"/>
      <c r="G118" s="52"/>
      <c r="H118" s="52"/>
      <c r="I118" s="52"/>
      <c r="J118" s="52"/>
      <c r="K118" s="52"/>
      <c r="L118" s="52"/>
      <c r="M118" s="52"/>
      <c r="N118" s="52"/>
      <c r="O118" s="52"/>
      <c r="P118" s="52"/>
      <c r="Q118" s="52"/>
      <c r="R118" s="52"/>
      <c r="S118" s="52"/>
      <c r="T118" s="52"/>
      <c r="U118" s="52"/>
      <c r="V118" s="52"/>
      <c r="W118" s="52"/>
      <c r="X118" s="52"/>
      <c r="Y118" s="52"/>
      <c r="Z118" s="52"/>
    </row>
    <row r="119">
      <c r="A119" s="58" t="str">
        <f t="shared" si="1"/>
        <v/>
      </c>
      <c r="B119" s="34"/>
      <c r="C119" s="52"/>
      <c r="D119" s="52"/>
      <c r="E119" s="52"/>
      <c r="F119" s="52"/>
      <c r="G119" s="52"/>
      <c r="H119" s="52"/>
      <c r="I119" s="52"/>
      <c r="J119" s="52"/>
      <c r="K119" s="52"/>
      <c r="L119" s="52"/>
      <c r="M119" s="52"/>
      <c r="N119" s="52"/>
      <c r="O119" s="52"/>
      <c r="P119" s="52"/>
      <c r="Q119" s="52"/>
      <c r="R119" s="52"/>
      <c r="S119" s="52"/>
      <c r="T119" s="52"/>
      <c r="U119" s="52"/>
      <c r="V119" s="52"/>
      <c r="W119" s="52"/>
      <c r="X119" s="52"/>
      <c r="Y119" s="52"/>
      <c r="Z119" s="52"/>
    </row>
    <row r="120">
      <c r="A120" s="58" t="str">
        <f t="shared" si="1"/>
        <v/>
      </c>
      <c r="B120" s="34"/>
      <c r="C120" s="52"/>
      <c r="D120" s="52"/>
      <c r="E120" s="52"/>
      <c r="F120" s="52"/>
      <c r="G120" s="52"/>
      <c r="H120" s="52"/>
      <c r="I120" s="52"/>
      <c r="J120" s="52"/>
      <c r="K120" s="52"/>
      <c r="L120" s="52"/>
      <c r="M120" s="52"/>
      <c r="N120" s="52"/>
      <c r="O120" s="52"/>
      <c r="P120" s="52"/>
      <c r="Q120" s="52"/>
      <c r="R120" s="52"/>
      <c r="S120" s="52"/>
      <c r="T120" s="52"/>
      <c r="U120" s="52"/>
      <c r="V120" s="52"/>
      <c r="W120" s="52"/>
      <c r="X120" s="52"/>
      <c r="Y120" s="52"/>
      <c r="Z120" s="52"/>
    </row>
    <row r="121">
      <c r="A121" s="58" t="str">
        <f t="shared" si="1"/>
        <v/>
      </c>
      <c r="B121" s="34"/>
      <c r="C121" s="52"/>
      <c r="D121" s="52"/>
      <c r="E121" s="52"/>
      <c r="F121" s="52"/>
      <c r="G121" s="52"/>
      <c r="H121" s="52"/>
      <c r="I121" s="52"/>
      <c r="J121" s="52"/>
      <c r="K121" s="52"/>
      <c r="L121" s="52"/>
      <c r="M121" s="52"/>
      <c r="N121" s="52"/>
      <c r="O121" s="52"/>
      <c r="P121" s="52"/>
      <c r="Q121" s="52"/>
      <c r="R121" s="52"/>
      <c r="S121" s="52"/>
      <c r="T121" s="52"/>
      <c r="U121" s="52"/>
      <c r="V121" s="52"/>
      <c r="W121" s="52"/>
      <c r="X121" s="52"/>
      <c r="Y121" s="52"/>
      <c r="Z121" s="52"/>
    </row>
    <row r="122">
      <c r="A122" s="58" t="str">
        <f t="shared" si="1"/>
        <v/>
      </c>
      <c r="B122" s="34"/>
      <c r="C122" s="52"/>
      <c r="D122" s="52"/>
      <c r="E122" s="52"/>
      <c r="F122" s="52"/>
      <c r="G122" s="52"/>
      <c r="H122" s="52"/>
      <c r="I122" s="52"/>
      <c r="J122" s="52"/>
      <c r="K122" s="52"/>
      <c r="L122" s="52"/>
      <c r="M122" s="52"/>
      <c r="N122" s="52"/>
      <c r="O122" s="52"/>
      <c r="P122" s="52"/>
      <c r="Q122" s="52"/>
      <c r="R122" s="52"/>
      <c r="S122" s="52"/>
      <c r="T122" s="52"/>
      <c r="U122" s="52"/>
      <c r="V122" s="52"/>
      <c r="W122" s="52"/>
      <c r="X122" s="52"/>
      <c r="Y122" s="52"/>
      <c r="Z122" s="52"/>
    </row>
    <row r="123">
      <c r="A123" s="58" t="str">
        <f t="shared" si="1"/>
        <v/>
      </c>
      <c r="B123" s="34"/>
      <c r="C123" s="52"/>
      <c r="D123" s="52"/>
      <c r="E123" s="52"/>
      <c r="F123" s="52"/>
      <c r="G123" s="52"/>
      <c r="H123" s="52"/>
      <c r="I123" s="52"/>
      <c r="J123" s="52"/>
      <c r="K123" s="52"/>
      <c r="L123" s="52"/>
      <c r="M123" s="52"/>
      <c r="N123" s="52"/>
      <c r="O123" s="52"/>
      <c r="P123" s="52"/>
      <c r="Q123" s="52"/>
      <c r="R123" s="52"/>
      <c r="S123" s="52"/>
      <c r="T123" s="52"/>
      <c r="U123" s="52"/>
      <c r="V123" s="52"/>
      <c r="W123" s="52"/>
      <c r="X123" s="52"/>
      <c r="Y123" s="52"/>
      <c r="Z123" s="52"/>
    </row>
    <row r="124">
      <c r="A124" s="58" t="str">
        <f t="shared" si="1"/>
        <v/>
      </c>
      <c r="B124" s="34"/>
      <c r="C124" s="52"/>
      <c r="D124" s="52"/>
      <c r="E124" s="52"/>
      <c r="F124" s="52"/>
      <c r="G124" s="52"/>
      <c r="H124" s="52"/>
      <c r="I124" s="52"/>
      <c r="J124" s="52"/>
      <c r="K124" s="52"/>
      <c r="L124" s="52"/>
      <c r="M124" s="52"/>
      <c r="N124" s="52"/>
      <c r="O124" s="52"/>
      <c r="P124" s="52"/>
      <c r="Q124" s="52"/>
      <c r="R124" s="52"/>
      <c r="S124" s="52"/>
      <c r="T124" s="52"/>
      <c r="U124" s="52"/>
      <c r="V124" s="52"/>
      <c r="W124" s="52"/>
      <c r="X124" s="52"/>
      <c r="Y124" s="52"/>
      <c r="Z124" s="52"/>
    </row>
    <row r="125">
      <c r="A125" s="58" t="str">
        <f t="shared" si="1"/>
        <v/>
      </c>
      <c r="B125" s="34"/>
      <c r="C125" s="52"/>
      <c r="D125" s="52"/>
      <c r="E125" s="52"/>
      <c r="F125" s="52"/>
      <c r="G125" s="52"/>
      <c r="H125" s="52"/>
      <c r="I125" s="52"/>
      <c r="J125" s="52"/>
      <c r="K125" s="52"/>
      <c r="L125" s="52"/>
      <c r="M125" s="52"/>
      <c r="N125" s="52"/>
      <c r="O125" s="52"/>
      <c r="P125" s="52"/>
      <c r="Q125" s="52"/>
      <c r="R125" s="52"/>
      <c r="S125" s="52"/>
      <c r="T125" s="52"/>
      <c r="U125" s="52"/>
      <c r="V125" s="52"/>
      <c r="W125" s="52"/>
      <c r="X125" s="52"/>
      <c r="Y125" s="52"/>
      <c r="Z125" s="52"/>
    </row>
    <row r="126">
      <c r="A126" s="58" t="str">
        <f t="shared" si="1"/>
        <v/>
      </c>
      <c r="B126" s="34"/>
      <c r="C126" s="52"/>
      <c r="D126" s="52"/>
      <c r="E126" s="52"/>
      <c r="F126" s="52"/>
      <c r="G126" s="52"/>
      <c r="H126" s="52"/>
      <c r="I126" s="52"/>
      <c r="J126" s="52"/>
      <c r="K126" s="52"/>
      <c r="L126" s="52"/>
      <c r="M126" s="52"/>
      <c r="N126" s="52"/>
      <c r="O126" s="52"/>
      <c r="P126" s="52"/>
      <c r="Q126" s="52"/>
      <c r="R126" s="52"/>
      <c r="S126" s="52"/>
      <c r="T126" s="52"/>
      <c r="U126" s="52"/>
      <c r="V126" s="52"/>
      <c r="W126" s="52"/>
      <c r="X126" s="52"/>
      <c r="Y126" s="52"/>
      <c r="Z126" s="52"/>
    </row>
    <row r="127">
      <c r="A127" s="58" t="str">
        <f t="shared" si="1"/>
        <v/>
      </c>
      <c r="B127" s="34"/>
      <c r="C127" s="52"/>
      <c r="D127" s="52"/>
      <c r="E127" s="52"/>
      <c r="F127" s="52"/>
      <c r="G127" s="52"/>
      <c r="H127" s="52"/>
      <c r="I127" s="52"/>
      <c r="J127" s="52"/>
      <c r="K127" s="52"/>
      <c r="L127" s="52"/>
      <c r="M127" s="52"/>
      <c r="N127" s="52"/>
      <c r="O127" s="52"/>
      <c r="P127" s="52"/>
      <c r="Q127" s="52"/>
      <c r="R127" s="52"/>
      <c r="S127" s="52"/>
      <c r="T127" s="52"/>
      <c r="U127" s="52"/>
      <c r="V127" s="52"/>
      <c r="W127" s="52"/>
      <c r="X127" s="52"/>
      <c r="Y127" s="52"/>
      <c r="Z127" s="52"/>
    </row>
    <row r="128">
      <c r="A128" s="58" t="str">
        <f t="shared" si="1"/>
        <v/>
      </c>
      <c r="B128" s="34"/>
      <c r="C128" s="52"/>
      <c r="D128" s="52"/>
      <c r="E128" s="52"/>
      <c r="F128" s="52"/>
      <c r="G128" s="52"/>
      <c r="H128" s="52"/>
      <c r="I128" s="52"/>
      <c r="J128" s="52"/>
      <c r="K128" s="52"/>
      <c r="L128" s="52"/>
      <c r="M128" s="52"/>
      <c r="N128" s="52"/>
      <c r="O128" s="52"/>
      <c r="P128" s="52"/>
      <c r="Q128" s="52"/>
      <c r="R128" s="52"/>
      <c r="S128" s="52"/>
      <c r="T128" s="52"/>
      <c r="U128" s="52"/>
      <c r="V128" s="52"/>
      <c r="W128" s="52"/>
      <c r="X128" s="52"/>
      <c r="Y128" s="52"/>
      <c r="Z128" s="52"/>
    </row>
    <row r="129">
      <c r="A129" s="58" t="str">
        <f t="shared" si="1"/>
        <v/>
      </c>
      <c r="B129" s="34"/>
      <c r="C129" s="52"/>
      <c r="D129" s="52"/>
      <c r="E129" s="52"/>
      <c r="F129" s="52"/>
      <c r="G129" s="52"/>
      <c r="H129" s="52"/>
      <c r="I129" s="52"/>
      <c r="J129" s="52"/>
      <c r="K129" s="52"/>
      <c r="L129" s="52"/>
      <c r="M129" s="52"/>
      <c r="N129" s="52"/>
      <c r="O129" s="52"/>
      <c r="P129" s="52"/>
      <c r="Q129" s="52"/>
      <c r="R129" s="52"/>
      <c r="S129" s="52"/>
      <c r="T129" s="52"/>
      <c r="U129" s="52"/>
      <c r="V129" s="52"/>
      <c r="W129" s="52"/>
      <c r="X129" s="52"/>
      <c r="Y129" s="52"/>
      <c r="Z129" s="52"/>
    </row>
    <row r="130">
      <c r="A130" s="58" t="str">
        <f t="shared" si="1"/>
        <v/>
      </c>
      <c r="B130" s="34"/>
      <c r="C130" s="52"/>
      <c r="D130" s="52"/>
      <c r="E130" s="52"/>
      <c r="F130" s="52"/>
      <c r="G130" s="52"/>
      <c r="H130" s="52"/>
      <c r="I130" s="52"/>
      <c r="J130" s="52"/>
      <c r="K130" s="52"/>
      <c r="L130" s="52"/>
      <c r="M130" s="52"/>
      <c r="N130" s="52"/>
      <c r="O130" s="52"/>
      <c r="P130" s="52"/>
      <c r="Q130" s="52"/>
      <c r="R130" s="52"/>
      <c r="S130" s="52"/>
      <c r="T130" s="52"/>
      <c r="U130" s="52"/>
      <c r="V130" s="52"/>
      <c r="W130" s="52"/>
      <c r="X130" s="52"/>
      <c r="Y130" s="52"/>
      <c r="Z130" s="52"/>
    </row>
    <row r="131">
      <c r="A131" s="58" t="str">
        <f t="shared" si="1"/>
        <v/>
      </c>
      <c r="B131" s="34"/>
      <c r="C131" s="52"/>
      <c r="D131" s="52"/>
      <c r="E131" s="52"/>
      <c r="F131" s="52"/>
      <c r="G131" s="52"/>
      <c r="H131" s="52"/>
      <c r="I131" s="52"/>
      <c r="J131" s="52"/>
      <c r="K131" s="52"/>
      <c r="L131" s="52"/>
      <c r="M131" s="52"/>
      <c r="N131" s="52"/>
      <c r="O131" s="52"/>
      <c r="P131" s="52"/>
      <c r="Q131" s="52"/>
      <c r="R131" s="52"/>
      <c r="S131" s="52"/>
      <c r="T131" s="52"/>
      <c r="U131" s="52"/>
      <c r="V131" s="52"/>
      <c r="W131" s="52"/>
      <c r="X131" s="52"/>
      <c r="Y131" s="52"/>
      <c r="Z131" s="52"/>
    </row>
    <row r="132">
      <c r="A132" s="58" t="str">
        <f t="shared" si="1"/>
        <v/>
      </c>
      <c r="B132" s="34"/>
      <c r="C132" s="52"/>
      <c r="D132" s="52"/>
      <c r="E132" s="52"/>
      <c r="F132" s="52"/>
      <c r="G132" s="52"/>
      <c r="H132" s="52"/>
      <c r="I132" s="52"/>
      <c r="J132" s="52"/>
      <c r="K132" s="52"/>
      <c r="L132" s="52"/>
      <c r="M132" s="52"/>
      <c r="N132" s="52"/>
      <c r="O132" s="52"/>
      <c r="P132" s="52"/>
      <c r="Q132" s="52"/>
      <c r="R132" s="52"/>
      <c r="S132" s="52"/>
      <c r="T132" s="52"/>
      <c r="U132" s="52"/>
      <c r="V132" s="52"/>
      <c r="W132" s="52"/>
      <c r="X132" s="52"/>
      <c r="Y132" s="52"/>
      <c r="Z132" s="52"/>
    </row>
    <row r="133">
      <c r="A133" s="58" t="str">
        <f t="shared" si="1"/>
        <v/>
      </c>
      <c r="B133" s="34"/>
      <c r="C133" s="52"/>
      <c r="D133" s="52"/>
      <c r="E133" s="52"/>
      <c r="F133" s="52"/>
      <c r="G133" s="52"/>
      <c r="H133" s="52"/>
      <c r="I133" s="52"/>
      <c r="J133" s="52"/>
      <c r="K133" s="52"/>
      <c r="L133" s="52"/>
      <c r="M133" s="52"/>
      <c r="N133" s="52"/>
      <c r="O133" s="52"/>
      <c r="P133" s="52"/>
      <c r="Q133" s="52"/>
      <c r="R133" s="52"/>
      <c r="S133" s="52"/>
      <c r="T133" s="52"/>
      <c r="U133" s="52"/>
      <c r="V133" s="52"/>
      <c r="W133" s="52"/>
      <c r="X133" s="52"/>
      <c r="Y133" s="52"/>
      <c r="Z133" s="52"/>
    </row>
    <row r="134">
      <c r="A134" s="58" t="str">
        <f t="shared" si="1"/>
        <v/>
      </c>
      <c r="B134" s="34"/>
      <c r="C134" s="52"/>
      <c r="D134" s="52"/>
      <c r="E134" s="52"/>
      <c r="F134" s="52"/>
      <c r="G134" s="52"/>
      <c r="H134" s="52"/>
      <c r="I134" s="52"/>
      <c r="J134" s="52"/>
      <c r="K134" s="52"/>
      <c r="L134" s="52"/>
      <c r="M134" s="52"/>
      <c r="N134" s="52"/>
      <c r="O134" s="52"/>
      <c r="P134" s="52"/>
      <c r="Q134" s="52"/>
      <c r="R134" s="52"/>
      <c r="S134" s="52"/>
      <c r="T134" s="52"/>
      <c r="U134" s="52"/>
      <c r="V134" s="52"/>
      <c r="W134" s="52"/>
      <c r="X134" s="52"/>
      <c r="Y134" s="52"/>
      <c r="Z134" s="52"/>
    </row>
    <row r="135">
      <c r="A135" s="58" t="str">
        <f t="shared" si="1"/>
        <v/>
      </c>
      <c r="B135" s="34"/>
      <c r="C135" s="52"/>
      <c r="D135" s="52"/>
      <c r="E135" s="52"/>
      <c r="F135" s="52"/>
      <c r="G135" s="52"/>
      <c r="H135" s="52"/>
      <c r="I135" s="52"/>
      <c r="J135" s="52"/>
      <c r="K135" s="52"/>
      <c r="L135" s="52"/>
      <c r="M135" s="52"/>
      <c r="N135" s="52"/>
      <c r="O135" s="52"/>
      <c r="P135" s="52"/>
      <c r="Q135" s="52"/>
      <c r="R135" s="52"/>
      <c r="S135" s="52"/>
      <c r="T135" s="52"/>
      <c r="U135" s="52"/>
      <c r="V135" s="52"/>
      <c r="W135" s="52"/>
      <c r="X135" s="52"/>
      <c r="Y135" s="52"/>
      <c r="Z135" s="52"/>
    </row>
    <row r="136">
      <c r="A136" s="58" t="str">
        <f t="shared" si="1"/>
        <v/>
      </c>
      <c r="B136" s="34"/>
      <c r="C136" s="52"/>
      <c r="D136" s="52"/>
      <c r="E136" s="52"/>
      <c r="F136" s="52"/>
      <c r="G136" s="52"/>
      <c r="H136" s="52"/>
      <c r="I136" s="52"/>
      <c r="J136" s="52"/>
      <c r="K136" s="52"/>
      <c r="L136" s="52"/>
      <c r="M136" s="52"/>
      <c r="N136" s="52"/>
      <c r="O136" s="52"/>
      <c r="P136" s="52"/>
      <c r="Q136" s="52"/>
      <c r="R136" s="52"/>
      <c r="S136" s="52"/>
      <c r="T136" s="52"/>
      <c r="U136" s="52"/>
      <c r="V136" s="52"/>
      <c r="W136" s="52"/>
      <c r="X136" s="52"/>
      <c r="Y136" s="52"/>
      <c r="Z136" s="52"/>
    </row>
    <row r="137">
      <c r="A137" s="58" t="str">
        <f t="shared" si="1"/>
        <v/>
      </c>
      <c r="B137" s="34"/>
      <c r="C137" s="52"/>
      <c r="D137" s="52"/>
      <c r="E137" s="52"/>
      <c r="F137" s="52"/>
      <c r="G137" s="52"/>
      <c r="H137" s="52"/>
      <c r="I137" s="52"/>
      <c r="J137" s="52"/>
      <c r="K137" s="52"/>
      <c r="L137" s="52"/>
      <c r="M137" s="52"/>
      <c r="N137" s="52"/>
      <c r="O137" s="52"/>
      <c r="P137" s="52"/>
      <c r="Q137" s="52"/>
      <c r="R137" s="52"/>
      <c r="S137" s="52"/>
      <c r="T137" s="52"/>
      <c r="U137" s="52"/>
      <c r="V137" s="52"/>
      <c r="W137" s="52"/>
      <c r="X137" s="52"/>
      <c r="Y137" s="52"/>
      <c r="Z137" s="52"/>
    </row>
    <row r="138">
      <c r="A138" s="58" t="str">
        <f t="shared" si="1"/>
        <v/>
      </c>
      <c r="B138" s="34"/>
      <c r="C138" s="52"/>
      <c r="D138" s="52"/>
      <c r="E138" s="52"/>
      <c r="F138" s="52"/>
      <c r="G138" s="52"/>
      <c r="H138" s="52"/>
      <c r="I138" s="52"/>
      <c r="J138" s="52"/>
      <c r="K138" s="52"/>
      <c r="L138" s="52"/>
      <c r="M138" s="52"/>
      <c r="N138" s="52"/>
      <c r="O138" s="52"/>
      <c r="P138" s="52"/>
      <c r="Q138" s="52"/>
      <c r="R138" s="52"/>
      <c r="S138" s="52"/>
      <c r="T138" s="52"/>
      <c r="U138" s="52"/>
      <c r="V138" s="52"/>
      <c r="W138" s="52"/>
      <c r="X138" s="52"/>
      <c r="Y138" s="52"/>
      <c r="Z138" s="52"/>
    </row>
    <row r="139">
      <c r="A139" s="58" t="str">
        <f t="shared" si="1"/>
        <v/>
      </c>
      <c r="B139" s="34"/>
      <c r="C139" s="52"/>
      <c r="D139" s="52"/>
      <c r="E139" s="52"/>
      <c r="F139" s="52"/>
      <c r="G139" s="52"/>
      <c r="H139" s="52"/>
      <c r="I139" s="52"/>
      <c r="J139" s="52"/>
      <c r="K139" s="52"/>
      <c r="L139" s="52"/>
      <c r="M139" s="52"/>
      <c r="N139" s="52"/>
      <c r="O139" s="52"/>
      <c r="P139" s="52"/>
      <c r="Q139" s="52"/>
      <c r="R139" s="52"/>
      <c r="S139" s="52"/>
      <c r="T139" s="52"/>
      <c r="U139" s="52"/>
      <c r="V139" s="52"/>
      <c r="W139" s="52"/>
      <c r="X139" s="52"/>
      <c r="Y139" s="52"/>
      <c r="Z139" s="52"/>
    </row>
    <row r="140">
      <c r="A140" s="58" t="str">
        <f t="shared" si="1"/>
        <v/>
      </c>
      <c r="B140" s="34"/>
      <c r="C140" s="52"/>
      <c r="D140" s="52"/>
      <c r="E140" s="52"/>
      <c r="F140" s="52"/>
      <c r="G140" s="52"/>
      <c r="H140" s="52"/>
      <c r="I140" s="52"/>
      <c r="J140" s="52"/>
      <c r="K140" s="52"/>
      <c r="L140" s="52"/>
      <c r="M140" s="52"/>
      <c r="N140" s="52"/>
      <c r="O140" s="52"/>
      <c r="P140" s="52"/>
      <c r="Q140" s="52"/>
      <c r="R140" s="52"/>
      <c r="S140" s="52"/>
      <c r="T140" s="52"/>
      <c r="U140" s="52"/>
      <c r="V140" s="52"/>
      <c r="W140" s="52"/>
      <c r="X140" s="52"/>
      <c r="Y140" s="52"/>
      <c r="Z140" s="52"/>
    </row>
    <row r="141">
      <c r="A141" s="58" t="str">
        <f t="shared" si="1"/>
        <v/>
      </c>
      <c r="B141" s="34"/>
      <c r="C141" s="52"/>
      <c r="D141" s="52"/>
      <c r="E141" s="52"/>
      <c r="F141" s="52"/>
      <c r="G141" s="52"/>
      <c r="H141" s="52"/>
      <c r="I141" s="52"/>
      <c r="J141" s="52"/>
      <c r="K141" s="52"/>
      <c r="L141" s="52"/>
      <c r="M141" s="52"/>
      <c r="N141" s="52"/>
      <c r="O141" s="52"/>
      <c r="P141" s="52"/>
      <c r="Q141" s="52"/>
      <c r="R141" s="52"/>
      <c r="S141" s="52"/>
      <c r="T141" s="52"/>
      <c r="U141" s="52"/>
      <c r="V141" s="52"/>
      <c r="W141" s="52"/>
      <c r="X141" s="52"/>
      <c r="Y141" s="52"/>
      <c r="Z141" s="52"/>
    </row>
    <row r="142">
      <c r="A142" s="58" t="str">
        <f t="shared" si="1"/>
        <v/>
      </c>
      <c r="B142" s="34"/>
      <c r="C142" s="52"/>
      <c r="D142" s="52"/>
      <c r="E142" s="52"/>
      <c r="F142" s="52"/>
      <c r="G142" s="52"/>
      <c r="H142" s="52"/>
      <c r="I142" s="52"/>
      <c r="J142" s="52"/>
      <c r="K142" s="52"/>
      <c r="L142" s="52"/>
      <c r="M142" s="52"/>
      <c r="N142" s="52"/>
      <c r="O142" s="52"/>
      <c r="P142" s="52"/>
      <c r="Q142" s="52"/>
      <c r="R142" s="52"/>
      <c r="S142" s="52"/>
      <c r="T142" s="52"/>
      <c r="U142" s="52"/>
      <c r="V142" s="52"/>
      <c r="W142" s="52"/>
      <c r="X142" s="52"/>
      <c r="Y142" s="52"/>
      <c r="Z142" s="52"/>
    </row>
    <row r="143">
      <c r="A143" s="58" t="str">
        <f t="shared" si="1"/>
        <v/>
      </c>
      <c r="B143" s="34"/>
      <c r="C143" s="52"/>
      <c r="D143" s="52"/>
      <c r="E143" s="52"/>
      <c r="F143" s="52"/>
      <c r="G143" s="52"/>
      <c r="H143" s="52"/>
      <c r="I143" s="52"/>
      <c r="J143" s="52"/>
      <c r="K143" s="52"/>
      <c r="L143" s="52"/>
      <c r="M143" s="52"/>
      <c r="N143" s="52"/>
      <c r="O143" s="52"/>
      <c r="P143" s="52"/>
      <c r="Q143" s="52"/>
      <c r="R143" s="52"/>
      <c r="S143" s="52"/>
      <c r="T143" s="52"/>
      <c r="U143" s="52"/>
      <c r="V143" s="52"/>
      <c r="W143" s="52"/>
      <c r="X143" s="52"/>
      <c r="Y143" s="52"/>
      <c r="Z143" s="52"/>
    </row>
    <row r="144">
      <c r="A144" s="58" t="str">
        <f t="shared" si="1"/>
        <v/>
      </c>
      <c r="B144" s="34"/>
      <c r="C144" s="52"/>
      <c r="D144" s="52"/>
      <c r="E144" s="52"/>
      <c r="F144" s="52"/>
      <c r="G144" s="52"/>
      <c r="H144" s="52"/>
      <c r="I144" s="52"/>
      <c r="J144" s="52"/>
      <c r="K144" s="52"/>
      <c r="L144" s="52"/>
      <c r="M144" s="52"/>
      <c r="N144" s="52"/>
      <c r="O144" s="52"/>
      <c r="P144" s="52"/>
      <c r="Q144" s="52"/>
      <c r="R144" s="52"/>
      <c r="S144" s="52"/>
      <c r="T144" s="52"/>
      <c r="U144" s="52"/>
      <c r="V144" s="52"/>
      <c r="W144" s="52"/>
      <c r="X144" s="52"/>
      <c r="Y144" s="52"/>
      <c r="Z144" s="52"/>
    </row>
    <row r="145">
      <c r="A145" s="58" t="str">
        <f t="shared" si="1"/>
        <v/>
      </c>
      <c r="B145" s="34"/>
      <c r="C145" s="52"/>
      <c r="D145" s="52"/>
      <c r="E145" s="52"/>
      <c r="F145" s="52"/>
      <c r="G145" s="52"/>
      <c r="H145" s="52"/>
      <c r="I145" s="52"/>
      <c r="J145" s="52"/>
      <c r="K145" s="52"/>
      <c r="L145" s="52"/>
      <c r="M145" s="52"/>
      <c r="N145" s="52"/>
      <c r="O145" s="52"/>
      <c r="P145" s="52"/>
      <c r="Q145" s="52"/>
      <c r="R145" s="52"/>
      <c r="S145" s="52"/>
      <c r="T145" s="52"/>
      <c r="U145" s="52"/>
      <c r="V145" s="52"/>
      <c r="W145" s="52"/>
      <c r="X145" s="52"/>
      <c r="Y145" s="52"/>
      <c r="Z145" s="52"/>
    </row>
    <row r="146">
      <c r="A146" s="58" t="str">
        <f t="shared" si="1"/>
        <v/>
      </c>
      <c r="B146" s="34"/>
      <c r="C146" s="52"/>
      <c r="D146" s="52"/>
      <c r="E146" s="52"/>
      <c r="F146" s="52"/>
      <c r="G146" s="52"/>
      <c r="H146" s="52"/>
      <c r="I146" s="52"/>
      <c r="J146" s="52"/>
      <c r="K146" s="52"/>
      <c r="L146" s="52"/>
      <c r="M146" s="52"/>
      <c r="N146" s="52"/>
      <c r="O146" s="52"/>
      <c r="P146" s="52"/>
      <c r="Q146" s="52"/>
      <c r="R146" s="52"/>
      <c r="S146" s="52"/>
      <c r="T146" s="52"/>
      <c r="U146" s="52"/>
      <c r="V146" s="52"/>
      <c r="W146" s="52"/>
      <c r="X146" s="52"/>
      <c r="Y146" s="52"/>
      <c r="Z146" s="52"/>
    </row>
    <row r="147">
      <c r="A147" s="58" t="str">
        <f t="shared" si="1"/>
        <v/>
      </c>
      <c r="B147" s="34"/>
      <c r="C147" s="52"/>
      <c r="D147" s="52"/>
      <c r="E147" s="52"/>
      <c r="F147" s="52"/>
      <c r="G147" s="52"/>
      <c r="H147" s="52"/>
      <c r="I147" s="52"/>
      <c r="J147" s="52"/>
      <c r="K147" s="52"/>
      <c r="L147" s="52"/>
      <c r="M147" s="52"/>
      <c r="N147" s="52"/>
      <c r="O147" s="52"/>
      <c r="P147" s="52"/>
      <c r="Q147" s="52"/>
      <c r="R147" s="52"/>
      <c r="S147" s="52"/>
      <c r="T147" s="52"/>
      <c r="U147" s="52"/>
      <c r="V147" s="52"/>
      <c r="W147" s="52"/>
      <c r="X147" s="52"/>
      <c r="Y147" s="52"/>
      <c r="Z147" s="52"/>
    </row>
    <row r="148">
      <c r="A148" s="58" t="str">
        <f t="shared" si="1"/>
        <v/>
      </c>
      <c r="B148" s="34"/>
      <c r="C148" s="52"/>
      <c r="D148" s="52"/>
      <c r="E148" s="52"/>
      <c r="F148" s="52"/>
      <c r="G148" s="52"/>
      <c r="H148" s="52"/>
      <c r="I148" s="52"/>
      <c r="J148" s="52"/>
      <c r="K148" s="52"/>
      <c r="L148" s="52"/>
      <c r="M148" s="52"/>
      <c r="N148" s="52"/>
      <c r="O148" s="52"/>
      <c r="P148" s="52"/>
      <c r="Q148" s="52"/>
      <c r="R148" s="52"/>
      <c r="S148" s="52"/>
      <c r="T148" s="52"/>
      <c r="U148" s="52"/>
      <c r="V148" s="52"/>
      <c r="W148" s="52"/>
      <c r="X148" s="52"/>
      <c r="Y148" s="52"/>
      <c r="Z148" s="52"/>
    </row>
    <row r="149">
      <c r="A149" s="58" t="str">
        <f t="shared" si="1"/>
        <v/>
      </c>
      <c r="B149" s="34"/>
      <c r="C149" s="52"/>
      <c r="D149" s="52"/>
      <c r="E149" s="52"/>
      <c r="F149" s="52"/>
      <c r="G149" s="52"/>
      <c r="H149" s="52"/>
      <c r="I149" s="52"/>
      <c r="J149" s="52"/>
      <c r="K149" s="52"/>
      <c r="L149" s="52"/>
      <c r="M149" s="52"/>
      <c r="N149" s="52"/>
      <c r="O149" s="52"/>
      <c r="P149" s="52"/>
      <c r="Q149" s="52"/>
      <c r="R149" s="52"/>
      <c r="S149" s="52"/>
      <c r="T149" s="52"/>
      <c r="U149" s="52"/>
      <c r="V149" s="52"/>
      <c r="W149" s="52"/>
      <c r="X149" s="52"/>
      <c r="Y149" s="52"/>
      <c r="Z149" s="52"/>
    </row>
    <row r="150">
      <c r="A150" s="58" t="str">
        <f t="shared" si="1"/>
        <v/>
      </c>
      <c r="B150" s="34"/>
      <c r="C150" s="52"/>
      <c r="D150" s="52"/>
      <c r="E150" s="52"/>
      <c r="F150" s="52"/>
      <c r="G150" s="52"/>
      <c r="H150" s="52"/>
      <c r="I150" s="52"/>
      <c r="J150" s="52"/>
      <c r="K150" s="52"/>
      <c r="L150" s="52"/>
      <c r="M150" s="52"/>
      <c r="N150" s="52"/>
      <c r="O150" s="52"/>
      <c r="P150" s="52"/>
      <c r="Q150" s="52"/>
      <c r="R150" s="52"/>
      <c r="S150" s="52"/>
      <c r="T150" s="52"/>
      <c r="U150" s="52"/>
      <c r="V150" s="52"/>
      <c r="W150" s="52"/>
      <c r="X150" s="52"/>
      <c r="Y150" s="52"/>
      <c r="Z150" s="52"/>
    </row>
    <row r="151">
      <c r="A151" s="59"/>
      <c r="B151" s="34"/>
      <c r="C151" s="52"/>
      <c r="D151" s="52"/>
      <c r="E151" s="52"/>
      <c r="F151" s="52"/>
      <c r="G151" s="52"/>
      <c r="H151" s="52"/>
      <c r="I151" s="52"/>
      <c r="J151" s="52"/>
      <c r="K151" s="52"/>
      <c r="L151" s="52"/>
      <c r="M151" s="52"/>
      <c r="N151" s="52"/>
      <c r="O151" s="52"/>
      <c r="P151" s="52"/>
      <c r="Q151" s="52"/>
      <c r="R151" s="52"/>
      <c r="S151" s="52"/>
      <c r="T151" s="52"/>
      <c r="U151" s="52"/>
      <c r="V151" s="52"/>
      <c r="W151" s="52"/>
      <c r="X151" s="52"/>
      <c r="Y151" s="52"/>
      <c r="Z151" s="52"/>
    </row>
    <row r="152">
      <c r="A152" s="59"/>
      <c r="B152" s="34"/>
      <c r="C152" s="52"/>
      <c r="D152" s="52"/>
      <c r="E152" s="52"/>
      <c r="F152" s="52"/>
      <c r="G152" s="52"/>
      <c r="H152" s="52"/>
      <c r="I152" s="52"/>
      <c r="J152" s="52"/>
      <c r="K152" s="52"/>
      <c r="L152" s="52"/>
      <c r="M152" s="52"/>
      <c r="N152" s="52"/>
      <c r="O152" s="52"/>
      <c r="P152" s="52"/>
      <c r="Q152" s="52"/>
      <c r="R152" s="52"/>
      <c r="S152" s="52"/>
      <c r="T152" s="52"/>
      <c r="U152" s="52"/>
      <c r="V152" s="52"/>
      <c r="W152" s="52"/>
      <c r="X152" s="52"/>
      <c r="Y152" s="52"/>
      <c r="Z152" s="52"/>
    </row>
    <row r="153">
      <c r="A153" s="59"/>
      <c r="B153" s="34"/>
      <c r="C153" s="52"/>
      <c r="D153" s="52"/>
      <c r="E153" s="52"/>
      <c r="F153" s="52"/>
      <c r="G153" s="52"/>
      <c r="H153" s="52"/>
      <c r="I153" s="52"/>
      <c r="J153" s="52"/>
      <c r="K153" s="52"/>
      <c r="L153" s="52"/>
      <c r="M153" s="52"/>
      <c r="N153" s="52"/>
      <c r="O153" s="52"/>
      <c r="P153" s="52"/>
      <c r="Q153" s="52"/>
      <c r="R153" s="52"/>
      <c r="S153" s="52"/>
      <c r="T153" s="52"/>
      <c r="U153" s="52"/>
      <c r="V153" s="52"/>
      <c r="W153" s="52"/>
      <c r="X153" s="52"/>
      <c r="Y153" s="52"/>
      <c r="Z153" s="52"/>
    </row>
    <row r="154">
      <c r="A154" s="59"/>
      <c r="B154" s="34"/>
      <c r="C154" s="52"/>
      <c r="D154" s="52"/>
      <c r="E154" s="52"/>
      <c r="F154" s="52"/>
      <c r="G154" s="52"/>
      <c r="H154" s="52"/>
      <c r="I154" s="52"/>
      <c r="J154" s="52"/>
      <c r="K154" s="52"/>
      <c r="L154" s="52"/>
      <c r="M154" s="52"/>
      <c r="N154" s="52"/>
      <c r="O154" s="52"/>
      <c r="P154" s="52"/>
      <c r="Q154" s="52"/>
      <c r="R154" s="52"/>
      <c r="S154" s="52"/>
      <c r="T154" s="52"/>
      <c r="U154" s="52"/>
      <c r="V154" s="52"/>
      <c r="W154" s="52"/>
      <c r="X154" s="52"/>
      <c r="Y154" s="52"/>
      <c r="Z154" s="52"/>
    </row>
    <row r="155">
      <c r="A155" s="59"/>
      <c r="B155" s="34"/>
      <c r="C155" s="52"/>
      <c r="D155" s="52"/>
      <c r="E155" s="52"/>
      <c r="F155" s="52"/>
      <c r="G155" s="52"/>
      <c r="H155" s="52"/>
      <c r="I155" s="52"/>
      <c r="J155" s="52"/>
      <c r="K155" s="52"/>
      <c r="L155" s="52"/>
      <c r="M155" s="52"/>
      <c r="N155" s="52"/>
      <c r="O155" s="52"/>
      <c r="P155" s="52"/>
      <c r="Q155" s="52"/>
      <c r="R155" s="52"/>
      <c r="S155" s="52"/>
      <c r="T155" s="52"/>
      <c r="U155" s="52"/>
      <c r="V155" s="52"/>
      <c r="W155" s="52"/>
      <c r="X155" s="52"/>
      <c r="Y155" s="52"/>
      <c r="Z155" s="52"/>
    </row>
    <row r="156">
      <c r="A156" s="59"/>
      <c r="B156" s="34"/>
      <c r="C156" s="52"/>
      <c r="D156" s="52"/>
      <c r="E156" s="52"/>
      <c r="F156" s="52"/>
      <c r="G156" s="52"/>
      <c r="H156" s="52"/>
      <c r="I156" s="52"/>
      <c r="J156" s="52"/>
      <c r="K156" s="52"/>
      <c r="L156" s="52"/>
      <c r="M156" s="52"/>
      <c r="N156" s="52"/>
      <c r="O156" s="52"/>
      <c r="P156" s="52"/>
      <c r="Q156" s="52"/>
      <c r="R156" s="52"/>
      <c r="S156" s="52"/>
      <c r="T156" s="52"/>
      <c r="U156" s="52"/>
      <c r="V156" s="52"/>
      <c r="W156" s="52"/>
      <c r="X156" s="52"/>
      <c r="Y156" s="52"/>
      <c r="Z156" s="52"/>
    </row>
    <row r="157">
      <c r="A157" s="59"/>
      <c r="B157" s="34"/>
      <c r="C157" s="52"/>
      <c r="D157" s="52"/>
      <c r="E157" s="52"/>
      <c r="F157" s="52"/>
      <c r="G157" s="52"/>
      <c r="H157" s="52"/>
      <c r="I157" s="52"/>
      <c r="J157" s="52"/>
      <c r="K157" s="52"/>
      <c r="L157" s="52"/>
      <c r="M157" s="52"/>
      <c r="N157" s="52"/>
      <c r="O157" s="52"/>
      <c r="P157" s="52"/>
      <c r="Q157" s="52"/>
      <c r="R157" s="52"/>
      <c r="S157" s="52"/>
      <c r="T157" s="52"/>
      <c r="U157" s="52"/>
      <c r="V157" s="52"/>
      <c r="W157" s="52"/>
      <c r="X157" s="52"/>
      <c r="Y157" s="52"/>
      <c r="Z157" s="52"/>
    </row>
    <row r="158">
      <c r="A158" s="59"/>
      <c r="B158" s="34"/>
      <c r="C158" s="52"/>
      <c r="D158" s="52"/>
      <c r="E158" s="52"/>
      <c r="F158" s="52"/>
      <c r="G158" s="52"/>
      <c r="H158" s="52"/>
      <c r="I158" s="52"/>
      <c r="J158" s="52"/>
      <c r="K158" s="52"/>
      <c r="L158" s="52"/>
      <c r="M158" s="52"/>
      <c r="N158" s="52"/>
      <c r="O158" s="52"/>
      <c r="P158" s="52"/>
      <c r="Q158" s="52"/>
      <c r="R158" s="52"/>
      <c r="S158" s="52"/>
      <c r="T158" s="52"/>
      <c r="U158" s="52"/>
      <c r="V158" s="52"/>
      <c r="W158" s="52"/>
      <c r="X158" s="52"/>
      <c r="Y158" s="52"/>
      <c r="Z158" s="52"/>
    </row>
    <row r="159">
      <c r="A159" s="59"/>
      <c r="B159" s="34"/>
      <c r="C159" s="52"/>
      <c r="D159" s="52"/>
      <c r="E159" s="52"/>
      <c r="F159" s="52"/>
      <c r="G159" s="52"/>
      <c r="H159" s="52"/>
      <c r="I159" s="52"/>
      <c r="J159" s="52"/>
      <c r="K159" s="52"/>
      <c r="L159" s="52"/>
      <c r="M159" s="52"/>
      <c r="N159" s="52"/>
      <c r="O159" s="52"/>
      <c r="P159" s="52"/>
      <c r="Q159" s="52"/>
      <c r="R159" s="52"/>
      <c r="S159" s="52"/>
      <c r="T159" s="52"/>
      <c r="U159" s="52"/>
      <c r="V159" s="52"/>
      <c r="W159" s="52"/>
      <c r="X159" s="52"/>
      <c r="Y159" s="52"/>
      <c r="Z159" s="52"/>
    </row>
    <row r="160">
      <c r="A160" s="59"/>
      <c r="B160" s="34"/>
      <c r="C160" s="52"/>
      <c r="D160" s="52"/>
      <c r="E160" s="52"/>
      <c r="F160" s="52"/>
      <c r="G160" s="52"/>
      <c r="H160" s="52"/>
      <c r="I160" s="52"/>
      <c r="J160" s="52"/>
      <c r="K160" s="52"/>
      <c r="L160" s="52"/>
      <c r="M160" s="52"/>
      <c r="N160" s="52"/>
      <c r="O160" s="52"/>
      <c r="P160" s="52"/>
      <c r="Q160" s="52"/>
      <c r="R160" s="52"/>
      <c r="S160" s="52"/>
      <c r="T160" s="52"/>
      <c r="U160" s="52"/>
      <c r="V160" s="52"/>
      <c r="W160" s="52"/>
      <c r="X160" s="52"/>
      <c r="Y160" s="52"/>
      <c r="Z160" s="52"/>
    </row>
    <row r="161">
      <c r="A161" s="59"/>
      <c r="B161" s="34"/>
      <c r="C161" s="52"/>
      <c r="D161" s="52"/>
      <c r="E161" s="52"/>
      <c r="F161" s="52"/>
      <c r="G161" s="52"/>
      <c r="H161" s="52"/>
      <c r="I161" s="52"/>
      <c r="J161" s="52"/>
      <c r="K161" s="52"/>
      <c r="L161" s="52"/>
      <c r="M161" s="52"/>
      <c r="N161" s="52"/>
      <c r="O161" s="52"/>
      <c r="P161" s="52"/>
      <c r="Q161" s="52"/>
      <c r="R161" s="52"/>
      <c r="S161" s="52"/>
      <c r="T161" s="52"/>
      <c r="U161" s="52"/>
      <c r="V161" s="52"/>
      <c r="W161" s="52"/>
      <c r="X161" s="52"/>
      <c r="Y161" s="52"/>
      <c r="Z161" s="52"/>
    </row>
    <row r="162">
      <c r="A162" s="59"/>
      <c r="B162" s="34"/>
      <c r="C162" s="52"/>
      <c r="D162" s="52"/>
      <c r="E162" s="52"/>
      <c r="F162" s="52"/>
      <c r="G162" s="52"/>
      <c r="H162" s="52"/>
      <c r="I162" s="52"/>
      <c r="J162" s="52"/>
      <c r="K162" s="52"/>
      <c r="L162" s="52"/>
      <c r="M162" s="52"/>
      <c r="N162" s="52"/>
      <c r="O162" s="52"/>
      <c r="P162" s="52"/>
      <c r="Q162" s="52"/>
      <c r="R162" s="52"/>
      <c r="S162" s="52"/>
      <c r="T162" s="52"/>
      <c r="U162" s="52"/>
      <c r="V162" s="52"/>
      <c r="W162" s="52"/>
      <c r="X162" s="52"/>
      <c r="Y162" s="52"/>
      <c r="Z162" s="52"/>
    </row>
    <row r="163">
      <c r="A163" s="59"/>
      <c r="B163" s="34"/>
      <c r="C163" s="52"/>
      <c r="D163" s="52"/>
      <c r="E163" s="52"/>
      <c r="F163" s="52"/>
      <c r="G163" s="52"/>
      <c r="H163" s="52"/>
      <c r="I163" s="52"/>
      <c r="J163" s="52"/>
      <c r="K163" s="52"/>
      <c r="L163" s="52"/>
      <c r="M163" s="52"/>
      <c r="N163" s="52"/>
      <c r="O163" s="52"/>
      <c r="P163" s="52"/>
      <c r="Q163" s="52"/>
      <c r="R163" s="52"/>
      <c r="S163" s="52"/>
      <c r="T163" s="52"/>
      <c r="U163" s="52"/>
      <c r="V163" s="52"/>
      <c r="W163" s="52"/>
      <c r="X163" s="52"/>
      <c r="Y163" s="52"/>
      <c r="Z163" s="52"/>
    </row>
    <row r="164">
      <c r="A164" s="59"/>
      <c r="B164" s="34"/>
      <c r="C164" s="52"/>
      <c r="D164" s="52"/>
      <c r="E164" s="52"/>
      <c r="F164" s="52"/>
      <c r="G164" s="52"/>
      <c r="H164" s="52"/>
      <c r="I164" s="52"/>
      <c r="J164" s="52"/>
      <c r="K164" s="52"/>
      <c r="L164" s="52"/>
      <c r="M164" s="52"/>
      <c r="N164" s="52"/>
      <c r="O164" s="52"/>
      <c r="P164" s="52"/>
      <c r="Q164" s="52"/>
      <c r="R164" s="52"/>
      <c r="S164" s="52"/>
      <c r="T164" s="52"/>
      <c r="U164" s="52"/>
      <c r="V164" s="52"/>
      <c r="W164" s="52"/>
      <c r="X164" s="52"/>
      <c r="Y164" s="52"/>
      <c r="Z164" s="52"/>
    </row>
    <row r="165">
      <c r="A165" s="59"/>
      <c r="B165" s="34"/>
      <c r="C165" s="52"/>
      <c r="D165" s="52"/>
      <c r="E165" s="52"/>
      <c r="F165" s="52"/>
      <c r="G165" s="52"/>
      <c r="H165" s="52"/>
      <c r="I165" s="52"/>
      <c r="J165" s="52"/>
      <c r="K165" s="52"/>
      <c r="L165" s="52"/>
      <c r="M165" s="52"/>
      <c r="N165" s="52"/>
      <c r="O165" s="52"/>
      <c r="P165" s="52"/>
      <c r="Q165" s="52"/>
      <c r="R165" s="52"/>
      <c r="S165" s="52"/>
      <c r="T165" s="52"/>
      <c r="U165" s="52"/>
      <c r="V165" s="52"/>
      <c r="W165" s="52"/>
      <c r="X165" s="52"/>
      <c r="Y165" s="52"/>
      <c r="Z165" s="52"/>
    </row>
    <row r="166">
      <c r="A166" s="59"/>
      <c r="B166" s="34"/>
      <c r="C166" s="52"/>
      <c r="D166" s="52"/>
      <c r="E166" s="52"/>
      <c r="F166" s="52"/>
      <c r="G166" s="52"/>
      <c r="H166" s="52"/>
      <c r="I166" s="52"/>
      <c r="J166" s="52"/>
      <c r="K166" s="52"/>
      <c r="L166" s="52"/>
      <c r="M166" s="52"/>
      <c r="N166" s="52"/>
      <c r="O166" s="52"/>
      <c r="P166" s="52"/>
      <c r="Q166" s="52"/>
      <c r="R166" s="52"/>
      <c r="S166" s="52"/>
      <c r="T166" s="52"/>
      <c r="U166" s="52"/>
      <c r="V166" s="52"/>
      <c r="W166" s="52"/>
      <c r="X166" s="52"/>
      <c r="Y166" s="52"/>
      <c r="Z166" s="52"/>
    </row>
    <row r="167">
      <c r="A167" s="59"/>
      <c r="B167" s="34"/>
      <c r="C167" s="52"/>
      <c r="D167" s="52"/>
      <c r="E167" s="52"/>
      <c r="F167" s="52"/>
      <c r="G167" s="52"/>
      <c r="H167" s="52"/>
      <c r="I167" s="52"/>
      <c r="J167" s="52"/>
      <c r="K167" s="52"/>
      <c r="L167" s="52"/>
      <c r="M167" s="52"/>
      <c r="N167" s="52"/>
      <c r="O167" s="52"/>
      <c r="P167" s="52"/>
      <c r="Q167" s="52"/>
      <c r="R167" s="52"/>
      <c r="S167" s="52"/>
      <c r="T167" s="52"/>
      <c r="U167" s="52"/>
      <c r="V167" s="52"/>
      <c r="W167" s="52"/>
      <c r="X167" s="52"/>
      <c r="Y167" s="52"/>
      <c r="Z167" s="52"/>
    </row>
    <row r="168">
      <c r="A168" s="59"/>
      <c r="B168" s="34"/>
      <c r="C168" s="52"/>
      <c r="D168" s="52"/>
      <c r="E168" s="52"/>
      <c r="F168" s="52"/>
      <c r="G168" s="52"/>
      <c r="H168" s="52"/>
      <c r="I168" s="52"/>
      <c r="J168" s="52"/>
      <c r="K168" s="52"/>
      <c r="L168" s="52"/>
      <c r="M168" s="52"/>
      <c r="N168" s="52"/>
      <c r="O168" s="52"/>
      <c r="P168" s="52"/>
      <c r="Q168" s="52"/>
      <c r="R168" s="52"/>
      <c r="S168" s="52"/>
      <c r="T168" s="52"/>
      <c r="U168" s="52"/>
      <c r="V168" s="52"/>
      <c r="W168" s="52"/>
      <c r="X168" s="52"/>
      <c r="Y168" s="52"/>
      <c r="Z168" s="52"/>
    </row>
    <row r="169">
      <c r="A169" s="59"/>
      <c r="B169" s="34"/>
      <c r="C169" s="52"/>
      <c r="D169" s="52"/>
      <c r="E169" s="52"/>
      <c r="F169" s="52"/>
      <c r="G169" s="52"/>
      <c r="H169" s="52"/>
      <c r="I169" s="52"/>
      <c r="J169" s="52"/>
      <c r="K169" s="52"/>
      <c r="L169" s="52"/>
      <c r="M169" s="52"/>
      <c r="N169" s="52"/>
      <c r="O169" s="52"/>
      <c r="P169" s="52"/>
      <c r="Q169" s="52"/>
      <c r="R169" s="52"/>
      <c r="S169" s="52"/>
      <c r="T169" s="52"/>
      <c r="U169" s="52"/>
      <c r="V169" s="52"/>
      <c r="W169" s="52"/>
      <c r="X169" s="52"/>
      <c r="Y169" s="52"/>
      <c r="Z169" s="52"/>
    </row>
    <row r="170">
      <c r="A170" s="59"/>
      <c r="B170" s="34"/>
      <c r="C170" s="52"/>
      <c r="D170" s="52"/>
      <c r="E170" s="52"/>
      <c r="F170" s="52"/>
      <c r="G170" s="52"/>
      <c r="H170" s="52"/>
      <c r="I170" s="52"/>
      <c r="J170" s="52"/>
      <c r="K170" s="52"/>
      <c r="L170" s="52"/>
      <c r="M170" s="52"/>
      <c r="N170" s="52"/>
      <c r="O170" s="52"/>
      <c r="P170" s="52"/>
      <c r="Q170" s="52"/>
      <c r="R170" s="52"/>
      <c r="S170" s="52"/>
      <c r="T170" s="52"/>
      <c r="U170" s="52"/>
      <c r="V170" s="52"/>
      <c r="W170" s="52"/>
      <c r="X170" s="52"/>
      <c r="Y170" s="52"/>
      <c r="Z170" s="52"/>
    </row>
    <row r="171">
      <c r="A171" s="59"/>
      <c r="B171" s="34"/>
      <c r="C171" s="52"/>
      <c r="D171" s="52"/>
      <c r="E171" s="52"/>
      <c r="F171" s="52"/>
      <c r="G171" s="52"/>
      <c r="H171" s="52"/>
      <c r="I171" s="52"/>
      <c r="J171" s="52"/>
      <c r="K171" s="52"/>
      <c r="L171" s="52"/>
      <c r="M171" s="52"/>
      <c r="N171" s="52"/>
      <c r="O171" s="52"/>
      <c r="P171" s="52"/>
      <c r="Q171" s="52"/>
      <c r="R171" s="52"/>
      <c r="S171" s="52"/>
      <c r="T171" s="52"/>
      <c r="U171" s="52"/>
      <c r="V171" s="52"/>
      <c r="W171" s="52"/>
      <c r="X171" s="52"/>
      <c r="Y171" s="52"/>
      <c r="Z171" s="52"/>
    </row>
    <row r="172">
      <c r="A172" s="59"/>
      <c r="B172" s="34"/>
      <c r="C172" s="52"/>
      <c r="D172" s="52"/>
      <c r="E172" s="52"/>
      <c r="F172" s="52"/>
      <c r="G172" s="52"/>
      <c r="H172" s="52"/>
      <c r="I172" s="52"/>
      <c r="J172" s="52"/>
      <c r="K172" s="52"/>
      <c r="L172" s="52"/>
      <c r="M172" s="52"/>
      <c r="N172" s="52"/>
      <c r="O172" s="52"/>
      <c r="P172" s="52"/>
      <c r="Q172" s="52"/>
      <c r="R172" s="52"/>
      <c r="S172" s="52"/>
      <c r="T172" s="52"/>
      <c r="U172" s="52"/>
      <c r="V172" s="52"/>
      <c r="W172" s="52"/>
      <c r="X172" s="52"/>
      <c r="Y172" s="52"/>
      <c r="Z172" s="52"/>
    </row>
    <row r="173">
      <c r="A173" s="59"/>
      <c r="B173" s="34"/>
      <c r="C173" s="52"/>
      <c r="D173" s="52"/>
      <c r="E173" s="52"/>
      <c r="F173" s="52"/>
      <c r="G173" s="52"/>
      <c r="H173" s="52"/>
      <c r="I173" s="52"/>
      <c r="J173" s="52"/>
      <c r="K173" s="52"/>
      <c r="L173" s="52"/>
      <c r="M173" s="52"/>
      <c r="N173" s="52"/>
      <c r="O173" s="52"/>
      <c r="P173" s="52"/>
      <c r="Q173" s="52"/>
      <c r="R173" s="52"/>
      <c r="S173" s="52"/>
      <c r="T173" s="52"/>
      <c r="U173" s="52"/>
      <c r="V173" s="52"/>
      <c r="W173" s="52"/>
      <c r="X173" s="52"/>
      <c r="Y173" s="52"/>
      <c r="Z173" s="52"/>
    </row>
    <row r="174">
      <c r="A174" s="59"/>
      <c r="B174" s="34"/>
      <c r="C174" s="52"/>
      <c r="D174" s="52"/>
      <c r="E174" s="52"/>
      <c r="F174" s="52"/>
      <c r="G174" s="52"/>
      <c r="H174" s="52"/>
      <c r="I174" s="52"/>
      <c r="J174" s="52"/>
      <c r="K174" s="52"/>
      <c r="L174" s="52"/>
      <c r="M174" s="52"/>
      <c r="N174" s="52"/>
      <c r="O174" s="52"/>
      <c r="P174" s="52"/>
      <c r="Q174" s="52"/>
      <c r="R174" s="52"/>
      <c r="S174" s="52"/>
      <c r="T174" s="52"/>
      <c r="U174" s="52"/>
      <c r="V174" s="52"/>
      <c r="W174" s="52"/>
      <c r="X174" s="52"/>
      <c r="Y174" s="52"/>
      <c r="Z174" s="52"/>
    </row>
    <row r="175">
      <c r="A175" s="59"/>
      <c r="B175" s="34"/>
      <c r="C175" s="52"/>
      <c r="D175" s="52"/>
      <c r="E175" s="52"/>
      <c r="F175" s="52"/>
      <c r="G175" s="52"/>
      <c r="H175" s="52"/>
      <c r="I175" s="52"/>
      <c r="J175" s="52"/>
      <c r="K175" s="52"/>
      <c r="L175" s="52"/>
      <c r="M175" s="52"/>
      <c r="N175" s="52"/>
      <c r="O175" s="52"/>
      <c r="P175" s="52"/>
      <c r="Q175" s="52"/>
      <c r="R175" s="52"/>
      <c r="S175" s="52"/>
      <c r="T175" s="52"/>
      <c r="U175" s="52"/>
      <c r="V175" s="52"/>
      <c r="W175" s="52"/>
      <c r="X175" s="52"/>
      <c r="Y175" s="52"/>
      <c r="Z175" s="52"/>
    </row>
    <row r="176">
      <c r="A176" s="59"/>
      <c r="B176" s="34"/>
      <c r="C176" s="52"/>
      <c r="D176" s="52"/>
      <c r="E176" s="52"/>
      <c r="F176" s="52"/>
      <c r="G176" s="52"/>
      <c r="H176" s="52"/>
      <c r="I176" s="52"/>
      <c r="J176" s="52"/>
      <c r="K176" s="52"/>
      <c r="L176" s="52"/>
      <c r="M176" s="52"/>
      <c r="N176" s="52"/>
      <c r="O176" s="52"/>
      <c r="P176" s="52"/>
      <c r="Q176" s="52"/>
      <c r="R176" s="52"/>
      <c r="S176" s="52"/>
      <c r="T176" s="52"/>
      <c r="U176" s="52"/>
      <c r="V176" s="52"/>
      <c r="W176" s="52"/>
      <c r="X176" s="52"/>
      <c r="Y176" s="52"/>
      <c r="Z176" s="52"/>
    </row>
    <row r="177">
      <c r="A177" s="59"/>
      <c r="B177" s="34"/>
      <c r="C177" s="52"/>
      <c r="D177" s="52"/>
      <c r="E177" s="52"/>
      <c r="F177" s="52"/>
      <c r="G177" s="52"/>
      <c r="H177" s="52"/>
      <c r="I177" s="52"/>
      <c r="J177" s="52"/>
      <c r="K177" s="52"/>
      <c r="L177" s="52"/>
      <c r="M177" s="52"/>
      <c r="N177" s="52"/>
      <c r="O177" s="52"/>
      <c r="P177" s="52"/>
      <c r="Q177" s="52"/>
      <c r="R177" s="52"/>
      <c r="S177" s="52"/>
      <c r="T177" s="52"/>
      <c r="U177" s="52"/>
      <c r="V177" s="52"/>
      <c r="W177" s="52"/>
      <c r="X177" s="52"/>
      <c r="Y177" s="52"/>
      <c r="Z177" s="52"/>
    </row>
    <row r="178">
      <c r="A178" s="59"/>
      <c r="B178" s="34"/>
      <c r="C178" s="52"/>
      <c r="D178" s="52"/>
      <c r="E178" s="52"/>
      <c r="F178" s="52"/>
      <c r="G178" s="52"/>
      <c r="H178" s="52"/>
      <c r="I178" s="52"/>
      <c r="J178" s="52"/>
      <c r="K178" s="52"/>
      <c r="L178" s="52"/>
      <c r="M178" s="52"/>
      <c r="N178" s="52"/>
      <c r="O178" s="52"/>
      <c r="P178" s="52"/>
      <c r="Q178" s="52"/>
      <c r="R178" s="52"/>
      <c r="S178" s="52"/>
      <c r="T178" s="52"/>
      <c r="U178" s="52"/>
      <c r="V178" s="52"/>
      <c r="W178" s="52"/>
      <c r="X178" s="52"/>
      <c r="Y178" s="52"/>
      <c r="Z178" s="52"/>
    </row>
    <row r="179">
      <c r="A179" s="59"/>
      <c r="B179" s="34"/>
      <c r="C179" s="52"/>
      <c r="D179" s="52"/>
      <c r="E179" s="52"/>
      <c r="F179" s="52"/>
      <c r="G179" s="52"/>
      <c r="H179" s="52"/>
      <c r="I179" s="52"/>
      <c r="J179" s="52"/>
      <c r="K179" s="52"/>
      <c r="L179" s="52"/>
      <c r="M179" s="52"/>
      <c r="N179" s="52"/>
      <c r="O179" s="52"/>
      <c r="P179" s="52"/>
      <c r="Q179" s="52"/>
      <c r="R179" s="52"/>
      <c r="S179" s="52"/>
      <c r="T179" s="52"/>
      <c r="U179" s="52"/>
      <c r="V179" s="52"/>
      <c r="W179" s="52"/>
      <c r="X179" s="52"/>
      <c r="Y179" s="52"/>
      <c r="Z179" s="52"/>
    </row>
    <row r="180">
      <c r="A180" s="59"/>
      <c r="B180" s="34"/>
      <c r="C180" s="52"/>
      <c r="D180" s="52"/>
      <c r="E180" s="52"/>
      <c r="F180" s="52"/>
      <c r="G180" s="52"/>
      <c r="H180" s="52"/>
      <c r="I180" s="52"/>
      <c r="J180" s="52"/>
      <c r="K180" s="52"/>
      <c r="L180" s="52"/>
      <c r="M180" s="52"/>
      <c r="N180" s="52"/>
      <c r="O180" s="52"/>
      <c r="P180" s="52"/>
      <c r="Q180" s="52"/>
      <c r="R180" s="52"/>
      <c r="S180" s="52"/>
      <c r="T180" s="52"/>
      <c r="U180" s="52"/>
      <c r="V180" s="52"/>
      <c r="W180" s="52"/>
      <c r="X180" s="52"/>
      <c r="Y180" s="52"/>
      <c r="Z180" s="52"/>
    </row>
    <row r="181">
      <c r="A181" s="59"/>
      <c r="B181" s="34"/>
      <c r="C181" s="52"/>
      <c r="D181" s="52"/>
      <c r="E181" s="52"/>
      <c r="F181" s="52"/>
      <c r="G181" s="52"/>
      <c r="H181" s="52"/>
      <c r="I181" s="52"/>
      <c r="J181" s="52"/>
      <c r="K181" s="52"/>
      <c r="L181" s="52"/>
      <c r="M181" s="52"/>
      <c r="N181" s="52"/>
      <c r="O181" s="52"/>
      <c r="P181" s="52"/>
      <c r="Q181" s="52"/>
      <c r="R181" s="52"/>
      <c r="S181" s="52"/>
      <c r="T181" s="52"/>
      <c r="U181" s="52"/>
      <c r="V181" s="52"/>
      <c r="W181" s="52"/>
      <c r="X181" s="52"/>
      <c r="Y181" s="52"/>
      <c r="Z181" s="52"/>
    </row>
    <row r="182">
      <c r="A182" s="59"/>
      <c r="B182" s="34"/>
      <c r="C182" s="52"/>
      <c r="D182" s="52"/>
      <c r="E182" s="52"/>
      <c r="F182" s="52"/>
      <c r="G182" s="52"/>
      <c r="H182" s="52"/>
      <c r="I182" s="52"/>
      <c r="J182" s="52"/>
      <c r="K182" s="52"/>
      <c r="L182" s="52"/>
      <c r="M182" s="52"/>
      <c r="N182" s="52"/>
      <c r="O182" s="52"/>
      <c r="P182" s="52"/>
      <c r="Q182" s="52"/>
      <c r="R182" s="52"/>
      <c r="S182" s="52"/>
      <c r="T182" s="52"/>
      <c r="U182" s="52"/>
      <c r="V182" s="52"/>
      <c r="W182" s="52"/>
      <c r="X182" s="52"/>
      <c r="Y182" s="52"/>
      <c r="Z182" s="52"/>
    </row>
    <row r="183">
      <c r="A183" s="59"/>
      <c r="B183" s="34"/>
      <c r="C183" s="52"/>
      <c r="D183" s="52"/>
      <c r="E183" s="52"/>
      <c r="F183" s="52"/>
      <c r="G183" s="52"/>
      <c r="H183" s="52"/>
      <c r="I183" s="52"/>
      <c r="J183" s="52"/>
      <c r="K183" s="52"/>
      <c r="L183" s="52"/>
      <c r="M183" s="52"/>
      <c r="N183" s="52"/>
      <c r="O183" s="52"/>
      <c r="P183" s="52"/>
      <c r="Q183" s="52"/>
      <c r="R183" s="52"/>
      <c r="S183" s="52"/>
      <c r="T183" s="52"/>
      <c r="U183" s="52"/>
      <c r="V183" s="52"/>
      <c r="W183" s="52"/>
      <c r="X183" s="52"/>
      <c r="Y183" s="52"/>
      <c r="Z183" s="52"/>
    </row>
    <row r="184">
      <c r="A184" s="59"/>
      <c r="B184" s="34"/>
      <c r="C184" s="52"/>
      <c r="D184" s="52"/>
      <c r="E184" s="52"/>
      <c r="F184" s="52"/>
      <c r="G184" s="52"/>
      <c r="H184" s="52"/>
      <c r="I184" s="52"/>
      <c r="J184" s="52"/>
      <c r="K184" s="52"/>
      <c r="L184" s="52"/>
      <c r="M184" s="52"/>
      <c r="N184" s="52"/>
      <c r="O184" s="52"/>
      <c r="P184" s="52"/>
      <c r="Q184" s="52"/>
      <c r="R184" s="52"/>
      <c r="S184" s="52"/>
      <c r="T184" s="52"/>
      <c r="U184" s="52"/>
      <c r="V184" s="52"/>
      <c r="W184" s="52"/>
      <c r="X184" s="52"/>
      <c r="Y184" s="52"/>
      <c r="Z184" s="52"/>
    </row>
    <row r="185">
      <c r="A185" s="59"/>
      <c r="B185" s="34"/>
      <c r="C185" s="52"/>
      <c r="D185" s="52"/>
      <c r="E185" s="52"/>
      <c r="F185" s="52"/>
      <c r="G185" s="52"/>
      <c r="H185" s="52"/>
      <c r="I185" s="52"/>
      <c r="J185" s="52"/>
      <c r="K185" s="52"/>
      <c r="L185" s="52"/>
      <c r="M185" s="52"/>
      <c r="N185" s="52"/>
      <c r="O185" s="52"/>
      <c r="P185" s="52"/>
      <c r="Q185" s="52"/>
      <c r="R185" s="52"/>
      <c r="S185" s="52"/>
      <c r="T185" s="52"/>
      <c r="U185" s="52"/>
      <c r="V185" s="52"/>
      <c r="W185" s="52"/>
      <c r="X185" s="52"/>
      <c r="Y185" s="52"/>
      <c r="Z185" s="52"/>
    </row>
    <row r="186">
      <c r="A186" s="59"/>
      <c r="B186" s="34"/>
      <c r="C186" s="52"/>
      <c r="D186" s="52"/>
      <c r="E186" s="52"/>
      <c r="F186" s="52"/>
      <c r="G186" s="52"/>
      <c r="H186" s="52"/>
      <c r="I186" s="52"/>
      <c r="J186" s="52"/>
      <c r="K186" s="52"/>
      <c r="L186" s="52"/>
      <c r="M186" s="52"/>
      <c r="N186" s="52"/>
      <c r="O186" s="52"/>
      <c r="P186" s="52"/>
      <c r="Q186" s="52"/>
      <c r="R186" s="52"/>
      <c r="S186" s="52"/>
      <c r="T186" s="52"/>
      <c r="U186" s="52"/>
      <c r="V186" s="52"/>
      <c r="W186" s="52"/>
      <c r="X186" s="52"/>
      <c r="Y186" s="52"/>
      <c r="Z186" s="52"/>
    </row>
    <row r="187">
      <c r="A187" s="59"/>
      <c r="B187" s="34"/>
      <c r="C187" s="52"/>
      <c r="D187" s="52"/>
      <c r="E187" s="52"/>
      <c r="F187" s="52"/>
      <c r="G187" s="52"/>
      <c r="H187" s="52"/>
      <c r="I187" s="52"/>
      <c r="J187" s="52"/>
      <c r="K187" s="52"/>
      <c r="L187" s="52"/>
      <c r="M187" s="52"/>
      <c r="N187" s="52"/>
      <c r="O187" s="52"/>
      <c r="P187" s="52"/>
      <c r="Q187" s="52"/>
      <c r="R187" s="52"/>
      <c r="S187" s="52"/>
      <c r="T187" s="52"/>
      <c r="U187" s="52"/>
      <c r="V187" s="52"/>
      <c r="W187" s="52"/>
      <c r="X187" s="52"/>
      <c r="Y187" s="52"/>
      <c r="Z187" s="52"/>
    </row>
    <row r="188">
      <c r="A188" s="59"/>
      <c r="B188" s="34"/>
      <c r="C188" s="52"/>
      <c r="D188" s="52"/>
      <c r="E188" s="52"/>
      <c r="F188" s="52"/>
      <c r="G188" s="52"/>
      <c r="H188" s="52"/>
      <c r="I188" s="52"/>
      <c r="J188" s="52"/>
      <c r="K188" s="52"/>
      <c r="L188" s="52"/>
      <c r="M188" s="52"/>
      <c r="N188" s="52"/>
      <c r="O188" s="52"/>
      <c r="P188" s="52"/>
      <c r="Q188" s="52"/>
      <c r="R188" s="52"/>
      <c r="S188" s="52"/>
      <c r="T188" s="52"/>
      <c r="U188" s="52"/>
      <c r="V188" s="52"/>
      <c r="W188" s="52"/>
      <c r="X188" s="52"/>
      <c r="Y188" s="52"/>
      <c r="Z188" s="52"/>
    </row>
    <row r="189">
      <c r="A189" s="59"/>
      <c r="B189" s="34"/>
      <c r="C189" s="52"/>
      <c r="D189" s="52"/>
      <c r="E189" s="52"/>
      <c r="F189" s="52"/>
      <c r="G189" s="52"/>
      <c r="H189" s="52"/>
      <c r="I189" s="52"/>
      <c r="J189" s="52"/>
      <c r="K189" s="52"/>
      <c r="L189" s="52"/>
      <c r="M189" s="52"/>
      <c r="N189" s="52"/>
      <c r="O189" s="52"/>
      <c r="P189" s="52"/>
      <c r="Q189" s="52"/>
      <c r="R189" s="52"/>
      <c r="S189" s="52"/>
      <c r="T189" s="52"/>
      <c r="U189" s="52"/>
      <c r="V189" s="52"/>
      <c r="W189" s="52"/>
      <c r="X189" s="52"/>
      <c r="Y189" s="52"/>
      <c r="Z189" s="52"/>
    </row>
    <row r="190">
      <c r="A190" s="59"/>
      <c r="B190" s="34"/>
      <c r="C190" s="52"/>
      <c r="D190" s="52"/>
      <c r="E190" s="52"/>
      <c r="F190" s="52"/>
      <c r="G190" s="52"/>
      <c r="H190" s="52"/>
      <c r="I190" s="52"/>
      <c r="J190" s="52"/>
      <c r="K190" s="52"/>
      <c r="L190" s="52"/>
      <c r="M190" s="52"/>
      <c r="N190" s="52"/>
      <c r="O190" s="52"/>
      <c r="P190" s="52"/>
      <c r="Q190" s="52"/>
      <c r="R190" s="52"/>
      <c r="S190" s="52"/>
      <c r="T190" s="52"/>
      <c r="U190" s="52"/>
      <c r="V190" s="52"/>
      <c r="W190" s="52"/>
      <c r="X190" s="52"/>
      <c r="Y190" s="52"/>
      <c r="Z190" s="52"/>
    </row>
    <row r="191">
      <c r="A191" s="59"/>
      <c r="B191" s="34"/>
      <c r="C191" s="52"/>
      <c r="D191" s="52"/>
      <c r="E191" s="52"/>
      <c r="F191" s="52"/>
      <c r="G191" s="52"/>
      <c r="H191" s="52"/>
      <c r="I191" s="52"/>
      <c r="J191" s="52"/>
      <c r="K191" s="52"/>
      <c r="L191" s="52"/>
      <c r="M191" s="52"/>
      <c r="N191" s="52"/>
      <c r="O191" s="52"/>
      <c r="P191" s="52"/>
      <c r="Q191" s="52"/>
      <c r="R191" s="52"/>
      <c r="S191" s="52"/>
      <c r="T191" s="52"/>
      <c r="U191" s="52"/>
      <c r="V191" s="52"/>
      <c r="W191" s="52"/>
      <c r="X191" s="52"/>
      <c r="Y191" s="52"/>
      <c r="Z191" s="52"/>
    </row>
    <row r="192">
      <c r="A192" s="59"/>
      <c r="B192" s="34"/>
      <c r="C192" s="52"/>
      <c r="D192" s="52"/>
      <c r="E192" s="52"/>
      <c r="F192" s="52"/>
      <c r="G192" s="52"/>
      <c r="H192" s="52"/>
      <c r="I192" s="52"/>
      <c r="J192" s="52"/>
      <c r="K192" s="52"/>
      <c r="L192" s="52"/>
      <c r="M192" s="52"/>
      <c r="N192" s="52"/>
      <c r="O192" s="52"/>
      <c r="P192" s="52"/>
      <c r="Q192" s="52"/>
      <c r="R192" s="52"/>
      <c r="S192" s="52"/>
      <c r="T192" s="52"/>
      <c r="U192" s="52"/>
      <c r="V192" s="52"/>
      <c r="W192" s="52"/>
      <c r="X192" s="52"/>
      <c r="Y192" s="52"/>
      <c r="Z192" s="52"/>
    </row>
    <row r="193">
      <c r="A193" s="59"/>
      <c r="B193" s="34"/>
      <c r="C193" s="52"/>
      <c r="D193" s="52"/>
      <c r="E193" s="52"/>
      <c r="F193" s="52"/>
      <c r="G193" s="52"/>
      <c r="H193" s="52"/>
      <c r="I193" s="52"/>
      <c r="J193" s="52"/>
      <c r="K193" s="52"/>
      <c r="L193" s="52"/>
      <c r="M193" s="52"/>
      <c r="N193" s="52"/>
      <c r="O193" s="52"/>
      <c r="P193" s="52"/>
      <c r="Q193" s="52"/>
      <c r="R193" s="52"/>
      <c r="S193" s="52"/>
      <c r="T193" s="52"/>
      <c r="U193" s="52"/>
      <c r="V193" s="52"/>
      <c r="W193" s="52"/>
      <c r="X193" s="52"/>
      <c r="Y193" s="52"/>
      <c r="Z193" s="52"/>
    </row>
    <row r="194">
      <c r="A194" s="59"/>
      <c r="B194" s="34"/>
      <c r="C194" s="52"/>
      <c r="D194" s="52"/>
      <c r="E194" s="52"/>
      <c r="F194" s="52"/>
      <c r="G194" s="52"/>
      <c r="H194" s="52"/>
      <c r="I194" s="52"/>
      <c r="J194" s="52"/>
      <c r="K194" s="52"/>
      <c r="L194" s="52"/>
      <c r="M194" s="52"/>
      <c r="N194" s="52"/>
      <c r="O194" s="52"/>
      <c r="P194" s="52"/>
      <c r="Q194" s="52"/>
      <c r="R194" s="52"/>
      <c r="S194" s="52"/>
      <c r="T194" s="52"/>
      <c r="U194" s="52"/>
      <c r="V194" s="52"/>
      <c r="W194" s="52"/>
      <c r="X194" s="52"/>
      <c r="Y194" s="52"/>
      <c r="Z194" s="52"/>
    </row>
    <row r="195">
      <c r="A195" s="59"/>
      <c r="B195" s="34"/>
      <c r="C195" s="52"/>
      <c r="D195" s="52"/>
      <c r="E195" s="52"/>
      <c r="F195" s="52"/>
      <c r="G195" s="52"/>
      <c r="H195" s="52"/>
      <c r="I195" s="52"/>
      <c r="J195" s="52"/>
      <c r="K195" s="52"/>
      <c r="L195" s="52"/>
      <c r="M195" s="52"/>
      <c r="N195" s="52"/>
      <c r="O195" s="52"/>
      <c r="P195" s="52"/>
      <c r="Q195" s="52"/>
      <c r="R195" s="52"/>
      <c r="S195" s="52"/>
      <c r="T195" s="52"/>
      <c r="U195" s="52"/>
      <c r="V195" s="52"/>
      <c r="W195" s="52"/>
      <c r="X195" s="52"/>
      <c r="Y195" s="52"/>
      <c r="Z195" s="52"/>
    </row>
    <row r="196">
      <c r="A196" s="59"/>
      <c r="B196" s="34"/>
      <c r="C196" s="52"/>
      <c r="D196" s="52"/>
      <c r="E196" s="52"/>
      <c r="F196" s="52"/>
      <c r="G196" s="52"/>
      <c r="H196" s="52"/>
      <c r="I196" s="52"/>
      <c r="J196" s="52"/>
      <c r="K196" s="52"/>
      <c r="L196" s="52"/>
      <c r="M196" s="52"/>
      <c r="N196" s="52"/>
      <c r="O196" s="52"/>
      <c r="P196" s="52"/>
      <c r="Q196" s="52"/>
      <c r="R196" s="52"/>
      <c r="S196" s="52"/>
      <c r="T196" s="52"/>
      <c r="U196" s="52"/>
      <c r="V196" s="52"/>
      <c r="W196" s="52"/>
      <c r="X196" s="52"/>
      <c r="Y196" s="52"/>
      <c r="Z196" s="52"/>
    </row>
    <row r="197">
      <c r="A197" s="59"/>
      <c r="B197" s="34"/>
      <c r="C197" s="52"/>
      <c r="D197" s="52"/>
      <c r="E197" s="52"/>
      <c r="F197" s="52"/>
      <c r="G197" s="52"/>
      <c r="H197" s="52"/>
      <c r="I197" s="52"/>
      <c r="J197" s="52"/>
      <c r="K197" s="52"/>
      <c r="L197" s="52"/>
      <c r="M197" s="52"/>
      <c r="N197" s="52"/>
      <c r="O197" s="52"/>
      <c r="P197" s="52"/>
      <c r="Q197" s="52"/>
      <c r="R197" s="52"/>
      <c r="S197" s="52"/>
      <c r="T197" s="52"/>
      <c r="U197" s="52"/>
      <c r="V197" s="52"/>
      <c r="W197" s="52"/>
      <c r="X197" s="52"/>
      <c r="Y197" s="52"/>
      <c r="Z197" s="52"/>
    </row>
    <row r="198">
      <c r="A198" s="59"/>
      <c r="B198" s="34"/>
      <c r="C198" s="52"/>
      <c r="D198" s="52"/>
      <c r="E198" s="52"/>
      <c r="F198" s="52"/>
      <c r="G198" s="52"/>
      <c r="H198" s="52"/>
      <c r="I198" s="52"/>
      <c r="J198" s="52"/>
      <c r="K198" s="52"/>
      <c r="L198" s="52"/>
      <c r="M198" s="52"/>
      <c r="N198" s="52"/>
      <c r="O198" s="52"/>
      <c r="P198" s="52"/>
      <c r="Q198" s="52"/>
      <c r="R198" s="52"/>
      <c r="S198" s="52"/>
      <c r="T198" s="52"/>
      <c r="U198" s="52"/>
      <c r="V198" s="52"/>
      <c r="W198" s="52"/>
      <c r="X198" s="52"/>
      <c r="Y198" s="52"/>
      <c r="Z198" s="52"/>
    </row>
    <row r="199">
      <c r="A199" s="59"/>
      <c r="B199" s="34"/>
      <c r="C199" s="52"/>
      <c r="D199" s="52"/>
      <c r="E199" s="52"/>
      <c r="F199" s="52"/>
      <c r="G199" s="52"/>
      <c r="H199" s="52"/>
      <c r="I199" s="52"/>
      <c r="J199" s="52"/>
      <c r="K199" s="52"/>
      <c r="L199" s="52"/>
      <c r="M199" s="52"/>
      <c r="N199" s="52"/>
      <c r="O199" s="52"/>
      <c r="P199" s="52"/>
      <c r="Q199" s="52"/>
      <c r="R199" s="52"/>
      <c r="S199" s="52"/>
      <c r="T199" s="52"/>
      <c r="U199" s="52"/>
      <c r="V199" s="52"/>
      <c r="W199" s="52"/>
      <c r="X199" s="52"/>
      <c r="Y199" s="52"/>
      <c r="Z199" s="52"/>
    </row>
    <row r="200">
      <c r="A200" s="59"/>
      <c r="B200" s="34"/>
      <c r="C200" s="52"/>
      <c r="D200" s="52"/>
      <c r="E200" s="52"/>
      <c r="F200" s="52"/>
      <c r="G200" s="52"/>
      <c r="H200" s="52"/>
      <c r="I200" s="52"/>
      <c r="J200" s="52"/>
      <c r="K200" s="52"/>
      <c r="L200" s="52"/>
      <c r="M200" s="52"/>
      <c r="N200" s="52"/>
      <c r="O200" s="52"/>
      <c r="P200" s="52"/>
      <c r="Q200" s="52"/>
      <c r="R200" s="52"/>
      <c r="S200" s="52"/>
      <c r="T200" s="52"/>
      <c r="U200" s="52"/>
      <c r="V200" s="52"/>
      <c r="W200" s="52"/>
      <c r="X200" s="52"/>
      <c r="Y200" s="52"/>
      <c r="Z200" s="52"/>
    </row>
    <row r="201">
      <c r="A201" s="59"/>
      <c r="B201" s="34"/>
      <c r="C201" s="52"/>
      <c r="D201" s="52"/>
      <c r="E201" s="52"/>
      <c r="F201" s="52"/>
      <c r="G201" s="52"/>
      <c r="H201" s="52"/>
      <c r="I201" s="52"/>
      <c r="J201" s="52"/>
      <c r="K201" s="52"/>
      <c r="L201" s="52"/>
      <c r="M201" s="52"/>
      <c r="N201" s="52"/>
      <c r="O201" s="52"/>
      <c r="P201" s="52"/>
      <c r="Q201" s="52"/>
      <c r="R201" s="52"/>
      <c r="S201" s="52"/>
      <c r="T201" s="52"/>
      <c r="U201" s="52"/>
      <c r="V201" s="52"/>
      <c r="W201" s="52"/>
      <c r="X201" s="52"/>
      <c r="Y201" s="52"/>
      <c r="Z201" s="52"/>
    </row>
    <row r="202">
      <c r="A202" s="59"/>
      <c r="B202" s="34"/>
      <c r="C202" s="52"/>
      <c r="D202" s="52"/>
      <c r="E202" s="52"/>
      <c r="F202" s="52"/>
      <c r="G202" s="52"/>
      <c r="H202" s="52"/>
      <c r="I202" s="52"/>
      <c r="J202" s="52"/>
      <c r="K202" s="52"/>
      <c r="L202" s="52"/>
      <c r="M202" s="52"/>
      <c r="N202" s="52"/>
      <c r="O202" s="52"/>
      <c r="P202" s="52"/>
      <c r="Q202" s="52"/>
      <c r="R202" s="52"/>
      <c r="S202" s="52"/>
      <c r="T202" s="52"/>
      <c r="U202" s="52"/>
      <c r="V202" s="52"/>
      <c r="W202" s="52"/>
      <c r="X202" s="52"/>
      <c r="Y202" s="52"/>
      <c r="Z202" s="52"/>
    </row>
    <row r="203">
      <c r="A203" s="59"/>
      <c r="B203" s="34"/>
      <c r="C203" s="52"/>
      <c r="D203" s="52"/>
      <c r="E203" s="52"/>
      <c r="F203" s="52"/>
      <c r="G203" s="52"/>
      <c r="H203" s="52"/>
      <c r="I203" s="52"/>
      <c r="J203" s="52"/>
      <c r="K203" s="52"/>
      <c r="L203" s="52"/>
      <c r="M203" s="52"/>
      <c r="N203" s="52"/>
      <c r="O203" s="52"/>
      <c r="P203" s="52"/>
      <c r="Q203" s="52"/>
      <c r="R203" s="52"/>
      <c r="S203" s="52"/>
      <c r="T203" s="52"/>
      <c r="U203" s="52"/>
      <c r="V203" s="52"/>
      <c r="W203" s="52"/>
      <c r="X203" s="52"/>
      <c r="Y203" s="52"/>
      <c r="Z203" s="52"/>
    </row>
    <row r="204">
      <c r="A204" s="59"/>
      <c r="B204" s="34"/>
      <c r="C204" s="52"/>
      <c r="D204" s="52"/>
      <c r="E204" s="52"/>
      <c r="F204" s="52"/>
      <c r="G204" s="52"/>
      <c r="H204" s="52"/>
      <c r="I204" s="52"/>
      <c r="J204" s="52"/>
      <c r="K204" s="52"/>
      <c r="L204" s="52"/>
      <c r="M204" s="52"/>
      <c r="N204" s="52"/>
      <c r="O204" s="52"/>
      <c r="P204" s="52"/>
      <c r="Q204" s="52"/>
      <c r="R204" s="52"/>
      <c r="S204" s="52"/>
      <c r="T204" s="52"/>
      <c r="U204" s="52"/>
      <c r="V204" s="52"/>
      <c r="W204" s="52"/>
      <c r="X204" s="52"/>
      <c r="Y204" s="52"/>
      <c r="Z204" s="52"/>
    </row>
    <row r="205">
      <c r="A205" s="59"/>
      <c r="B205" s="34"/>
      <c r="C205" s="52"/>
      <c r="D205" s="52"/>
      <c r="E205" s="52"/>
      <c r="F205" s="52"/>
      <c r="G205" s="52"/>
      <c r="H205" s="52"/>
      <c r="I205" s="52"/>
      <c r="J205" s="52"/>
      <c r="K205" s="52"/>
      <c r="L205" s="52"/>
      <c r="M205" s="52"/>
      <c r="N205" s="52"/>
      <c r="O205" s="52"/>
      <c r="P205" s="52"/>
      <c r="Q205" s="52"/>
      <c r="R205" s="52"/>
      <c r="S205" s="52"/>
      <c r="T205" s="52"/>
      <c r="U205" s="52"/>
      <c r="V205" s="52"/>
      <c r="W205" s="52"/>
      <c r="X205" s="52"/>
      <c r="Y205" s="52"/>
      <c r="Z205" s="52"/>
    </row>
    <row r="206">
      <c r="A206" s="59"/>
      <c r="B206" s="34"/>
      <c r="C206" s="52"/>
      <c r="D206" s="52"/>
      <c r="E206" s="52"/>
      <c r="F206" s="52"/>
      <c r="G206" s="52"/>
      <c r="H206" s="52"/>
      <c r="I206" s="52"/>
      <c r="J206" s="52"/>
      <c r="K206" s="52"/>
      <c r="L206" s="52"/>
      <c r="M206" s="52"/>
      <c r="N206" s="52"/>
      <c r="O206" s="52"/>
      <c r="P206" s="52"/>
      <c r="Q206" s="52"/>
      <c r="R206" s="52"/>
      <c r="S206" s="52"/>
      <c r="T206" s="52"/>
      <c r="U206" s="52"/>
      <c r="V206" s="52"/>
      <c r="W206" s="52"/>
      <c r="X206" s="52"/>
      <c r="Y206" s="52"/>
      <c r="Z206" s="52"/>
    </row>
    <row r="207">
      <c r="A207" s="59"/>
      <c r="B207" s="34"/>
      <c r="C207" s="52"/>
      <c r="D207" s="52"/>
      <c r="E207" s="52"/>
      <c r="F207" s="52"/>
      <c r="G207" s="52"/>
      <c r="H207" s="52"/>
      <c r="I207" s="52"/>
      <c r="J207" s="52"/>
      <c r="K207" s="52"/>
      <c r="L207" s="52"/>
      <c r="M207" s="52"/>
      <c r="N207" s="52"/>
      <c r="O207" s="52"/>
      <c r="P207" s="52"/>
      <c r="Q207" s="52"/>
      <c r="R207" s="52"/>
      <c r="S207" s="52"/>
      <c r="T207" s="52"/>
      <c r="U207" s="52"/>
      <c r="V207" s="52"/>
      <c r="W207" s="52"/>
      <c r="X207" s="52"/>
      <c r="Y207" s="52"/>
      <c r="Z207" s="52"/>
    </row>
    <row r="208">
      <c r="A208" s="59"/>
      <c r="B208" s="34"/>
      <c r="C208" s="52"/>
      <c r="D208" s="52"/>
      <c r="E208" s="52"/>
      <c r="F208" s="52"/>
      <c r="G208" s="52"/>
      <c r="H208" s="52"/>
      <c r="I208" s="52"/>
      <c r="J208" s="52"/>
      <c r="K208" s="52"/>
      <c r="L208" s="52"/>
      <c r="M208" s="52"/>
      <c r="N208" s="52"/>
      <c r="O208" s="52"/>
      <c r="P208" s="52"/>
      <c r="Q208" s="52"/>
      <c r="R208" s="52"/>
      <c r="S208" s="52"/>
      <c r="T208" s="52"/>
      <c r="U208" s="52"/>
      <c r="V208" s="52"/>
      <c r="W208" s="52"/>
      <c r="X208" s="52"/>
      <c r="Y208" s="52"/>
      <c r="Z208" s="52"/>
    </row>
    <row r="209">
      <c r="A209" s="59"/>
      <c r="B209" s="34"/>
      <c r="C209" s="52"/>
      <c r="D209" s="52"/>
      <c r="E209" s="52"/>
      <c r="F209" s="52"/>
      <c r="G209" s="52"/>
      <c r="H209" s="52"/>
      <c r="I209" s="52"/>
      <c r="J209" s="52"/>
      <c r="K209" s="52"/>
      <c r="L209" s="52"/>
      <c r="M209" s="52"/>
      <c r="N209" s="52"/>
      <c r="O209" s="52"/>
      <c r="P209" s="52"/>
      <c r="Q209" s="52"/>
      <c r="R209" s="52"/>
      <c r="S209" s="52"/>
      <c r="T209" s="52"/>
      <c r="U209" s="52"/>
      <c r="V209" s="52"/>
      <c r="W209" s="52"/>
      <c r="X209" s="52"/>
      <c r="Y209" s="52"/>
      <c r="Z209" s="52"/>
    </row>
    <row r="210">
      <c r="A210" s="59"/>
      <c r="B210" s="34"/>
      <c r="C210" s="52"/>
      <c r="D210" s="52"/>
      <c r="E210" s="52"/>
      <c r="F210" s="52"/>
      <c r="G210" s="52"/>
      <c r="H210" s="52"/>
      <c r="I210" s="52"/>
      <c r="J210" s="52"/>
      <c r="K210" s="52"/>
      <c r="L210" s="52"/>
      <c r="M210" s="52"/>
      <c r="N210" s="52"/>
      <c r="O210" s="52"/>
      <c r="P210" s="52"/>
      <c r="Q210" s="52"/>
      <c r="R210" s="52"/>
      <c r="S210" s="52"/>
      <c r="T210" s="52"/>
      <c r="U210" s="52"/>
      <c r="V210" s="52"/>
      <c r="W210" s="52"/>
      <c r="X210" s="52"/>
      <c r="Y210" s="52"/>
      <c r="Z210" s="52"/>
    </row>
    <row r="211">
      <c r="A211" s="59"/>
      <c r="B211" s="34"/>
      <c r="C211" s="52"/>
      <c r="D211" s="52"/>
      <c r="E211" s="52"/>
      <c r="F211" s="52"/>
      <c r="G211" s="52"/>
      <c r="H211" s="52"/>
      <c r="I211" s="52"/>
      <c r="J211" s="52"/>
      <c r="K211" s="52"/>
      <c r="L211" s="52"/>
      <c r="M211" s="52"/>
      <c r="N211" s="52"/>
      <c r="O211" s="52"/>
      <c r="P211" s="52"/>
      <c r="Q211" s="52"/>
      <c r="R211" s="52"/>
      <c r="S211" s="52"/>
      <c r="T211" s="52"/>
      <c r="U211" s="52"/>
      <c r="V211" s="52"/>
      <c r="W211" s="52"/>
      <c r="X211" s="52"/>
      <c r="Y211" s="52"/>
      <c r="Z211" s="52"/>
    </row>
    <row r="212">
      <c r="A212" s="59"/>
      <c r="B212" s="34"/>
      <c r="C212" s="52"/>
      <c r="D212" s="52"/>
      <c r="E212" s="52"/>
      <c r="F212" s="52"/>
      <c r="G212" s="52"/>
      <c r="H212" s="52"/>
      <c r="I212" s="52"/>
      <c r="J212" s="52"/>
      <c r="K212" s="52"/>
      <c r="L212" s="52"/>
      <c r="M212" s="52"/>
      <c r="N212" s="52"/>
      <c r="O212" s="52"/>
      <c r="P212" s="52"/>
      <c r="Q212" s="52"/>
      <c r="R212" s="52"/>
      <c r="S212" s="52"/>
      <c r="T212" s="52"/>
      <c r="U212" s="52"/>
      <c r="V212" s="52"/>
      <c r="W212" s="52"/>
      <c r="X212" s="52"/>
      <c r="Y212" s="52"/>
      <c r="Z212" s="52"/>
    </row>
    <row r="213">
      <c r="A213" s="59"/>
      <c r="B213" s="34"/>
      <c r="C213" s="52"/>
      <c r="D213" s="52"/>
      <c r="E213" s="52"/>
      <c r="F213" s="52"/>
      <c r="G213" s="52"/>
      <c r="H213" s="52"/>
      <c r="I213" s="52"/>
      <c r="J213" s="52"/>
      <c r="K213" s="52"/>
      <c r="L213" s="52"/>
      <c r="M213" s="52"/>
      <c r="N213" s="52"/>
      <c r="O213" s="52"/>
      <c r="P213" s="52"/>
      <c r="Q213" s="52"/>
      <c r="R213" s="52"/>
      <c r="S213" s="52"/>
      <c r="T213" s="52"/>
      <c r="U213" s="52"/>
      <c r="V213" s="52"/>
      <c r="W213" s="52"/>
      <c r="X213" s="52"/>
      <c r="Y213" s="52"/>
      <c r="Z213" s="52"/>
    </row>
    <row r="214">
      <c r="A214" s="59"/>
      <c r="B214" s="34"/>
      <c r="C214" s="52"/>
      <c r="D214" s="52"/>
      <c r="E214" s="52"/>
      <c r="F214" s="52"/>
      <c r="G214" s="52"/>
      <c r="H214" s="52"/>
      <c r="I214" s="52"/>
      <c r="J214" s="52"/>
      <c r="K214" s="52"/>
      <c r="L214" s="52"/>
      <c r="M214" s="52"/>
      <c r="N214" s="52"/>
      <c r="O214" s="52"/>
      <c r="P214" s="52"/>
      <c r="Q214" s="52"/>
      <c r="R214" s="52"/>
      <c r="S214" s="52"/>
      <c r="T214" s="52"/>
      <c r="U214" s="52"/>
      <c r="V214" s="52"/>
      <c r="W214" s="52"/>
      <c r="X214" s="52"/>
      <c r="Y214" s="52"/>
      <c r="Z214" s="52"/>
    </row>
    <row r="215">
      <c r="A215" s="59"/>
      <c r="B215" s="34"/>
      <c r="C215" s="52"/>
      <c r="D215" s="52"/>
      <c r="E215" s="52"/>
      <c r="F215" s="52"/>
      <c r="G215" s="52"/>
      <c r="H215" s="52"/>
      <c r="I215" s="52"/>
      <c r="J215" s="52"/>
      <c r="K215" s="52"/>
      <c r="L215" s="52"/>
      <c r="M215" s="52"/>
      <c r="N215" s="52"/>
      <c r="O215" s="52"/>
      <c r="P215" s="52"/>
      <c r="Q215" s="52"/>
      <c r="R215" s="52"/>
      <c r="S215" s="52"/>
      <c r="T215" s="52"/>
      <c r="U215" s="52"/>
      <c r="V215" s="52"/>
      <c r="W215" s="52"/>
      <c r="X215" s="52"/>
      <c r="Y215" s="52"/>
      <c r="Z215" s="52"/>
    </row>
    <row r="216">
      <c r="A216" s="59"/>
      <c r="B216" s="34"/>
      <c r="C216" s="52"/>
      <c r="D216" s="52"/>
      <c r="E216" s="52"/>
      <c r="F216" s="52"/>
      <c r="G216" s="52"/>
      <c r="H216" s="52"/>
      <c r="I216" s="52"/>
      <c r="J216" s="52"/>
      <c r="K216" s="52"/>
      <c r="L216" s="52"/>
      <c r="M216" s="52"/>
      <c r="N216" s="52"/>
      <c r="O216" s="52"/>
      <c r="P216" s="52"/>
      <c r="Q216" s="52"/>
      <c r="R216" s="52"/>
      <c r="S216" s="52"/>
      <c r="T216" s="52"/>
      <c r="U216" s="52"/>
      <c r="V216" s="52"/>
      <c r="W216" s="52"/>
      <c r="X216" s="52"/>
      <c r="Y216" s="52"/>
      <c r="Z216" s="52"/>
    </row>
    <row r="217">
      <c r="A217" s="59"/>
      <c r="B217" s="34"/>
      <c r="C217" s="52"/>
      <c r="D217" s="52"/>
      <c r="E217" s="52"/>
      <c r="F217" s="52"/>
      <c r="G217" s="52"/>
      <c r="H217" s="52"/>
      <c r="I217" s="52"/>
      <c r="J217" s="52"/>
      <c r="K217" s="52"/>
      <c r="L217" s="52"/>
      <c r="M217" s="52"/>
      <c r="N217" s="52"/>
      <c r="O217" s="52"/>
      <c r="P217" s="52"/>
      <c r="Q217" s="52"/>
      <c r="R217" s="52"/>
      <c r="S217" s="52"/>
      <c r="T217" s="52"/>
      <c r="U217" s="52"/>
      <c r="V217" s="52"/>
      <c r="W217" s="52"/>
      <c r="X217" s="52"/>
      <c r="Y217" s="52"/>
      <c r="Z217" s="52"/>
    </row>
    <row r="218">
      <c r="A218" s="59"/>
      <c r="B218" s="34"/>
      <c r="C218" s="52"/>
      <c r="D218" s="52"/>
      <c r="E218" s="52"/>
      <c r="F218" s="52"/>
      <c r="G218" s="52"/>
      <c r="H218" s="52"/>
      <c r="I218" s="52"/>
      <c r="J218" s="52"/>
      <c r="K218" s="52"/>
      <c r="L218" s="52"/>
      <c r="M218" s="52"/>
      <c r="N218" s="52"/>
      <c r="O218" s="52"/>
      <c r="P218" s="52"/>
      <c r="Q218" s="52"/>
      <c r="R218" s="52"/>
      <c r="S218" s="52"/>
      <c r="T218" s="52"/>
      <c r="U218" s="52"/>
      <c r="V218" s="52"/>
      <c r="W218" s="52"/>
      <c r="X218" s="52"/>
      <c r="Y218" s="52"/>
      <c r="Z218" s="52"/>
    </row>
    <row r="219">
      <c r="A219" s="59"/>
      <c r="B219" s="34"/>
      <c r="C219" s="52"/>
      <c r="D219" s="52"/>
      <c r="E219" s="52"/>
      <c r="F219" s="52"/>
      <c r="G219" s="52"/>
      <c r="H219" s="52"/>
      <c r="I219" s="52"/>
      <c r="J219" s="52"/>
      <c r="K219" s="52"/>
      <c r="L219" s="52"/>
      <c r="M219" s="52"/>
      <c r="N219" s="52"/>
      <c r="O219" s="52"/>
      <c r="P219" s="52"/>
      <c r="Q219" s="52"/>
      <c r="R219" s="52"/>
      <c r="S219" s="52"/>
      <c r="T219" s="52"/>
      <c r="U219" s="52"/>
      <c r="V219" s="52"/>
      <c r="W219" s="52"/>
      <c r="X219" s="52"/>
      <c r="Y219" s="52"/>
      <c r="Z219" s="52"/>
    </row>
    <row r="220">
      <c r="A220" s="59"/>
      <c r="B220" s="34"/>
      <c r="C220" s="52"/>
      <c r="D220" s="52"/>
      <c r="E220" s="52"/>
      <c r="F220" s="52"/>
      <c r="G220" s="52"/>
      <c r="H220" s="52"/>
      <c r="I220" s="52"/>
      <c r="J220" s="52"/>
      <c r="K220" s="52"/>
      <c r="L220" s="52"/>
      <c r="M220" s="52"/>
      <c r="N220" s="52"/>
      <c r="O220" s="52"/>
      <c r="P220" s="52"/>
      <c r="Q220" s="52"/>
      <c r="R220" s="52"/>
      <c r="S220" s="52"/>
      <c r="T220" s="52"/>
      <c r="U220" s="52"/>
      <c r="V220" s="52"/>
      <c r="W220" s="52"/>
      <c r="X220" s="52"/>
      <c r="Y220" s="52"/>
      <c r="Z220" s="52"/>
    </row>
    <row r="221">
      <c r="A221" s="59"/>
      <c r="B221" s="34"/>
      <c r="C221" s="52"/>
      <c r="D221" s="52"/>
      <c r="E221" s="52"/>
      <c r="F221" s="52"/>
      <c r="G221" s="52"/>
      <c r="H221" s="52"/>
      <c r="I221" s="52"/>
      <c r="J221" s="52"/>
      <c r="K221" s="52"/>
      <c r="L221" s="52"/>
      <c r="M221" s="52"/>
      <c r="N221" s="52"/>
      <c r="O221" s="52"/>
      <c r="P221" s="52"/>
      <c r="Q221" s="52"/>
      <c r="R221" s="52"/>
      <c r="S221" s="52"/>
      <c r="T221" s="52"/>
      <c r="U221" s="52"/>
      <c r="V221" s="52"/>
      <c r="W221" s="52"/>
      <c r="X221" s="52"/>
      <c r="Y221" s="52"/>
      <c r="Z221" s="52"/>
    </row>
    <row r="222">
      <c r="A222" s="59"/>
      <c r="B222" s="34"/>
      <c r="C222" s="52"/>
      <c r="D222" s="52"/>
      <c r="E222" s="52"/>
      <c r="F222" s="52"/>
      <c r="G222" s="52"/>
      <c r="H222" s="52"/>
      <c r="I222" s="52"/>
      <c r="J222" s="52"/>
      <c r="K222" s="52"/>
      <c r="L222" s="52"/>
      <c r="M222" s="52"/>
      <c r="N222" s="52"/>
      <c r="O222" s="52"/>
      <c r="P222" s="52"/>
      <c r="Q222" s="52"/>
      <c r="R222" s="52"/>
      <c r="S222" s="52"/>
      <c r="T222" s="52"/>
      <c r="U222" s="52"/>
      <c r="V222" s="52"/>
      <c r="W222" s="52"/>
      <c r="X222" s="52"/>
      <c r="Y222" s="52"/>
      <c r="Z222" s="52"/>
    </row>
    <row r="223">
      <c r="A223" s="59"/>
      <c r="B223" s="34"/>
      <c r="C223" s="52"/>
      <c r="D223" s="52"/>
      <c r="E223" s="52"/>
      <c r="F223" s="52"/>
      <c r="G223" s="52"/>
      <c r="H223" s="52"/>
      <c r="I223" s="52"/>
      <c r="J223" s="52"/>
      <c r="K223" s="52"/>
      <c r="L223" s="52"/>
      <c r="M223" s="52"/>
      <c r="N223" s="52"/>
      <c r="O223" s="52"/>
      <c r="P223" s="52"/>
      <c r="Q223" s="52"/>
      <c r="R223" s="52"/>
      <c r="S223" s="52"/>
      <c r="T223" s="52"/>
      <c r="U223" s="52"/>
      <c r="V223" s="52"/>
      <c r="W223" s="52"/>
      <c r="X223" s="52"/>
      <c r="Y223" s="52"/>
      <c r="Z223" s="52"/>
    </row>
    <row r="224">
      <c r="A224" s="59"/>
      <c r="B224" s="34"/>
      <c r="C224" s="52"/>
      <c r="D224" s="52"/>
      <c r="E224" s="52"/>
      <c r="F224" s="52"/>
      <c r="G224" s="52"/>
      <c r="H224" s="52"/>
      <c r="I224" s="52"/>
      <c r="J224" s="52"/>
      <c r="K224" s="52"/>
      <c r="L224" s="52"/>
      <c r="M224" s="52"/>
      <c r="N224" s="52"/>
      <c r="O224" s="52"/>
      <c r="P224" s="52"/>
      <c r="Q224" s="52"/>
      <c r="R224" s="52"/>
      <c r="S224" s="52"/>
      <c r="T224" s="52"/>
      <c r="U224" s="52"/>
      <c r="V224" s="52"/>
      <c r="W224" s="52"/>
      <c r="X224" s="52"/>
      <c r="Y224" s="52"/>
      <c r="Z224" s="52"/>
    </row>
    <row r="225">
      <c r="A225" s="59"/>
      <c r="B225" s="34"/>
      <c r="C225" s="52"/>
      <c r="D225" s="52"/>
      <c r="E225" s="52"/>
      <c r="F225" s="52"/>
      <c r="G225" s="52"/>
      <c r="H225" s="52"/>
      <c r="I225" s="52"/>
      <c r="J225" s="52"/>
      <c r="K225" s="52"/>
      <c r="L225" s="52"/>
      <c r="M225" s="52"/>
      <c r="N225" s="52"/>
      <c r="O225" s="52"/>
      <c r="P225" s="52"/>
      <c r="Q225" s="52"/>
      <c r="R225" s="52"/>
      <c r="S225" s="52"/>
      <c r="T225" s="52"/>
      <c r="U225" s="52"/>
      <c r="V225" s="52"/>
      <c r="W225" s="52"/>
      <c r="X225" s="52"/>
      <c r="Y225" s="52"/>
      <c r="Z225" s="52"/>
    </row>
    <row r="226">
      <c r="A226" s="59"/>
      <c r="B226" s="34"/>
      <c r="C226" s="52"/>
      <c r="D226" s="52"/>
      <c r="E226" s="52"/>
      <c r="F226" s="52"/>
      <c r="G226" s="52"/>
      <c r="H226" s="52"/>
      <c r="I226" s="52"/>
      <c r="J226" s="52"/>
      <c r="K226" s="52"/>
      <c r="L226" s="52"/>
      <c r="M226" s="52"/>
      <c r="N226" s="52"/>
      <c r="O226" s="52"/>
      <c r="P226" s="52"/>
      <c r="Q226" s="52"/>
      <c r="R226" s="52"/>
      <c r="S226" s="52"/>
      <c r="T226" s="52"/>
      <c r="U226" s="52"/>
      <c r="V226" s="52"/>
      <c r="W226" s="52"/>
      <c r="X226" s="52"/>
      <c r="Y226" s="52"/>
      <c r="Z226" s="52"/>
    </row>
    <row r="227">
      <c r="A227" s="59"/>
      <c r="B227" s="34"/>
      <c r="C227" s="52"/>
      <c r="D227" s="52"/>
      <c r="E227" s="52"/>
      <c r="F227" s="52"/>
      <c r="G227" s="52"/>
      <c r="H227" s="52"/>
      <c r="I227" s="52"/>
      <c r="J227" s="52"/>
      <c r="K227" s="52"/>
      <c r="L227" s="52"/>
      <c r="M227" s="52"/>
      <c r="N227" s="52"/>
      <c r="O227" s="52"/>
      <c r="P227" s="52"/>
      <c r="Q227" s="52"/>
      <c r="R227" s="52"/>
      <c r="S227" s="52"/>
      <c r="T227" s="52"/>
      <c r="U227" s="52"/>
      <c r="V227" s="52"/>
      <c r="W227" s="52"/>
      <c r="X227" s="52"/>
      <c r="Y227" s="52"/>
      <c r="Z227" s="52"/>
    </row>
    <row r="228">
      <c r="A228" s="59"/>
      <c r="B228" s="34"/>
      <c r="C228" s="52"/>
      <c r="D228" s="52"/>
      <c r="E228" s="52"/>
      <c r="F228" s="52"/>
      <c r="G228" s="52"/>
      <c r="H228" s="52"/>
      <c r="I228" s="52"/>
      <c r="J228" s="52"/>
      <c r="K228" s="52"/>
      <c r="L228" s="52"/>
      <c r="M228" s="52"/>
      <c r="N228" s="52"/>
      <c r="O228" s="52"/>
      <c r="P228" s="52"/>
      <c r="Q228" s="52"/>
      <c r="R228" s="52"/>
      <c r="S228" s="52"/>
      <c r="T228" s="52"/>
      <c r="U228" s="52"/>
      <c r="V228" s="52"/>
      <c r="W228" s="52"/>
      <c r="X228" s="52"/>
      <c r="Y228" s="52"/>
      <c r="Z228" s="52"/>
    </row>
    <row r="229">
      <c r="A229" s="59"/>
      <c r="B229" s="34"/>
      <c r="C229" s="52"/>
      <c r="D229" s="52"/>
      <c r="E229" s="52"/>
      <c r="F229" s="52"/>
      <c r="G229" s="52"/>
      <c r="H229" s="52"/>
      <c r="I229" s="52"/>
      <c r="J229" s="52"/>
      <c r="K229" s="52"/>
      <c r="L229" s="52"/>
      <c r="M229" s="52"/>
      <c r="N229" s="52"/>
      <c r="O229" s="52"/>
      <c r="P229" s="52"/>
      <c r="Q229" s="52"/>
      <c r="R229" s="52"/>
      <c r="S229" s="52"/>
      <c r="T229" s="52"/>
      <c r="U229" s="52"/>
      <c r="V229" s="52"/>
      <c r="W229" s="52"/>
      <c r="X229" s="52"/>
      <c r="Y229" s="52"/>
      <c r="Z229" s="52"/>
    </row>
    <row r="230">
      <c r="A230" s="59"/>
      <c r="B230" s="34"/>
      <c r="C230" s="52"/>
      <c r="D230" s="52"/>
      <c r="E230" s="52"/>
      <c r="F230" s="52"/>
      <c r="G230" s="52"/>
      <c r="H230" s="52"/>
      <c r="I230" s="52"/>
      <c r="J230" s="52"/>
      <c r="K230" s="52"/>
      <c r="L230" s="52"/>
      <c r="M230" s="52"/>
      <c r="N230" s="52"/>
      <c r="O230" s="52"/>
      <c r="P230" s="52"/>
      <c r="Q230" s="52"/>
      <c r="R230" s="52"/>
      <c r="S230" s="52"/>
      <c r="T230" s="52"/>
      <c r="U230" s="52"/>
      <c r="V230" s="52"/>
      <c r="W230" s="52"/>
      <c r="X230" s="52"/>
      <c r="Y230" s="52"/>
      <c r="Z230" s="52"/>
    </row>
    <row r="231">
      <c r="A231" s="59"/>
      <c r="B231" s="34"/>
      <c r="C231" s="52"/>
      <c r="D231" s="52"/>
      <c r="E231" s="52"/>
      <c r="F231" s="52"/>
      <c r="G231" s="52"/>
      <c r="H231" s="52"/>
      <c r="I231" s="52"/>
      <c r="J231" s="52"/>
      <c r="K231" s="52"/>
      <c r="L231" s="52"/>
      <c r="M231" s="52"/>
      <c r="N231" s="52"/>
      <c r="O231" s="52"/>
      <c r="P231" s="52"/>
      <c r="Q231" s="52"/>
      <c r="R231" s="52"/>
      <c r="S231" s="52"/>
      <c r="T231" s="52"/>
      <c r="U231" s="52"/>
      <c r="V231" s="52"/>
      <c r="W231" s="52"/>
      <c r="X231" s="52"/>
      <c r="Y231" s="52"/>
      <c r="Z231" s="52"/>
    </row>
    <row r="232">
      <c r="A232" s="59"/>
      <c r="B232" s="34"/>
      <c r="C232" s="52"/>
      <c r="D232" s="52"/>
      <c r="E232" s="52"/>
      <c r="F232" s="52"/>
      <c r="G232" s="52"/>
      <c r="H232" s="52"/>
      <c r="I232" s="52"/>
      <c r="J232" s="52"/>
      <c r="K232" s="52"/>
      <c r="L232" s="52"/>
      <c r="M232" s="52"/>
      <c r="N232" s="52"/>
      <c r="O232" s="52"/>
      <c r="P232" s="52"/>
      <c r="Q232" s="52"/>
      <c r="R232" s="52"/>
      <c r="S232" s="52"/>
      <c r="T232" s="52"/>
      <c r="U232" s="52"/>
      <c r="V232" s="52"/>
      <c r="W232" s="52"/>
      <c r="X232" s="52"/>
      <c r="Y232" s="52"/>
      <c r="Z232" s="52"/>
    </row>
    <row r="233">
      <c r="A233" s="59"/>
      <c r="B233" s="34"/>
      <c r="C233" s="52"/>
      <c r="D233" s="52"/>
      <c r="E233" s="52"/>
      <c r="F233" s="52"/>
      <c r="G233" s="52"/>
      <c r="H233" s="52"/>
      <c r="I233" s="52"/>
      <c r="J233" s="52"/>
      <c r="K233" s="52"/>
      <c r="L233" s="52"/>
      <c r="M233" s="52"/>
      <c r="N233" s="52"/>
      <c r="O233" s="52"/>
      <c r="P233" s="52"/>
      <c r="Q233" s="52"/>
      <c r="R233" s="52"/>
      <c r="S233" s="52"/>
      <c r="T233" s="52"/>
      <c r="U233" s="52"/>
      <c r="V233" s="52"/>
      <c r="W233" s="52"/>
      <c r="X233" s="52"/>
      <c r="Y233" s="52"/>
      <c r="Z233" s="52"/>
    </row>
    <row r="234">
      <c r="A234" s="59"/>
      <c r="B234" s="34"/>
      <c r="C234" s="52"/>
      <c r="D234" s="52"/>
      <c r="E234" s="52"/>
      <c r="F234" s="52"/>
      <c r="G234" s="52"/>
      <c r="H234" s="52"/>
      <c r="I234" s="52"/>
      <c r="J234" s="52"/>
      <c r="K234" s="52"/>
      <c r="L234" s="52"/>
      <c r="M234" s="52"/>
      <c r="N234" s="52"/>
      <c r="O234" s="52"/>
      <c r="P234" s="52"/>
      <c r="Q234" s="52"/>
      <c r="R234" s="52"/>
      <c r="S234" s="52"/>
      <c r="T234" s="52"/>
      <c r="U234" s="52"/>
      <c r="V234" s="52"/>
      <c r="W234" s="52"/>
      <c r="X234" s="52"/>
      <c r="Y234" s="52"/>
      <c r="Z234" s="52"/>
    </row>
    <row r="235">
      <c r="A235" s="59"/>
      <c r="B235" s="34"/>
      <c r="C235" s="52"/>
      <c r="D235" s="52"/>
      <c r="E235" s="52"/>
      <c r="F235" s="52"/>
      <c r="G235" s="52"/>
      <c r="H235" s="52"/>
      <c r="I235" s="52"/>
      <c r="J235" s="52"/>
      <c r="K235" s="52"/>
      <c r="L235" s="52"/>
      <c r="M235" s="52"/>
      <c r="N235" s="52"/>
      <c r="O235" s="52"/>
      <c r="P235" s="52"/>
      <c r="Q235" s="52"/>
      <c r="R235" s="52"/>
      <c r="S235" s="52"/>
      <c r="T235" s="52"/>
      <c r="U235" s="52"/>
      <c r="V235" s="52"/>
      <c r="W235" s="52"/>
      <c r="X235" s="52"/>
      <c r="Y235" s="52"/>
      <c r="Z235" s="52"/>
    </row>
    <row r="236">
      <c r="A236" s="59"/>
      <c r="B236" s="34"/>
      <c r="C236" s="52"/>
      <c r="D236" s="52"/>
      <c r="E236" s="52"/>
      <c r="F236" s="52"/>
      <c r="G236" s="52"/>
      <c r="H236" s="52"/>
      <c r="I236" s="52"/>
      <c r="J236" s="52"/>
      <c r="K236" s="52"/>
      <c r="L236" s="52"/>
      <c r="M236" s="52"/>
      <c r="N236" s="52"/>
      <c r="O236" s="52"/>
      <c r="P236" s="52"/>
      <c r="Q236" s="52"/>
      <c r="R236" s="52"/>
      <c r="S236" s="52"/>
      <c r="T236" s="52"/>
      <c r="U236" s="52"/>
      <c r="V236" s="52"/>
      <c r="W236" s="52"/>
      <c r="X236" s="52"/>
      <c r="Y236" s="52"/>
      <c r="Z236" s="52"/>
    </row>
    <row r="237">
      <c r="A237" s="59"/>
      <c r="B237" s="34"/>
      <c r="C237" s="52"/>
      <c r="D237" s="52"/>
      <c r="E237" s="52"/>
      <c r="F237" s="52"/>
      <c r="G237" s="52"/>
      <c r="H237" s="52"/>
      <c r="I237" s="52"/>
      <c r="J237" s="52"/>
      <c r="K237" s="52"/>
      <c r="L237" s="52"/>
      <c r="M237" s="52"/>
      <c r="N237" s="52"/>
      <c r="O237" s="52"/>
      <c r="P237" s="52"/>
      <c r="Q237" s="52"/>
      <c r="R237" s="52"/>
      <c r="S237" s="52"/>
      <c r="T237" s="52"/>
      <c r="U237" s="52"/>
      <c r="V237" s="52"/>
      <c r="W237" s="52"/>
      <c r="X237" s="52"/>
      <c r="Y237" s="52"/>
      <c r="Z237" s="52"/>
    </row>
    <row r="238">
      <c r="A238" s="59"/>
      <c r="B238" s="34"/>
      <c r="C238" s="52"/>
      <c r="D238" s="52"/>
      <c r="E238" s="52"/>
      <c r="F238" s="52"/>
      <c r="G238" s="52"/>
      <c r="H238" s="52"/>
      <c r="I238" s="52"/>
      <c r="J238" s="52"/>
      <c r="K238" s="52"/>
      <c r="L238" s="52"/>
      <c r="M238" s="52"/>
      <c r="N238" s="52"/>
      <c r="O238" s="52"/>
      <c r="P238" s="52"/>
      <c r="Q238" s="52"/>
      <c r="R238" s="52"/>
      <c r="S238" s="52"/>
      <c r="T238" s="52"/>
      <c r="U238" s="52"/>
      <c r="V238" s="52"/>
      <c r="W238" s="52"/>
      <c r="X238" s="52"/>
      <c r="Y238" s="52"/>
      <c r="Z238" s="52"/>
    </row>
    <row r="239">
      <c r="A239" s="59"/>
      <c r="B239" s="34"/>
      <c r="C239" s="52"/>
      <c r="D239" s="52"/>
      <c r="E239" s="52"/>
      <c r="F239" s="52"/>
      <c r="G239" s="52"/>
      <c r="H239" s="52"/>
      <c r="I239" s="52"/>
      <c r="J239" s="52"/>
      <c r="K239" s="52"/>
      <c r="L239" s="52"/>
      <c r="M239" s="52"/>
      <c r="N239" s="52"/>
      <c r="O239" s="52"/>
      <c r="P239" s="52"/>
      <c r="Q239" s="52"/>
      <c r="R239" s="52"/>
      <c r="S239" s="52"/>
      <c r="T239" s="52"/>
      <c r="U239" s="52"/>
      <c r="V239" s="52"/>
      <c r="W239" s="52"/>
      <c r="X239" s="52"/>
      <c r="Y239" s="52"/>
      <c r="Z239" s="52"/>
    </row>
    <row r="240">
      <c r="A240" s="59"/>
      <c r="B240" s="34"/>
      <c r="C240" s="52"/>
      <c r="D240" s="52"/>
      <c r="E240" s="52"/>
      <c r="F240" s="52"/>
      <c r="G240" s="52"/>
      <c r="H240" s="52"/>
      <c r="I240" s="52"/>
      <c r="J240" s="52"/>
      <c r="K240" s="52"/>
      <c r="L240" s="52"/>
      <c r="M240" s="52"/>
      <c r="N240" s="52"/>
      <c r="O240" s="52"/>
      <c r="P240" s="52"/>
      <c r="Q240" s="52"/>
      <c r="R240" s="52"/>
      <c r="S240" s="52"/>
      <c r="T240" s="52"/>
      <c r="U240" s="52"/>
      <c r="V240" s="52"/>
      <c r="W240" s="52"/>
      <c r="X240" s="52"/>
      <c r="Y240" s="52"/>
      <c r="Z240" s="52"/>
    </row>
    <row r="241">
      <c r="A241" s="59"/>
      <c r="B241" s="34"/>
      <c r="C241" s="52"/>
      <c r="D241" s="52"/>
      <c r="E241" s="52"/>
      <c r="F241" s="52"/>
      <c r="G241" s="52"/>
      <c r="H241" s="52"/>
      <c r="I241" s="52"/>
      <c r="J241" s="52"/>
      <c r="K241" s="52"/>
      <c r="L241" s="52"/>
      <c r="M241" s="52"/>
      <c r="N241" s="52"/>
      <c r="O241" s="52"/>
      <c r="P241" s="52"/>
      <c r="Q241" s="52"/>
      <c r="R241" s="52"/>
      <c r="S241" s="52"/>
      <c r="T241" s="52"/>
      <c r="U241" s="52"/>
      <c r="V241" s="52"/>
      <c r="W241" s="52"/>
      <c r="X241" s="52"/>
      <c r="Y241" s="52"/>
      <c r="Z241" s="52"/>
    </row>
    <row r="242">
      <c r="A242" s="59"/>
      <c r="B242" s="34"/>
      <c r="C242" s="52"/>
      <c r="D242" s="52"/>
      <c r="E242" s="52"/>
      <c r="F242" s="52"/>
      <c r="G242" s="52"/>
      <c r="H242" s="52"/>
      <c r="I242" s="52"/>
      <c r="J242" s="52"/>
      <c r="K242" s="52"/>
      <c r="L242" s="52"/>
      <c r="M242" s="52"/>
      <c r="N242" s="52"/>
      <c r="O242" s="52"/>
      <c r="P242" s="52"/>
      <c r="Q242" s="52"/>
      <c r="R242" s="52"/>
      <c r="S242" s="52"/>
      <c r="T242" s="52"/>
      <c r="U242" s="52"/>
      <c r="V242" s="52"/>
      <c r="W242" s="52"/>
      <c r="X242" s="52"/>
      <c r="Y242" s="52"/>
      <c r="Z242" s="52"/>
    </row>
    <row r="243">
      <c r="A243" s="59"/>
      <c r="B243" s="34"/>
      <c r="C243" s="52"/>
      <c r="D243" s="52"/>
      <c r="E243" s="52"/>
      <c r="F243" s="52"/>
      <c r="G243" s="52"/>
      <c r="H243" s="52"/>
      <c r="I243" s="52"/>
      <c r="J243" s="52"/>
      <c r="K243" s="52"/>
      <c r="L243" s="52"/>
      <c r="M243" s="52"/>
      <c r="N243" s="52"/>
      <c r="O243" s="52"/>
      <c r="P243" s="52"/>
      <c r="Q243" s="52"/>
      <c r="R243" s="52"/>
      <c r="S243" s="52"/>
      <c r="T243" s="52"/>
      <c r="U243" s="52"/>
      <c r="V243" s="52"/>
      <c r="W243" s="52"/>
      <c r="X243" s="52"/>
      <c r="Y243" s="52"/>
      <c r="Z243" s="52"/>
    </row>
    <row r="244">
      <c r="A244" s="59"/>
      <c r="B244" s="34"/>
      <c r="C244" s="52"/>
      <c r="D244" s="52"/>
      <c r="E244" s="52"/>
      <c r="F244" s="52"/>
      <c r="G244" s="52"/>
      <c r="H244" s="52"/>
      <c r="I244" s="52"/>
      <c r="J244" s="52"/>
      <c r="K244" s="52"/>
      <c r="L244" s="52"/>
      <c r="M244" s="52"/>
      <c r="N244" s="52"/>
      <c r="O244" s="52"/>
      <c r="P244" s="52"/>
      <c r="Q244" s="52"/>
      <c r="R244" s="52"/>
      <c r="S244" s="52"/>
      <c r="T244" s="52"/>
      <c r="U244" s="52"/>
      <c r="V244" s="52"/>
      <c r="W244" s="52"/>
      <c r="X244" s="52"/>
      <c r="Y244" s="52"/>
      <c r="Z244" s="52"/>
    </row>
    <row r="245">
      <c r="A245" s="59"/>
      <c r="B245" s="34"/>
      <c r="C245" s="52"/>
      <c r="D245" s="52"/>
      <c r="E245" s="52"/>
      <c r="F245" s="52"/>
      <c r="G245" s="52"/>
      <c r="H245" s="52"/>
      <c r="I245" s="52"/>
      <c r="J245" s="52"/>
      <c r="K245" s="52"/>
      <c r="L245" s="52"/>
      <c r="M245" s="52"/>
      <c r="N245" s="52"/>
      <c r="O245" s="52"/>
      <c r="P245" s="52"/>
      <c r="Q245" s="52"/>
      <c r="R245" s="52"/>
      <c r="S245" s="52"/>
      <c r="T245" s="52"/>
      <c r="U245" s="52"/>
      <c r="V245" s="52"/>
      <c r="W245" s="52"/>
      <c r="X245" s="52"/>
      <c r="Y245" s="52"/>
      <c r="Z245" s="52"/>
    </row>
    <row r="246">
      <c r="A246" s="59"/>
      <c r="B246" s="34"/>
      <c r="C246" s="52"/>
      <c r="D246" s="52"/>
      <c r="E246" s="52"/>
      <c r="F246" s="52"/>
      <c r="G246" s="52"/>
      <c r="H246" s="52"/>
      <c r="I246" s="52"/>
      <c r="J246" s="52"/>
      <c r="K246" s="52"/>
      <c r="L246" s="52"/>
      <c r="M246" s="52"/>
      <c r="N246" s="52"/>
      <c r="O246" s="52"/>
      <c r="P246" s="52"/>
      <c r="Q246" s="52"/>
      <c r="R246" s="52"/>
      <c r="S246" s="52"/>
      <c r="T246" s="52"/>
      <c r="U246" s="52"/>
      <c r="V246" s="52"/>
      <c r="W246" s="52"/>
      <c r="X246" s="52"/>
      <c r="Y246" s="52"/>
      <c r="Z246" s="52"/>
    </row>
    <row r="247">
      <c r="A247" s="59"/>
      <c r="B247" s="34"/>
      <c r="C247" s="52"/>
      <c r="D247" s="52"/>
      <c r="E247" s="52"/>
      <c r="F247" s="52"/>
      <c r="G247" s="52"/>
      <c r="H247" s="52"/>
      <c r="I247" s="52"/>
      <c r="J247" s="52"/>
      <c r="K247" s="52"/>
      <c r="L247" s="52"/>
      <c r="M247" s="52"/>
      <c r="N247" s="52"/>
      <c r="O247" s="52"/>
      <c r="P247" s="52"/>
      <c r="Q247" s="52"/>
      <c r="R247" s="52"/>
      <c r="S247" s="52"/>
      <c r="T247" s="52"/>
      <c r="U247" s="52"/>
      <c r="V247" s="52"/>
      <c r="W247" s="52"/>
      <c r="X247" s="52"/>
      <c r="Y247" s="52"/>
      <c r="Z247" s="52"/>
    </row>
    <row r="248">
      <c r="A248" s="59"/>
      <c r="B248" s="34"/>
      <c r="C248" s="52"/>
      <c r="D248" s="52"/>
      <c r="E248" s="52"/>
      <c r="F248" s="52"/>
      <c r="G248" s="52"/>
      <c r="H248" s="52"/>
      <c r="I248" s="52"/>
      <c r="J248" s="52"/>
      <c r="K248" s="52"/>
      <c r="L248" s="52"/>
      <c r="M248" s="52"/>
      <c r="N248" s="52"/>
      <c r="O248" s="52"/>
      <c r="P248" s="52"/>
      <c r="Q248" s="52"/>
      <c r="R248" s="52"/>
      <c r="S248" s="52"/>
      <c r="T248" s="52"/>
      <c r="U248" s="52"/>
      <c r="V248" s="52"/>
      <c r="W248" s="52"/>
      <c r="X248" s="52"/>
      <c r="Y248" s="52"/>
      <c r="Z248" s="52"/>
    </row>
    <row r="249">
      <c r="A249" s="59"/>
      <c r="B249" s="34"/>
      <c r="C249" s="52"/>
      <c r="D249" s="52"/>
      <c r="E249" s="52"/>
      <c r="F249" s="52"/>
      <c r="G249" s="52"/>
      <c r="H249" s="52"/>
      <c r="I249" s="52"/>
      <c r="J249" s="52"/>
      <c r="K249" s="52"/>
      <c r="L249" s="52"/>
      <c r="M249" s="52"/>
      <c r="N249" s="52"/>
      <c r="O249" s="52"/>
      <c r="P249" s="52"/>
      <c r="Q249" s="52"/>
      <c r="R249" s="52"/>
      <c r="S249" s="52"/>
      <c r="T249" s="52"/>
      <c r="U249" s="52"/>
      <c r="V249" s="52"/>
      <c r="W249" s="52"/>
      <c r="X249" s="52"/>
      <c r="Y249" s="52"/>
      <c r="Z249" s="52"/>
    </row>
    <row r="250">
      <c r="A250" s="59"/>
      <c r="B250" s="34"/>
      <c r="C250" s="52"/>
      <c r="D250" s="52"/>
      <c r="E250" s="52"/>
      <c r="F250" s="52"/>
      <c r="G250" s="52"/>
      <c r="H250" s="52"/>
      <c r="I250" s="52"/>
      <c r="J250" s="52"/>
      <c r="K250" s="52"/>
      <c r="L250" s="52"/>
      <c r="M250" s="52"/>
      <c r="N250" s="52"/>
      <c r="O250" s="52"/>
      <c r="P250" s="52"/>
      <c r="Q250" s="52"/>
      <c r="R250" s="52"/>
      <c r="S250" s="52"/>
      <c r="T250" s="52"/>
      <c r="U250" s="52"/>
      <c r="V250" s="52"/>
      <c r="W250" s="52"/>
      <c r="X250" s="52"/>
      <c r="Y250" s="52"/>
      <c r="Z250" s="52"/>
    </row>
    <row r="251">
      <c r="A251" s="59"/>
      <c r="B251" s="34"/>
      <c r="C251" s="52"/>
      <c r="D251" s="52"/>
      <c r="E251" s="52"/>
      <c r="F251" s="52"/>
      <c r="G251" s="52"/>
      <c r="H251" s="52"/>
      <c r="I251" s="52"/>
      <c r="J251" s="52"/>
      <c r="K251" s="52"/>
      <c r="L251" s="52"/>
      <c r="M251" s="52"/>
      <c r="N251" s="52"/>
      <c r="O251" s="52"/>
      <c r="P251" s="52"/>
      <c r="Q251" s="52"/>
      <c r="R251" s="52"/>
      <c r="S251" s="52"/>
      <c r="T251" s="52"/>
      <c r="U251" s="52"/>
      <c r="V251" s="52"/>
      <c r="W251" s="52"/>
      <c r="X251" s="52"/>
      <c r="Y251" s="52"/>
      <c r="Z251" s="52"/>
    </row>
    <row r="252">
      <c r="A252" s="59"/>
      <c r="B252" s="34"/>
      <c r="C252" s="52"/>
      <c r="D252" s="52"/>
      <c r="E252" s="52"/>
      <c r="F252" s="52"/>
      <c r="G252" s="52"/>
      <c r="H252" s="52"/>
      <c r="I252" s="52"/>
      <c r="J252" s="52"/>
      <c r="K252" s="52"/>
      <c r="L252" s="52"/>
      <c r="M252" s="52"/>
      <c r="N252" s="52"/>
      <c r="O252" s="52"/>
      <c r="P252" s="52"/>
      <c r="Q252" s="52"/>
      <c r="R252" s="52"/>
      <c r="S252" s="52"/>
      <c r="T252" s="52"/>
      <c r="U252" s="52"/>
      <c r="V252" s="52"/>
      <c r="W252" s="52"/>
      <c r="X252" s="52"/>
      <c r="Y252" s="52"/>
      <c r="Z252" s="52"/>
    </row>
    <row r="253">
      <c r="A253" s="59"/>
      <c r="B253" s="34"/>
      <c r="C253" s="52"/>
      <c r="D253" s="52"/>
      <c r="E253" s="52"/>
      <c r="F253" s="52"/>
      <c r="G253" s="52"/>
      <c r="H253" s="52"/>
      <c r="I253" s="52"/>
      <c r="J253" s="52"/>
      <c r="K253" s="52"/>
      <c r="L253" s="52"/>
      <c r="M253" s="52"/>
      <c r="N253" s="52"/>
      <c r="O253" s="52"/>
      <c r="P253" s="52"/>
      <c r="Q253" s="52"/>
      <c r="R253" s="52"/>
      <c r="S253" s="52"/>
      <c r="T253" s="52"/>
      <c r="U253" s="52"/>
      <c r="V253" s="52"/>
      <c r="W253" s="52"/>
      <c r="X253" s="52"/>
      <c r="Y253" s="52"/>
      <c r="Z253" s="52"/>
    </row>
    <row r="254">
      <c r="A254" s="59"/>
      <c r="B254" s="34"/>
      <c r="C254" s="52"/>
      <c r="D254" s="52"/>
      <c r="E254" s="52"/>
      <c r="F254" s="52"/>
      <c r="G254" s="52"/>
      <c r="H254" s="52"/>
      <c r="I254" s="52"/>
      <c r="J254" s="52"/>
      <c r="K254" s="52"/>
      <c r="L254" s="52"/>
      <c r="M254" s="52"/>
      <c r="N254" s="52"/>
      <c r="O254" s="52"/>
      <c r="P254" s="52"/>
      <c r="Q254" s="52"/>
      <c r="R254" s="52"/>
      <c r="S254" s="52"/>
      <c r="T254" s="52"/>
      <c r="U254" s="52"/>
      <c r="V254" s="52"/>
      <c r="W254" s="52"/>
      <c r="X254" s="52"/>
      <c r="Y254" s="52"/>
      <c r="Z254" s="52"/>
    </row>
    <row r="255">
      <c r="A255" s="59"/>
      <c r="B255" s="34"/>
      <c r="C255" s="52"/>
      <c r="D255" s="52"/>
      <c r="E255" s="52"/>
      <c r="F255" s="52"/>
      <c r="G255" s="52"/>
      <c r="H255" s="52"/>
      <c r="I255" s="52"/>
      <c r="J255" s="52"/>
      <c r="K255" s="52"/>
      <c r="L255" s="52"/>
      <c r="M255" s="52"/>
      <c r="N255" s="52"/>
      <c r="O255" s="52"/>
      <c r="P255" s="52"/>
      <c r="Q255" s="52"/>
      <c r="R255" s="52"/>
      <c r="S255" s="52"/>
      <c r="T255" s="52"/>
      <c r="U255" s="52"/>
      <c r="V255" s="52"/>
      <c r="W255" s="52"/>
      <c r="X255" s="52"/>
      <c r="Y255" s="52"/>
      <c r="Z255" s="52"/>
    </row>
    <row r="256">
      <c r="A256" s="59"/>
      <c r="B256" s="34"/>
      <c r="C256" s="52"/>
      <c r="D256" s="52"/>
      <c r="E256" s="52"/>
      <c r="F256" s="52"/>
      <c r="G256" s="52"/>
      <c r="H256" s="52"/>
      <c r="I256" s="52"/>
      <c r="J256" s="52"/>
      <c r="K256" s="52"/>
      <c r="L256" s="52"/>
      <c r="M256" s="52"/>
      <c r="N256" s="52"/>
      <c r="O256" s="52"/>
      <c r="P256" s="52"/>
      <c r="Q256" s="52"/>
      <c r="R256" s="52"/>
      <c r="S256" s="52"/>
      <c r="T256" s="52"/>
      <c r="U256" s="52"/>
      <c r="V256" s="52"/>
      <c r="W256" s="52"/>
      <c r="X256" s="52"/>
      <c r="Y256" s="52"/>
      <c r="Z256" s="52"/>
    </row>
    <row r="257">
      <c r="A257" s="59"/>
      <c r="B257" s="34"/>
      <c r="C257" s="52"/>
      <c r="D257" s="52"/>
      <c r="E257" s="52"/>
      <c r="F257" s="52"/>
      <c r="G257" s="52"/>
      <c r="H257" s="52"/>
      <c r="I257" s="52"/>
      <c r="J257" s="52"/>
      <c r="K257" s="52"/>
      <c r="L257" s="52"/>
      <c r="M257" s="52"/>
      <c r="N257" s="52"/>
      <c r="O257" s="52"/>
      <c r="P257" s="52"/>
      <c r="Q257" s="52"/>
      <c r="R257" s="52"/>
      <c r="S257" s="52"/>
      <c r="T257" s="52"/>
      <c r="U257" s="52"/>
      <c r="V257" s="52"/>
      <c r="W257" s="52"/>
      <c r="X257" s="52"/>
      <c r="Y257" s="52"/>
      <c r="Z257" s="52"/>
    </row>
    <row r="258">
      <c r="A258" s="59"/>
      <c r="B258" s="34"/>
      <c r="C258" s="52"/>
      <c r="D258" s="52"/>
      <c r="E258" s="52"/>
      <c r="F258" s="52"/>
      <c r="G258" s="52"/>
      <c r="H258" s="52"/>
      <c r="I258" s="52"/>
      <c r="J258" s="52"/>
      <c r="K258" s="52"/>
      <c r="L258" s="52"/>
      <c r="M258" s="52"/>
      <c r="N258" s="52"/>
      <c r="O258" s="52"/>
      <c r="P258" s="52"/>
      <c r="Q258" s="52"/>
      <c r="R258" s="52"/>
      <c r="S258" s="52"/>
      <c r="T258" s="52"/>
      <c r="U258" s="52"/>
      <c r="V258" s="52"/>
      <c r="W258" s="52"/>
      <c r="X258" s="52"/>
      <c r="Y258" s="52"/>
      <c r="Z258" s="52"/>
    </row>
    <row r="259">
      <c r="A259" s="59"/>
      <c r="B259" s="34"/>
      <c r="C259" s="52"/>
      <c r="D259" s="52"/>
      <c r="E259" s="52"/>
      <c r="F259" s="52"/>
      <c r="G259" s="52"/>
      <c r="H259" s="52"/>
      <c r="I259" s="52"/>
      <c r="J259" s="52"/>
      <c r="K259" s="52"/>
      <c r="L259" s="52"/>
      <c r="M259" s="52"/>
      <c r="N259" s="52"/>
      <c r="O259" s="52"/>
      <c r="P259" s="52"/>
      <c r="Q259" s="52"/>
      <c r="R259" s="52"/>
      <c r="S259" s="52"/>
      <c r="T259" s="52"/>
      <c r="U259" s="52"/>
      <c r="V259" s="52"/>
      <c r="W259" s="52"/>
      <c r="X259" s="52"/>
      <c r="Y259" s="52"/>
      <c r="Z259" s="52"/>
    </row>
    <row r="260">
      <c r="A260" s="59"/>
      <c r="B260" s="34"/>
      <c r="C260" s="52"/>
      <c r="D260" s="52"/>
      <c r="E260" s="52"/>
      <c r="F260" s="52"/>
      <c r="G260" s="52"/>
      <c r="H260" s="52"/>
      <c r="I260" s="52"/>
      <c r="J260" s="52"/>
      <c r="K260" s="52"/>
      <c r="L260" s="52"/>
      <c r="M260" s="52"/>
      <c r="N260" s="52"/>
      <c r="O260" s="52"/>
      <c r="P260" s="52"/>
      <c r="Q260" s="52"/>
      <c r="R260" s="52"/>
      <c r="S260" s="52"/>
      <c r="T260" s="52"/>
      <c r="U260" s="52"/>
      <c r="V260" s="52"/>
      <c r="W260" s="52"/>
      <c r="X260" s="52"/>
      <c r="Y260" s="52"/>
      <c r="Z260" s="52"/>
    </row>
    <row r="261">
      <c r="A261" s="59"/>
      <c r="B261" s="34"/>
      <c r="C261" s="52"/>
      <c r="D261" s="52"/>
      <c r="E261" s="52"/>
      <c r="F261" s="52"/>
      <c r="G261" s="52"/>
      <c r="H261" s="52"/>
      <c r="I261" s="52"/>
      <c r="J261" s="52"/>
      <c r="K261" s="52"/>
      <c r="L261" s="52"/>
      <c r="M261" s="52"/>
      <c r="N261" s="52"/>
      <c r="O261" s="52"/>
      <c r="P261" s="52"/>
      <c r="Q261" s="52"/>
      <c r="R261" s="52"/>
      <c r="S261" s="52"/>
      <c r="T261" s="52"/>
      <c r="U261" s="52"/>
      <c r="V261" s="52"/>
      <c r="W261" s="52"/>
      <c r="X261" s="52"/>
      <c r="Y261" s="52"/>
      <c r="Z261" s="52"/>
    </row>
    <row r="262">
      <c r="A262" s="59"/>
      <c r="B262" s="34"/>
      <c r="C262" s="52"/>
      <c r="D262" s="52"/>
      <c r="E262" s="52"/>
      <c r="F262" s="52"/>
      <c r="G262" s="52"/>
      <c r="H262" s="52"/>
      <c r="I262" s="52"/>
      <c r="J262" s="52"/>
      <c r="K262" s="52"/>
      <c r="L262" s="52"/>
      <c r="M262" s="52"/>
      <c r="N262" s="52"/>
      <c r="O262" s="52"/>
      <c r="P262" s="52"/>
      <c r="Q262" s="52"/>
      <c r="R262" s="52"/>
      <c r="S262" s="52"/>
      <c r="T262" s="52"/>
      <c r="U262" s="52"/>
      <c r="V262" s="52"/>
      <c r="W262" s="52"/>
      <c r="X262" s="52"/>
      <c r="Y262" s="52"/>
      <c r="Z262" s="52"/>
    </row>
    <row r="263">
      <c r="A263" s="59"/>
      <c r="B263" s="34"/>
      <c r="C263" s="52"/>
      <c r="D263" s="52"/>
      <c r="E263" s="52"/>
      <c r="F263" s="52"/>
      <c r="G263" s="52"/>
      <c r="H263" s="52"/>
      <c r="I263" s="52"/>
      <c r="J263" s="52"/>
      <c r="K263" s="52"/>
      <c r="L263" s="52"/>
      <c r="M263" s="52"/>
      <c r="N263" s="52"/>
      <c r="O263" s="52"/>
      <c r="P263" s="52"/>
      <c r="Q263" s="52"/>
      <c r="R263" s="52"/>
      <c r="S263" s="52"/>
      <c r="T263" s="52"/>
      <c r="U263" s="52"/>
      <c r="V263" s="52"/>
      <c r="W263" s="52"/>
      <c r="X263" s="52"/>
      <c r="Y263" s="52"/>
      <c r="Z263" s="52"/>
    </row>
    <row r="264">
      <c r="A264" s="59"/>
      <c r="B264" s="34"/>
      <c r="C264" s="52"/>
      <c r="D264" s="52"/>
      <c r="E264" s="52"/>
      <c r="F264" s="52"/>
      <c r="G264" s="52"/>
      <c r="H264" s="52"/>
      <c r="I264" s="52"/>
      <c r="J264" s="52"/>
      <c r="K264" s="52"/>
      <c r="L264" s="52"/>
      <c r="M264" s="52"/>
      <c r="N264" s="52"/>
      <c r="O264" s="52"/>
      <c r="P264" s="52"/>
      <c r="Q264" s="52"/>
      <c r="R264" s="52"/>
      <c r="S264" s="52"/>
      <c r="T264" s="52"/>
      <c r="U264" s="52"/>
      <c r="V264" s="52"/>
      <c r="W264" s="52"/>
      <c r="X264" s="52"/>
      <c r="Y264" s="52"/>
      <c r="Z264" s="52"/>
    </row>
    <row r="265">
      <c r="A265" s="59"/>
      <c r="B265" s="34"/>
      <c r="C265" s="52"/>
      <c r="D265" s="52"/>
      <c r="E265" s="52"/>
      <c r="F265" s="52"/>
      <c r="G265" s="52"/>
      <c r="H265" s="52"/>
      <c r="I265" s="52"/>
      <c r="J265" s="52"/>
      <c r="K265" s="52"/>
      <c r="L265" s="52"/>
      <c r="M265" s="52"/>
      <c r="N265" s="52"/>
      <c r="O265" s="52"/>
      <c r="P265" s="52"/>
      <c r="Q265" s="52"/>
      <c r="R265" s="52"/>
      <c r="S265" s="52"/>
      <c r="T265" s="52"/>
      <c r="U265" s="52"/>
      <c r="V265" s="52"/>
      <c r="W265" s="52"/>
      <c r="X265" s="52"/>
      <c r="Y265" s="52"/>
      <c r="Z265" s="52"/>
    </row>
    <row r="266">
      <c r="A266" s="59"/>
      <c r="B266" s="34"/>
      <c r="C266" s="52"/>
      <c r="D266" s="52"/>
      <c r="E266" s="52"/>
      <c r="F266" s="52"/>
      <c r="G266" s="52"/>
      <c r="H266" s="52"/>
      <c r="I266" s="52"/>
      <c r="J266" s="52"/>
      <c r="K266" s="52"/>
      <c r="L266" s="52"/>
      <c r="M266" s="52"/>
      <c r="N266" s="52"/>
      <c r="O266" s="52"/>
      <c r="P266" s="52"/>
      <c r="Q266" s="52"/>
      <c r="R266" s="52"/>
      <c r="S266" s="52"/>
      <c r="T266" s="52"/>
      <c r="U266" s="52"/>
      <c r="V266" s="52"/>
      <c r="W266" s="52"/>
      <c r="X266" s="52"/>
      <c r="Y266" s="52"/>
      <c r="Z266" s="52"/>
    </row>
    <row r="267">
      <c r="A267" s="59"/>
      <c r="B267" s="34"/>
      <c r="C267" s="52"/>
      <c r="D267" s="52"/>
      <c r="E267" s="52"/>
      <c r="F267" s="52"/>
      <c r="G267" s="52"/>
      <c r="H267" s="52"/>
      <c r="I267" s="52"/>
      <c r="J267" s="52"/>
      <c r="K267" s="52"/>
      <c r="L267" s="52"/>
      <c r="M267" s="52"/>
      <c r="N267" s="52"/>
      <c r="O267" s="52"/>
      <c r="P267" s="52"/>
      <c r="Q267" s="52"/>
      <c r="R267" s="52"/>
      <c r="S267" s="52"/>
      <c r="T267" s="52"/>
      <c r="U267" s="52"/>
      <c r="V267" s="52"/>
      <c r="W267" s="52"/>
      <c r="X267" s="52"/>
      <c r="Y267" s="52"/>
      <c r="Z267" s="52"/>
    </row>
    <row r="268">
      <c r="A268" s="59"/>
      <c r="B268" s="34"/>
      <c r="C268" s="52"/>
      <c r="D268" s="52"/>
      <c r="E268" s="52"/>
      <c r="F268" s="52"/>
      <c r="G268" s="52"/>
      <c r="H268" s="52"/>
      <c r="I268" s="52"/>
      <c r="J268" s="52"/>
      <c r="K268" s="52"/>
      <c r="L268" s="52"/>
      <c r="M268" s="52"/>
      <c r="N268" s="52"/>
      <c r="O268" s="52"/>
      <c r="P268" s="52"/>
      <c r="Q268" s="52"/>
      <c r="R268" s="52"/>
      <c r="S268" s="52"/>
      <c r="T268" s="52"/>
      <c r="U268" s="52"/>
      <c r="V268" s="52"/>
      <c r="W268" s="52"/>
      <c r="X268" s="52"/>
      <c r="Y268" s="52"/>
      <c r="Z268" s="52"/>
    </row>
    <row r="269">
      <c r="A269" s="59"/>
      <c r="B269" s="34"/>
      <c r="C269" s="52"/>
      <c r="D269" s="52"/>
      <c r="E269" s="52"/>
      <c r="F269" s="52"/>
      <c r="G269" s="52"/>
      <c r="H269" s="52"/>
      <c r="I269" s="52"/>
      <c r="J269" s="52"/>
      <c r="K269" s="52"/>
      <c r="L269" s="52"/>
      <c r="M269" s="52"/>
      <c r="N269" s="52"/>
      <c r="O269" s="52"/>
      <c r="P269" s="52"/>
      <c r="Q269" s="52"/>
      <c r="R269" s="52"/>
      <c r="S269" s="52"/>
      <c r="T269" s="52"/>
      <c r="U269" s="52"/>
      <c r="V269" s="52"/>
      <c r="W269" s="52"/>
      <c r="X269" s="52"/>
      <c r="Y269" s="52"/>
      <c r="Z269" s="52"/>
    </row>
    <row r="270">
      <c r="A270" s="59"/>
      <c r="B270" s="34"/>
      <c r="C270" s="52"/>
      <c r="D270" s="52"/>
      <c r="E270" s="52"/>
      <c r="F270" s="52"/>
      <c r="G270" s="52"/>
      <c r="H270" s="52"/>
      <c r="I270" s="52"/>
      <c r="J270" s="52"/>
      <c r="K270" s="52"/>
      <c r="L270" s="52"/>
      <c r="M270" s="52"/>
      <c r="N270" s="52"/>
      <c r="O270" s="52"/>
      <c r="P270" s="52"/>
      <c r="Q270" s="52"/>
      <c r="R270" s="52"/>
      <c r="S270" s="52"/>
      <c r="T270" s="52"/>
      <c r="U270" s="52"/>
      <c r="V270" s="52"/>
      <c r="W270" s="52"/>
      <c r="X270" s="52"/>
      <c r="Y270" s="52"/>
      <c r="Z270" s="52"/>
    </row>
    <row r="271">
      <c r="A271" s="59"/>
      <c r="B271" s="34"/>
      <c r="C271" s="52"/>
      <c r="D271" s="52"/>
      <c r="E271" s="52"/>
      <c r="F271" s="52"/>
      <c r="G271" s="52"/>
      <c r="H271" s="52"/>
      <c r="I271" s="52"/>
      <c r="J271" s="52"/>
      <c r="K271" s="52"/>
      <c r="L271" s="52"/>
      <c r="M271" s="52"/>
      <c r="N271" s="52"/>
      <c r="O271" s="52"/>
      <c r="P271" s="52"/>
      <c r="Q271" s="52"/>
      <c r="R271" s="52"/>
      <c r="S271" s="52"/>
      <c r="T271" s="52"/>
      <c r="U271" s="52"/>
      <c r="V271" s="52"/>
      <c r="W271" s="52"/>
      <c r="X271" s="52"/>
      <c r="Y271" s="52"/>
      <c r="Z271" s="52"/>
    </row>
    <row r="272">
      <c r="A272" s="59"/>
      <c r="B272" s="34"/>
      <c r="C272" s="52"/>
      <c r="D272" s="52"/>
      <c r="E272" s="52"/>
      <c r="F272" s="52"/>
      <c r="G272" s="52"/>
      <c r="H272" s="52"/>
      <c r="I272" s="52"/>
      <c r="J272" s="52"/>
      <c r="K272" s="52"/>
      <c r="L272" s="52"/>
      <c r="M272" s="52"/>
      <c r="N272" s="52"/>
      <c r="O272" s="52"/>
      <c r="P272" s="52"/>
      <c r="Q272" s="52"/>
      <c r="R272" s="52"/>
      <c r="S272" s="52"/>
      <c r="T272" s="52"/>
      <c r="U272" s="52"/>
      <c r="V272" s="52"/>
      <c r="W272" s="52"/>
      <c r="X272" s="52"/>
      <c r="Y272" s="52"/>
      <c r="Z272" s="52"/>
    </row>
    <row r="273">
      <c r="A273" s="59"/>
      <c r="B273" s="34"/>
      <c r="C273" s="52"/>
      <c r="D273" s="52"/>
      <c r="E273" s="52"/>
      <c r="F273" s="52"/>
      <c r="G273" s="52"/>
      <c r="H273" s="52"/>
      <c r="I273" s="52"/>
      <c r="J273" s="52"/>
      <c r="K273" s="52"/>
      <c r="L273" s="52"/>
      <c r="M273" s="52"/>
      <c r="N273" s="52"/>
      <c r="O273" s="52"/>
      <c r="P273" s="52"/>
      <c r="Q273" s="52"/>
      <c r="R273" s="52"/>
      <c r="S273" s="52"/>
      <c r="T273" s="52"/>
      <c r="U273" s="52"/>
      <c r="V273" s="52"/>
      <c r="W273" s="52"/>
      <c r="X273" s="52"/>
      <c r="Y273" s="52"/>
      <c r="Z273" s="52"/>
    </row>
    <row r="274">
      <c r="A274" s="59"/>
      <c r="B274" s="34"/>
      <c r="C274" s="52"/>
      <c r="D274" s="52"/>
      <c r="E274" s="52"/>
      <c r="F274" s="52"/>
      <c r="G274" s="52"/>
      <c r="H274" s="52"/>
      <c r="I274" s="52"/>
      <c r="J274" s="52"/>
      <c r="K274" s="52"/>
      <c r="L274" s="52"/>
      <c r="M274" s="52"/>
      <c r="N274" s="52"/>
      <c r="O274" s="52"/>
      <c r="P274" s="52"/>
      <c r="Q274" s="52"/>
      <c r="R274" s="52"/>
      <c r="S274" s="52"/>
      <c r="T274" s="52"/>
      <c r="U274" s="52"/>
      <c r="V274" s="52"/>
      <c r="W274" s="52"/>
      <c r="X274" s="52"/>
      <c r="Y274" s="52"/>
      <c r="Z274" s="52"/>
    </row>
    <row r="275">
      <c r="A275" s="59"/>
      <c r="B275" s="34"/>
      <c r="C275" s="52"/>
      <c r="D275" s="52"/>
      <c r="E275" s="52"/>
      <c r="F275" s="52"/>
      <c r="G275" s="52"/>
      <c r="H275" s="52"/>
      <c r="I275" s="52"/>
      <c r="J275" s="52"/>
      <c r="K275" s="52"/>
      <c r="L275" s="52"/>
      <c r="M275" s="52"/>
      <c r="N275" s="52"/>
      <c r="O275" s="52"/>
      <c r="P275" s="52"/>
      <c r="Q275" s="52"/>
      <c r="R275" s="52"/>
      <c r="S275" s="52"/>
      <c r="T275" s="52"/>
      <c r="U275" s="52"/>
      <c r="V275" s="52"/>
      <c r="W275" s="52"/>
      <c r="X275" s="52"/>
      <c r="Y275" s="52"/>
      <c r="Z275" s="52"/>
    </row>
    <row r="276">
      <c r="A276" s="59"/>
      <c r="B276" s="34"/>
      <c r="C276" s="52"/>
      <c r="D276" s="52"/>
      <c r="E276" s="52"/>
      <c r="F276" s="52"/>
      <c r="G276" s="52"/>
      <c r="H276" s="52"/>
      <c r="I276" s="52"/>
      <c r="J276" s="52"/>
      <c r="K276" s="52"/>
      <c r="L276" s="52"/>
      <c r="M276" s="52"/>
      <c r="N276" s="52"/>
      <c r="O276" s="52"/>
      <c r="P276" s="52"/>
      <c r="Q276" s="52"/>
      <c r="R276" s="52"/>
      <c r="S276" s="52"/>
      <c r="T276" s="52"/>
      <c r="U276" s="52"/>
      <c r="V276" s="52"/>
      <c r="W276" s="52"/>
      <c r="X276" s="52"/>
      <c r="Y276" s="52"/>
      <c r="Z276" s="52"/>
    </row>
    <row r="277">
      <c r="A277" s="59"/>
      <c r="B277" s="34"/>
      <c r="C277" s="52"/>
      <c r="D277" s="52"/>
      <c r="E277" s="52"/>
      <c r="F277" s="52"/>
      <c r="G277" s="52"/>
      <c r="H277" s="52"/>
      <c r="I277" s="52"/>
      <c r="J277" s="52"/>
      <c r="K277" s="52"/>
      <c r="L277" s="52"/>
      <c r="M277" s="52"/>
      <c r="N277" s="52"/>
      <c r="O277" s="52"/>
      <c r="P277" s="52"/>
      <c r="Q277" s="52"/>
      <c r="R277" s="52"/>
      <c r="S277" s="52"/>
      <c r="T277" s="52"/>
      <c r="U277" s="52"/>
      <c r="V277" s="52"/>
      <c r="W277" s="52"/>
      <c r="X277" s="52"/>
      <c r="Y277" s="52"/>
      <c r="Z277" s="52"/>
    </row>
    <row r="278">
      <c r="A278" s="59"/>
      <c r="B278" s="34"/>
      <c r="C278" s="52"/>
      <c r="D278" s="52"/>
      <c r="E278" s="52"/>
      <c r="F278" s="52"/>
      <c r="G278" s="52"/>
      <c r="H278" s="52"/>
      <c r="I278" s="52"/>
      <c r="J278" s="52"/>
      <c r="K278" s="52"/>
      <c r="L278" s="52"/>
      <c r="M278" s="52"/>
      <c r="N278" s="52"/>
      <c r="O278" s="52"/>
      <c r="P278" s="52"/>
      <c r="Q278" s="52"/>
      <c r="R278" s="52"/>
      <c r="S278" s="52"/>
      <c r="T278" s="52"/>
      <c r="U278" s="52"/>
      <c r="V278" s="52"/>
      <c r="W278" s="52"/>
      <c r="X278" s="52"/>
      <c r="Y278" s="52"/>
      <c r="Z278" s="52"/>
    </row>
    <row r="279">
      <c r="A279" s="59"/>
      <c r="B279" s="34"/>
      <c r="C279" s="52"/>
      <c r="D279" s="52"/>
      <c r="E279" s="52"/>
      <c r="F279" s="52"/>
      <c r="G279" s="52"/>
      <c r="H279" s="52"/>
      <c r="I279" s="52"/>
      <c r="J279" s="52"/>
      <c r="K279" s="52"/>
      <c r="L279" s="52"/>
      <c r="M279" s="52"/>
      <c r="N279" s="52"/>
      <c r="O279" s="52"/>
      <c r="P279" s="52"/>
      <c r="Q279" s="52"/>
      <c r="R279" s="52"/>
      <c r="S279" s="52"/>
      <c r="T279" s="52"/>
      <c r="U279" s="52"/>
      <c r="V279" s="52"/>
      <c r="W279" s="52"/>
      <c r="X279" s="52"/>
      <c r="Y279" s="52"/>
      <c r="Z279" s="52"/>
    </row>
    <row r="280">
      <c r="A280" s="59"/>
      <c r="B280" s="34"/>
      <c r="C280" s="52"/>
      <c r="D280" s="52"/>
      <c r="E280" s="52"/>
      <c r="F280" s="52"/>
      <c r="G280" s="52"/>
      <c r="H280" s="52"/>
      <c r="I280" s="52"/>
      <c r="J280" s="52"/>
      <c r="K280" s="52"/>
      <c r="L280" s="52"/>
      <c r="M280" s="52"/>
      <c r="N280" s="52"/>
      <c r="O280" s="52"/>
      <c r="P280" s="52"/>
      <c r="Q280" s="52"/>
      <c r="R280" s="52"/>
      <c r="S280" s="52"/>
      <c r="T280" s="52"/>
      <c r="U280" s="52"/>
      <c r="V280" s="52"/>
      <c r="W280" s="52"/>
      <c r="X280" s="52"/>
      <c r="Y280" s="52"/>
      <c r="Z280" s="52"/>
    </row>
    <row r="281">
      <c r="A281" s="59"/>
      <c r="B281" s="34"/>
      <c r="C281" s="52"/>
      <c r="D281" s="52"/>
      <c r="E281" s="52"/>
      <c r="F281" s="52"/>
      <c r="G281" s="52"/>
      <c r="H281" s="52"/>
      <c r="I281" s="52"/>
      <c r="J281" s="52"/>
      <c r="K281" s="52"/>
      <c r="L281" s="52"/>
      <c r="M281" s="52"/>
      <c r="N281" s="52"/>
      <c r="O281" s="52"/>
      <c r="P281" s="52"/>
      <c r="Q281" s="52"/>
      <c r="R281" s="52"/>
      <c r="S281" s="52"/>
      <c r="T281" s="52"/>
      <c r="U281" s="52"/>
      <c r="V281" s="52"/>
      <c r="W281" s="52"/>
      <c r="X281" s="52"/>
      <c r="Y281" s="52"/>
      <c r="Z281" s="52"/>
    </row>
    <row r="282">
      <c r="A282" s="59"/>
      <c r="B282" s="34"/>
      <c r="C282" s="52"/>
      <c r="D282" s="52"/>
      <c r="E282" s="52"/>
      <c r="F282" s="52"/>
      <c r="G282" s="52"/>
      <c r="H282" s="52"/>
      <c r="I282" s="52"/>
      <c r="J282" s="52"/>
      <c r="K282" s="52"/>
      <c r="L282" s="52"/>
      <c r="M282" s="52"/>
      <c r="N282" s="52"/>
      <c r="O282" s="52"/>
      <c r="P282" s="52"/>
      <c r="Q282" s="52"/>
      <c r="R282" s="52"/>
      <c r="S282" s="52"/>
      <c r="T282" s="52"/>
      <c r="U282" s="52"/>
      <c r="V282" s="52"/>
      <c r="W282" s="52"/>
      <c r="X282" s="52"/>
      <c r="Y282" s="52"/>
      <c r="Z282" s="52"/>
    </row>
    <row r="283">
      <c r="A283" s="59"/>
      <c r="B283" s="34"/>
      <c r="C283" s="52"/>
      <c r="D283" s="52"/>
      <c r="E283" s="52"/>
      <c r="F283" s="52"/>
      <c r="G283" s="52"/>
      <c r="H283" s="52"/>
      <c r="I283" s="52"/>
      <c r="J283" s="52"/>
      <c r="K283" s="52"/>
      <c r="L283" s="52"/>
      <c r="M283" s="52"/>
      <c r="N283" s="52"/>
      <c r="O283" s="52"/>
      <c r="P283" s="52"/>
      <c r="Q283" s="52"/>
      <c r="R283" s="52"/>
      <c r="S283" s="52"/>
      <c r="T283" s="52"/>
      <c r="U283" s="52"/>
      <c r="V283" s="52"/>
      <c r="W283" s="52"/>
      <c r="X283" s="52"/>
      <c r="Y283" s="52"/>
      <c r="Z283" s="52"/>
    </row>
    <row r="284">
      <c r="A284" s="59"/>
      <c r="B284" s="34"/>
      <c r="C284" s="52"/>
      <c r="D284" s="52"/>
      <c r="E284" s="52"/>
      <c r="F284" s="52"/>
      <c r="G284" s="52"/>
      <c r="H284" s="52"/>
      <c r="I284" s="52"/>
      <c r="J284" s="52"/>
      <c r="K284" s="52"/>
      <c r="L284" s="52"/>
      <c r="M284" s="52"/>
      <c r="N284" s="52"/>
      <c r="O284" s="52"/>
      <c r="P284" s="52"/>
      <c r="Q284" s="52"/>
      <c r="R284" s="52"/>
      <c r="S284" s="52"/>
      <c r="T284" s="52"/>
      <c r="U284" s="52"/>
      <c r="V284" s="52"/>
      <c r="W284" s="52"/>
      <c r="X284" s="52"/>
      <c r="Y284" s="52"/>
      <c r="Z284" s="52"/>
    </row>
    <row r="285">
      <c r="A285" s="59"/>
      <c r="B285" s="34"/>
      <c r="C285" s="52"/>
      <c r="D285" s="52"/>
      <c r="E285" s="52"/>
      <c r="F285" s="52"/>
      <c r="G285" s="52"/>
      <c r="H285" s="52"/>
      <c r="I285" s="52"/>
      <c r="J285" s="52"/>
      <c r="K285" s="52"/>
      <c r="L285" s="52"/>
      <c r="M285" s="52"/>
      <c r="N285" s="52"/>
      <c r="O285" s="52"/>
      <c r="P285" s="52"/>
      <c r="Q285" s="52"/>
      <c r="R285" s="52"/>
      <c r="S285" s="52"/>
      <c r="T285" s="52"/>
      <c r="U285" s="52"/>
      <c r="V285" s="52"/>
      <c r="W285" s="52"/>
      <c r="X285" s="52"/>
      <c r="Y285" s="52"/>
      <c r="Z285" s="52"/>
    </row>
    <row r="286">
      <c r="A286" s="59"/>
      <c r="B286" s="34"/>
      <c r="C286" s="52"/>
      <c r="D286" s="52"/>
      <c r="E286" s="52"/>
      <c r="F286" s="52"/>
      <c r="G286" s="52"/>
      <c r="H286" s="52"/>
      <c r="I286" s="52"/>
      <c r="J286" s="52"/>
      <c r="K286" s="52"/>
      <c r="L286" s="52"/>
      <c r="M286" s="52"/>
      <c r="N286" s="52"/>
      <c r="O286" s="52"/>
      <c r="P286" s="52"/>
      <c r="Q286" s="52"/>
      <c r="R286" s="52"/>
      <c r="S286" s="52"/>
      <c r="T286" s="52"/>
      <c r="U286" s="52"/>
      <c r="V286" s="52"/>
      <c r="W286" s="52"/>
      <c r="X286" s="52"/>
      <c r="Y286" s="52"/>
      <c r="Z286" s="52"/>
    </row>
    <row r="287">
      <c r="A287" s="59"/>
      <c r="B287" s="34"/>
      <c r="C287" s="52"/>
      <c r="D287" s="52"/>
      <c r="E287" s="52"/>
      <c r="F287" s="52"/>
      <c r="G287" s="52"/>
      <c r="H287" s="52"/>
      <c r="I287" s="52"/>
      <c r="J287" s="52"/>
      <c r="K287" s="52"/>
      <c r="L287" s="52"/>
      <c r="M287" s="52"/>
      <c r="N287" s="52"/>
      <c r="O287" s="52"/>
      <c r="P287" s="52"/>
      <c r="Q287" s="52"/>
      <c r="R287" s="52"/>
      <c r="S287" s="52"/>
      <c r="T287" s="52"/>
      <c r="U287" s="52"/>
      <c r="V287" s="52"/>
      <c r="W287" s="52"/>
      <c r="X287" s="52"/>
      <c r="Y287" s="52"/>
      <c r="Z287" s="52"/>
    </row>
    <row r="288">
      <c r="A288" s="59"/>
      <c r="B288" s="34"/>
      <c r="C288" s="52"/>
      <c r="D288" s="52"/>
      <c r="E288" s="52"/>
      <c r="F288" s="52"/>
      <c r="G288" s="52"/>
      <c r="H288" s="52"/>
      <c r="I288" s="52"/>
      <c r="J288" s="52"/>
      <c r="K288" s="52"/>
      <c r="L288" s="52"/>
      <c r="M288" s="52"/>
      <c r="N288" s="52"/>
      <c r="O288" s="52"/>
      <c r="P288" s="52"/>
      <c r="Q288" s="52"/>
      <c r="R288" s="52"/>
      <c r="S288" s="52"/>
      <c r="T288" s="52"/>
      <c r="U288" s="52"/>
      <c r="V288" s="52"/>
      <c r="W288" s="52"/>
      <c r="X288" s="52"/>
      <c r="Y288" s="52"/>
      <c r="Z288" s="52"/>
    </row>
    <row r="289">
      <c r="A289" s="59"/>
      <c r="B289" s="34"/>
      <c r="C289" s="52"/>
      <c r="D289" s="52"/>
      <c r="E289" s="52"/>
      <c r="F289" s="52"/>
      <c r="G289" s="52"/>
      <c r="H289" s="52"/>
      <c r="I289" s="52"/>
      <c r="J289" s="52"/>
      <c r="K289" s="52"/>
      <c r="L289" s="52"/>
      <c r="M289" s="52"/>
      <c r="N289" s="52"/>
      <c r="O289" s="52"/>
      <c r="P289" s="52"/>
      <c r="Q289" s="52"/>
      <c r="R289" s="52"/>
      <c r="S289" s="52"/>
      <c r="T289" s="52"/>
      <c r="U289" s="52"/>
      <c r="V289" s="52"/>
      <c r="W289" s="52"/>
      <c r="X289" s="52"/>
      <c r="Y289" s="52"/>
      <c r="Z289" s="52"/>
    </row>
    <row r="290">
      <c r="A290" s="59"/>
      <c r="B290" s="34"/>
      <c r="C290" s="52"/>
      <c r="D290" s="52"/>
      <c r="E290" s="52"/>
      <c r="F290" s="52"/>
      <c r="G290" s="52"/>
      <c r="H290" s="52"/>
      <c r="I290" s="52"/>
      <c r="J290" s="52"/>
      <c r="K290" s="52"/>
      <c r="L290" s="52"/>
      <c r="M290" s="52"/>
      <c r="N290" s="52"/>
      <c r="O290" s="52"/>
      <c r="P290" s="52"/>
      <c r="Q290" s="52"/>
      <c r="R290" s="52"/>
      <c r="S290" s="52"/>
      <c r="T290" s="52"/>
      <c r="U290" s="52"/>
      <c r="V290" s="52"/>
      <c r="W290" s="52"/>
      <c r="X290" s="52"/>
      <c r="Y290" s="52"/>
      <c r="Z290" s="52"/>
    </row>
    <row r="291">
      <c r="A291" s="59"/>
      <c r="B291" s="34"/>
      <c r="C291" s="52"/>
      <c r="D291" s="52"/>
      <c r="E291" s="52"/>
      <c r="F291" s="52"/>
      <c r="G291" s="52"/>
      <c r="H291" s="52"/>
      <c r="I291" s="52"/>
      <c r="J291" s="52"/>
      <c r="K291" s="52"/>
      <c r="L291" s="52"/>
      <c r="M291" s="52"/>
      <c r="N291" s="52"/>
      <c r="O291" s="52"/>
      <c r="P291" s="52"/>
      <c r="Q291" s="52"/>
      <c r="R291" s="52"/>
      <c r="S291" s="52"/>
      <c r="T291" s="52"/>
      <c r="U291" s="52"/>
      <c r="V291" s="52"/>
      <c r="W291" s="52"/>
      <c r="X291" s="52"/>
      <c r="Y291" s="52"/>
      <c r="Z291" s="52"/>
    </row>
    <row r="292">
      <c r="A292" s="59"/>
      <c r="B292" s="34"/>
      <c r="C292" s="52"/>
      <c r="D292" s="52"/>
      <c r="E292" s="52"/>
      <c r="F292" s="52"/>
      <c r="G292" s="52"/>
      <c r="H292" s="52"/>
      <c r="I292" s="52"/>
      <c r="J292" s="52"/>
      <c r="K292" s="52"/>
      <c r="L292" s="52"/>
      <c r="M292" s="52"/>
      <c r="N292" s="52"/>
      <c r="O292" s="52"/>
      <c r="P292" s="52"/>
      <c r="Q292" s="52"/>
      <c r="R292" s="52"/>
      <c r="S292" s="52"/>
      <c r="T292" s="52"/>
      <c r="U292" s="52"/>
      <c r="V292" s="52"/>
      <c r="W292" s="52"/>
      <c r="X292" s="52"/>
      <c r="Y292" s="52"/>
      <c r="Z292" s="52"/>
    </row>
    <row r="293">
      <c r="A293" s="59"/>
      <c r="B293" s="34"/>
      <c r="C293" s="52"/>
      <c r="D293" s="52"/>
      <c r="E293" s="52"/>
      <c r="F293" s="52"/>
      <c r="G293" s="52"/>
      <c r="H293" s="52"/>
      <c r="I293" s="52"/>
      <c r="J293" s="52"/>
      <c r="K293" s="52"/>
      <c r="L293" s="52"/>
      <c r="M293" s="52"/>
      <c r="N293" s="52"/>
      <c r="O293" s="52"/>
      <c r="P293" s="52"/>
      <c r="Q293" s="52"/>
      <c r="R293" s="52"/>
      <c r="S293" s="52"/>
      <c r="T293" s="52"/>
      <c r="U293" s="52"/>
      <c r="V293" s="52"/>
      <c r="W293" s="52"/>
      <c r="X293" s="52"/>
      <c r="Y293" s="52"/>
      <c r="Z293" s="52"/>
    </row>
    <row r="294">
      <c r="A294" s="59"/>
      <c r="B294" s="34"/>
      <c r="C294" s="52"/>
      <c r="D294" s="52"/>
      <c r="E294" s="52"/>
      <c r="F294" s="52"/>
      <c r="G294" s="52"/>
      <c r="H294" s="52"/>
      <c r="I294" s="52"/>
      <c r="J294" s="52"/>
      <c r="K294" s="52"/>
      <c r="L294" s="52"/>
      <c r="M294" s="52"/>
      <c r="N294" s="52"/>
      <c r="O294" s="52"/>
      <c r="P294" s="52"/>
      <c r="Q294" s="52"/>
      <c r="R294" s="52"/>
      <c r="S294" s="52"/>
      <c r="T294" s="52"/>
      <c r="U294" s="52"/>
      <c r="V294" s="52"/>
      <c r="W294" s="52"/>
      <c r="X294" s="52"/>
      <c r="Y294" s="52"/>
      <c r="Z294" s="52"/>
    </row>
    <row r="295">
      <c r="A295" s="59"/>
      <c r="B295" s="34"/>
      <c r="C295" s="52"/>
      <c r="D295" s="52"/>
      <c r="E295" s="52"/>
      <c r="F295" s="52"/>
      <c r="G295" s="52"/>
      <c r="H295" s="52"/>
      <c r="I295" s="52"/>
      <c r="J295" s="52"/>
      <c r="K295" s="52"/>
      <c r="L295" s="52"/>
      <c r="M295" s="52"/>
      <c r="N295" s="52"/>
      <c r="O295" s="52"/>
      <c r="P295" s="52"/>
      <c r="Q295" s="52"/>
      <c r="R295" s="52"/>
      <c r="S295" s="52"/>
      <c r="T295" s="52"/>
      <c r="U295" s="52"/>
      <c r="V295" s="52"/>
      <c r="W295" s="52"/>
      <c r="X295" s="52"/>
      <c r="Y295" s="52"/>
      <c r="Z295" s="52"/>
    </row>
    <row r="296">
      <c r="A296" s="59"/>
      <c r="B296" s="34"/>
      <c r="C296" s="52"/>
      <c r="D296" s="52"/>
      <c r="E296" s="52"/>
      <c r="F296" s="52"/>
      <c r="G296" s="52"/>
      <c r="H296" s="52"/>
      <c r="I296" s="52"/>
      <c r="J296" s="52"/>
      <c r="K296" s="52"/>
      <c r="L296" s="52"/>
      <c r="M296" s="52"/>
      <c r="N296" s="52"/>
      <c r="O296" s="52"/>
      <c r="P296" s="52"/>
      <c r="Q296" s="52"/>
      <c r="R296" s="52"/>
      <c r="S296" s="52"/>
      <c r="T296" s="52"/>
      <c r="U296" s="52"/>
      <c r="V296" s="52"/>
      <c r="W296" s="52"/>
      <c r="X296" s="52"/>
      <c r="Y296" s="52"/>
      <c r="Z296" s="52"/>
    </row>
    <row r="297">
      <c r="A297" s="59"/>
      <c r="B297" s="34"/>
      <c r="C297" s="52"/>
      <c r="D297" s="52"/>
      <c r="E297" s="52"/>
      <c r="F297" s="52"/>
      <c r="G297" s="52"/>
      <c r="H297" s="52"/>
      <c r="I297" s="52"/>
      <c r="J297" s="52"/>
      <c r="K297" s="52"/>
      <c r="L297" s="52"/>
      <c r="M297" s="52"/>
      <c r="N297" s="52"/>
      <c r="O297" s="52"/>
      <c r="P297" s="52"/>
      <c r="Q297" s="52"/>
      <c r="R297" s="52"/>
      <c r="S297" s="52"/>
      <c r="T297" s="52"/>
      <c r="U297" s="52"/>
      <c r="V297" s="52"/>
      <c r="W297" s="52"/>
      <c r="X297" s="52"/>
      <c r="Y297" s="52"/>
      <c r="Z297" s="52"/>
    </row>
    <row r="298">
      <c r="A298" s="59"/>
      <c r="B298" s="34"/>
      <c r="C298" s="52"/>
      <c r="D298" s="52"/>
      <c r="E298" s="52"/>
      <c r="F298" s="52"/>
      <c r="G298" s="52"/>
      <c r="H298" s="52"/>
      <c r="I298" s="52"/>
      <c r="J298" s="52"/>
      <c r="K298" s="52"/>
      <c r="L298" s="52"/>
      <c r="M298" s="52"/>
      <c r="N298" s="52"/>
      <c r="O298" s="52"/>
      <c r="P298" s="52"/>
      <c r="Q298" s="52"/>
      <c r="R298" s="52"/>
      <c r="S298" s="52"/>
      <c r="T298" s="52"/>
      <c r="U298" s="52"/>
      <c r="V298" s="52"/>
      <c r="W298" s="52"/>
      <c r="X298" s="52"/>
      <c r="Y298" s="52"/>
      <c r="Z298" s="52"/>
    </row>
    <row r="299">
      <c r="A299" s="59"/>
      <c r="B299" s="34"/>
      <c r="C299" s="52"/>
      <c r="D299" s="52"/>
      <c r="E299" s="52"/>
      <c r="F299" s="52"/>
      <c r="G299" s="52"/>
      <c r="H299" s="52"/>
      <c r="I299" s="52"/>
      <c r="J299" s="52"/>
      <c r="K299" s="52"/>
      <c r="L299" s="52"/>
      <c r="M299" s="52"/>
      <c r="N299" s="52"/>
      <c r="O299" s="52"/>
      <c r="P299" s="52"/>
      <c r="Q299" s="52"/>
      <c r="R299" s="52"/>
      <c r="S299" s="52"/>
      <c r="T299" s="52"/>
      <c r="U299" s="52"/>
      <c r="V299" s="52"/>
      <c r="W299" s="52"/>
      <c r="X299" s="52"/>
      <c r="Y299" s="52"/>
      <c r="Z299" s="52"/>
    </row>
    <row r="300">
      <c r="A300" s="59"/>
      <c r="B300" s="34"/>
      <c r="C300" s="52"/>
      <c r="D300" s="52"/>
      <c r="E300" s="52"/>
      <c r="F300" s="52"/>
      <c r="G300" s="52"/>
      <c r="H300" s="52"/>
      <c r="I300" s="52"/>
      <c r="J300" s="52"/>
      <c r="K300" s="52"/>
      <c r="L300" s="52"/>
      <c r="M300" s="52"/>
      <c r="N300" s="52"/>
      <c r="O300" s="52"/>
      <c r="P300" s="52"/>
      <c r="Q300" s="52"/>
      <c r="R300" s="52"/>
      <c r="S300" s="52"/>
      <c r="T300" s="52"/>
      <c r="U300" s="52"/>
      <c r="V300" s="52"/>
      <c r="W300" s="52"/>
      <c r="X300" s="52"/>
      <c r="Y300" s="52"/>
      <c r="Z300" s="52"/>
    </row>
    <row r="301">
      <c r="A301" s="59"/>
      <c r="B301" s="34"/>
      <c r="C301" s="52"/>
      <c r="D301" s="52"/>
      <c r="E301" s="52"/>
      <c r="F301" s="52"/>
      <c r="G301" s="52"/>
      <c r="H301" s="52"/>
      <c r="I301" s="52"/>
      <c r="J301" s="52"/>
      <c r="K301" s="52"/>
      <c r="L301" s="52"/>
      <c r="M301" s="52"/>
      <c r="N301" s="52"/>
      <c r="O301" s="52"/>
      <c r="P301" s="52"/>
      <c r="Q301" s="52"/>
      <c r="R301" s="52"/>
      <c r="S301" s="52"/>
      <c r="T301" s="52"/>
      <c r="U301" s="52"/>
      <c r="V301" s="52"/>
      <c r="W301" s="52"/>
      <c r="X301" s="52"/>
      <c r="Y301" s="52"/>
      <c r="Z301" s="52"/>
    </row>
    <row r="302">
      <c r="A302" s="59"/>
      <c r="B302" s="34"/>
      <c r="C302" s="52"/>
      <c r="D302" s="52"/>
      <c r="E302" s="52"/>
      <c r="F302" s="52"/>
      <c r="G302" s="52"/>
      <c r="H302" s="52"/>
      <c r="I302" s="52"/>
      <c r="J302" s="52"/>
      <c r="K302" s="52"/>
      <c r="L302" s="52"/>
      <c r="M302" s="52"/>
      <c r="N302" s="52"/>
      <c r="O302" s="52"/>
      <c r="P302" s="52"/>
      <c r="Q302" s="52"/>
      <c r="R302" s="52"/>
      <c r="S302" s="52"/>
      <c r="T302" s="52"/>
      <c r="U302" s="52"/>
      <c r="V302" s="52"/>
      <c r="W302" s="52"/>
      <c r="X302" s="52"/>
      <c r="Y302" s="52"/>
      <c r="Z302" s="52"/>
    </row>
    <row r="303">
      <c r="A303" s="59"/>
      <c r="B303" s="34"/>
      <c r="C303" s="52"/>
      <c r="D303" s="52"/>
      <c r="E303" s="52"/>
      <c r="F303" s="52"/>
      <c r="G303" s="52"/>
      <c r="H303" s="52"/>
      <c r="I303" s="52"/>
      <c r="J303" s="52"/>
      <c r="K303" s="52"/>
      <c r="L303" s="52"/>
      <c r="M303" s="52"/>
      <c r="N303" s="52"/>
      <c r="O303" s="52"/>
      <c r="P303" s="52"/>
      <c r="Q303" s="52"/>
      <c r="R303" s="52"/>
      <c r="S303" s="52"/>
      <c r="T303" s="52"/>
      <c r="U303" s="52"/>
      <c r="V303" s="52"/>
      <c r="W303" s="52"/>
      <c r="X303" s="52"/>
      <c r="Y303" s="52"/>
      <c r="Z303" s="52"/>
    </row>
    <row r="304">
      <c r="A304" s="59"/>
      <c r="B304" s="34"/>
      <c r="C304" s="52"/>
      <c r="D304" s="52"/>
      <c r="E304" s="52"/>
      <c r="F304" s="52"/>
      <c r="G304" s="52"/>
      <c r="H304" s="52"/>
      <c r="I304" s="52"/>
      <c r="J304" s="52"/>
      <c r="K304" s="52"/>
      <c r="L304" s="52"/>
      <c r="M304" s="52"/>
      <c r="N304" s="52"/>
      <c r="O304" s="52"/>
      <c r="P304" s="52"/>
      <c r="Q304" s="52"/>
      <c r="R304" s="52"/>
      <c r="S304" s="52"/>
      <c r="T304" s="52"/>
      <c r="U304" s="52"/>
      <c r="V304" s="52"/>
      <c r="W304" s="52"/>
      <c r="X304" s="52"/>
      <c r="Y304" s="52"/>
      <c r="Z304" s="52"/>
    </row>
    <row r="305">
      <c r="A305" s="59"/>
      <c r="B305" s="34"/>
      <c r="C305" s="52"/>
      <c r="D305" s="52"/>
      <c r="E305" s="52"/>
      <c r="F305" s="52"/>
      <c r="G305" s="52"/>
      <c r="H305" s="52"/>
      <c r="I305" s="52"/>
      <c r="J305" s="52"/>
      <c r="K305" s="52"/>
      <c r="L305" s="52"/>
      <c r="M305" s="52"/>
      <c r="N305" s="52"/>
      <c r="O305" s="52"/>
      <c r="P305" s="52"/>
      <c r="Q305" s="52"/>
      <c r="R305" s="52"/>
      <c r="S305" s="52"/>
      <c r="T305" s="52"/>
      <c r="U305" s="52"/>
      <c r="V305" s="52"/>
      <c r="W305" s="52"/>
      <c r="X305" s="52"/>
      <c r="Y305" s="52"/>
      <c r="Z305" s="52"/>
    </row>
    <row r="306">
      <c r="A306" s="59"/>
      <c r="B306" s="34"/>
      <c r="C306" s="52"/>
      <c r="D306" s="52"/>
      <c r="E306" s="52"/>
      <c r="F306" s="52"/>
      <c r="G306" s="52"/>
      <c r="H306" s="52"/>
      <c r="I306" s="52"/>
      <c r="J306" s="52"/>
      <c r="K306" s="52"/>
      <c r="L306" s="52"/>
      <c r="M306" s="52"/>
      <c r="N306" s="52"/>
      <c r="O306" s="52"/>
      <c r="P306" s="52"/>
      <c r="Q306" s="52"/>
      <c r="R306" s="52"/>
      <c r="S306" s="52"/>
      <c r="T306" s="52"/>
      <c r="U306" s="52"/>
      <c r="V306" s="52"/>
      <c r="W306" s="52"/>
      <c r="X306" s="52"/>
      <c r="Y306" s="52"/>
      <c r="Z306" s="52"/>
    </row>
    <row r="307">
      <c r="A307" s="59"/>
      <c r="B307" s="34"/>
      <c r="C307" s="52"/>
      <c r="D307" s="52"/>
      <c r="E307" s="52"/>
      <c r="F307" s="52"/>
      <c r="G307" s="52"/>
      <c r="H307" s="52"/>
      <c r="I307" s="52"/>
      <c r="J307" s="52"/>
      <c r="K307" s="52"/>
      <c r="L307" s="52"/>
      <c r="M307" s="52"/>
      <c r="N307" s="52"/>
      <c r="O307" s="52"/>
      <c r="P307" s="52"/>
      <c r="Q307" s="52"/>
      <c r="R307" s="52"/>
      <c r="S307" s="52"/>
      <c r="T307" s="52"/>
      <c r="U307" s="52"/>
      <c r="V307" s="52"/>
      <c r="W307" s="52"/>
      <c r="X307" s="52"/>
      <c r="Y307" s="52"/>
      <c r="Z307" s="52"/>
    </row>
    <row r="308">
      <c r="A308" s="59"/>
      <c r="B308" s="34"/>
      <c r="C308" s="52"/>
      <c r="D308" s="52"/>
      <c r="E308" s="52"/>
      <c r="F308" s="52"/>
      <c r="G308" s="52"/>
      <c r="H308" s="52"/>
      <c r="I308" s="52"/>
      <c r="J308" s="52"/>
      <c r="K308" s="52"/>
      <c r="L308" s="52"/>
      <c r="M308" s="52"/>
      <c r="N308" s="52"/>
      <c r="O308" s="52"/>
      <c r="P308" s="52"/>
      <c r="Q308" s="52"/>
      <c r="R308" s="52"/>
      <c r="S308" s="52"/>
      <c r="T308" s="52"/>
      <c r="U308" s="52"/>
      <c r="V308" s="52"/>
      <c r="W308" s="52"/>
      <c r="X308" s="52"/>
      <c r="Y308" s="52"/>
      <c r="Z308" s="52"/>
    </row>
    <row r="309">
      <c r="A309" s="59"/>
      <c r="B309" s="34"/>
      <c r="C309" s="52"/>
      <c r="D309" s="52"/>
      <c r="E309" s="52"/>
      <c r="F309" s="52"/>
      <c r="G309" s="52"/>
      <c r="H309" s="52"/>
      <c r="I309" s="52"/>
      <c r="J309" s="52"/>
      <c r="K309" s="52"/>
      <c r="L309" s="52"/>
      <c r="M309" s="52"/>
      <c r="N309" s="52"/>
      <c r="O309" s="52"/>
      <c r="P309" s="52"/>
      <c r="Q309" s="52"/>
      <c r="R309" s="52"/>
      <c r="S309" s="52"/>
      <c r="T309" s="52"/>
      <c r="U309" s="52"/>
      <c r="V309" s="52"/>
      <c r="W309" s="52"/>
      <c r="X309" s="52"/>
      <c r="Y309" s="52"/>
      <c r="Z309" s="52"/>
    </row>
    <row r="310">
      <c r="A310" s="59"/>
      <c r="B310" s="34"/>
      <c r="C310" s="52"/>
      <c r="D310" s="52"/>
      <c r="E310" s="52"/>
      <c r="F310" s="52"/>
      <c r="G310" s="52"/>
      <c r="H310" s="52"/>
      <c r="I310" s="52"/>
      <c r="J310" s="52"/>
      <c r="K310" s="52"/>
      <c r="L310" s="52"/>
      <c r="M310" s="52"/>
      <c r="N310" s="52"/>
      <c r="O310" s="52"/>
      <c r="P310" s="52"/>
      <c r="Q310" s="52"/>
      <c r="R310" s="52"/>
      <c r="S310" s="52"/>
      <c r="T310" s="52"/>
      <c r="U310" s="52"/>
      <c r="V310" s="52"/>
      <c r="W310" s="52"/>
      <c r="X310" s="52"/>
      <c r="Y310" s="52"/>
      <c r="Z310" s="52"/>
    </row>
    <row r="311">
      <c r="A311" s="59"/>
      <c r="B311" s="34"/>
      <c r="C311" s="52"/>
      <c r="D311" s="52"/>
      <c r="E311" s="52"/>
      <c r="F311" s="52"/>
      <c r="G311" s="52"/>
      <c r="H311" s="52"/>
      <c r="I311" s="52"/>
      <c r="J311" s="52"/>
      <c r="K311" s="52"/>
      <c r="L311" s="52"/>
      <c r="M311" s="52"/>
      <c r="N311" s="52"/>
      <c r="O311" s="52"/>
      <c r="P311" s="52"/>
      <c r="Q311" s="52"/>
      <c r="R311" s="52"/>
      <c r="S311" s="52"/>
      <c r="T311" s="52"/>
      <c r="U311" s="52"/>
      <c r="V311" s="52"/>
      <c r="W311" s="52"/>
      <c r="X311" s="52"/>
      <c r="Y311" s="52"/>
      <c r="Z311" s="52"/>
    </row>
    <row r="312">
      <c r="A312" s="59"/>
      <c r="B312" s="34"/>
      <c r="C312" s="52"/>
      <c r="D312" s="52"/>
      <c r="E312" s="52"/>
      <c r="F312" s="52"/>
      <c r="G312" s="52"/>
      <c r="H312" s="52"/>
      <c r="I312" s="52"/>
      <c r="J312" s="52"/>
      <c r="K312" s="52"/>
      <c r="L312" s="52"/>
      <c r="M312" s="52"/>
      <c r="N312" s="52"/>
      <c r="O312" s="52"/>
      <c r="P312" s="52"/>
      <c r="Q312" s="52"/>
      <c r="R312" s="52"/>
      <c r="S312" s="52"/>
      <c r="T312" s="52"/>
      <c r="U312" s="52"/>
      <c r="V312" s="52"/>
      <c r="W312" s="52"/>
      <c r="X312" s="52"/>
      <c r="Y312" s="52"/>
      <c r="Z312" s="52"/>
    </row>
    <row r="313">
      <c r="A313" s="59"/>
      <c r="B313" s="34"/>
      <c r="C313" s="52"/>
      <c r="D313" s="52"/>
      <c r="E313" s="52"/>
      <c r="F313" s="52"/>
      <c r="G313" s="52"/>
      <c r="H313" s="52"/>
      <c r="I313" s="52"/>
      <c r="J313" s="52"/>
      <c r="K313" s="52"/>
      <c r="L313" s="52"/>
      <c r="M313" s="52"/>
      <c r="N313" s="52"/>
      <c r="O313" s="52"/>
      <c r="P313" s="52"/>
      <c r="Q313" s="52"/>
      <c r="R313" s="52"/>
      <c r="S313" s="52"/>
      <c r="T313" s="52"/>
      <c r="U313" s="52"/>
      <c r="V313" s="52"/>
      <c r="W313" s="52"/>
      <c r="X313" s="52"/>
      <c r="Y313" s="52"/>
      <c r="Z313" s="52"/>
    </row>
    <row r="314">
      <c r="A314" s="59"/>
      <c r="B314" s="34"/>
      <c r="C314" s="52"/>
      <c r="D314" s="52"/>
      <c r="E314" s="52"/>
      <c r="F314" s="52"/>
      <c r="G314" s="52"/>
      <c r="H314" s="52"/>
      <c r="I314" s="52"/>
      <c r="J314" s="52"/>
      <c r="K314" s="52"/>
      <c r="L314" s="52"/>
      <c r="M314" s="52"/>
      <c r="N314" s="52"/>
      <c r="O314" s="52"/>
      <c r="P314" s="52"/>
      <c r="Q314" s="52"/>
      <c r="R314" s="52"/>
      <c r="S314" s="52"/>
      <c r="T314" s="52"/>
      <c r="U314" s="52"/>
      <c r="V314" s="52"/>
      <c r="W314" s="52"/>
      <c r="X314" s="52"/>
      <c r="Y314" s="52"/>
      <c r="Z314" s="52"/>
    </row>
    <row r="315">
      <c r="A315" s="59"/>
      <c r="B315" s="34"/>
      <c r="C315" s="52"/>
      <c r="D315" s="52"/>
      <c r="E315" s="52"/>
      <c r="F315" s="52"/>
      <c r="G315" s="52"/>
      <c r="H315" s="52"/>
      <c r="I315" s="52"/>
      <c r="J315" s="52"/>
      <c r="K315" s="52"/>
      <c r="L315" s="52"/>
      <c r="M315" s="52"/>
      <c r="N315" s="52"/>
      <c r="O315" s="52"/>
      <c r="P315" s="52"/>
      <c r="Q315" s="52"/>
      <c r="R315" s="52"/>
      <c r="S315" s="52"/>
      <c r="T315" s="52"/>
      <c r="U315" s="52"/>
      <c r="V315" s="52"/>
      <c r="W315" s="52"/>
      <c r="X315" s="52"/>
      <c r="Y315" s="52"/>
      <c r="Z315" s="52"/>
    </row>
    <row r="316">
      <c r="A316" s="59"/>
      <c r="B316" s="34"/>
      <c r="C316" s="52"/>
      <c r="D316" s="52"/>
      <c r="E316" s="52"/>
      <c r="F316" s="52"/>
      <c r="G316" s="52"/>
      <c r="H316" s="52"/>
      <c r="I316" s="52"/>
      <c r="J316" s="52"/>
      <c r="K316" s="52"/>
      <c r="L316" s="52"/>
      <c r="M316" s="52"/>
      <c r="N316" s="52"/>
      <c r="O316" s="52"/>
      <c r="P316" s="52"/>
      <c r="Q316" s="52"/>
      <c r="R316" s="52"/>
      <c r="S316" s="52"/>
      <c r="T316" s="52"/>
      <c r="U316" s="52"/>
      <c r="V316" s="52"/>
      <c r="W316" s="52"/>
      <c r="X316" s="52"/>
      <c r="Y316" s="52"/>
      <c r="Z316" s="52"/>
    </row>
    <row r="317">
      <c r="A317" s="59"/>
      <c r="B317" s="34"/>
      <c r="C317" s="52"/>
      <c r="D317" s="52"/>
      <c r="E317" s="52"/>
      <c r="F317" s="52"/>
      <c r="G317" s="52"/>
      <c r="H317" s="52"/>
      <c r="I317" s="52"/>
      <c r="J317" s="52"/>
      <c r="K317" s="52"/>
      <c r="L317" s="52"/>
      <c r="M317" s="52"/>
      <c r="N317" s="52"/>
      <c r="O317" s="52"/>
      <c r="P317" s="52"/>
      <c r="Q317" s="52"/>
      <c r="R317" s="52"/>
      <c r="S317" s="52"/>
      <c r="T317" s="52"/>
      <c r="U317" s="52"/>
      <c r="V317" s="52"/>
      <c r="W317" s="52"/>
      <c r="X317" s="52"/>
      <c r="Y317" s="52"/>
      <c r="Z317" s="52"/>
    </row>
    <row r="318">
      <c r="A318" s="59"/>
      <c r="B318" s="34"/>
      <c r="C318" s="52"/>
      <c r="D318" s="52"/>
      <c r="E318" s="52"/>
      <c r="F318" s="52"/>
      <c r="G318" s="52"/>
      <c r="H318" s="52"/>
      <c r="I318" s="52"/>
      <c r="J318" s="52"/>
      <c r="K318" s="52"/>
      <c r="L318" s="52"/>
      <c r="M318" s="52"/>
      <c r="N318" s="52"/>
      <c r="O318" s="52"/>
      <c r="P318" s="52"/>
      <c r="Q318" s="52"/>
      <c r="R318" s="52"/>
      <c r="S318" s="52"/>
      <c r="T318" s="52"/>
      <c r="U318" s="52"/>
      <c r="V318" s="52"/>
      <c r="W318" s="52"/>
      <c r="X318" s="52"/>
      <c r="Y318" s="52"/>
      <c r="Z318" s="52"/>
    </row>
    <row r="319">
      <c r="A319" s="59"/>
      <c r="B319" s="34"/>
      <c r="C319" s="52"/>
      <c r="D319" s="52"/>
      <c r="E319" s="52"/>
      <c r="F319" s="52"/>
      <c r="G319" s="52"/>
      <c r="H319" s="52"/>
      <c r="I319" s="52"/>
      <c r="J319" s="52"/>
      <c r="K319" s="52"/>
      <c r="L319" s="52"/>
      <c r="M319" s="52"/>
      <c r="N319" s="52"/>
      <c r="O319" s="52"/>
      <c r="P319" s="52"/>
      <c r="Q319" s="52"/>
      <c r="R319" s="52"/>
      <c r="S319" s="52"/>
      <c r="T319" s="52"/>
      <c r="U319" s="52"/>
      <c r="V319" s="52"/>
      <c r="W319" s="52"/>
      <c r="X319" s="52"/>
      <c r="Y319" s="52"/>
      <c r="Z319" s="52"/>
    </row>
    <row r="320">
      <c r="A320" s="59"/>
      <c r="B320" s="34"/>
      <c r="C320" s="52"/>
      <c r="D320" s="52"/>
      <c r="E320" s="52"/>
      <c r="F320" s="52"/>
      <c r="G320" s="52"/>
      <c r="H320" s="52"/>
      <c r="I320" s="52"/>
      <c r="J320" s="52"/>
      <c r="K320" s="52"/>
      <c r="L320" s="52"/>
      <c r="M320" s="52"/>
      <c r="N320" s="52"/>
      <c r="O320" s="52"/>
      <c r="P320" s="52"/>
      <c r="Q320" s="52"/>
      <c r="R320" s="52"/>
      <c r="S320" s="52"/>
      <c r="T320" s="52"/>
      <c r="U320" s="52"/>
      <c r="V320" s="52"/>
      <c r="W320" s="52"/>
      <c r="X320" s="52"/>
      <c r="Y320" s="52"/>
      <c r="Z320" s="52"/>
    </row>
    <row r="321">
      <c r="A321" s="59"/>
      <c r="B321" s="34"/>
      <c r="C321" s="52"/>
      <c r="D321" s="52"/>
      <c r="E321" s="52"/>
      <c r="F321" s="52"/>
      <c r="G321" s="52"/>
      <c r="H321" s="52"/>
      <c r="I321" s="52"/>
      <c r="J321" s="52"/>
      <c r="K321" s="52"/>
      <c r="L321" s="52"/>
      <c r="M321" s="52"/>
      <c r="N321" s="52"/>
      <c r="O321" s="52"/>
      <c r="P321" s="52"/>
      <c r="Q321" s="52"/>
      <c r="R321" s="52"/>
      <c r="S321" s="52"/>
      <c r="T321" s="52"/>
      <c r="U321" s="52"/>
      <c r="V321" s="52"/>
      <c r="W321" s="52"/>
      <c r="X321" s="52"/>
      <c r="Y321" s="52"/>
      <c r="Z321" s="52"/>
    </row>
    <row r="322">
      <c r="A322" s="59"/>
      <c r="B322" s="34"/>
      <c r="C322" s="52"/>
      <c r="D322" s="52"/>
      <c r="E322" s="52"/>
      <c r="F322" s="52"/>
      <c r="G322" s="52"/>
      <c r="H322" s="52"/>
      <c r="I322" s="52"/>
      <c r="J322" s="52"/>
      <c r="K322" s="52"/>
      <c r="L322" s="52"/>
      <c r="M322" s="52"/>
      <c r="N322" s="52"/>
      <c r="O322" s="52"/>
      <c r="P322" s="52"/>
      <c r="Q322" s="52"/>
      <c r="R322" s="52"/>
      <c r="S322" s="52"/>
      <c r="T322" s="52"/>
      <c r="U322" s="52"/>
      <c r="V322" s="52"/>
      <c r="W322" s="52"/>
      <c r="X322" s="52"/>
      <c r="Y322" s="52"/>
      <c r="Z322" s="52"/>
    </row>
    <row r="323">
      <c r="A323" s="59"/>
      <c r="B323" s="34"/>
      <c r="C323" s="52"/>
      <c r="D323" s="52"/>
      <c r="E323" s="52"/>
      <c r="F323" s="52"/>
      <c r="G323" s="52"/>
      <c r="H323" s="52"/>
      <c r="I323" s="52"/>
      <c r="J323" s="52"/>
      <c r="K323" s="52"/>
      <c r="L323" s="52"/>
      <c r="M323" s="52"/>
      <c r="N323" s="52"/>
      <c r="O323" s="52"/>
      <c r="P323" s="52"/>
      <c r="Q323" s="52"/>
      <c r="R323" s="52"/>
      <c r="S323" s="52"/>
      <c r="T323" s="52"/>
      <c r="U323" s="52"/>
      <c r="V323" s="52"/>
      <c r="W323" s="52"/>
      <c r="X323" s="52"/>
      <c r="Y323" s="52"/>
      <c r="Z323" s="52"/>
    </row>
    <row r="324">
      <c r="A324" s="59"/>
      <c r="B324" s="34"/>
      <c r="C324" s="52"/>
      <c r="D324" s="52"/>
      <c r="E324" s="52"/>
      <c r="F324" s="52"/>
      <c r="G324" s="52"/>
      <c r="H324" s="52"/>
      <c r="I324" s="52"/>
      <c r="J324" s="52"/>
      <c r="K324" s="52"/>
      <c r="L324" s="52"/>
      <c r="M324" s="52"/>
      <c r="N324" s="52"/>
      <c r="O324" s="52"/>
      <c r="P324" s="52"/>
      <c r="Q324" s="52"/>
      <c r="R324" s="52"/>
      <c r="S324" s="52"/>
      <c r="T324" s="52"/>
      <c r="U324" s="52"/>
      <c r="V324" s="52"/>
      <c r="W324" s="52"/>
      <c r="X324" s="52"/>
      <c r="Y324" s="52"/>
      <c r="Z324" s="52"/>
    </row>
    <row r="325">
      <c r="A325" s="59"/>
      <c r="B325" s="34"/>
      <c r="C325" s="52"/>
      <c r="D325" s="52"/>
      <c r="E325" s="52"/>
      <c r="F325" s="52"/>
      <c r="G325" s="52"/>
      <c r="H325" s="52"/>
      <c r="I325" s="52"/>
      <c r="J325" s="52"/>
      <c r="K325" s="52"/>
      <c r="L325" s="52"/>
      <c r="M325" s="52"/>
      <c r="N325" s="52"/>
      <c r="O325" s="52"/>
      <c r="P325" s="52"/>
      <c r="Q325" s="52"/>
      <c r="R325" s="52"/>
      <c r="S325" s="52"/>
      <c r="T325" s="52"/>
      <c r="U325" s="52"/>
      <c r="V325" s="52"/>
      <c r="W325" s="52"/>
      <c r="X325" s="52"/>
      <c r="Y325" s="52"/>
      <c r="Z325" s="52"/>
    </row>
    <row r="326">
      <c r="A326" s="59"/>
      <c r="B326" s="34"/>
      <c r="C326" s="52"/>
      <c r="D326" s="52"/>
      <c r="E326" s="52"/>
      <c r="F326" s="52"/>
      <c r="G326" s="52"/>
      <c r="H326" s="52"/>
      <c r="I326" s="52"/>
      <c r="J326" s="52"/>
      <c r="K326" s="52"/>
      <c r="L326" s="52"/>
      <c r="M326" s="52"/>
      <c r="N326" s="52"/>
      <c r="O326" s="52"/>
      <c r="P326" s="52"/>
      <c r="Q326" s="52"/>
      <c r="R326" s="52"/>
      <c r="S326" s="52"/>
      <c r="T326" s="52"/>
      <c r="U326" s="52"/>
      <c r="V326" s="52"/>
      <c r="W326" s="52"/>
      <c r="X326" s="52"/>
      <c r="Y326" s="52"/>
      <c r="Z326" s="52"/>
    </row>
    <row r="327">
      <c r="A327" s="59"/>
      <c r="B327" s="34"/>
      <c r="C327" s="52"/>
      <c r="D327" s="52"/>
      <c r="E327" s="52"/>
      <c r="F327" s="52"/>
      <c r="G327" s="52"/>
      <c r="H327" s="52"/>
      <c r="I327" s="52"/>
      <c r="J327" s="52"/>
      <c r="K327" s="52"/>
      <c r="L327" s="52"/>
      <c r="M327" s="52"/>
      <c r="N327" s="52"/>
      <c r="O327" s="52"/>
      <c r="P327" s="52"/>
      <c r="Q327" s="52"/>
      <c r="R327" s="52"/>
      <c r="S327" s="52"/>
      <c r="T327" s="52"/>
      <c r="U327" s="52"/>
      <c r="V327" s="52"/>
      <c r="W327" s="52"/>
      <c r="X327" s="52"/>
      <c r="Y327" s="52"/>
      <c r="Z327" s="52"/>
    </row>
    <row r="328">
      <c r="A328" s="59"/>
      <c r="B328" s="34"/>
      <c r="C328" s="52"/>
      <c r="D328" s="52"/>
      <c r="E328" s="52"/>
      <c r="F328" s="52"/>
      <c r="G328" s="52"/>
      <c r="H328" s="52"/>
      <c r="I328" s="52"/>
      <c r="J328" s="52"/>
      <c r="K328" s="52"/>
      <c r="L328" s="52"/>
      <c r="M328" s="52"/>
      <c r="N328" s="52"/>
      <c r="O328" s="52"/>
      <c r="P328" s="52"/>
      <c r="Q328" s="52"/>
      <c r="R328" s="52"/>
      <c r="S328" s="52"/>
      <c r="T328" s="52"/>
      <c r="U328" s="52"/>
      <c r="V328" s="52"/>
      <c r="W328" s="52"/>
      <c r="X328" s="52"/>
      <c r="Y328" s="52"/>
      <c r="Z328" s="52"/>
    </row>
    <row r="329">
      <c r="A329" s="59"/>
      <c r="B329" s="34"/>
      <c r="C329" s="52"/>
      <c r="D329" s="52"/>
      <c r="E329" s="52"/>
      <c r="F329" s="52"/>
      <c r="G329" s="52"/>
      <c r="H329" s="52"/>
      <c r="I329" s="52"/>
      <c r="J329" s="52"/>
      <c r="K329" s="52"/>
      <c r="L329" s="52"/>
      <c r="M329" s="52"/>
      <c r="N329" s="52"/>
      <c r="O329" s="52"/>
      <c r="P329" s="52"/>
      <c r="Q329" s="52"/>
      <c r="R329" s="52"/>
      <c r="S329" s="52"/>
      <c r="T329" s="52"/>
      <c r="U329" s="52"/>
      <c r="V329" s="52"/>
      <c r="W329" s="52"/>
      <c r="X329" s="52"/>
      <c r="Y329" s="52"/>
      <c r="Z329" s="52"/>
    </row>
    <row r="330">
      <c r="A330" s="59"/>
      <c r="B330" s="34"/>
      <c r="C330" s="52"/>
      <c r="D330" s="52"/>
      <c r="E330" s="52"/>
      <c r="F330" s="52"/>
      <c r="G330" s="52"/>
      <c r="H330" s="52"/>
      <c r="I330" s="52"/>
      <c r="J330" s="52"/>
      <c r="K330" s="52"/>
      <c r="L330" s="52"/>
      <c r="M330" s="52"/>
      <c r="N330" s="52"/>
      <c r="O330" s="52"/>
      <c r="P330" s="52"/>
      <c r="Q330" s="52"/>
      <c r="R330" s="52"/>
      <c r="S330" s="52"/>
      <c r="T330" s="52"/>
      <c r="U330" s="52"/>
      <c r="V330" s="52"/>
      <c r="W330" s="52"/>
      <c r="X330" s="52"/>
      <c r="Y330" s="52"/>
      <c r="Z330" s="52"/>
    </row>
    <row r="331">
      <c r="A331" s="59"/>
      <c r="B331" s="34"/>
      <c r="C331" s="52"/>
      <c r="D331" s="52"/>
      <c r="E331" s="52"/>
      <c r="F331" s="52"/>
      <c r="G331" s="52"/>
      <c r="H331" s="52"/>
      <c r="I331" s="52"/>
      <c r="J331" s="52"/>
      <c r="K331" s="52"/>
      <c r="L331" s="52"/>
      <c r="M331" s="52"/>
      <c r="N331" s="52"/>
      <c r="O331" s="52"/>
      <c r="P331" s="52"/>
      <c r="Q331" s="52"/>
      <c r="R331" s="52"/>
      <c r="S331" s="52"/>
      <c r="T331" s="52"/>
      <c r="U331" s="52"/>
      <c r="V331" s="52"/>
      <c r="W331" s="52"/>
      <c r="X331" s="52"/>
      <c r="Y331" s="52"/>
      <c r="Z331" s="52"/>
    </row>
    <row r="332">
      <c r="A332" s="59"/>
      <c r="B332" s="34"/>
      <c r="C332" s="52"/>
      <c r="D332" s="52"/>
      <c r="E332" s="52"/>
      <c r="F332" s="52"/>
      <c r="G332" s="52"/>
      <c r="H332" s="52"/>
      <c r="I332" s="52"/>
      <c r="J332" s="52"/>
      <c r="K332" s="52"/>
      <c r="L332" s="52"/>
      <c r="M332" s="52"/>
      <c r="N332" s="52"/>
      <c r="O332" s="52"/>
      <c r="P332" s="52"/>
      <c r="Q332" s="52"/>
      <c r="R332" s="52"/>
      <c r="S332" s="52"/>
      <c r="T332" s="52"/>
      <c r="U332" s="52"/>
      <c r="V332" s="52"/>
      <c r="W332" s="52"/>
      <c r="X332" s="52"/>
      <c r="Y332" s="52"/>
      <c r="Z332" s="52"/>
    </row>
    <row r="333">
      <c r="A333" s="59"/>
      <c r="B333" s="34"/>
      <c r="C333" s="52"/>
      <c r="D333" s="52"/>
      <c r="E333" s="52"/>
      <c r="F333" s="52"/>
      <c r="G333" s="52"/>
      <c r="H333" s="52"/>
      <c r="I333" s="52"/>
      <c r="J333" s="52"/>
      <c r="K333" s="52"/>
      <c r="L333" s="52"/>
      <c r="M333" s="52"/>
      <c r="N333" s="52"/>
      <c r="O333" s="52"/>
      <c r="P333" s="52"/>
      <c r="Q333" s="52"/>
      <c r="R333" s="52"/>
      <c r="S333" s="52"/>
      <c r="T333" s="52"/>
      <c r="U333" s="52"/>
      <c r="V333" s="52"/>
      <c r="W333" s="52"/>
      <c r="X333" s="52"/>
      <c r="Y333" s="52"/>
      <c r="Z333" s="52"/>
    </row>
    <row r="334">
      <c r="A334" s="59"/>
      <c r="B334" s="34"/>
      <c r="C334" s="52"/>
      <c r="D334" s="52"/>
      <c r="E334" s="52"/>
      <c r="F334" s="52"/>
      <c r="G334" s="52"/>
      <c r="H334" s="52"/>
      <c r="I334" s="52"/>
      <c r="J334" s="52"/>
      <c r="K334" s="52"/>
      <c r="L334" s="52"/>
      <c r="M334" s="52"/>
      <c r="N334" s="52"/>
      <c r="O334" s="52"/>
      <c r="P334" s="52"/>
      <c r="Q334" s="52"/>
      <c r="R334" s="52"/>
      <c r="S334" s="52"/>
      <c r="T334" s="52"/>
      <c r="U334" s="52"/>
      <c r="V334" s="52"/>
      <c r="W334" s="52"/>
      <c r="X334" s="52"/>
      <c r="Y334" s="52"/>
      <c r="Z334" s="52"/>
    </row>
    <row r="335">
      <c r="A335" s="59"/>
      <c r="B335" s="34"/>
      <c r="C335" s="52"/>
      <c r="D335" s="52"/>
      <c r="E335" s="52"/>
      <c r="F335" s="52"/>
      <c r="G335" s="52"/>
      <c r="H335" s="52"/>
      <c r="I335" s="52"/>
      <c r="J335" s="52"/>
      <c r="K335" s="52"/>
      <c r="L335" s="52"/>
      <c r="M335" s="52"/>
      <c r="N335" s="52"/>
      <c r="O335" s="52"/>
      <c r="P335" s="52"/>
      <c r="Q335" s="52"/>
      <c r="R335" s="52"/>
      <c r="S335" s="52"/>
      <c r="T335" s="52"/>
      <c r="U335" s="52"/>
      <c r="V335" s="52"/>
      <c r="W335" s="52"/>
      <c r="X335" s="52"/>
      <c r="Y335" s="52"/>
      <c r="Z335" s="52"/>
    </row>
    <row r="336">
      <c r="A336" s="59"/>
      <c r="B336" s="34"/>
      <c r="C336" s="52"/>
      <c r="D336" s="52"/>
      <c r="E336" s="52"/>
      <c r="F336" s="52"/>
      <c r="G336" s="52"/>
      <c r="H336" s="52"/>
      <c r="I336" s="52"/>
      <c r="J336" s="52"/>
      <c r="K336" s="52"/>
      <c r="L336" s="52"/>
      <c r="M336" s="52"/>
      <c r="N336" s="52"/>
      <c r="O336" s="52"/>
      <c r="P336" s="52"/>
      <c r="Q336" s="52"/>
      <c r="R336" s="52"/>
      <c r="S336" s="52"/>
      <c r="T336" s="52"/>
      <c r="U336" s="52"/>
      <c r="V336" s="52"/>
      <c r="W336" s="52"/>
      <c r="X336" s="52"/>
      <c r="Y336" s="52"/>
      <c r="Z336" s="52"/>
    </row>
    <row r="337">
      <c r="A337" s="59"/>
      <c r="B337" s="34"/>
      <c r="C337" s="52"/>
      <c r="D337" s="52"/>
      <c r="E337" s="52"/>
      <c r="F337" s="52"/>
      <c r="G337" s="52"/>
      <c r="H337" s="52"/>
      <c r="I337" s="52"/>
      <c r="J337" s="52"/>
      <c r="K337" s="52"/>
      <c r="L337" s="52"/>
      <c r="M337" s="52"/>
      <c r="N337" s="52"/>
      <c r="O337" s="52"/>
      <c r="P337" s="52"/>
      <c r="Q337" s="52"/>
      <c r="R337" s="52"/>
      <c r="S337" s="52"/>
      <c r="T337" s="52"/>
      <c r="U337" s="52"/>
      <c r="V337" s="52"/>
      <c r="W337" s="52"/>
      <c r="X337" s="52"/>
      <c r="Y337" s="52"/>
      <c r="Z337" s="52"/>
    </row>
    <row r="338">
      <c r="A338" s="59"/>
      <c r="B338" s="34"/>
      <c r="C338" s="52"/>
      <c r="D338" s="52"/>
      <c r="E338" s="52"/>
      <c r="F338" s="52"/>
      <c r="G338" s="52"/>
      <c r="H338" s="52"/>
      <c r="I338" s="52"/>
      <c r="J338" s="52"/>
      <c r="K338" s="52"/>
      <c r="L338" s="52"/>
      <c r="M338" s="52"/>
      <c r="N338" s="52"/>
      <c r="O338" s="52"/>
      <c r="P338" s="52"/>
      <c r="Q338" s="52"/>
      <c r="R338" s="52"/>
      <c r="S338" s="52"/>
      <c r="T338" s="52"/>
      <c r="U338" s="52"/>
      <c r="V338" s="52"/>
      <c r="W338" s="52"/>
      <c r="X338" s="52"/>
      <c r="Y338" s="52"/>
      <c r="Z338" s="52"/>
    </row>
    <row r="339">
      <c r="A339" s="59"/>
      <c r="B339" s="34"/>
      <c r="C339" s="52"/>
      <c r="D339" s="52"/>
      <c r="E339" s="52"/>
      <c r="F339" s="52"/>
      <c r="G339" s="52"/>
      <c r="H339" s="52"/>
      <c r="I339" s="52"/>
      <c r="J339" s="52"/>
      <c r="K339" s="52"/>
      <c r="L339" s="52"/>
      <c r="M339" s="52"/>
      <c r="N339" s="52"/>
      <c r="O339" s="52"/>
      <c r="P339" s="52"/>
      <c r="Q339" s="52"/>
      <c r="R339" s="52"/>
      <c r="S339" s="52"/>
      <c r="T339" s="52"/>
      <c r="U339" s="52"/>
      <c r="V339" s="52"/>
      <c r="W339" s="52"/>
      <c r="X339" s="52"/>
      <c r="Y339" s="52"/>
      <c r="Z339" s="52"/>
    </row>
    <row r="340">
      <c r="A340" s="59"/>
      <c r="B340" s="34"/>
      <c r="C340" s="52"/>
      <c r="D340" s="52"/>
      <c r="E340" s="52"/>
      <c r="F340" s="52"/>
      <c r="G340" s="52"/>
      <c r="H340" s="52"/>
      <c r="I340" s="52"/>
      <c r="J340" s="52"/>
      <c r="K340" s="52"/>
      <c r="L340" s="52"/>
      <c r="M340" s="52"/>
      <c r="N340" s="52"/>
      <c r="O340" s="52"/>
      <c r="P340" s="52"/>
      <c r="Q340" s="52"/>
      <c r="R340" s="52"/>
      <c r="S340" s="52"/>
      <c r="T340" s="52"/>
      <c r="U340" s="52"/>
      <c r="V340" s="52"/>
      <c r="W340" s="52"/>
      <c r="X340" s="52"/>
      <c r="Y340" s="52"/>
      <c r="Z340" s="52"/>
    </row>
    <row r="341">
      <c r="A341" s="59"/>
      <c r="B341" s="34"/>
      <c r="C341" s="52"/>
      <c r="D341" s="52"/>
      <c r="E341" s="52"/>
      <c r="F341" s="52"/>
      <c r="G341" s="52"/>
      <c r="H341" s="52"/>
      <c r="I341" s="52"/>
      <c r="J341" s="52"/>
      <c r="K341" s="52"/>
      <c r="L341" s="52"/>
      <c r="M341" s="52"/>
      <c r="N341" s="52"/>
      <c r="O341" s="52"/>
      <c r="P341" s="52"/>
      <c r="Q341" s="52"/>
      <c r="R341" s="52"/>
      <c r="S341" s="52"/>
      <c r="T341" s="52"/>
      <c r="U341" s="52"/>
      <c r="V341" s="52"/>
      <c r="W341" s="52"/>
      <c r="X341" s="52"/>
      <c r="Y341" s="52"/>
      <c r="Z341" s="52"/>
    </row>
    <row r="342">
      <c r="A342" s="59"/>
      <c r="B342" s="34"/>
      <c r="C342" s="52"/>
      <c r="D342" s="52"/>
      <c r="E342" s="52"/>
      <c r="F342" s="52"/>
      <c r="G342" s="52"/>
      <c r="H342" s="52"/>
      <c r="I342" s="52"/>
      <c r="J342" s="52"/>
      <c r="K342" s="52"/>
      <c r="L342" s="52"/>
      <c r="M342" s="52"/>
      <c r="N342" s="52"/>
      <c r="O342" s="52"/>
      <c r="P342" s="52"/>
      <c r="Q342" s="52"/>
      <c r="R342" s="52"/>
      <c r="S342" s="52"/>
      <c r="T342" s="52"/>
      <c r="U342" s="52"/>
      <c r="V342" s="52"/>
      <c r="W342" s="52"/>
      <c r="X342" s="52"/>
      <c r="Y342" s="52"/>
      <c r="Z342" s="52"/>
    </row>
    <row r="343">
      <c r="A343" s="59"/>
      <c r="B343" s="34"/>
      <c r="C343" s="52"/>
      <c r="D343" s="52"/>
      <c r="E343" s="52"/>
      <c r="F343" s="52"/>
      <c r="G343" s="52"/>
      <c r="H343" s="52"/>
      <c r="I343" s="52"/>
      <c r="J343" s="52"/>
      <c r="K343" s="52"/>
      <c r="L343" s="52"/>
      <c r="M343" s="52"/>
      <c r="N343" s="52"/>
      <c r="O343" s="52"/>
      <c r="P343" s="52"/>
      <c r="Q343" s="52"/>
      <c r="R343" s="52"/>
      <c r="S343" s="52"/>
      <c r="T343" s="52"/>
      <c r="U343" s="52"/>
      <c r="V343" s="52"/>
      <c r="W343" s="52"/>
      <c r="X343" s="52"/>
      <c r="Y343" s="52"/>
      <c r="Z343" s="52"/>
    </row>
    <row r="344">
      <c r="A344" s="59"/>
      <c r="B344" s="34"/>
      <c r="C344" s="52"/>
      <c r="D344" s="52"/>
      <c r="E344" s="52"/>
      <c r="F344" s="52"/>
      <c r="G344" s="52"/>
      <c r="H344" s="52"/>
      <c r="I344" s="52"/>
      <c r="J344" s="52"/>
      <c r="K344" s="52"/>
      <c r="L344" s="52"/>
      <c r="M344" s="52"/>
      <c r="N344" s="52"/>
      <c r="O344" s="52"/>
      <c r="P344" s="52"/>
      <c r="Q344" s="52"/>
      <c r="R344" s="52"/>
      <c r="S344" s="52"/>
      <c r="T344" s="52"/>
      <c r="U344" s="52"/>
      <c r="V344" s="52"/>
      <c r="W344" s="52"/>
      <c r="X344" s="52"/>
      <c r="Y344" s="52"/>
      <c r="Z344" s="52"/>
    </row>
    <row r="345">
      <c r="A345" s="59"/>
      <c r="B345" s="34"/>
      <c r="C345" s="52"/>
      <c r="D345" s="52"/>
      <c r="E345" s="52"/>
      <c r="F345" s="52"/>
      <c r="G345" s="52"/>
      <c r="H345" s="52"/>
      <c r="I345" s="52"/>
      <c r="J345" s="52"/>
      <c r="K345" s="52"/>
      <c r="L345" s="52"/>
      <c r="M345" s="52"/>
      <c r="N345" s="52"/>
      <c r="O345" s="52"/>
      <c r="P345" s="52"/>
      <c r="Q345" s="52"/>
      <c r="R345" s="52"/>
      <c r="S345" s="52"/>
      <c r="T345" s="52"/>
      <c r="U345" s="52"/>
      <c r="V345" s="52"/>
      <c r="W345" s="52"/>
      <c r="X345" s="52"/>
      <c r="Y345" s="52"/>
      <c r="Z345" s="52"/>
    </row>
    <row r="346">
      <c r="A346" s="59"/>
      <c r="B346" s="34"/>
      <c r="C346" s="52"/>
      <c r="D346" s="52"/>
      <c r="E346" s="52"/>
      <c r="F346" s="52"/>
      <c r="G346" s="52"/>
      <c r="H346" s="52"/>
      <c r="I346" s="52"/>
      <c r="J346" s="52"/>
      <c r="K346" s="52"/>
      <c r="L346" s="52"/>
      <c r="M346" s="52"/>
      <c r="N346" s="52"/>
      <c r="O346" s="52"/>
      <c r="P346" s="52"/>
      <c r="Q346" s="52"/>
      <c r="R346" s="52"/>
      <c r="S346" s="52"/>
      <c r="T346" s="52"/>
      <c r="U346" s="52"/>
      <c r="V346" s="52"/>
      <c r="W346" s="52"/>
      <c r="X346" s="52"/>
      <c r="Y346" s="52"/>
      <c r="Z346" s="52"/>
    </row>
    <row r="347">
      <c r="A347" s="59"/>
      <c r="B347" s="34"/>
      <c r="C347" s="52"/>
      <c r="D347" s="52"/>
      <c r="E347" s="52"/>
      <c r="F347" s="52"/>
      <c r="G347" s="52"/>
      <c r="H347" s="52"/>
      <c r="I347" s="52"/>
      <c r="J347" s="52"/>
      <c r="K347" s="52"/>
      <c r="L347" s="52"/>
      <c r="M347" s="52"/>
      <c r="N347" s="52"/>
      <c r="O347" s="52"/>
      <c r="P347" s="52"/>
      <c r="Q347" s="52"/>
      <c r="R347" s="52"/>
      <c r="S347" s="52"/>
      <c r="T347" s="52"/>
      <c r="U347" s="52"/>
      <c r="V347" s="52"/>
      <c r="W347" s="52"/>
      <c r="X347" s="52"/>
      <c r="Y347" s="52"/>
      <c r="Z347" s="52"/>
    </row>
    <row r="348">
      <c r="A348" s="59"/>
      <c r="B348" s="34"/>
      <c r="C348" s="52"/>
      <c r="D348" s="52"/>
      <c r="E348" s="52"/>
      <c r="F348" s="52"/>
      <c r="G348" s="52"/>
      <c r="H348" s="52"/>
      <c r="I348" s="52"/>
      <c r="J348" s="52"/>
      <c r="K348" s="52"/>
      <c r="L348" s="52"/>
      <c r="M348" s="52"/>
      <c r="N348" s="52"/>
      <c r="O348" s="52"/>
      <c r="P348" s="52"/>
      <c r="Q348" s="52"/>
      <c r="R348" s="52"/>
      <c r="S348" s="52"/>
      <c r="T348" s="52"/>
      <c r="U348" s="52"/>
      <c r="V348" s="52"/>
      <c r="W348" s="52"/>
      <c r="X348" s="52"/>
      <c r="Y348" s="52"/>
      <c r="Z348" s="52"/>
    </row>
    <row r="349">
      <c r="A349" s="59"/>
      <c r="B349" s="34"/>
      <c r="C349" s="52"/>
      <c r="D349" s="52"/>
      <c r="E349" s="52"/>
      <c r="F349" s="52"/>
      <c r="G349" s="52"/>
      <c r="H349" s="52"/>
      <c r="I349" s="52"/>
      <c r="J349" s="52"/>
      <c r="K349" s="52"/>
      <c r="L349" s="52"/>
      <c r="M349" s="52"/>
      <c r="N349" s="52"/>
      <c r="O349" s="52"/>
      <c r="P349" s="52"/>
      <c r="Q349" s="52"/>
      <c r="R349" s="52"/>
      <c r="S349" s="52"/>
      <c r="T349" s="52"/>
      <c r="U349" s="52"/>
      <c r="V349" s="52"/>
      <c r="W349" s="52"/>
      <c r="X349" s="52"/>
      <c r="Y349" s="52"/>
      <c r="Z349" s="52"/>
    </row>
    <row r="350">
      <c r="A350" s="59"/>
      <c r="B350" s="34"/>
      <c r="C350" s="52"/>
      <c r="D350" s="52"/>
      <c r="E350" s="52"/>
      <c r="F350" s="52"/>
      <c r="G350" s="52"/>
      <c r="H350" s="52"/>
      <c r="I350" s="52"/>
      <c r="J350" s="52"/>
      <c r="K350" s="52"/>
      <c r="L350" s="52"/>
      <c r="M350" s="52"/>
      <c r="N350" s="52"/>
      <c r="O350" s="52"/>
      <c r="P350" s="52"/>
      <c r="Q350" s="52"/>
      <c r="R350" s="52"/>
      <c r="S350" s="52"/>
      <c r="T350" s="52"/>
      <c r="U350" s="52"/>
      <c r="V350" s="52"/>
      <c r="W350" s="52"/>
      <c r="X350" s="52"/>
      <c r="Y350" s="52"/>
      <c r="Z350" s="52"/>
    </row>
    <row r="351">
      <c r="A351" s="59"/>
      <c r="B351" s="34"/>
      <c r="C351" s="52"/>
      <c r="D351" s="52"/>
      <c r="E351" s="52"/>
      <c r="F351" s="52"/>
      <c r="G351" s="52"/>
      <c r="H351" s="52"/>
      <c r="I351" s="52"/>
      <c r="J351" s="52"/>
      <c r="K351" s="52"/>
      <c r="L351" s="52"/>
      <c r="M351" s="52"/>
      <c r="N351" s="52"/>
      <c r="O351" s="52"/>
      <c r="P351" s="52"/>
      <c r="Q351" s="52"/>
      <c r="R351" s="52"/>
      <c r="S351" s="52"/>
      <c r="T351" s="52"/>
      <c r="U351" s="52"/>
      <c r="V351" s="52"/>
      <c r="W351" s="52"/>
      <c r="X351" s="52"/>
      <c r="Y351" s="52"/>
      <c r="Z351" s="52"/>
    </row>
    <row r="352">
      <c r="A352" s="59"/>
      <c r="B352" s="34"/>
      <c r="C352" s="52"/>
      <c r="D352" s="52"/>
      <c r="E352" s="52"/>
      <c r="F352" s="52"/>
      <c r="G352" s="52"/>
      <c r="H352" s="52"/>
      <c r="I352" s="52"/>
      <c r="J352" s="52"/>
      <c r="K352" s="52"/>
      <c r="L352" s="52"/>
      <c r="M352" s="52"/>
      <c r="N352" s="52"/>
      <c r="O352" s="52"/>
      <c r="P352" s="52"/>
      <c r="Q352" s="52"/>
      <c r="R352" s="52"/>
      <c r="S352" s="52"/>
      <c r="T352" s="52"/>
      <c r="U352" s="52"/>
      <c r="V352" s="52"/>
      <c r="W352" s="52"/>
      <c r="X352" s="52"/>
      <c r="Y352" s="52"/>
      <c r="Z352" s="52"/>
    </row>
    <row r="353">
      <c r="A353" s="59"/>
      <c r="B353" s="34"/>
      <c r="C353" s="52"/>
      <c r="D353" s="52"/>
      <c r="E353" s="52"/>
      <c r="F353" s="52"/>
      <c r="G353" s="52"/>
      <c r="H353" s="52"/>
      <c r="I353" s="52"/>
      <c r="J353" s="52"/>
      <c r="K353" s="52"/>
      <c r="L353" s="52"/>
      <c r="M353" s="52"/>
      <c r="N353" s="52"/>
      <c r="O353" s="52"/>
      <c r="P353" s="52"/>
      <c r="Q353" s="52"/>
      <c r="R353" s="52"/>
      <c r="S353" s="52"/>
      <c r="T353" s="52"/>
      <c r="U353" s="52"/>
      <c r="V353" s="52"/>
      <c r="W353" s="52"/>
      <c r="X353" s="52"/>
      <c r="Y353" s="52"/>
      <c r="Z353" s="52"/>
    </row>
    <row r="354">
      <c r="A354" s="59"/>
      <c r="B354" s="34"/>
      <c r="C354" s="52"/>
      <c r="D354" s="52"/>
      <c r="E354" s="52"/>
      <c r="F354" s="52"/>
      <c r="G354" s="52"/>
      <c r="H354" s="52"/>
      <c r="I354" s="52"/>
      <c r="J354" s="52"/>
      <c r="K354" s="52"/>
      <c r="L354" s="52"/>
      <c r="M354" s="52"/>
      <c r="N354" s="52"/>
      <c r="O354" s="52"/>
      <c r="P354" s="52"/>
      <c r="Q354" s="52"/>
      <c r="R354" s="52"/>
      <c r="S354" s="52"/>
      <c r="T354" s="52"/>
      <c r="U354" s="52"/>
      <c r="V354" s="52"/>
      <c r="W354" s="52"/>
      <c r="X354" s="52"/>
      <c r="Y354" s="52"/>
      <c r="Z354" s="52"/>
    </row>
    <row r="355">
      <c r="A355" s="59"/>
      <c r="B355" s="34"/>
      <c r="C355" s="52"/>
      <c r="D355" s="52"/>
      <c r="E355" s="52"/>
      <c r="F355" s="52"/>
      <c r="G355" s="52"/>
      <c r="H355" s="52"/>
      <c r="I355" s="52"/>
      <c r="J355" s="52"/>
      <c r="K355" s="52"/>
      <c r="L355" s="52"/>
      <c r="M355" s="52"/>
      <c r="N355" s="52"/>
      <c r="O355" s="52"/>
      <c r="P355" s="52"/>
      <c r="Q355" s="52"/>
      <c r="R355" s="52"/>
      <c r="S355" s="52"/>
      <c r="T355" s="52"/>
      <c r="U355" s="52"/>
      <c r="V355" s="52"/>
      <c r="W355" s="52"/>
      <c r="X355" s="52"/>
      <c r="Y355" s="52"/>
      <c r="Z355" s="52"/>
    </row>
    <row r="356">
      <c r="A356" s="59"/>
      <c r="B356" s="34"/>
      <c r="C356" s="52"/>
      <c r="D356" s="52"/>
      <c r="E356" s="52"/>
      <c r="F356" s="52"/>
      <c r="G356" s="52"/>
      <c r="H356" s="52"/>
      <c r="I356" s="52"/>
      <c r="J356" s="52"/>
      <c r="K356" s="52"/>
      <c r="L356" s="52"/>
      <c r="M356" s="52"/>
      <c r="N356" s="52"/>
      <c r="O356" s="52"/>
      <c r="P356" s="52"/>
      <c r="Q356" s="52"/>
      <c r="R356" s="52"/>
      <c r="S356" s="52"/>
      <c r="T356" s="52"/>
      <c r="U356" s="52"/>
      <c r="V356" s="52"/>
      <c r="W356" s="52"/>
      <c r="X356" s="52"/>
      <c r="Y356" s="52"/>
      <c r="Z356" s="52"/>
    </row>
    <row r="357">
      <c r="A357" s="59"/>
      <c r="B357" s="34"/>
      <c r="C357" s="52"/>
      <c r="D357" s="52"/>
      <c r="E357" s="52"/>
      <c r="F357" s="52"/>
      <c r="G357" s="52"/>
      <c r="H357" s="52"/>
      <c r="I357" s="52"/>
      <c r="J357" s="52"/>
      <c r="K357" s="52"/>
      <c r="L357" s="52"/>
      <c r="M357" s="52"/>
      <c r="N357" s="52"/>
      <c r="O357" s="52"/>
      <c r="P357" s="52"/>
      <c r="Q357" s="52"/>
      <c r="R357" s="52"/>
      <c r="S357" s="52"/>
      <c r="T357" s="52"/>
      <c r="U357" s="52"/>
      <c r="V357" s="52"/>
      <c r="W357" s="52"/>
      <c r="X357" s="52"/>
      <c r="Y357" s="52"/>
      <c r="Z357" s="52"/>
    </row>
    <row r="358">
      <c r="A358" s="59"/>
      <c r="B358" s="34"/>
      <c r="C358" s="52"/>
      <c r="D358" s="52"/>
      <c r="E358" s="52"/>
      <c r="F358" s="52"/>
      <c r="G358" s="52"/>
      <c r="H358" s="52"/>
      <c r="I358" s="52"/>
      <c r="J358" s="52"/>
      <c r="K358" s="52"/>
      <c r="L358" s="52"/>
      <c r="M358" s="52"/>
      <c r="N358" s="52"/>
      <c r="O358" s="52"/>
      <c r="P358" s="52"/>
      <c r="Q358" s="52"/>
      <c r="R358" s="52"/>
      <c r="S358" s="52"/>
      <c r="T358" s="52"/>
      <c r="U358" s="52"/>
      <c r="V358" s="52"/>
      <c r="W358" s="52"/>
      <c r="X358" s="52"/>
      <c r="Y358" s="52"/>
      <c r="Z358" s="52"/>
    </row>
    <row r="359">
      <c r="A359" s="59"/>
      <c r="B359" s="34"/>
      <c r="C359" s="52"/>
      <c r="D359" s="52"/>
      <c r="E359" s="52"/>
      <c r="F359" s="52"/>
      <c r="G359" s="52"/>
      <c r="H359" s="52"/>
      <c r="I359" s="52"/>
      <c r="J359" s="52"/>
      <c r="K359" s="52"/>
      <c r="L359" s="52"/>
      <c r="M359" s="52"/>
      <c r="N359" s="52"/>
      <c r="O359" s="52"/>
      <c r="P359" s="52"/>
      <c r="Q359" s="52"/>
      <c r="R359" s="52"/>
      <c r="S359" s="52"/>
      <c r="T359" s="52"/>
      <c r="U359" s="52"/>
      <c r="V359" s="52"/>
      <c r="W359" s="52"/>
      <c r="X359" s="52"/>
      <c r="Y359" s="52"/>
      <c r="Z359" s="52"/>
    </row>
    <row r="360">
      <c r="A360" s="59"/>
      <c r="B360" s="34"/>
      <c r="C360" s="52"/>
      <c r="D360" s="52"/>
      <c r="E360" s="52"/>
      <c r="F360" s="52"/>
      <c r="G360" s="52"/>
      <c r="H360" s="52"/>
      <c r="I360" s="52"/>
      <c r="J360" s="52"/>
      <c r="K360" s="52"/>
      <c r="L360" s="52"/>
      <c r="M360" s="52"/>
      <c r="N360" s="52"/>
      <c r="O360" s="52"/>
      <c r="P360" s="52"/>
      <c r="Q360" s="52"/>
      <c r="R360" s="52"/>
      <c r="S360" s="52"/>
      <c r="T360" s="52"/>
      <c r="U360" s="52"/>
      <c r="V360" s="52"/>
      <c r="W360" s="52"/>
      <c r="X360" s="52"/>
      <c r="Y360" s="52"/>
      <c r="Z360" s="52"/>
    </row>
    <row r="361">
      <c r="A361" s="59"/>
      <c r="B361" s="34"/>
      <c r="C361" s="52"/>
      <c r="D361" s="52"/>
      <c r="E361" s="52"/>
      <c r="F361" s="52"/>
      <c r="G361" s="52"/>
      <c r="H361" s="52"/>
      <c r="I361" s="52"/>
      <c r="J361" s="52"/>
      <c r="K361" s="52"/>
      <c r="L361" s="52"/>
      <c r="M361" s="52"/>
      <c r="N361" s="52"/>
      <c r="O361" s="52"/>
      <c r="P361" s="52"/>
      <c r="Q361" s="52"/>
      <c r="R361" s="52"/>
      <c r="S361" s="52"/>
      <c r="T361" s="52"/>
      <c r="U361" s="52"/>
      <c r="V361" s="52"/>
      <c r="W361" s="52"/>
      <c r="X361" s="52"/>
      <c r="Y361" s="52"/>
      <c r="Z361" s="52"/>
    </row>
    <row r="362">
      <c r="A362" s="59"/>
      <c r="B362" s="34"/>
      <c r="C362" s="52"/>
      <c r="D362" s="52"/>
      <c r="E362" s="52"/>
      <c r="F362" s="52"/>
      <c r="G362" s="52"/>
      <c r="H362" s="52"/>
      <c r="I362" s="52"/>
      <c r="J362" s="52"/>
      <c r="K362" s="52"/>
      <c r="L362" s="52"/>
      <c r="M362" s="52"/>
      <c r="N362" s="52"/>
      <c r="O362" s="52"/>
      <c r="P362" s="52"/>
      <c r="Q362" s="52"/>
      <c r="R362" s="52"/>
      <c r="S362" s="52"/>
      <c r="T362" s="52"/>
      <c r="U362" s="52"/>
      <c r="V362" s="52"/>
      <c r="W362" s="52"/>
      <c r="X362" s="52"/>
      <c r="Y362" s="52"/>
      <c r="Z362" s="52"/>
    </row>
    <row r="363">
      <c r="A363" s="59"/>
      <c r="B363" s="34"/>
      <c r="C363" s="52"/>
      <c r="D363" s="52"/>
      <c r="E363" s="52"/>
      <c r="F363" s="52"/>
      <c r="G363" s="52"/>
      <c r="H363" s="52"/>
      <c r="I363" s="52"/>
      <c r="J363" s="52"/>
      <c r="K363" s="52"/>
      <c r="L363" s="52"/>
      <c r="M363" s="52"/>
      <c r="N363" s="52"/>
      <c r="O363" s="52"/>
      <c r="P363" s="52"/>
      <c r="Q363" s="52"/>
      <c r="R363" s="52"/>
      <c r="S363" s="52"/>
      <c r="T363" s="52"/>
      <c r="U363" s="52"/>
      <c r="V363" s="52"/>
      <c r="W363" s="52"/>
      <c r="X363" s="52"/>
      <c r="Y363" s="52"/>
      <c r="Z363" s="52"/>
    </row>
    <row r="364">
      <c r="A364" s="59"/>
      <c r="B364" s="34"/>
      <c r="C364" s="52"/>
      <c r="D364" s="52"/>
      <c r="E364" s="52"/>
      <c r="F364" s="52"/>
      <c r="G364" s="52"/>
      <c r="H364" s="52"/>
      <c r="I364" s="52"/>
      <c r="J364" s="52"/>
      <c r="K364" s="52"/>
      <c r="L364" s="52"/>
      <c r="M364" s="52"/>
      <c r="N364" s="52"/>
      <c r="O364" s="52"/>
      <c r="P364" s="52"/>
      <c r="Q364" s="52"/>
      <c r="R364" s="52"/>
      <c r="S364" s="52"/>
      <c r="T364" s="52"/>
      <c r="U364" s="52"/>
      <c r="V364" s="52"/>
      <c r="W364" s="52"/>
      <c r="X364" s="52"/>
      <c r="Y364" s="52"/>
      <c r="Z364" s="52"/>
    </row>
    <row r="365">
      <c r="A365" s="59"/>
      <c r="B365" s="34"/>
      <c r="C365" s="52"/>
      <c r="D365" s="52"/>
      <c r="E365" s="52"/>
      <c r="F365" s="52"/>
      <c r="G365" s="52"/>
      <c r="H365" s="52"/>
      <c r="I365" s="52"/>
      <c r="J365" s="52"/>
      <c r="K365" s="52"/>
      <c r="L365" s="52"/>
      <c r="M365" s="52"/>
      <c r="N365" s="52"/>
      <c r="O365" s="52"/>
      <c r="P365" s="52"/>
      <c r="Q365" s="52"/>
      <c r="R365" s="52"/>
      <c r="S365" s="52"/>
      <c r="T365" s="52"/>
      <c r="U365" s="52"/>
      <c r="V365" s="52"/>
      <c r="W365" s="52"/>
      <c r="X365" s="52"/>
      <c r="Y365" s="52"/>
      <c r="Z365" s="52"/>
    </row>
    <row r="366">
      <c r="A366" s="59"/>
      <c r="B366" s="34"/>
      <c r="C366" s="52"/>
      <c r="D366" s="52"/>
      <c r="E366" s="52"/>
      <c r="F366" s="52"/>
      <c r="G366" s="52"/>
      <c r="H366" s="52"/>
      <c r="I366" s="52"/>
      <c r="J366" s="52"/>
      <c r="K366" s="52"/>
      <c r="L366" s="52"/>
      <c r="M366" s="52"/>
      <c r="N366" s="52"/>
      <c r="O366" s="52"/>
      <c r="P366" s="52"/>
      <c r="Q366" s="52"/>
      <c r="R366" s="52"/>
      <c r="S366" s="52"/>
      <c r="T366" s="52"/>
      <c r="U366" s="52"/>
      <c r="V366" s="52"/>
      <c r="W366" s="52"/>
      <c r="X366" s="52"/>
      <c r="Y366" s="52"/>
      <c r="Z366" s="52"/>
    </row>
    <row r="367">
      <c r="A367" s="59"/>
      <c r="B367" s="34"/>
      <c r="C367" s="52"/>
      <c r="D367" s="52"/>
      <c r="E367" s="52"/>
      <c r="F367" s="52"/>
      <c r="G367" s="52"/>
      <c r="H367" s="52"/>
      <c r="I367" s="52"/>
      <c r="J367" s="52"/>
      <c r="K367" s="52"/>
      <c r="L367" s="52"/>
      <c r="M367" s="52"/>
      <c r="N367" s="52"/>
      <c r="O367" s="52"/>
      <c r="P367" s="52"/>
      <c r="Q367" s="52"/>
      <c r="R367" s="52"/>
      <c r="S367" s="52"/>
      <c r="T367" s="52"/>
      <c r="U367" s="52"/>
      <c r="V367" s="52"/>
      <c r="W367" s="52"/>
      <c r="X367" s="52"/>
      <c r="Y367" s="52"/>
      <c r="Z367" s="52"/>
    </row>
    <row r="368">
      <c r="A368" s="59"/>
      <c r="B368" s="34"/>
      <c r="C368" s="52"/>
      <c r="D368" s="52"/>
      <c r="E368" s="52"/>
      <c r="F368" s="52"/>
      <c r="G368" s="52"/>
      <c r="H368" s="52"/>
      <c r="I368" s="52"/>
      <c r="J368" s="52"/>
      <c r="K368" s="52"/>
      <c r="L368" s="52"/>
      <c r="M368" s="52"/>
      <c r="N368" s="52"/>
      <c r="O368" s="52"/>
      <c r="P368" s="52"/>
      <c r="Q368" s="52"/>
      <c r="R368" s="52"/>
      <c r="S368" s="52"/>
      <c r="T368" s="52"/>
      <c r="U368" s="52"/>
      <c r="V368" s="52"/>
      <c r="W368" s="52"/>
      <c r="X368" s="52"/>
      <c r="Y368" s="52"/>
      <c r="Z368" s="52"/>
    </row>
    <row r="369">
      <c r="A369" s="59"/>
      <c r="B369" s="34"/>
      <c r="C369" s="52"/>
      <c r="D369" s="52"/>
      <c r="E369" s="52"/>
      <c r="F369" s="52"/>
      <c r="G369" s="52"/>
      <c r="H369" s="52"/>
      <c r="I369" s="52"/>
      <c r="J369" s="52"/>
      <c r="K369" s="52"/>
      <c r="L369" s="52"/>
      <c r="M369" s="52"/>
      <c r="N369" s="52"/>
      <c r="O369" s="52"/>
      <c r="P369" s="52"/>
      <c r="Q369" s="52"/>
      <c r="R369" s="52"/>
      <c r="S369" s="52"/>
      <c r="T369" s="52"/>
      <c r="U369" s="52"/>
      <c r="V369" s="52"/>
      <c r="W369" s="52"/>
      <c r="X369" s="52"/>
      <c r="Y369" s="52"/>
      <c r="Z369" s="52"/>
    </row>
    <row r="370">
      <c r="A370" s="59"/>
      <c r="B370" s="34"/>
      <c r="C370" s="52"/>
      <c r="D370" s="52"/>
      <c r="E370" s="52"/>
      <c r="F370" s="52"/>
      <c r="G370" s="52"/>
      <c r="H370" s="52"/>
      <c r="I370" s="52"/>
      <c r="J370" s="52"/>
      <c r="K370" s="52"/>
      <c r="L370" s="52"/>
      <c r="M370" s="52"/>
      <c r="N370" s="52"/>
      <c r="O370" s="52"/>
      <c r="P370" s="52"/>
      <c r="Q370" s="52"/>
      <c r="R370" s="52"/>
      <c r="S370" s="52"/>
      <c r="T370" s="52"/>
      <c r="U370" s="52"/>
      <c r="V370" s="52"/>
      <c r="W370" s="52"/>
      <c r="X370" s="52"/>
      <c r="Y370" s="52"/>
      <c r="Z370" s="52"/>
    </row>
    <row r="371">
      <c r="A371" s="59"/>
      <c r="B371" s="34"/>
      <c r="C371" s="52"/>
      <c r="D371" s="52"/>
      <c r="E371" s="52"/>
      <c r="F371" s="52"/>
      <c r="G371" s="52"/>
      <c r="H371" s="52"/>
      <c r="I371" s="52"/>
      <c r="J371" s="52"/>
      <c r="K371" s="52"/>
      <c r="L371" s="52"/>
      <c r="M371" s="52"/>
      <c r="N371" s="52"/>
      <c r="O371" s="52"/>
      <c r="P371" s="52"/>
      <c r="Q371" s="52"/>
      <c r="R371" s="52"/>
      <c r="S371" s="52"/>
      <c r="T371" s="52"/>
      <c r="U371" s="52"/>
      <c r="V371" s="52"/>
      <c r="W371" s="52"/>
      <c r="X371" s="52"/>
      <c r="Y371" s="52"/>
      <c r="Z371" s="52"/>
    </row>
    <row r="372">
      <c r="A372" s="59"/>
      <c r="B372" s="34"/>
      <c r="C372" s="52"/>
      <c r="D372" s="52"/>
      <c r="E372" s="52"/>
      <c r="F372" s="52"/>
      <c r="G372" s="52"/>
      <c r="H372" s="52"/>
      <c r="I372" s="52"/>
      <c r="J372" s="52"/>
      <c r="K372" s="52"/>
      <c r="L372" s="52"/>
      <c r="M372" s="52"/>
      <c r="N372" s="52"/>
      <c r="O372" s="52"/>
      <c r="P372" s="52"/>
      <c r="Q372" s="52"/>
      <c r="R372" s="52"/>
      <c r="S372" s="52"/>
      <c r="T372" s="52"/>
      <c r="U372" s="52"/>
      <c r="V372" s="52"/>
      <c r="W372" s="52"/>
      <c r="X372" s="52"/>
      <c r="Y372" s="52"/>
      <c r="Z372" s="52"/>
    </row>
    <row r="373">
      <c r="A373" s="59"/>
      <c r="B373" s="34"/>
      <c r="C373" s="52"/>
      <c r="D373" s="52"/>
      <c r="E373" s="52"/>
      <c r="F373" s="52"/>
      <c r="G373" s="52"/>
      <c r="H373" s="52"/>
      <c r="I373" s="52"/>
      <c r="J373" s="52"/>
      <c r="K373" s="52"/>
      <c r="L373" s="52"/>
      <c r="M373" s="52"/>
      <c r="N373" s="52"/>
      <c r="O373" s="52"/>
      <c r="P373" s="52"/>
      <c r="Q373" s="52"/>
      <c r="R373" s="52"/>
      <c r="S373" s="52"/>
      <c r="T373" s="52"/>
      <c r="U373" s="52"/>
      <c r="V373" s="52"/>
      <c r="W373" s="52"/>
      <c r="X373" s="52"/>
      <c r="Y373" s="52"/>
      <c r="Z373" s="52"/>
    </row>
    <row r="374">
      <c r="A374" s="59"/>
      <c r="B374" s="34"/>
      <c r="C374" s="52"/>
      <c r="D374" s="52"/>
      <c r="E374" s="52"/>
      <c r="F374" s="52"/>
      <c r="G374" s="52"/>
      <c r="H374" s="52"/>
      <c r="I374" s="52"/>
      <c r="J374" s="52"/>
      <c r="K374" s="52"/>
      <c r="L374" s="52"/>
      <c r="M374" s="52"/>
      <c r="N374" s="52"/>
      <c r="O374" s="52"/>
      <c r="P374" s="52"/>
      <c r="Q374" s="52"/>
      <c r="R374" s="52"/>
      <c r="S374" s="52"/>
      <c r="T374" s="52"/>
      <c r="U374" s="52"/>
      <c r="V374" s="52"/>
      <c r="W374" s="52"/>
      <c r="X374" s="52"/>
      <c r="Y374" s="52"/>
      <c r="Z374" s="52"/>
    </row>
    <row r="375">
      <c r="A375" s="59"/>
      <c r="B375" s="34"/>
      <c r="C375" s="52"/>
      <c r="D375" s="52"/>
      <c r="E375" s="52"/>
      <c r="F375" s="52"/>
      <c r="G375" s="52"/>
      <c r="H375" s="52"/>
      <c r="I375" s="52"/>
      <c r="J375" s="52"/>
      <c r="K375" s="52"/>
      <c r="L375" s="52"/>
      <c r="M375" s="52"/>
      <c r="N375" s="52"/>
      <c r="O375" s="52"/>
      <c r="P375" s="52"/>
      <c r="Q375" s="52"/>
      <c r="R375" s="52"/>
      <c r="S375" s="52"/>
      <c r="T375" s="52"/>
      <c r="U375" s="52"/>
      <c r="V375" s="52"/>
      <c r="W375" s="52"/>
      <c r="X375" s="52"/>
      <c r="Y375" s="52"/>
      <c r="Z375" s="52"/>
    </row>
    <row r="376">
      <c r="A376" s="59"/>
      <c r="B376" s="34"/>
      <c r="C376" s="52"/>
      <c r="D376" s="52"/>
      <c r="E376" s="52"/>
      <c r="F376" s="52"/>
      <c r="G376" s="52"/>
      <c r="H376" s="52"/>
      <c r="I376" s="52"/>
      <c r="J376" s="52"/>
      <c r="K376" s="52"/>
      <c r="L376" s="52"/>
      <c r="M376" s="52"/>
      <c r="N376" s="52"/>
      <c r="O376" s="52"/>
      <c r="P376" s="52"/>
      <c r="Q376" s="52"/>
      <c r="R376" s="52"/>
      <c r="S376" s="52"/>
      <c r="T376" s="52"/>
      <c r="U376" s="52"/>
      <c r="V376" s="52"/>
      <c r="W376" s="52"/>
      <c r="X376" s="52"/>
      <c r="Y376" s="52"/>
      <c r="Z376" s="52"/>
    </row>
    <row r="377">
      <c r="A377" s="59"/>
      <c r="B377" s="34"/>
      <c r="C377" s="52"/>
      <c r="D377" s="52"/>
      <c r="E377" s="52"/>
      <c r="F377" s="52"/>
      <c r="G377" s="52"/>
      <c r="H377" s="52"/>
      <c r="I377" s="52"/>
      <c r="J377" s="52"/>
      <c r="K377" s="52"/>
      <c r="L377" s="52"/>
      <c r="M377" s="52"/>
      <c r="N377" s="52"/>
      <c r="O377" s="52"/>
      <c r="P377" s="52"/>
      <c r="Q377" s="52"/>
      <c r="R377" s="52"/>
      <c r="S377" s="52"/>
      <c r="T377" s="52"/>
      <c r="U377" s="52"/>
      <c r="V377" s="52"/>
      <c r="W377" s="52"/>
      <c r="X377" s="52"/>
      <c r="Y377" s="52"/>
      <c r="Z377" s="52"/>
    </row>
    <row r="378">
      <c r="A378" s="59"/>
      <c r="B378" s="34"/>
      <c r="C378" s="52"/>
      <c r="D378" s="52"/>
      <c r="E378" s="52"/>
      <c r="F378" s="52"/>
      <c r="G378" s="52"/>
      <c r="H378" s="52"/>
      <c r="I378" s="52"/>
      <c r="J378" s="52"/>
      <c r="K378" s="52"/>
      <c r="L378" s="52"/>
      <c r="M378" s="52"/>
      <c r="N378" s="52"/>
      <c r="O378" s="52"/>
      <c r="P378" s="52"/>
      <c r="Q378" s="52"/>
      <c r="R378" s="52"/>
      <c r="S378" s="52"/>
      <c r="T378" s="52"/>
      <c r="U378" s="52"/>
      <c r="V378" s="52"/>
      <c r="W378" s="52"/>
      <c r="X378" s="52"/>
      <c r="Y378" s="52"/>
      <c r="Z378" s="52"/>
    </row>
    <row r="379">
      <c r="A379" s="59"/>
      <c r="B379" s="34"/>
      <c r="C379" s="52"/>
      <c r="D379" s="52"/>
      <c r="E379" s="52"/>
      <c r="F379" s="52"/>
      <c r="G379" s="52"/>
      <c r="H379" s="52"/>
      <c r="I379" s="52"/>
      <c r="J379" s="52"/>
      <c r="K379" s="52"/>
      <c r="L379" s="52"/>
      <c r="M379" s="52"/>
      <c r="N379" s="52"/>
      <c r="O379" s="52"/>
      <c r="P379" s="52"/>
      <c r="Q379" s="52"/>
      <c r="R379" s="52"/>
      <c r="S379" s="52"/>
      <c r="T379" s="52"/>
      <c r="U379" s="52"/>
      <c r="V379" s="52"/>
      <c r="W379" s="52"/>
      <c r="X379" s="52"/>
      <c r="Y379" s="52"/>
      <c r="Z379" s="52"/>
    </row>
    <row r="380">
      <c r="A380" s="59"/>
      <c r="B380" s="34"/>
      <c r="C380" s="52"/>
      <c r="D380" s="52"/>
      <c r="E380" s="52"/>
      <c r="F380" s="52"/>
      <c r="G380" s="52"/>
      <c r="H380" s="52"/>
      <c r="I380" s="52"/>
      <c r="J380" s="52"/>
      <c r="K380" s="52"/>
      <c r="L380" s="52"/>
      <c r="M380" s="52"/>
      <c r="N380" s="52"/>
      <c r="O380" s="52"/>
      <c r="P380" s="52"/>
      <c r="Q380" s="52"/>
      <c r="R380" s="52"/>
      <c r="S380" s="52"/>
      <c r="T380" s="52"/>
      <c r="U380" s="52"/>
      <c r="V380" s="52"/>
      <c r="W380" s="52"/>
      <c r="X380" s="52"/>
      <c r="Y380" s="52"/>
      <c r="Z380" s="52"/>
    </row>
    <row r="381">
      <c r="A381" s="59"/>
      <c r="B381" s="34"/>
      <c r="C381" s="52"/>
      <c r="D381" s="52"/>
      <c r="E381" s="52"/>
      <c r="F381" s="52"/>
      <c r="G381" s="52"/>
      <c r="H381" s="52"/>
      <c r="I381" s="52"/>
      <c r="J381" s="52"/>
      <c r="K381" s="52"/>
      <c r="L381" s="52"/>
      <c r="M381" s="52"/>
      <c r="N381" s="52"/>
      <c r="O381" s="52"/>
      <c r="P381" s="52"/>
      <c r="Q381" s="52"/>
      <c r="R381" s="52"/>
      <c r="S381" s="52"/>
      <c r="T381" s="52"/>
      <c r="U381" s="52"/>
      <c r="V381" s="52"/>
      <c r="W381" s="52"/>
      <c r="X381" s="52"/>
      <c r="Y381" s="52"/>
      <c r="Z381" s="52"/>
    </row>
    <row r="382">
      <c r="A382" s="59"/>
      <c r="B382" s="34"/>
      <c r="C382" s="52"/>
      <c r="D382" s="52"/>
      <c r="E382" s="52"/>
      <c r="F382" s="52"/>
      <c r="G382" s="52"/>
      <c r="H382" s="52"/>
      <c r="I382" s="52"/>
      <c r="J382" s="52"/>
      <c r="K382" s="52"/>
      <c r="L382" s="52"/>
      <c r="M382" s="52"/>
      <c r="N382" s="52"/>
      <c r="O382" s="52"/>
      <c r="P382" s="52"/>
      <c r="Q382" s="52"/>
      <c r="R382" s="52"/>
      <c r="S382" s="52"/>
      <c r="T382" s="52"/>
      <c r="U382" s="52"/>
      <c r="V382" s="52"/>
      <c r="W382" s="52"/>
      <c r="X382" s="52"/>
      <c r="Y382" s="52"/>
      <c r="Z382" s="52"/>
    </row>
    <row r="383">
      <c r="A383" s="59"/>
      <c r="B383" s="34"/>
      <c r="C383" s="52"/>
      <c r="D383" s="52"/>
      <c r="E383" s="52"/>
      <c r="F383" s="52"/>
      <c r="G383" s="52"/>
      <c r="H383" s="52"/>
      <c r="I383" s="52"/>
      <c r="J383" s="52"/>
      <c r="K383" s="52"/>
      <c r="L383" s="52"/>
      <c r="M383" s="52"/>
      <c r="N383" s="52"/>
      <c r="O383" s="52"/>
      <c r="P383" s="52"/>
      <c r="Q383" s="52"/>
      <c r="R383" s="52"/>
      <c r="S383" s="52"/>
      <c r="T383" s="52"/>
      <c r="U383" s="52"/>
      <c r="V383" s="52"/>
      <c r="W383" s="52"/>
      <c r="X383" s="52"/>
      <c r="Y383" s="52"/>
      <c r="Z383" s="52"/>
    </row>
    <row r="384">
      <c r="A384" s="59"/>
      <c r="B384" s="34"/>
      <c r="C384" s="52"/>
      <c r="D384" s="52"/>
      <c r="E384" s="52"/>
      <c r="F384" s="52"/>
      <c r="G384" s="52"/>
      <c r="H384" s="52"/>
      <c r="I384" s="52"/>
      <c r="J384" s="52"/>
      <c r="K384" s="52"/>
      <c r="L384" s="52"/>
      <c r="M384" s="52"/>
      <c r="N384" s="52"/>
      <c r="O384" s="52"/>
      <c r="P384" s="52"/>
      <c r="Q384" s="52"/>
      <c r="R384" s="52"/>
      <c r="S384" s="52"/>
      <c r="T384" s="52"/>
      <c r="U384" s="52"/>
      <c r="V384" s="52"/>
      <c r="W384" s="52"/>
      <c r="X384" s="52"/>
      <c r="Y384" s="52"/>
      <c r="Z384" s="52"/>
    </row>
    <row r="385">
      <c r="A385" s="59"/>
      <c r="B385" s="34"/>
      <c r="C385" s="52"/>
      <c r="D385" s="52"/>
      <c r="E385" s="52"/>
      <c r="F385" s="52"/>
      <c r="G385" s="52"/>
      <c r="H385" s="52"/>
      <c r="I385" s="52"/>
      <c r="J385" s="52"/>
      <c r="K385" s="52"/>
      <c r="L385" s="52"/>
      <c r="M385" s="52"/>
      <c r="N385" s="52"/>
      <c r="O385" s="52"/>
      <c r="P385" s="52"/>
      <c r="Q385" s="52"/>
      <c r="R385" s="52"/>
      <c r="S385" s="52"/>
      <c r="T385" s="52"/>
      <c r="U385" s="52"/>
      <c r="V385" s="52"/>
      <c r="W385" s="52"/>
      <c r="X385" s="52"/>
      <c r="Y385" s="52"/>
      <c r="Z385" s="52"/>
    </row>
    <row r="386">
      <c r="A386" s="59"/>
      <c r="B386" s="34"/>
      <c r="C386" s="52"/>
      <c r="D386" s="52"/>
      <c r="E386" s="52"/>
      <c r="F386" s="52"/>
      <c r="G386" s="52"/>
      <c r="H386" s="52"/>
      <c r="I386" s="52"/>
      <c r="J386" s="52"/>
      <c r="K386" s="52"/>
      <c r="L386" s="52"/>
      <c r="M386" s="52"/>
      <c r="N386" s="52"/>
      <c r="O386" s="52"/>
      <c r="P386" s="52"/>
      <c r="Q386" s="52"/>
      <c r="R386" s="52"/>
      <c r="S386" s="52"/>
      <c r="T386" s="52"/>
      <c r="U386" s="52"/>
      <c r="V386" s="52"/>
      <c r="W386" s="52"/>
      <c r="X386" s="52"/>
      <c r="Y386" s="52"/>
      <c r="Z386" s="52"/>
    </row>
    <row r="387">
      <c r="A387" s="59"/>
      <c r="B387" s="34"/>
      <c r="C387" s="52"/>
      <c r="D387" s="52"/>
      <c r="E387" s="52"/>
      <c r="F387" s="52"/>
      <c r="G387" s="52"/>
      <c r="H387" s="52"/>
      <c r="I387" s="52"/>
      <c r="J387" s="52"/>
      <c r="K387" s="52"/>
      <c r="L387" s="52"/>
      <c r="M387" s="52"/>
      <c r="N387" s="52"/>
      <c r="O387" s="52"/>
      <c r="P387" s="52"/>
      <c r="Q387" s="52"/>
      <c r="R387" s="52"/>
      <c r="S387" s="52"/>
      <c r="T387" s="52"/>
      <c r="U387" s="52"/>
      <c r="V387" s="52"/>
      <c r="W387" s="52"/>
      <c r="X387" s="52"/>
      <c r="Y387" s="52"/>
      <c r="Z387" s="52"/>
    </row>
    <row r="388">
      <c r="A388" s="59"/>
      <c r="B388" s="34"/>
      <c r="C388" s="52"/>
      <c r="D388" s="52"/>
      <c r="E388" s="52"/>
      <c r="F388" s="52"/>
      <c r="G388" s="52"/>
      <c r="H388" s="52"/>
      <c r="I388" s="52"/>
      <c r="J388" s="52"/>
      <c r="K388" s="52"/>
      <c r="L388" s="52"/>
      <c r="M388" s="52"/>
      <c r="N388" s="52"/>
      <c r="O388" s="52"/>
      <c r="P388" s="52"/>
      <c r="Q388" s="52"/>
      <c r="R388" s="52"/>
      <c r="S388" s="52"/>
      <c r="T388" s="52"/>
      <c r="U388" s="52"/>
      <c r="V388" s="52"/>
      <c r="W388" s="52"/>
      <c r="X388" s="52"/>
      <c r="Y388" s="52"/>
      <c r="Z388" s="52"/>
    </row>
    <row r="389">
      <c r="A389" s="59"/>
      <c r="B389" s="34"/>
      <c r="C389" s="52"/>
      <c r="D389" s="52"/>
      <c r="E389" s="52"/>
      <c r="F389" s="52"/>
      <c r="G389" s="52"/>
      <c r="H389" s="52"/>
      <c r="I389" s="52"/>
      <c r="J389" s="52"/>
      <c r="K389" s="52"/>
      <c r="L389" s="52"/>
      <c r="M389" s="52"/>
      <c r="N389" s="52"/>
      <c r="O389" s="52"/>
      <c r="P389" s="52"/>
      <c r="Q389" s="52"/>
      <c r="R389" s="52"/>
      <c r="S389" s="52"/>
      <c r="T389" s="52"/>
      <c r="U389" s="52"/>
      <c r="V389" s="52"/>
      <c r="W389" s="52"/>
      <c r="X389" s="52"/>
      <c r="Y389" s="52"/>
      <c r="Z389" s="52"/>
    </row>
    <row r="390">
      <c r="A390" s="59"/>
      <c r="B390" s="34"/>
      <c r="C390" s="52"/>
      <c r="D390" s="52"/>
      <c r="E390" s="52"/>
      <c r="F390" s="52"/>
      <c r="G390" s="52"/>
      <c r="H390" s="52"/>
      <c r="I390" s="52"/>
      <c r="J390" s="52"/>
      <c r="K390" s="52"/>
      <c r="L390" s="52"/>
      <c r="M390" s="52"/>
      <c r="N390" s="52"/>
      <c r="O390" s="52"/>
      <c r="P390" s="52"/>
      <c r="Q390" s="52"/>
      <c r="R390" s="52"/>
      <c r="S390" s="52"/>
      <c r="T390" s="52"/>
      <c r="U390" s="52"/>
      <c r="V390" s="52"/>
      <c r="W390" s="52"/>
      <c r="X390" s="52"/>
      <c r="Y390" s="52"/>
      <c r="Z390" s="52"/>
    </row>
    <row r="391">
      <c r="A391" s="59"/>
      <c r="B391" s="34"/>
      <c r="C391" s="52"/>
      <c r="D391" s="52"/>
      <c r="E391" s="52"/>
      <c r="F391" s="52"/>
      <c r="G391" s="52"/>
      <c r="H391" s="52"/>
      <c r="I391" s="52"/>
      <c r="J391" s="52"/>
      <c r="K391" s="52"/>
      <c r="L391" s="52"/>
      <c r="M391" s="52"/>
      <c r="N391" s="52"/>
      <c r="O391" s="52"/>
      <c r="P391" s="52"/>
      <c r="Q391" s="52"/>
      <c r="R391" s="52"/>
      <c r="S391" s="52"/>
      <c r="T391" s="52"/>
      <c r="U391" s="52"/>
      <c r="V391" s="52"/>
      <c r="W391" s="52"/>
      <c r="X391" s="52"/>
      <c r="Y391" s="52"/>
      <c r="Z391" s="52"/>
    </row>
    <row r="392">
      <c r="A392" s="59"/>
      <c r="B392" s="34"/>
      <c r="C392" s="52"/>
      <c r="D392" s="52"/>
      <c r="E392" s="52"/>
      <c r="F392" s="52"/>
      <c r="G392" s="52"/>
      <c r="H392" s="52"/>
      <c r="I392" s="52"/>
      <c r="J392" s="52"/>
      <c r="K392" s="52"/>
      <c r="L392" s="52"/>
      <c r="M392" s="52"/>
      <c r="N392" s="52"/>
      <c r="O392" s="52"/>
      <c r="P392" s="52"/>
      <c r="Q392" s="52"/>
      <c r="R392" s="52"/>
      <c r="S392" s="52"/>
      <c r="T392" s="52"/>
      <c r="U392" s="52"/>
      <c r="V392" s="52"/>
      <c r="W392" s="52"/>
      <c r="X392" s="52"/>
      <c r="Y392" s="52"/>
      <c r="Z392" s="52"/>
    </row>
    <row r="393">
      <c r="A393" s="59"/>
      <c r="B393" s="34"/>
      <c r="C393" s="52"/>
      <c r="D393" s="52"/>
      <c r="E393" s="52"/>
      <c r="F393" s="52"/>
      <c r="G393" s="52"/>
      <c r="H393" s="52"/>
      <c r="I393" s="52"/>
      <c r="J393" s="52"/>
      <c r="K393" s="52"/>
      <c r="L393" s="52"/>
      <c r="M393" s="52"/>
      <c r="N393" s="52"/>
      <c r="O393" s="52"/>
      <c r="P393" s="52"/>
      <c r="Q393" s="52"/>
      <c r="R393" s="52"/>
      <c r="S393" s="52"/>
      <c r="T393" s="52"/>
      <c r="U393" s="52"/>
      <c r="V393" s="52"/>
      <c r="W393" s="52"/>
      <c r="X393" s="52"/>
      <c r="Y393" s="52"/>
      <c r="Z393" s="52"/>
    </row>
    <row r="394">
      <c r="A394" s="59"/>
      <c r="B394" s="34"/>
      <c r="C394" s="52"/>
      <c r="D394" s="52"/>
      <c r="E394" s="52"/>
      <c r="F394" s="52"/>
      <c r="G394" s="52"/>
      <c r="H394" s="52"/>
      <c r="I394" s="52"/>
      <c r="J394" s="52"/>
      <c r="K394" s="52"/>
      <c r="L394" s="52"/>
      <c r="M394" s="52"/>
      <c r="N394" s="52"/>
      <c r="O394" s="52"/>
      <c r="P394" s="52"/>
      <c r="Q394" s="52"/>
      <c r="R394" s="52"/>
      <c r="S394" s="52"/>
      <c r="T394" s="52"/>
      <c r="U394" s="52"/>
      <c r="V394" s="52"/>
      <c r="W394" s="52"/>
      <c r="X394" s="52"/>
      <c r="Y394" s="52"/>
      <c r="Z394" s="52"/>
    </row>
    <row r="395">
      <c r="A395" s="59"/>
      <c r="B395" s="34"/>
      <c r="C395" s="52"/>
      <c r="D395" s="52"/>
      <c r="E395" s="52"/>
      <c r="F395" s="52"/>
      <c r="G395" s="52"/>
      <c r="H395" s="52"/>
      <c r="I395" s="52"/>
      <c r="J395" s="52"/>
      <c r="K395" s="52"/>
      <c r="L395" s="52"/>
      <c r="M395" s="52"/>
      <c r="N395" s="52"/>
      <c r="O395" s="52"/>
      <c r="P395" s="52"/>
      <c r="Q395" s="52"/>
      <c r="R395" s="52"/>
      <c r="S395" s="52"/>
      <c r="T395" s="52"/>
      <c r="U395" s="52"/>
      <c r="V395" s="52"/>
      <c r="W395" s="52"/>
      <c r="X395" s="52"/>
      <c r="Y395" s="52"/>
      <c r="Z395" s="52"/>
    </row>
    <row r="396">
      <c r="A396" s="59"/>
      <c r="B396" s="34"/>
      <c r="C396" s="52"/>
      <c r="D396" s="52"/>
      <c r="E396" s="52"/>
      <c r="F396" s="52"/>
      <c r="G396" s="52"/>
      <c r="H396" s="52"/>
      <c r="I396" s="52"/>
      <c r="J396" s="52"/>
      <c r="K396" s="52"/>
      <c r="L396" s="52"/>
      <c r="M396" s="52"/>
      <c r="N396" s="52"/>
      <c r="O396" s="52"/>
      <c r="P396" s="52"/>
      <c r="Q396" s="52"/>
      <c r="R396" s="52"/>
      <c r="S396" s="52"/>
      <c r="T396" s="52"/>
      <c r="U396" s="52"/>
      <c r="V396" s="52"/>
      <c r="W396" s="52"/>
      <c r="X396" s="52"/>
      <c r="Y396" s="52"/>
      <c r="Z396" s="52"/>
    </row>
    <row r="397">
      <c r="A397" s="59"/>
      <c r="B397" s="34"/>
      <c r="C397" s="52"/>
      <c r="D397" s="52"/>
      <c r="E397" s="52"/>
      <c r="F397" s="52"/>
      <c r="G397" s="52"/>
      <c r="H397" s="52"/>
      <c r="I397" s="52"/>
      <c r="J397" s="52"/>
      <c r="K397" s="52"/>
      <c r="L397" s="52"/>
      <c r="M397" s="52"/>
      <c r="N397" s="52"/>
      <c r="O397" s="52"/>
      <c r="P397" s="52"/>
      <c r="Q397" s="52"/>
      <c r="R397" s="52"/>
      <c r="S397" s="52"/>
      <c r="T397" s="52"/>
      <c r="U397" s="52"/>
      <c r="V397" s="52"/>
      <c r="W397" s="52"/>
      <c r="X397" s="52"/>
      <c r="Y397" s="52"/>
      <c r="Z397" s="52"/>
    </row>
    <row r="398">
      <c r="A398" s="59"/>
      <c r="B398" s="34"/>
      <c r="C398" s="52"/>
      <c r="D398" s="52"/>
      <c r="E398" s="52"/>
      <c r="F398" s="52"/>
      <c r="G398" s="52"/>
      <c r="H398" s="52"/>
      <c r="I398" s="52"/>
      <c r="J398" s="52"/>
      <c r="K398" s="52"/>
      <c r="L398" s="52"/>
      <c r="M398" s="52"/>
      <c r="N398" s="52"/>
      <c r="O398" s="52"/>
      <c r="P398" s="52"/>
      <c r="Q398" s="52"/>
      <c r="R398" s="52"/>
      <c r="S398" s="52"/>
      <c r="T398" s="52"/>
      <c r="U398" s="52"/>
      <c r="V398" s="52"/>
      <c r="W398" s="52"/>
      <c r="X398" s="52"/>
      <c r="Y398" s="52"/>
      <c r="Z398" s="52"/>
    </row>
    <row r="399">
      <c r="A399" s="59"/>
      <c r="B399" s="34"/>
      <c r="C399" s="52"/>
      <c r="D399" s="52"/>
      <c r="E399" s="52"/>
      <c r="F399" s="52"/>
      <c r="G399" s="52"/>
      <c r="H399" s="52"/>
      <c r="I399" s="52"/>
      <c r="J399" s="52"/>
      <c r="K399" s="52"/>
      <c r="L399" s="52"/>
      <c r="M399" s="52"/>
      <c r="N399" s="52"/>
      <c r="O399" s="52"/>
      <c r="P399" s="52"/>
      <c r="Q399" s="52"/>
      <c r="R399" s="52"/>
      <c r="S399" s="52"/>
      <c r="T399" s="52"/>
      <c r="U399" s="52"/>
      <c r="V399" s="52"/>
      <c r="W399" s="52"/>
      <c r="X399" s="52"/>
      <c r="Y399" s="52"/>
      <c r="Z399" s="52"/>
    </row>
    <row r="400">
      <c r="A400" s="59"/>
      <c r="B400" s="34"/>
      <c r="C400" s="52"/>
      <c r="D400" s="52"/>
      <c r="E400" s="52"/>
      <c r="F400" s="52"/>
      <c r="G400" s="52"/>
      <c r="H400" s="52"/>
      <c r="I400" s="52"/>
      <c r="J400" s="52"/>
      <c r="K400" s="52"/>
      <c r="L400" s="52"/>
      <c r="M400" s="52"/>
      <c r="N400" s="52"/>
      <c r="O400" s="52"/>
      <c r="P400" s="52"/>
      <c r="Q400" s="52"/>
      <c r="R400" s="52"/>
      <c r="S400" s="52"/>
      <c r="T400" s="52"/>
      <c r="U400" s="52"/>
      <c r="V400" s="52"/>
      <c r="W400" s="52"/>
      <c r="X400" s="52"/>
      <c r="Y400" s="52"/>
      <c r="Z400" s="52"/>
    </row>
    <row r="401">
      <c r="A401" s="59"/>
      <c r="B401" s="34"/>
      <c r="C401" s="52"/>
      <c r="D401" s="52"/>
      <c r="E401" s="52"/>
      <c r="F401" s="52"/>
      <c r="G401" s="52"/>
      <c r="H401" s="52"/>
      <c r="I401" s="52"/>
      <c r="J401" s="52"/>
      <c r="K401" s="52"/>
      <c r="L401" s="52"/>
      <c r="M401" s="52"/>
      <c r="N401" s="52"/>
      <c r="O401" s="52"/>
      <c r="P401" s="52"/>
      <c r="Q401" s="52"/>
      <c r="R401" s="52"/>
      <c r="S401" s="52"/>
      <c r="T401" s="52"/>
      <c r="U401" s="52"/>
      <c r="V401" s="52"/>
      <c r="W401" s="52"/>
      <c r="X401" s="52"/>
      <c r="Y401" s="52"/>
      <c r="Z401" s="52"/>
    </row>
    <row r="402">
      <c r="A402" s="59"/>
      <c r="B402" s="34"/>
      <c r="C402" s="52"/>
      <c r="D402" s="52"/>
      <c r="E402" s="52"/>
      <c r="F402" s="52"/>
      <c r="G402" s="52"/>
      <c r="H402" s="52"/>
      <c r="I402" s="52"/>
      <c r="J402" s="52"/>
      <c r="K402" s="52"/>
      <c r="L402" s="52"/>
      <c r="M402" s="52"/>
      <c r="N402" s="52"/>
      <c r="O402" s="52"/>
      <c r="P402" s="52"/>
      <c r="Q402" s="52"/>
      <c r="R402" s="52"/>
      <c r="S402" s="52"/>
      <c r="T402" s="52"/>
      <c r="U402" s="52"/>
      <c r="V402" s="52"/>
      <c r="W402" s="52"/>
      <c r="X402" s="52"/>
      <c r="Y402" s="52"/>
      <c r="Z402" s="52"/>
    </row>
    <row r="403">
      <c r="A403" s="59"/>
      <c r="B403" s="34"/>
      <c r="C403" s="52"/>
      <c r="D403" s="52"/>
      <c r="E403" s="52"/>
      <c r="F403" s="52"/>
      <c r="G403" s="52"/>
      <c r="H403" s="52"/>
      <c r="I403" s="52"/>
      <c r="J403" s="52"/>
      <c r="K403" s="52"/>
      <c r="L403" s="52"/>
      <c r="M403" s="52"/>
      <c r="N403" s="52"/>
      <c r="O403" s="52"/>
      <c r="P403" s="52"/>
      <c r="Q403" s="52"/>
      <c r="R403" s="52"/>
      <c r="S403" s="52"/>
      <c r="T403" s="52"/>
      <c r="U403" s="52"/>
      <c r="V403" s="52"/>
      <c r="W403" s="52"/>
      <c r="X403" s="52"/>
      <c r="Y403" s="52"/>
      <c r="Z403" s="52"/>
    </row>
    <row r="404">
      <c r="A404" s="59"/>
      <c r="B404" s="34"/>
      <c r="C404" s="52"/>
      <c r="D404" s="52"/>
      <c r="E404" s="52"/>
      <c r="F404" s="52"/>
      <c r="G404" s="52"/>
      <c r="H404" s="52"/>
      <c r="I404" s="52"/>
      <c r="J404" s="52"/>
      <c r="K404" s="52"/>
      <c r="L404" s="52"/>
      <c r="M404" s="52"/>
      <c r="N404" s="52"/>
      <c r="O404" s="52"/>
      <c r="P404" s="52"/>
      <c r="Q404" s="52"/>
      <c r="R404" s="52"/>
      <c r="S404" s="52"/>
      <c r="T404" s="52"/>
      <c r="U404" s="52"/>
      <c r="V404" s="52"/>
      <c r="W404" s="52"/>
      <c r="X404" s="52"/>
      <c r="Y404" s="52"/>
      <c r="Z404" s="52"/>
    </row>
    <row r="405">
      <c r="A405" s="59"/>
      <c r="B405" s="34"/>
      <c r="C405" s="52"/>
      <c r="D405" s="52"/>
      <c r="E405" s="52"/>
      <c r="F405" s="52"/>
      <c r="G405" s="52"/>
      <c r="H405" s="52"/>
      <c r="I405" s="52"/>
      <c r="J405" s="52"/>
      <c r="K405" s="52"/>
      <c r="L405" s="52"/>
      <c r="M405" s="52"/>
      <c r="N405" s="52"/>
      <c r="O405" s="52"/>
      <c r="P405" s="52"/>
      <c r="Q405" s="52"/>
      <c r="R405" s="52"/>
      <c r="S405" s="52"/>
      <c r="T405" s="52"/>
      <c r="U405" s="52"/>
      <c r="V405" s="52"/>
      <c r="W405" s="52"/>
      <c r="X405" s="52"/>
      <c r="Y405" s="52"/>
      <c r="Z405" s="52"/>
    </row>
    <row r="406">
      <c r="A406" s="59"/>
      <c r="B406" s="34"/>
      <c r="C406" s="52"/>
      <c r="D406" s="52"/>
      <c r="E406" s="52"/>
      <c r="F406" s="52"/>
      <c r="G406" s="52"/>
      <c r="H406" s="52"/>
      <c r="I406" s="52"/>
      <c r="J406" s="52"/>
      <c r="K406" s="52"/>
      <c r="L406" s="52"/>
      <c r="M406" s="52"/>
      <c r="N406" s="52"/>
      <c r="O406" s="52"/>
      <c r="P406" s="52"/>
      <c r="Q406" s="52"/>
      <c r="R406" s="52"/>
      <c r="S406" s="52"/>
      <c r="T406" s="52"/>
      <c r="U406" s="52"/>
      <c r="V406" s="52"/>
      <c r="W406" s="52"/>
      <c r="X406" s="52"/>
      <c r="Y406" s="52"/>
      <c r="Z406" s="52"/>
    </row>
    <row r="407">
      <c r="A407" s="59"/>
      <c r="B407" s="34"/>
      <c r="C407" s="52"/>
      <c r="D407" s="52"/>
      <c r="E407" s="52"/>
      <c r="F407" s="52"/>
      <c r="G407" s="52"/>
      <c r="H407" s="52"/>
      <c r="I407" s="52"/>
      <c r="J407" s="52"/>
      <c r="K407" s="52"/>
      <c r="L407" s="52"/>
      <c r="M407" s="52"/>
      <c r="N407" s="52"/>
      <c r="O407" s="52"/>
      <c r="P407" s="52"/>
      <c r="Q407" s="52"/>
      <c r="R407" s="52"/>
      <c r="S407" s="52"/>
      <c r="T407" s="52"/>
      <c r="U407" s="52"/>
      <c r="V407" s="52"/>
      <c r="W407" s="52"/>
      <c r="X407" s="52"/>
      <c r="Y407" s="52"/>
      <c r="Z407" s="52"/>
    </row>
    <row r="408">
      <c r="A408" s="59"/>
      <c r="B408" s="34"/>
      <c r="C408" s="52"/>
      <c r="D408" s="52"/>
      <c r="E408" s="52"/>
      <c r="F408" s="52"/>
      <c r="G408" s="52"/>
      <c r="H408" s="52"/>
      <c r="I408" s="52"/>
      <c r="J408" s="52"/>
      <c r="K408" s="52"/>
      <c r="L408" s="52"/>
      <c r="M408" s="52"/>
      <c r="N408" s="52"/>
      <c r="O408" s="52"/>
      <c r="P408" s="52"/>
      <c r="Q408" s="52"/>
      <c r="R408" s="52"/>
      <c r="S408" s="52"/>
      <c r="T408" s="52"/>
      <c r="U408" s="52"/>
      <c r="V408" s="52"/>
      <c r="W408" s="52"/>
      <c r="X408" s="52"/>
      <c r="Y408" s="52"/>
      <c r="Z408" s="52"/>
    </row>
    <row r="409">
      <c r="A409" s="59"/>
      <c r="B409" s="34"/>
      <c r="C409" s="52"/>
      <c r="D409" s="52"/>
      <c r="E409" s="52"/>
      <c r="F409" s="52"/>
      <c r="G409" s="52"/>
      <c r="H409" s="52"/>
      <c r="I409" s="52"/>
      <c r="J409" s="52"/>
      <c r="K409" s="52"/>
      <c r="L409" s="52"/>
      <c r="M409" s="52"/>
      <c r="N409" s="52"/>
      <c r="O409" s="52"/>
      <c r="P409" s="52"/>
      <c r="Q409" s="52"/>
      <c r="R409" s="52"/>
      <c r="S409" s="52"/>
      <c r="T409" s="52"/>
      <c r="U409" s="52"/>
      <c r="V409" s="52"/>
      <c r="W409" s="52"/>
      <c r="X409" s="52"/>
      <c r="Y409" s="52"/>
      <c r="Z409" s="52"/>
    </row>
    <row r="410">
      <c r="A410" s="59"/>
      <c r="B410" s="34"/>
      <c r="C410" s="52"/>
      <c r="D410" s="52"/>
      <c r="E410" s="52"/>
      <c r="F410" s="52"/>
      <c r="G410" s="52"/>
      <c r="H410" s="52"/>
      <c r="I410" s="52"/>
      <c r="J410" s="52"/>
      <c r="K410" s="52"/>
      <c r="L410" s="52"/>
      <c r="M410" s="52"/>
      <c r="N410" s="52"/>
      <c r="O410" s="52"/>
      <c r="P410" s="52"/>
      <c r="Q410" s="52"/>
      <c r="R410" s="52"/>
      <c r="S410" s="52"/>
      <c r="T410" s="52"/>
      <c r="U410" s="52"/>
      <c r="V410" s="52"/>
      <c r="W410" s="52"/>
      <c r="X410" s="52"/>
      <c r="Y410" s="52"/>
      <c r="Z410" s="52"/>
    </row>
    <row r="411">
      <c r="A411" s="59"/>
      <c r="B411" s="34"/>
      <c r="C411" s="52"/>
      <c r="D411" s="52"/>
      <c r="E411" s="52"/>
      <c r="F411" s="52"/>
      <c r="G411" s="52"/>
      <c r="H411" s="52"/>
      <c r="I411" s="52"/>
      <c r="J411" s="52"/>
      <c r="K411" s="52"/>
      <c r="L411" s="52"/>
      <c r="M411" s="52"/>
      <c r="N411" s="52"/>
      <c r="O411" s="52"/>
      <c r="P411" s="52"/>
      <c r="Q411" s="52"/>
      <c r="R411" s="52"/>
      <c r="S411" s="52"/>
      <c r="T411" s="52"/>
      <c r="U411" s="52"/>
      <c r="V411" s="52"/>
      <c r="W411" s="52"/>
      <c r="X411" s="52"/>
      <c r="Y411" s="52"/>
      <c r="Z411" s="52"/>
    </row>
    <row r="412">
      <c r="A412" s="59"/>
      <c r="B412" s="34"/>
      <c r="C412" s="52"/>
      <c r="D412" s="52"/>
      <c r="E412" s="52"/>
      <c r="F412" s="52"/>
      <c r="G412" s="52"/>
      <c r="H412" s="52"/>
      <c r="I412" s="52"/>
      <c r="J412" s="52"/>
      <c r="K412" s="52"/>
      <c r="L412" s="52"/>
      <c r="M412" s="52"/>
      <c r="N412" s="52"/>
      <c r="O412" s="52"/>
      <c r="P412" s="52"/>
      <c r="Q412" s="52"/>
      <c r="R412" s="52"/>
      <c r="S412" s="52"/>
      <c r="T412" s="52"/>
      <c r="U412" s="52"/>
      <c r="V412" s="52"/>
      <c r="W412" s="52"/>
      <c r="X412" s="52"/>
      <c r="Y412" s="52"/>
      <c r="Z412" s="52"/>
    </row>
    <row r="413">
      <c r="A413" s="59"/>
      <c r="B413" s="34"/>
      <c r="C413" s="52"/>
      <c r="D413" s="52"/>
      <c r="E413" s="52"/>
      <c r="F413" s="52"/>
      <c r="G413" s="52"/>
      <c r="H413" s="52"/>
      <c r="I413" s="52"/>
      <c r="J413" s="52"/>
      <c r="K413" s="52"/>
      <c r="L413" s="52"/>
      <c r="M413" s="52"/>
      <c r="N413" s="52"/>
      <c r="O413" s="52"/>
      <c r="P413" s="52"/>
      <c r="Q413" s="52"/>
      <c r="R413" s="52"/>
      <c r="S413" s="52"/>
      <c r="T413" s="52"/>
      <c r="U413" s="52"/>
      <c r="V413" s="52"/>
      <c r="W413" s="52"/>
      <c r="X413" s="52"/>
      <c r="Y413" s="52"/>
      <c r="Z413" s="52"/>
    </row>
    <row r="414">
      <c r="A414" s="59"/>
      <c r="B414" s="34"/>
      <c r="C414" s="52"/>
      <c r="D414" s="52"/>
      <c r="E414" s="52"/>
      <c r="F414" s="52"/>
      <c r="G414" s="52"/>
      <c r="H414" s="52"/>
      <c r="I414" s="52"/>
      <c r="J414" s="52"/>
      <c r="K414" s="52"/>
      <c r="L414" s="52"/>
      <c r="M414" s="52"/>
      <c r="N414" s="52"/>
      <c r="O414" s="52"/>
      <c r="P414" s="52"/>
      <c r="Q414" s="52"/>
      <c r="R414" s="52"/>
      <c r="S414" s="52"/>
      <c r="T414" s="52"/>
      <c r="U414" s="52"/>
      <c r="V414" s="52"/>
      <c r="W414" s="52"/>
      <c r="X414" s="52"/>
      <c r="Y414" s="52"/>
      <c r="Z414" s="52"/>
    </row>
    <row r="415">
      <c r="A415" s="59"/>
      <c r="B415" s="34"/>
      <c r="C415" s="52"/>
      <c r="D415" s="52"/>
      <c r="E415" s="52"/>
      <c r="F415" s="52"/>
      <c r="G415" s="52"/>
      <c r="H415" s="52"/>
      <c r="I415" s="52"/>
      <c r="J415" s="52"/>
      <c r="K415" s="52"/>
      <c r="L415" s="52"/>
      <c r="M415" s="52"/>
      <c r="N415" s="52"/>
      <c r="O415" s="52"/>
      <c r="P415" s="52"/>
      <c r="Q415" s="52"/>
      <c r="R415" s="52"/>
      <c r="S415" s="52"/>
      <c r="T415" s="52"/>
      <c r="U415" s="52"/>
      <c r="V415" s="52"/>
      <c r="W415" s="52"/>
      <c r="X415" s="52"/>
      <c r="Y415" s="52"/>
      <c r="Z415" s="52"/>
    </row>
    <row r="416">
      <c r="A416" s="59"/>
      <c r="B416" s="34"/>
      <c r="C416" s="52"/>
      <c r="D416" s="52"/>
      <c r="E416" s="52"/>
      <c r="F416" s="52"/>
      <c r="G416" s="52"/>
      <c r="H416" s="52"/>
      <c r="I416" s="52"/>
      <c r="J416" s="52"/>
      <c r="K416" s="52"/>
      <c r="L416" s="52"/>
      <c r="M416" s="52"/>
      <c r="N416" s="52"/>
      <c r="O416" s="52"/>
      <c r="P416" s="52"/>
      <c r="Q416" s="52"/>
      <c r="R416" s="52"/>
      <c r="S416" s="52"/>
      <c r="T416" s="52"/>
      <c r="U416" s="52"/>
      <c r="V416" s="52"/>
      <c r="W416" s="52"/>
      <c r="X416" s="52"/>
      <c r="Y416" s="52"/>
      <c r="Z416" s="52"/>
    </row>
    <row r="417">
      <c r="A417" s="59"/>
      <c r="B417" s="34"/>
      <c r="C417" s="52"/>
      <c r="D417" s="52"/>
      <c r="E417" s="52"/>
      <c r="F417" s="52"/>
      <c r="G417" s="52"/>
      <c r="H417" s="52"/>
      <c r="I417" s="52"/>
      <c r="J417" s="52"/>
      <c r="K417" s="52"/>
      <c r="L417" s="52"/>
      <c r="M417" s="52"/>
      <c r="N417" s="52"/>
      <c r="O417" s="52"/>
      <c r="P417" s="52"/>
      <c r="Q417" s="52"/>
      <c r="R417" s="52"/>
      <c r="S417" s="52"/>
      <c r="T417" s="52"/>
      <c r="U417" s="52"/>
      <c r="V417" s="52"/>
      <c r="W417" s="52"/>
      <c r="X417" s="52"/>
      <c r="Y417" s="52"/>
      <c r="Z417" s="52"/>
    </row>
    <row r="418">
      <c r="A418" s="59"/>
      <c r="B418" s="34"/>
      <c r="C418" s="52"/>
      <c r="D418" s="52"/>
      <c r="E418" s="52"/>
      <c r="F418" s="52"/>
      <c r="G418" s="52"/>
      <c r="H418" s="52"/>
      <c r="I418" s="52"/>
      <c r="J418" s="52"/>
      <c r="K418" s="52"/>
      <c r="L418" s="52"/>
      <c r="M418" s="52"/>
      <c r="N418" s="52"/>
      <c r="O418" s="52"/>
      <c r="P418" s="52"/>
      <c r="Q418" s="52"/>
      <c r="R418" s="52"/>
      <c r="S418" s="52"/>
      <c r="T418" s="52"/>
      <c r="U418" s="52"/>
      <c r="V418" s="52"/>
      <c r="W418" s="52"/>
      <c r="X418" s="52"/>
      <c r="Y418" s="52"/>
      <c r="Z418" s="52"/>
    </row>
    <row r="419">
      <c r="A419" s="59"/>
      <c r="B419" s="34"/>
      <c r="C419" s="52"/>
      <c r="D419" s="52"/>
      <c r="E419" s="52"/>
      <c r="F419" s="52"/>
      <c r="G419" s="52"/>
      <c r="H419" s="52"/>
      <c r="I419" s="52"/>
      <c r="J419" s="52"/>
      <c r="K419" s="52"/>
      <c r="L419" s="52"/>
      <c r="M419" s="52"/>
      <c r="N419" s="52"/>
      <c r="O419" s="52"/>
      <c r="P419" s="52"/>
      <c r="Q419" s="52"/>
      <c r="R419" s="52"/>
      <c r="S419" s="52"/>
      <c r="T419" s="52"/>
      <c r="U419" s="52"/>
      <c r="V419" s="52"/>
      <c r="W419" s="52"/>
      <c r="X419" s="52"/>
      <c r="Y419" s="52"/>
      <c r="Z419" s="52"/>
    </row>
    <row r="420">
      <c r="A420" s="59"/>
      <c r="B420" s="34"/>
      <c r="C420" s="52"/>
      <c r="D420" s="52"/>
      <c r="E420" s="52"/>
      <c r="F420" s="52"/>
      <c r="G420" s="52"/>
      <c r="H420" s="52"/>
      <c r="I420" s="52"/>
      <c r="J420" s="52"/>
      <c r="K420" s="52"/>
      <c r="L420" s="52"/>
      <c r="M420" s="52"/>
      <c r="N420" s="52"/>
      <c r="O420" s="52"/>
      <c r="P420" s="52"/>
      <c r="Q420" s="52"/>
      <c r="R420" s="52"/>
      <c r="S420" s="52"/>
      <c r="T420" s="52"/>
      <c r="U420" s="52"/>
      <c r="V420" s="52"/>
      <c r="W420" s="52"/>
      <c r="X420" s="52"/>
      <c r="Y420" s="52"/>
      <c r="Z420" s="52"/>
    </row>
    <row r="421">
      <c r="A421" s="59"/>
      <c r="B421" s="34"/>
      <c r="C421" s="52"/>
      <c r="D421" s="52"/>
      <c r="E421" s="52"/>
      <c r="F421" s="52"/>
      <c r="G421" s="52"/>
      <c r="H421" s="52"/>
      <c r="I421" s="52"/>
      <c r="J421" s="52"/>
      <c r="K421" s="52"/>
      <c r="L421" s="52"/>
      <c r="M421" s="52"/>
      <c r="N421" s="52"/>
      <c r="O421" s="52"/>
      <c r="P421" s="52"/>
      <c r="Q421" s="52"/>
      <c r="R421" s="52"/>
      <c r="S421" s="52"/>
      <c r="T421" s="52"/>
      <c r="U421" s="52"/>
      <c r="V421" s="52"/>
      <c r="W421" s="52"/>
      <c r="X421" s="52"/>
      <c r="Y421" s="52"/>
      <c r="Z421" s="52"/>
    </row>
    <row r="422">
      <c r="A422" s="59"/>
      <c r="B422" s="34"/>
      <c r="C422" s="52"/>
      <c r="D422" s="52"/>
      <c r="E422" s="52"/>
      <c r="F422" s="52"/>
      <c r="G422" s="52"/>
      <c r="H422" s="52"/>
      <c r="I422" s="52"/>
      <c r="J422" s="52"/>
      <c r="K422" s="52"/>
      <c r="L422" s="52"/>
      <c r="M422" s="52"/>
      <c r="N422" s="52"/>
      <c r="O422" s="52"/>
      <c r="P422" s="52"/>
      <c r="Q422" s="52"/>
      <c r="R422" s="52"/>
      <c r="S422" s="52"/>
      <c r="T422" s="52"/>
      <c r="U422" s="52"/>
      <c r="V422" s="52"/>
      <c r="W422" s="52"/>
      <c r="X422" s="52"/>
      <c r="Y422" s="52"/>
      <c r="Z422" s="52"/>
    </row>
    <row r="423">
      <c r="A423" s="59"/>
      <c r="B423" s="34"/>
      <c r="C423" s="52"/>
      <c r="D423" s="52"/>
      <c r="E423" s="52"/>
      <c r="F423" s="52"/>
      <c r="G423" s="52"/>
      <c r="H423" s="52"/>
      <c r="I423" s="52"/>
      <c r="J423" s="52"/>
      <c r="K423" s="52"/>
      <c r="L423" s="52"/>
      <c r="M423" s="52"/>
      <c r="N423" s="52"/>
      <c r="O423" s="52"/>
      <c r="P423" s="52"/>
      <c r="Q423" s="52"/>
      <c r="R423" s="52"/>
      <c r="S423" s="52"/>
      <c r="T423" s="52"/>
      <c r="U423" s="52"/>
      <c r="V423" s="52"/>
      <c r="W423" s="52"/>
      <c r="X423" s="52"/>
      <c r="Y423" s="52"/>
      <c r="Z423" s="52"/>
    </row>
    <row r="424">
      <c r="A424" s="59"/>
      <c r="B424" s="34"/>
      <c r="C424" s="52"/>
      <c r="D424" s="52"/>
      <c r="E424" s="52"/>
      <c r="F424" s="52"/>
      <c r="G424" s="52"/>
      <c r="H424" s="52"/>
      <c r="I424" s="52"/>
      <c r="J424" s="52"/>
      <c r="K424" s="52"/>
      <c r="L424" s="52"/>
      <c r="M424" s="52"/>
      <c r="N424" s="52"/>
      <c r="O424" s="52"/>
      <c r="P424" s="52"/>
      <c r="Q424" s="52"/>
      <c r="R424" s="52"/>
      <c r="S424" s="52"/>
      <c r="T424" s="52"/>
      <c r="U424" s="52"/>
      <c r="V424" s="52"/>
      <c r="W424" s="52"/>
      <c r="X424" s="52"/>
      <c r="Y424" s="52"/>
      <c r="Z424" s="52"/>
    </row>
    <row r="425">
      <c r="A425" s="59"/>
      <c r="B425" s="34"/>
      <c r="C425" s="52"/>
      <c r="D425" s="52"/>
      <c r="E425" s="52"/>
      <c r="F425" s="52"/>
      <c r="G425" s="52"/>
      <c r="H425" s="52"/>
      <c r="I425" s="52"/>
      <c r="J425" s="52"/>
      <c r="K425" s="52"/>
      <c r="L425" s="52"/>
      <c r="M425" s="52"/>
      <c r="N425" s="52"/>
      <c r="O425" s="52"/>
      <c r="P425" s="52"/>
      <c r="Q425" s="52"/>
      <c r="R425" s="52"/>
      <c r="S425" s="52"/>
      <c r="T425" s="52"/>
      <c r="U425" s="52"/>
      <c r="V425" s="52"/>
      <c r="W425" s="52"/>
      <c r="X425" s="52"/>
      <c r="Y425" s="52"/>
      <c r="Z425" s="52"/>
    </row>
    <row r="426">
      <c r="A426" s="59"/>
      <c r="B426" s="34"/>
      <c r="C426" s="52"/>
      <c r="D426" s="52"/>
      <c r="E426" s="52"/>
      <c r="F426" s="52"/>
      <c r="G426" s="52"/>
      <c r="H426" s="52"/>
      <c r="I426" s="52"/>
      <c r="J426" s="52"/>
      <c r="K426" s="52"/>
      <c r="L426" s="52"/>
      <c r="M426" s="52"/>
      <c r="N426" s="52"/>
      <c r="O426" s="52"/>
      <c r="P426" s="52"/>
      <c r="Q426" s="52"/>
      <c r="R426" s="52"/>
      <c r="S426" s="52"/>
      <c r="T426" s="52"/>
      <c r="U426" s="52"/>
      <c r="V426" s="52"/>
      <c r="W426" s="52"/>
      <c r="X426" s="52"/>
      <c r="Y426" s="52"/>
      <c r="Z426" s="52"/>
    </row>
    <row r="427">
      <c r="A427" s="59"/>
      <c r="B427" s="34"/>
      <c r="C427" s="52"/>
      <c r="D427" s="52"/>
      <c r="E427" s="52"/>
      <c r="F427" s="52"/>
      <c r="G427" s="52"/>
      <c r="H427" s="52"/>
      <c r="I427" s="52"/>
      <c r="J427" s="52"/>
      <c r="K427" s="52"/>
      <c r="L427" s="52"/>
      <c r="M427" s="52"/>
      <c r="N427" s="52"/>
      <c r="O427" s="52"/>
      <c r="P427" s="52"/>
      <c r="Q427" s="52"/>
      <c r="R427" s="52"/>
      <c r="S427" s="52"/>
      <c r="T427" s="52"/>
      <c r="U427" s="52"/>
      <c r="V427" s="52"/>
      <c r="W427" s="52"/>
      <c r="X427" s="52"/>
      <c r="Y427" s="52"/>
      <c r="Z427" s="52"/>
    </row>
    <row r="428">
      <c r="A428" s="59"/>
      <c r="B428" s="34"/>
      <c r="C428" s="52"/>
      <c r="D428" s="52"/>
      <c r="E428" s="52"/>
      <c r="F428" s="52"/>
      <c r="G428" s="52"/>
      <c r="H428" s="52"/>
      <c r="I428" s="52"/>
      <c r="J428" s="52"/>
      <c r="K428" s="52"/>
      <c r="L428" s="52"/>
      <c r="M428" s="52"/>
      <c r="N428" s="52"/>
      <c r="O428" s="52"/>
      <c r="P428" s="52"/>
      <c r="Q428" s="52"/>
      <c r="R428" s="52"/>
      <c r="S428" s="52"/>
      <c r="T428" s="52"/>
      <c r="U428" s="52"/>
      <c r="V428" s="52"/>
      <c r="W428" s="52"/>
      <c r="X428" s="52"/>
      <c r="Y428" s="52"/>
      <c r="Z428" s="52"/>
    </row>
    <row r="429">
      <c r="A429" s="59"/>
      <c r="B429" s="34"/>
      <c r="C429" s="52"/>
      <c r="D429" s="52"/>
      <c r="E429" s="52"/>
      <c r="F429" s="52"/>
      <c r="G429" s="52"/>
      <c r="H429" s="52"/>
      <c r="I429" s="52"/>
      <c r="J429" s="52"/>
      <c r="K429" s="52"/>
      <c r="L429" s="52"/>
      <c r="M429" s="52"/>
      <c r="N429" s="52"/>
      <c r="O429" s="52"/>
      <c r="P429" s="52"/>
      <c r="Q429" s="52"/>
      <c r="R429" s="52"/>
      <c r="S429" s="52"/>
      <c r="T429" s="52"/>
      <c r="U429" s="52"/>
      <c r="V429" s="52"/>
      <c r="W429" s="52"/>
      <c r="X429" s="52"/>
      <c r="Y429" s="52"/>
      <c r="Z429" s="52"/>
    </row>
    <row r="430">
      <c r="A430" s="59"/>
      <c r="B430" s="34"/>
      <c r="C430" s="52"/>
      <c r="D430" s="52"/>
      <c r="E430" s="52"/>
      <c r="F430" s="52"/>
      <c r="G430" s="52"/>
      <c r="H430" s="52"/>
      <c r="I430" s="52"/>
      <c r="J430" s="52"/>
      <c r="K430" s="52"/>
      <c r="L430" s="52"/>
      <c r="M430" s="52"/>
      <c r="N430" s="52"/>
      <c r="O430" s="52"/>
      <c r="P430" s="52"/>
      <c r="Q430" s="52"/>
      <c r="R430" s="52"/>
      <c r="S430" s="52"/>
      <c r="T430" s="52"/>
      <c r="U430" s="52"/>
      <c r="V430" s="52"/>
      <c r="W430" s="52"/>
      <c r="X430" s="52"/>
      <c r="Y430" s="52"/>
      <c r="Z430" s="52"/>
    </row>
    <row r="431">
      <c r="A431" s="59"/>
      <c r="B431" s="34"/>
      <c r="C431" s="52"/>
      <c r="D431" s="52"/>
      <c r="E431" s="52"/>
      <c r="F431" s="52"/>
      <c r="G431" s="52"/>
      <c r="H431" s="52"/>
      <c r="I431" s="52"/>
      <c r="J431" s="52"/>
      <c r="K431" s="52"/>
      <c r="L431" s="52"/>
      <c r="M431" s="52"/>
      <c r="N431" s="52"/>
      <c r="O431" s="52"/>
      <c r="P431" s="52"/>
      <c r="Q431" s="52"/>
      <c r="R431" s="52"/>
      <c r="S431" s="52"/>
      <c r="T431" s="52"/>
      <c r="U431" s="52"/>
      <c r="V431" s="52"/>
      <c r="W431" s="52"/>
      <c r="X431" s="52"/>
      <c r="Y431" s="52"/>
      <c r="Z431" s="52"/>
    </row>
    <row r="432">
      <c r="A432" s="59"/>
      <c r="B432" s="34"/>
      <c r="C432" s="52"/>
      <c r="D432" s="52"/>
      <c r="E432" s="52"/>
      <c r="F432" s="52"/>
      <c r="G432" s="52"/>
      <c r="H432" s="52"/>
      <c r="I432" s="52"/>
      <c r="J432" s="52"/>
      <c r="K432" s="52"/>
      <c r="L432" s="52"/>
      <c r="M432" s="52"/>
      <c r="N432" s="52"/>
      <c r="O432" s="52"/>
      <c r="P432" s="52"/>
      <c r="Q432" s="52"/>
      <c r="R432" s="52"/>
      <c r="S432" s="52"/>
      <c r="T432" s="52"/>
      <c r="U432" s="52"/>
      <c r="V432" s="52"/>
      <c r="W432" s="52"/>
      <c r="X432" s="52"/>
      <c r="Y432" s="52"/>
      <c r="Z432" s="52"/>
    </row>
    <row r="433">
      <c r="A433" s="59"/>
      <c r="B433" s="34"/>
      <c r="C433" s="52"/>
      <c r="D433" s="52"/>
      <c r="E433" s="52"/>
      <c r="F433" s="52"/>
      <c r="G433" s="52"/>
      <c r="H433" s="52"/>
      <c r="I433" s="52"/>
      <c r="J433" s="52"/>
      <c r="K433" s="52"/>
      <c r="L433" s="52"/>
      <c r="M433" s="52"/>
      <c r="N433" s="52"/>
      <c r="O433" s="52"/>
      <c r="P433" s="52"/>
      <c r="Q433" s="52"/>
      <c r="R433" s="52"/>
      <c r="S433" s="52"/>
      <c r="T433" s="52"/>
      <c r="U433" s="52"/>
      <c r="V433" s="52"/>
      <c r="W433" s="52"/>
      <c r="X433" s="52"/>
      <c r="Y433" s="52"/>
      <c r="Z433" s="52"/>
    </row>
    <row r="434">
      <c r="A434" s="59"/>
      <c r="B434" s="34"/>
      <c r="C434" s="52"/>
      <c r="D434" s="52"/>
      <c r="E434" s="52"/>
      <c r="F434" s="52"/>
      <c r="G434" s="52"/>
      <c r="H434" s="52"/>
      <c r="I434" s="52"/>
      <c r="J434" s="52"/>
      <c r="K434" s="52"/>
      <c r="L434" s="52"/>
      <c r="M434" s="52"/>
      <c r="N434" s="52"/>
      <c r="O434" s="52"/>
      <c r="P434" s="52"/>
      <c r="Q434" s="52"/>
      <c r="R434" s="52"/>
      <c r="S434" s="52"/>
      <c r="T434" s="52"/>
      <c r="U434" s="52"/>
      <c r="V434" s="52"/>
      <c r="W434" s="52"/>
      <c r="X434" s="52"/>
      <c r="Y434" s="52"/>
      <c r="Z434" s="52"/>
    </row>
    <row r="435">
      <c r="A435" s="59"/>
      <c r="B435" s="34"/>
      <c r="C435" s="52"/>
      <c r="D435" s="52"/>
      <c r="E435" s="52"/>
      <c r="F435" s="52"/>
      <c r="G435" s="52"/>
      <c r="H435" s="52"/>
      <c r="I435" s="52"/>
      <c r="J435" s="52"/>
      <c r="K435" s="52"/>
      <c r="L435" s="52"/>
      <c r="M435" s="52"/>
      <c r="N435" s="52"/>
      <c r="O435" s="52"/>
      <c r="P435" s="52"/>
      <c r="Q435" s="52"/>
      <c r="R435" s="52"/>
      <c r="S435" s="52"/>
      <c r="T435" s="52"/>
      <c r="U435" s="52"/>
      <c r="V435" s="52"/>
      <c r="W435" s="52"/>
      <c r="X435" s="52"/>
      <c r="Y435" s="52"/>
      <c r="Z435" s="52"/>
    </row>
    <row r="436">
      <c r="A436" s="59"/>
      <c r="B436" s="34"/>
      <c r="C436" s="52"/>
      <c r="D436" s="52"/>
      <c r="E436" s="52"/>
      <c r="F436" s="52"/>
      <c r="G436" s="52"/>
      <c r="H436" s="52"/>
      <c r="I436" s="52"/>
      <c r="J436" s="52"/>
      <c r="K436" s="52"/>
      <c r="L436" s="52"/>
      <c r="M436" s="52"/>
      <c r="N436" s="52"/>
      <c r="O436" s="52"/>
      <c r="P436" s="52"/>
      <c r="Q436" s="52"/>
      <c r="R436" s="52"/>
      <c r="S436" s="52"/>
      <c r="T436" s="52"/>
      <c r="U436" s="52"/>
      <c r="V436" s="52"/>
      <c r="W436" s="52"/>
      <c r="X436" s="52"/>
      <c r="Y436" s="52"/>
      <c r="Z436" s="52"/>
    </row>
    <row r="437">
      <c r="A437" s="59"/>
      <c r="B437" s="34"/>
      <c r="C437" s="52"/>
      <c r="D437" s="52"/>
      <c r="E437" s="52"/>
      <c r="F437" s="52"/>
      <c r="G437" s="52"/>
      <c r="H437" s="52"/>
      <c r="I437" s="52"/>
      <c r="J437" s="52"/>
      <c r="K437" s="52"/>
      <c r="L437" s="52"/>
      <c r="M437" s="52"/>
      <c r="N437" s="52"/>
      <c r="O437" s="52"/>
      <c r="P437" s="52"/>
      <c r="Q437" s="52"/>
      <c r="R437" s="52"/>
      <c r="S437" s="52"/>
      <c r="T437" s="52"/>
      <c r="U437" s="52"/>
      <c r="V437" s="52"/>
      <c r="W437" s="52"/>
      <c r="X437" s="52"/>
      <c r="Y437" s="52"/>
      <c r="Z437" s="52"/>
    </row>
    <row r="438">
      <c r="A438" s="59"/>
      <c r="B438" s="34"/>
      <c r="C438" s="52"/>
      <c r="D438" s="52"/>
      <c r="E438" s="52"/>
      <c r="F438" s="52"/>
      <c r="G438" s="52"/>
      <c r="H438" s="52"/>
      <c r="I438" s="52"/>
      <c r="J438" s="52"/>
      <c r="K438" s="52"/>
      <c r="L438" s="52"/>
      <c r="M438" s="52"/>
      <c r="N438" s="52"/>
      <c r="O438" s="52"/>
      <c r="P438" s="52"/>
      <c r="Q438" s="52"/>
      <c r="R438" s="52"/>
      <c r="S438" s="52"/>
      <c r="T438" s="52"/>
      <c r="U438" s="52"/>
      <c r="V438" s="52"/>
      <c r="W438" s="52"/>
      <c r="X438" s="52"/>
      <c r="Y438" s="52"/>
      <c r="Z438" s="52"/>
    </row>
    <row r="439">
      <c r="A439" s="59"/>
      <c r="B439" s="34"/>
      <c r="C439" s="52"/>
      <c r="D439" s="52"/>
      <c r="E439" s="52"/>
      <c r="F439" s="52"/>
      <c r="G439" s="52"/>
      <c r="H439" s="52"/>
      <c r="I439" s="52"/>
      <c r="J439" s="52"/>
      <c r="K439" s="52"/>
      <c r="L439" s="52"/>
      <c r="M439" s="52"/>
      <c r="N439" s="52"/>
      <c r="O439" s="52"/>
      <c r="P439" s="52"/>
      <c r="Q439" s="52"/>
      <c r="R439" s="52"/>
      <c r="S439" s="52"/>
      <c r="T439" s="52"/>
      <c r="U439" s="52"/>
      <c r="V439" s="52"/>
      <c r="W439" s="52"/>
      <c r="X439" s="52"/>
      <c r="Y439" s="52"/>
      <c r="Z439" s="52"/>
    </row>
    <row r="440">
      <c r="A440" s="59"/>
      <c r="B440" s="34"/>
      <c r="C440" s="52"/>
      <c r="D440" s="52"/>
      <c r="E440" s="52"/>
      <c r="F440" s="52"/>
      <c r="G440" s="52"/>
      <c r="H440" s="52"/>
      <c r="I440" s="52"/>
      <c r="J440" s="52"/>
      <c r="K440" s="52"/>
      <c r="L440" s="52"/>
      <c r="M440" s="52"/>
      <c r="N440" s="52"/>
      <c r="O440" s="52"/>
      <c r="P440" s="52"/>
      <c r="Q440" s="52"/>
      <c r="R440" s="52"/>
      <c r="S440" s="52"/>
      <c r="T440" s="52"/>
      <c r="U440" s="52"/>
      <c r="V440" s="52"/>
      <c r="W440" s="52"/>
      <c r="X440" s="52"/>
      <c r="Y440" s="52"/>
      <c r="Z440" s="52"/>
    </row>
    <row r="441">
      <c r="A441" s="59"/>
      <c r="B441" s="34"/>
      <c r="C441" s="52"/>
      <c r="D441" s="52"/>
      <c r="E441" s="52"/>
      <c r="F441" s="52"/>
      <c r="G441" s="52"/>
      <c r="H441" s="52"/>
      <c r="I441" s="52"/>
      <c r="J441" s="52"/>
      <c r="K441" s="52"/>
      <c r="L441" s="52"/>
      <c r="M441" s="52"/>
      <c r="N441" s="52"/>
      <c r="O441" s="52"/>
      <c r="P441" s="52"/>
      <c r="Q441" s="52"/>
      <c r="R441" s="52"/>
      <c r="S441" s="52"/>
      <c r="T441" s="52"/>
      <c r="U441" s="52"/>
      <c r="V441" s="52"/>
      <c r="W441" s="52"/>
      <c r="X441" s="52"/>
      <c r="Y441" s="52"/>
      <c r="Z441" s="52"/>
    </row>
    <row r="442">
      <c r="A442" s="59"/>
      <c r="B442" s="34"/>
      <c r="C442" s="52"/>
      <c r="D442" s="52"/>
      <c r="E442" s="52"/>
      <c r="F442" s="52"/>
      <c r="G442" s="52"/>
      <c r="H442" s="52"/>
      <c r="I442" s="52"/>
      <c r="J442" s="52"/>
      <c r="K442" s="52"/>
      <c r="L442" s="52"/>
      <c r="M442" s="52"/>
      <c r="N442" s="52"/>
      <c r="O442" s="52"/>
      <c r="P442" s="52"/>
      <c r="Q442" s="52"/>
      <c r="R442" s="52"/>
      <c r="S442" s="52"/>
      <c r="T442" s="52"/>
      <c r="U442" s="52"/>
      <c r="V442" s="52"/>
      <c r="W442" s="52"/>
      <c r="X442" s="52"/>
      <c r="Y442" s="52"/>
      <c r="Z442" s="52"/>
    </row>
    <row r="443">
      <c r="A443" s="59"/>
      <c r="B443" s="34"/>
      <c r="C443" s="52"/>
      <c r="D443" s="52"/>
      <c r="E443" s="52"/>
      <c r="F443" s="52"/>
      <c r="G443" s="52"/>
      <c r="H443" s="52"/>
      <c r="I443" s="52"/>
      <c r="J443" s="52"/>
      <c r="K443" s="52"/>
      <c r="L443" s="52"/>
      <c r="M443" s="52"/>
      <c r="N443" s="52"/>
      <c r="O443" s="52"/>
      <c r="P443" s="52"/>
      <c r="Q443" s="52"/>
      <c r="R443" s="52"/>
      <c r="S443" s="52"/>
      <c r="T443" s="52"/>
      <c r="U443" s="52"/>
      <c r="V443" s="52"/>
      <c r="W443" s="52"/>
      <c r="X443" s="52"/>
      <c r="Y443" s="52"/>
      <c r="Z443" s="52"/>
    </row>
    <row r="444">
      <c r="A444" s="59"/>
      <c r="B444" s="34"/>
      <c r="C444" s="52"/>
      <c r="D444" s="52"/>
      <c r="E444" s="52"/>
      <c r="F444" s="52"/>
      <c r="G444" s="52"/>
      <c r="H444" s="52"/>
      <c r="I444" s="52"/>
      <c r="J444" s="52"/>
      <c r="K444" s="52"/>
      <c r="L444" s="52"/>
      <c r="M444" s="52"/>
      <c r="N444" s="52"/>
      <c r="O444" s="52"/>
      <c r="P444" s="52"/>
      <c r="Q444" s="52"/>
      <c r="R444" s="52"/>
      <c r="S444" s="52"/>
      <c r="T444" s="52"/>
      <c r="U444" s="52"/>
      <c r="V444" s="52"/>
      <c r="W444" s="52"/>
      <c r="X444" s="52"/>
      <c r="Y444" s="52"/>
      <c r="Z444" s="52"/>
    </row>
    <row r="445">
      <c r="A445" s="59"/>
      <c r="B445" s="34"/>
      <c r="C445" s="52"/>
      <c r="D445" s="52"/>
      <c r="E445" s="52"/>
      <c r="F445" s="52"/>
      <c r="G445" s="52"/>
      <c r="H445" s="52"/>
      <c r="I445" s="52"/>
      <c r="J445" s="52"/>
      <c r="K445" s="52"/>
      <c r="L445" s="52"/>
      <c r="M445" s="52"/>
      <c r="N445" s="52"/>
      <c r="O445" s="52"/>
      <c r="P445" s="52"/>
      <c r="Q445" s="52"/>
      <c r="R445" s="52"/>
      <c r="S445" s="52"/>
      <c r="T445" s="52"/>
      <c r="U445" s="52"/>
      <c r="V445" s="52"/>
      <c r="W445" s="52"/>
      <c r="X445" s="52"/>
      <c r="Y445" s="52"/>
      <c r="Z445" s="52"/>
    </row>
    <row r="446">
      <c r="A446" s="59"/>
      <c r="B446" s="34"/>
      <c r="C446" s="52"/>
      <c r="D446" s="52"/>
      <c r="E446" s="52"/>
      <c r="F446" s="52"/>
      <c r="G446" s="52"/>
      <c r="H446" s="52"/>
      <c r="I446" s="52"/>
      <c r="J446" s="52"/>
      <c r="K446" s="52"/>
      <c r="L446" s="52"/>
      <c r="M446" s="52"/>
      <c r="N446" s="52"/>
      <c r="O446" s="52"/>
      <c r="P446" s="52"/>
      <c r="Q446" s="52"/>
      <c r="R446" s="52"/>
      <c r="S446" s="52"/>
      <c r="T446" s="52"/>
      <c r="U446" s="52"/>
      <c r="V446" s="52"/>
      <c r="W446" s="52"/>
      <c r="X446" s="52"/>
      <c r="Y446" s="52"/>
      <c r="Z446" s="52"/>
    </row>
    <row r="447">
      <c r="A447" s="59"/>
      <c r="B447" s="34"/>
      <c r="C447" s="52"/>
      <c r="D447" s="52"/>
      <c r="E447" s="52"/>
      <c r="F447" s="52"/>
      <c r="G447" s="52"/>
      <c r="H447" s="52"/>
      <c r="I447" s="52"/>
      <c r="J447" s="52"/>
      <c r="K447" s="52"/>
      <c r="L447" s="52"/>
      <c r="M447" s="52"/>
      <c r="N447" s="52"/>
      <c r="O447" s="52"/>
      <c r="P447" s="52"/>
      <c r="Q447" s="52"/>
      <c r="R447" s="52"/>
      <c r="S447" s="52"/>
      <c r="T447" s="52"/>
      <c r="U447" s="52"/>
      <c r="V447" s="52"/>
      <c r="W447" s="52"/>
      <c r="X447" s="52"/>
      <c r="Y447" s="52"/>
      <c r="Z447" s="52"/>
    </row>
    <row r="448">
      <c r="A448" s="59"/>
      <c r="B448" s="34"/>
      <c r="C448" s="52"/>
      <c r="D448" s="52"/>
      <c r="E448" s="52"/>
      <c r="F448" s="52"/>
      <c r="G448" s="52"/>
      <c r="H448" s="52"/>
      <c r="I448" s="52"/>
      <c r="J448" s="52"/>
      <c r="K448" s="52"/>
      <c r="L448" s="52"/>
      <c r="M448" s="52"/>
      <c r="N448" s="52"/>
      <c r="O448" s="52"/>
      <c r="P448" s="52"/>
      <c r="Q448" s="52"/>
      <c r="R448" s="52"/>
      <c r="S448" s="52"/>
      <c r="T448" s="52"/>
      <c r="U448" s="52"/>
      <c r="V448" s="52"/>
      <c r="W448" s="52"/>
      <c r="X448" s="52"/>
      <c r="Y448" s="52"/>
      <c r="Z448" s="52"/>
    </row>
    <row r="449">
      <c r="A449" s="59"/>
      <c r="B449" s="34"/>
      <c r="C449" s="52"/>
      <c r="D449" s="52"/>
      <c r="E449" s="52"/>
      <c r="F449" s="52"/>
      <c r="G449" s="52"/>
      <c r="H449" s="52"/>
      <c r="I449" s="52"/>
      <c r="J449" s="52"/>
      <c r="K449" s="52"/>
      <c r="L449" s="52"/>
      <c r="M449" s="52"/>
      <c r="N449" s="52"/>
      <c r="O449" s="52"/>
      <c r="P449" s="52"/>
      <c r="Q449" s="52"/>
      <c r="R449" s="52"/>
      <c r="S449" s="52"/>
      <c r="T449" s="52"/>
      <c r="U449" s="52"/>
      <c r="V449" s="52"/>
      <c r="W449" s="52"/>
      <c r="X449" s="52"/>
      <c r="Y449" s="52"/>
      <c r="Z449" s="52"/>
    </row>
    <row r="450">
      <c r="A450" s="59"/>
      <c r="B450" s="34"/>
      <c r="C450" s="52"/>
      <c r="D450" s="52"/>
      <c r="E450" s="52"/>
      <c r="F450" s="52"/>
      <c r="G450" s="52"/>
      <c r="H450" s="52"/>
      <c r="I450" s="52"/>
      <c r="J450" s="52"/>
      <c r="K450" s="52"/>
      <c r="L450" s="52"/>
      <c r="M450" s="52"/>
      <c r="N450" s="52"/>
      <c r="O450" s="52"/>
      <c r="P450" s="52"/>
      <c r="Q450" s="52"/>
      <c r="R450" s="52"/>
      <c r="S450" s="52"/>
      <c r="T450" s="52"/>
      <c r="U450" s="52"/>
      <c r="V450" s="52"/>
      <c r="W450" s="52"/>
      <c r="X450" s="52"/>
      <c r="Y450" s="52"/>
      <c r="Z450" s="52"/>
    </row>
    <row r="451">
      <c r="A451" s="59"/>
      <c r="B451" s="34"/>
      <c r="C451" s="52"/>
      <c r="D451" s="52"/>
      <c r="E451" s="52"/>
      <c r="F451" s="52"/>
      <c r="G451" s="52"/>
      <c r="H451" s="52"/>
      <c r="I451" s="52"/>
      <c r="J451" s="52"/>
      <c r="K451" s="52"/>
      <c r="L451" s="52"/>
      <c r="M451" s="52"/>
      <c r="N451" s="52"/>
      <c r="O451" s="52"/>
      <c r="P451" s="52"/>
      <c r="Q451" s="52"/>
      <c r="R451" s="52"/>
      <c r="S451" s="52"/>
      <c r="T451" s="52"/>
      <c r="U451" s="52"/>
      <c r="V451" s="52"/>
      <c r="W451" s="52"/>
      <c r="X451" s="52"/>
      <c r="Y451" s="52"/>
      <c r="Z451" s="52"/>
    </row>
    <row r="452">
      <c r="A452" s="59"/>
      <c r="B452" s="34"/>
      <c r="C452" s="52"/>
      <c r="D452" s="52"/>
      <c r="E452" s="52"/>
      <c r="F452" s="52"/>
      <c r="G452" s="52"/>
      <c r="H452" s="52"/>
      <c r="I452" s="52"/>
      <c r="J452" s="52"/>
      <c r="K452" s="52"/>
      <c r="L452" s="52"/>
      <c r="M452" s="52"/>
      <c r="N452" s="52"/>
      <c r="O452" s="52"/>
      <c r="P452" s="52"/>
      <c r="Q452" s="52"/>
      <c r="R452" s="52"/>
      <c r="S452" s="52"/>
      <c r="T452" s="52"/>
      <c r="U452" s="52"/>
      <c r="V452" s="52"/>
      <c r="W452" s="52"/>
      <c r="X452" s="52"/>
      <c r="Y452" s="52"/>
      <c r="Z452" s="52"/>
    </row>
    <row r="453">
      <c r="A453" s="59"/>
      <c r="B453" s="34"/>
      <c r="C453" s="52"/>
      <c r="D453" s="52"/>
      <c r="E453" s="52"/>
      <c r="F453" s="52"/>
      <c r="G453" s="52"/>
      <c r="H453" s="52"/>
      <c r="I453" s="52"/>
      <c r="J453" s="52"/>
      <c r="K453" s="52"/>
      <c r="L453" s="52"/>
      <c r="M453" s="52"/>
      <c r="N453" s="52"/>
      <c r="O453" s="52"/>
      <c r="P453" s="52"/>
      <c r="Q453" s="52"/>
      <c r="R453" s="52"/>
      <c r="S453" s="52"/>
      <c r="T453" s="52"/>
      <c r="U453" s="52"/>
      <c r="V453" s="52"/>
      <c r="W453" s="52"/>
      <c r="X453" s="52"/>
      <c r="Y453" s="52"/>
      <c r="Z453" s="52"/>
    </row>
    <row r="454">
      <c r="A454" s="59"/>
      <c r="B454" s="34"/>
      <c r="C454" s="52"/>
      <c r="D454" s="52"/>
      <c r="E454" s="52"/>
      <c r="F454" s="52"/>
      <c r="G454" s="52"/>
      <c r="H454" s="52"/>
      <c r="I454" s="52"/>
      <c r="J454" s="52"/>
      <c r="K454" s="52"/>
      <c r="L454" s="52"/>
      <c r="M454" s="52"/>
      <c r="N454" s="52"/>
      <c r="O454" s="52"/>
      <c r="P454" s="52"/>
      <c r="Q454" s="52"/>
      <c r="R454" s="52"/>
      <c r="S454" s="52"/>
      <c r="T454" s="52"/>
      <c r="U454" s="52"/>
      <c r="V454" s="52"/>
      <c r="W454" s="52"/>
      <c r="X454" s="52"/>
      <c r="Y454" s="52"/>
      <c r="Z454" s="52"/>
    </row>
    <row r="455">
      <c r="A455" s="59"/>
      <c r="B455" s="34"/>
      <c r="C455" s="52"/>
      <c r="D455" s="52"/>
      <c r="E455" s="52"/>
      <c r="F455" s="52"/>
      <c r="G455" s="52"/>
      <c r="H455" s="52"/>
      <c r="I455" s="52"/>
      <c r="J455" s="52"/>
      <c r="K455" s="52"/>
      <c r="L455" s="52"/>
      <c r="M455" s="52"/>
      <c r="N455" s="52"/>
      <c r="O455" s="52"/>
      <c r="P455" s="52"/>
      <c r="Q455" s="52"/>
      <c r="R455" s="52"/>
      <c r="S455" s="52"/>
      <c r="T455" s="52"/>
      <c r="U455" s="52"/>
      <c r="V455" s="52"/>
      <c r="W455" s="52"/>
      <c r="X455" s="52"/>
      <c r="Y455" s="52"/>
      <c r="Z455" s="52"/>
    </row>
    <row r="456">
      <c r="A456" s="59"/>
      <c r="B456" s="34"/>
      <c r="C456" s="52"/>
      <c r="D456" s="52"/>
      <c r="E456" s="52"/>
      <c r="F456" s="52"/>
      <c r="G456" s="52"/>
      <c r="H456" s="52"/>
      <c r="I456" s="52"/>
      <c r="J456" s="52"/>
      <c r="K456" s="52"/>
      <c r="L456" s="52"/>
      <c r="M456" s="52"/>
      <c r="N456" s="52"/>
      <c r="O456" s="52"/>
      <c r="P456" s="52"/>
      <c r="Q456" s="52"/>
      <c r="R456" s="52"/>
      <c r="S456" s="52"/>
      <c r="T456" s="52"/>
      <c r="U456" s="52"/>
      <c r="V456" s="52"/>
      <c r="W456" s="52"/>
      <c r="X456" s="52"/>
      <c r="Y456" s="52"/>
      <c r="Z456" s="52"/>
    </row>
    <row r="457">
      <c r="A457" s="59"/>
      <c r="B457" s="34"/>
      <c r="C457" s="52"/>
      <c r="D457" s="52"/>
      <c r="E457" s="52"/>
      <c r="F457" s="52"/>
      <c r="G457" s="52"/>
      <c r="H457" s="52"/>
      <c r="I457" s="52"/>
      <c r="J457" s="52"/>
      <c r="K457" s="52"/>
      <c r="L457" s="52"/>
      <c r="M457" s="52"/>
      <c r="N457" s="52"/>
      <c r="O457" s="52"/>
      <c r="P457" s="52"/>
      <c r="Q457" s="52"/>
      <c r="R457" s="52"/>
      <c r="S457" s="52"/>
      <c r="T457" s="52"/>
      <c r="U457" s="52"/>
      <c r="V457" s="52"/>
      <c r="W457" s="52"/>
      <c r="X457" s="52"/>
      <c r="Y457" s="52"/>
      <c r="Z457" s="52"/>
    </row>
    <row r="458">
      <c r="A458" s="59"/>
      <c r="B458" s="34"/>
      <c r="C458" s="52"/>
      <c r="D458" s="52"/>
      <c r="E458" s="52"/>
      <c r="F458" s="52"/>
      <c r="G458" s="52"/>
      <c r="H458" s="52"/>
      <c r="I458" s="52"/>
      <c r="J458" s="52"/>
      <c r="K458" s="52"/>
      <c r="L458" s="52"/>
      <c r="M458" s="52"/>
      <c r="N458" s="52"/>
      <c r="O458" s="52"/>
      <c r="P458" s="52"/>
      <c r="Q458" s="52"/>
      <c r="R458" s="52"/>
      <c r="S458" s="52"/>
      <c r="T458" s="52"/>
      <c r="U458" s="52"/>
      <c r="V458" s="52"/>
      <c r="W458" s="52"/>
      <c r="X458" s="52"/>
      <c r="Y458" s="52"/>
      <c r="Z458" s="52"/>
    </row>
    <row r="459">
      <c r="A459" s="59"/>
      <c r="B459" s="34"/>
      <c r="C459" s="52"/>
      <c r="D459" s="52"/>
      <c r="E459" s="52"/>
      <c r="F459" s="52"/>
      <c r="G459" s="52"/>
      <c r="H459" s="52"/>
      <c r="I459" s="52"/>
      <c r="J459" s="52"/>
      <c r="K459" s="52"/>
      <c r="L459" s="52"/>
      <c r="M459" s="52"/>
      <c r="N459" s="52"/>
      <c r="O459" s="52"/>
      <c r="P459" s="52"/>
      <c r="Q459" s="52"/>
      <c r="R459" s="52"/>
      <c r="S459" s="52"/>
      <c r="T459" s="52"/>
      <c r="U459" s="52"/>
      <c r="V459" s="52"/>
      <c r="W459" s="52"/>
      <c r="X459" s="52"/>
      <c r="Y459" s="52"/>
      <c r="Z459" s="52"/>
    </row>
    <row r="460">
      <c r="A460" s="59"/>
      <c r="B460" s="34"/>
      <c r="C460" s="52"/>
      <c r="D460" s="52"/>
      <c r="E460" s="52"/>
      <c r="F460" s="52"/>
      <c r="G460" s="52"/>
      <c r="H460" s="52"/>
      <c r="I460" s="52"/>
      <c r="J460" s="52"/>
      <c r="K460" s="52"/>
      <c r="L460" s="52"/>
      <c r="M460" s="52"/>
      <c r="N460" s="52"/>
      <c r="O460" s="52"/>
      <c r="P460" s="52"/>
      <c r="Q460" s="52"/>
      <c r="R460" s="52"/>
      <c r="S460" s="52"/>
      <c r="T460" s="52"/>
      <c r="U460" s="52"/>
      <c r="V460" s="52"/>
      <c r="W460" s="52"/>
      <c r="X460" s="52"/>
      <c r="Y460" s="52"/>
      <c r="Z460" s="52"/>
    </row>
    <row r="461">
      <c r="A461" s="59"/>
      <c r="B461" s="34"/>
      <c r="C461" s="52"/>
      <c r="D461" s="52"/>
      <c r="E461" s="52"/>
      <c r="F461" s="52"/>
      <c r="G461" s="52"/>
      <c r="H461" s="52"/>
      <c r="I461" s="52"/>
      <c r="J461" s="52"/>
      <c r="K461" s="52"/>
      <c r="L461" s="52"/>
      <c r="M461" s="52"/>
      <c r="N461" s="52"/>
      <c r="O461" s="52"/>
      <c r="P461" s="52"/>
      <c r="Q461" s="52"/>
      <c r="R461" s="52"/>
      <c r="S461" s="52"/>
      <c r="T461" s="52"/>
      <c r="U461" s="52"/>
      <c r="V461" s="52"/>
      <c r="W461" s="52"/>
      <c r="X461" s="52"/>
      <c r="Y461" s="52"/>
      <c r="Z461" s="52"/>
    </row>
    <row r="462">
      <c r="A462" s="59"/>
      <c r="B462" s="34"/>
      <c r="C462" s="52"/>
      <c r="D462" s="52"/>
      <c r="E462" s="52"/>
      <c r="F462" s="52"/>
      <c r="G462" s="52"/>
      <c r="H462" s="52"/>
      <c r="I462" s="52"/>
      <c r="J462" s="52"/>
      <c r="K462" s="52"/>
      <c r="L462" s="52"/>
      <c r="M462" s="52"/>
      <c r="N462" s="52"/>
      <c r="O462" s="52"/>
      <c r="P462" s="52"/>
      <c r="Q462" s="52"/>
      <c r="R462" s="52"/>
      <c r="S462" s="52"/>
      <c r="T462" s="52"/>
      <c r="U462" s="52"/>
      <c r="V462" s="52"/>
      <c r="W462" s="52"/>
      <c r="X462" s="52"/>
      <c r="Y462" s="52"/>
      <c r="Z462" s="52"/>
    </row>
    <row r="463">
      <c r="A463" s="59"/>
      <c r="B463" s="34"/>
      <c r="C463" s="52"/>
      <c r="D463" s="52"/>
      <c r="E463" s="52"/>
      <c r="F463" s="52"/>
      <c r="G463" s="52"/>
      <c r="H463" s="52"/>
      <c r="I463" s="52"/>
      <c r="J463" s="52"/>
      <c r="K463" s="52"/>
      <c r="L463" s="52"/>
      <c r="M463" s="52"/>
      <c r="N463" s="52"/>
      <c r="O463" s="52"/>
      <c r="P463" s="52"/>
      <c r="Q463" s="52"/>
      <c r="R463" s="52"/>
      <c r="S463" s="52"/>
      <c r="T463" s="52"/>
      <c r="U463" s="52"/>
      <c r="V463" s="52"/>
      <c r="W463" s="52"/>
      <c r="X463" s="52"/>
      <c r="Y463" s="52"/>
      <c r="Z463" s="52"/>
    </row>
    <row r="464">
      <c r="A464" s="59"/>
      <c r="B464" s="34"/>
      <c r="C464" s="52"/>
      <c r="D464" s="52"/>
      <c r="E464" s="52"/>
      <c r="F464" s="52"/>
      <c r="G464" s="52"/>
      <c r="H464" s="52"/>
      <c r="I464" s="52"/>
      <c r="J464" s="52"/>
      <c r="K464" s="52"/>
      <c r="L464" s="52"/>
      <c r="M464" s="52"/>
      <c r="N464" s="52"/>
      <c r="O464" s="52"/>
      <c r="P464" s="52"/>
      <c r="Q464" s="52"/>
      <c r="R464" s="52"/>
      <c r="S464" s="52"/>
      <c r="T464" s="52"/>
      <c r="U464" s="52"/>
      <c r="V464" s="52"/>
      <c r="W464" s="52"/>
      <c r="X464" s="52"/>
      <c r="Y464" s="52"/>
      <c r="Z464" s="52"/>
    </row>
    <row r="465">
      <c r="A465" s="59"/>
      <c r="B465" s="34"/>
      <c r="C465" s="52"/>
      <c r="D465" s="52"/>
      <c r="E465" s="52"/>
      <c r="F465" s="52"/>
      <c r="G465" s="52"/>
      <c r="H465" s="52"/>
      <c r="I465" s="52"/>
      <c r="J465" s="52"/>
      <c r="K465" s="52"/>
      <c r="L465" s="52"/>
      <c r="M465" s="52"/>
      <c r="N465" s="52"/>
      <c r="O465" s="52"/>
      <c r="P465" s="52"/>
      <c r="Q465" s="52"/>
      <c r="R465" s="52"/>
      <c r="S465" s="52"/>
      <c r="T465" s="52"/>
      <c r="U465" s="52"/>
      <c r="V465" s="52"/>
      <c r="W465" s="52"/>
      <c r="X465" s="52"/>
      <c r="Y465" s="52"/>
      <c r="Z465" s="52"/>
    </row>
    <row r="466">
      <c r="A466" s="59"/>
      <c r="B466" s="34"/>
      <c r="C466" s="52"/>
      <c r="D466" s="52"/>
      <c r="E466" s="52"/>
      <c r="F466" s="52"/>
      <c r="G466" s="52"/>
      <c r="H466" s="52"/>
      <c r="I466" s="52"/>
      <c r="J466" s="52"/>
      <c r="K466" s="52"/>
      <c r="L466" s="52"/>
      <c r="M466" s="52"/>
      <c r="N466" s="52"/>
      <c r="O466" s="52"/>
      <c r="P466" s="52"/>
      <c r="Q466" s="52"/>
      <c r="R466" s="52"/>
      <c r="S466" s="52"/>
      <c r="T466" s="52"/>
      <c r="U466" s="52"/>
      <c r="V466" s="52"/>
      <c r="W466" s="52"/>
      <c r="X466" s="52"/>
      <c r="Y466" s="52"/>
      <c r="Z466" s="52"/>
    </row>
    <row r="467">
      <c r="A467" s="59"/>
      <c r="B467" s="34"/>
      <c r="C467" s="52"/>
      <c r="D467" s="52"/>
      <c r="E467" s="52"/>
      <c r="F467" s="52"/>
      <c r="G467" s="52"/>
      <c r="H467" s="52"/>
      <c r="I467" s="52"/>
      <c r="J467" s="52"/>
      <c r="K467" s="52"/>
      <c r="L467" s="52"/>
      <c r="M467" s="52"/>
      <c r="N467" s="52"/>
      <c r="O467" s="52"/>
      <c r="P467" s="52"/>
      <c r="Q467" s="52"/>
      <c r="R467" s="52"/>
      <c r="S467" s="52"/>
      <c r="T467" s="52"/>
      <c r="U467" s="52"/>
      <c r="V467" s="52"/>
      <c r="W467" s="52"/>
      <c r="X467" s="52"/>
      <c r="Y467" s="52"/>
      <c r="Z467" s="52"/>
    </row>
    <row r="468">
      <c r="A468" s="59"/>
      <c r="B468" s="34"/>
      <c r="C468" s="52"/>
      <c r="D468" s="52"/>
      <c r="E468" s="52"/>
      <c r="F468" s="52"/>
      <c r="G468" s="52"/>
      <c r="H468" s="52"/>
      <c r="I468" s="52"/>
      <c r="J468" s="52"/>
      <c r="K468" s="52"/>
      <c r="L468" s="52"/>
      <c r="M468" s="52"/>
      <c r="N468" s="52"/>
      <c r="O468" s="52"/>
      <c r="P468" s="52"/>
      <c r="Q468" s="52"/>
      <c r="R468" s="52"/>
      <c r="S468" s="52"/>
      <c r="T468" s="52"/>
      <c r="U468" s="52"/>
      <c r="V468" s="52"/>
      <c r="W468" s="52"/>
      <c r="X468" s="52"/>
      <c r="Y468" s="52"/>
      <c r="Z468" s="52"/>
    </row>
    <row r="469">
      <c r="A469" s="59"/>
      <c r="B469" s="34"/>
      <c r="C469" s="52"/>
      <c r="D469" s="52"/>
      <c r="E469" s="52"/>
      <c r="F469" s="52"/>
      <c r="G469" s="52"/>
      <c r="H469" s="52"/>
      <c r="I469" s="52"/>
      <c r="J469" s="52"/>
      <c r="K469" s="52"/>
      <c r="L469" s="52"/>
      <c r="M469" s="52"/>
      <c r="N469" s="52"/>
      <c r="O469" s="52"/>
      <c r="P469" s="52"/>
      <c r="Q469" s="52"/>
      <c r="R469" s="52"/>
      <c r="S469" s="52"/>
      <c r="T469" s="52"/>
      <c r="U469" s="52"/>
      <c r="V469" s="52"/>
      <c r="W469" s="52"/>
      <c r="X469" s="52"/>
      <c r="Y469" s="52"/>
      <c r="Z469" s="52"/>
    </row>
    <row r="470">
      <c r="A470" s="59"/>
      <c r="B470" s="34"/>
      <c r="C470" s="52"/>
      <c r="D470" s="52"/>
      <c r="E470" s="52"/>
      <c r="F470" s="52"/>
      <c r="G470" s="52"/>
      <c r="H470" s="52"/>
      <c r="I470" s="52"/>
      <c r="J470" s="52"/>
      <c r="K470" s="52"/>
      <c r="L470" s="52"/>
      <c r="M470" s="52"/>
      <c r="N470" s="52"/>
      <c r="O470" s="52"/>
      <c r="P470" s="52"/>
      <c r="Q470" s="52"/>
      <c r="R470" s="52"/>
      <c r="S470" s="52"/>
      <c r="T470" s="52"/>
      <c r="U470" s="52"/>
      <c r="V470" s="52"/>
      <c r="W470" s="52"/>
      <c r="X470" s="52"/>
      <c r="Y470" s="52"/>
      <c r="Z470" s="52"/>
    </row>
    <row r="471">
      <c r="A471" s="59"/>
      <c r="B471" s="34"/>
      <c r="C471" s="52"/>
      <c r="D471" s="52"/>
      <c r="E471" s="52"/>
      <c r="F471" s="52"/>
      <c r="G471" s="52"/>
      <c r="H471" s="52"/>
      <c r="I471" s="52"/>
      <c r="J471" s="52"/>
      <c r="K471" s="52"/>
      <c r="L471" s="52"/>
      <c r="M471" s="52"/>
      <c r="N471" s="52"/>
      <c r="O471" s="52"/>
      <c r="P471" s="52"/>
      <c r="Q471" s="52"/>
      <c r="R471" s="52"/>
      <c r="S471" s="52"/>
      <c r="T471" s="52"/>
      <c r="U471" s="52"/>
      <c r="V471" s="52"/>
      <c r="W471" s="52"/>
      <c r="X471" s="52"/>
      <c r="Y471" s="52"/>
      <c r="Z471" s="52"/>
    </row>
    <row r="472">
      <c r="A472" s="59"/>
      <c r="B472" s="34"/>
      <c r="C472" s="52"/>
      <c r="D472" s="52"/>
      <c r="E472" s="52"/>
      <c r="F472" s="52"/>
      <c r="G472" s="52"/>
      <c r="H472" s="52"/>
      <c r="I472" s="52"/>
      <c r="J472" s="52"/>
      <c r="K472" s="52"/>
      <c r="L472" s="52"/>
      <c r="M472" s="52"/>
      <c r="N472" s="52"/>
      <c r="O472" s="52"/>
      <c r="P472" s="52"/>
      <c r="Q472" s="52"/>
      <c r="R472" s="52"/>
      <c r="S472" s="52"/>
      <c r="T472" s="52"/>
      <c r="U472" s="52"/>
      <c r="V472" s="52"/>
      <c r="W472" s="52"/>
      <c r="X472" s="52"/>
      <c r="Y472" s="52"/>
      <c r="Z472" s="52"/>
    </row>
    <row r="473">
      <c r="A473" s="59"/>
      <c r="B473" s="34"/>
      <c r="C473" s="52"/>
      <c r="D473" s="52"/>
      <c r="E473" s="52"/>
      <c r="F473" s="52"/>
      <c r="G473" s="52"/>
      <c r="H473" s="52"/>
      <c r="I473" s="52"/>
      <c r="J473" s="52"/>
      <c r="K473" s="52"/>
      <c r="L473" s="52"/>
      <c r="M473" s="52"/>
      <c r="N473" s="52"/>
      <c r="O473" s="52"/>
      <c r="P473" s="52"/>
      <c r="Q473" s="52"/>
      <c r="R473" s="52"/>
      <c r="S473" s="52"/>
      <c r="T473" s="52"/>
      <c r="U473" s="52"/>
      <c r="V473" s="52"/>
      <c r="W473" s="52"/>
      <c r="X473" s="52"/>
      <c r="Y473" s="52"/>
      <c r="Z473" s="52"/>
    </row>
    <row r="474">
      <c r="A474" s="59"/>
      <c r="B474" s="34"/>
      <c r="C474" s="52"/>
      <c r="D474" s="52"/>
      <c r="E474" s="52"/>
      <c r="F474" s="52"/>
      <c r="G474" s="52"/>
      <c r="H474" s="52"/>
      <c r="I474" s="52"/>
      <c r="J474" s="52"/>
      <c r="K474" s="52"/>
      <c r="L474" s="52"/>
      <c r="M474" s="52"/>
      <c r="N474" s="52"/>
      <c r="O474" s="52"/>
      <c r="P474" s="52"/>
      <c r="Q474" s="52"/>
      <c r="R474" s="52"/>
      <c r="S474" s="52"/>
      <c r="T474" s="52"/>
      <c r="U474" s="52"/>
      <c r="V474" s="52"/>
      <c r="W474" s="52"/>
      <c r="X474" s="52"/>
      <c r="Y474" s="52"/>
      <c r="Z474" s="52"/>
    </row>
    <row r="475">
      <c r="A475" s="59"/>
      <c r="B475" s="34"/>
      <c r="C475" s="52"/>
      <c r="D475" s="52"/>
      <c r="E475" s="52"/>
      <c r="F475" s="52"/>
      <c r="G475" s="52"/>
      <c r="H475" s="52"/>
      <c r="I475" s="52"/>
      <c r="J475" s="52"/>
      <c r="K475" s="52"/>
      <c r="L475" s="52"/>
      <c r="M475" s="52"/>
      <c r="N475" s="52"/>
      <c r="O475" s="52"/>
      <c r="P475" s="52"/>
      <c r="Q475" s="52"/>
      <c r="R475" s="52"/>
      <c r="S475" s="52"/>
      <c r="T475" s="52"/>
      <c r="U475" s="52"/>
      <c r="V475" s="52"/>
      <c r="W475" s="52"/>
      <c r="X475" s="52"/>
      <c r="Y475" s="52"/>
      <c r="Z475" s="52"/>
    </row>
    <row r="476">
      <c r="A476" s="59"/>
      <c r="B476" s="34"/>
      <c r="C476" s="52"/>
      <c r="D476" s="52"/>
      <c r="E476" s="52"/>
      <c r="F476" s="52"/>
      <c r="G476" s="52"/>
      <c r="H476" s="52"/>
      <c r="I476" s="52"/>
      <c r="J476" s="52"/>
      <c r="K476" s="52"/>
      <c r="L476" s="52"/>
      <c r="M476" s="52"/>
      <c r="N476" s="52"/>
      <c r="O476" s="52"/>
      <c r="P476" s="52"/>
      <c r="Q476" s="52"/>
      <c r="R476" s="52"/>
      <c r="S476" s="52"/>
      <c r="T476" s="52"/>
      <c r="U476" s="52"/>
      <c r="V476" s="52"/>
      <c r="W476" s="52"/>
      <c r="X476" s="52"/>
      <c r="Y476" s="52"/>
      <c r="Z476" s="52"/>
    </row>
    <row r="477">
      <c r="A477" s="59"/>
      <c r="B477" s="34"/>
      <c r="C477" s="52"/>
      <c r="D477" s="52"/>
      <c r="E477" s="52"/>
      <c r="F477" s="52"/>
      <c r="G477" s="52"/>
      <c r="H477" s="52"/>
      <c r="I477" s="52"/>
      <c r="J477" s="52"/>
      <c r="K477" s="52"/>
      <c r="L477" s="52"/>
      <c r="M477" s="52"/>
      <c r="N477" s="52"/>
      <c r="O477" s="52"/>
      <c r="P477" s="52"/>
      <c r="Q477" s="52"/>
      <c r="R477" s="52"/>
      <c r="S477" s="52"/>
      <c r="T477" s="52"/>
      <c r="U477" s="52"/>
      <c r="V477" s="52"/>
      <c r="W477" s="52"/>
      <c r="X477" s="52"/>
      <c r="Y477" s="52"/>
      <c r="Z477" s="52"/>
    </row>
    <row r="478">
      <c r="A478" s="59"/>
      <c r="B478" s="34"/>
      <c r="C478" s="52"/>
      <c r="D478" s="52"/>
      <c r="E478" s="52"/>
      <c r="F478" s="52"/>
      <c r="G478" s="52"/>
      <c r="H478" s="52"/>
      <c r="I478" s="52"/>
      <c r="J478" s="52"/>
      <c r="K478" s="52"/>
      <c r="L478" s="52"/>
      <c r="M478" s="52"/>
      <c r="N478" s="52"/>
      <c r="O478" s="52"/>
      <c r="P478" s="52"/>
      <c r="Q478" s="52"/>
      <c r="R478" s="52"/>
      <c r="S478" s="52"/>
      <c r="T478" s="52"/>
      <c r="U478" s="52"/>
      <c r="V478" s="52"/>
      <c r="W478" s="52"/>
      <c r="X478" s="52"/>
      <c r="Y478" s="52"/>
      <c r="Z478" s="52"/>
    </row>
    <row r="479">
      <c r="A479" s="59"/>
      <c r="B479" s="34"/>
      <c r="C479" s="52"/>
      <c r="D479" s="52"/>
      <c r="E479" s="52"/>
      <c r="F479" s="52"/>
      <c r="G479" s="52"/>
      <c r="H479" s="52"/>
      <c r="I479" s="52"/>
      <c r="J479" s="52"/>
      <c r="K479" s="52"/>
      <c r="L479" s="52"/>
      <c r="M479" s="52"/>
      <c r="N479" s="52"/>
      <c r="O479" s="52"/>
      <c r="P479" s="52"/>
      <c r="Q479" s="52"/>
      <c r="R479" s="52"/>
      <c r="S479" s="52"/>
      <c r="T479" s="52"/>
      <c r="U479" s="52"/>
      <c r="V479" s="52"/>
      <c r="W479" s="52"/>
      <c r="X479" s="52"/>
      <c r="Y479" s="52"/>
      <c r="Z479" s="52"/>
    </row>
    <row r="480">
      <c r="A480" s="59"/>
      <c r="B480" s="34"/>
      <c r="C480" s="52"/>
      <c r="D480" s="52"/>
      <c r="E480" s="52"/>
      <c r="F480" s="52"/>
      <c r="G480" s="52"/>
      <c r="H480" s="52"/>
      <c r="I480" s="52"/>
      <c r="J480" s="52"/>
      <c r="K480" s="52"/>
      <c r="L480" s="52"/>
      <c r="M480" s="52"/>
      <c r="N480" s="52"/>
      <c r="O480" s="52"/>
      <c r="P480" s="52"/>
      <c r="Q480" s="52"/>
      <c r="R480" s="52"/>
      <c r="S480" s="52"/>
      <c r="T480" s="52"/>
      <c r="U480" s="52"/>
      <c r="V480" s="52"/>
      <c r="W480" s="52"/>
      <c r="X480" s="52"/>
      <c r="Y480" s="52"/>
      <c r="Z480" s="52"/>
    </row>
    <row r="481">
      <c r="A481" s="59"/>
      <c r="B481" s="34"/>
      <c r="C481" s="52"/>
      <c r="D481" s="52"/>
      <c r="E481" s="52"/>
      <c r="F481" s="52"/>
      <c r="G481" s="52"/>
      <c r="H481" s="52"/>
      <c r="I481" s="52"/>
      <c r="J481" s="52"/>
      <c r="K481" s="52"/>
      <c r="L481" s="52"/>
      <c r="M481" s="52"/>
      <c r="N481" s="52"/>
      <c r="O481" s="52"/>
      <c r="P481" s="52"/>
      <c r="Q481" s="52"/>
      <c r="R481" s="52"/>
      <c r="S481" s="52"/>
      <c r="T481" s="52"/>
      <c r="U481" s="52"/>
      <c r="V481" s="52"/>
      <c r="W481" s="52"/>
      <c r="X481" s="52"/>
      <c r="Y481" s="52"/>
      <c r="Z481" s="52"/>
    </row>
    <row r="482">
      <c r="A482" s="59"/>
      <c r="B482" s="34"/>
      <c r="C482" s="52"/>
      <c r="D482" s="52"/>
      <c r="E482" s="52"/>
      <c r="F482" s="52"/>
      <c r="G482" s="52"/>
      <c r="H482" s="52"/>
      <c r="I482" s="52"/>
      <c r="J482" s="52"/>
      <c r="K482" s="52"/>
      <c r="L482" s="52"/>
      <c r="M482" s="52"/>
      <c r="N482" s="52"/>
      <c r="O482" s="52"/>
      <c r="P482" s="52"/>
      <c r="Q482" s="52"/>
      <c r="R482" s="52"/>
      <c r="S482" s="52"/>
      <c r="T482" s="52"/>
      <c r="U482" s="52"/>
      <c r="V482" s="52"/>
      <c r="W482" s="52"/>
      <c r="X482" s="52"/>
      <c r="Y482" s="52"/>
      <c r="Z482" s="52"/>
    </row>
    <row r="483">
      <c r="A483" s="59"/>
      <c r="B483" s="34"/>
      <c r="C483" s="52"/>
      <c r="D483" s="52"/>
      <c r="E483" s="52"/>
      <c r="F483" s="52"/>
      <c r="G483" s="52"/>
      <c r="H483" s="52"/>
      <c r="I483" s="52"/>
      <c r="J483" s="52"/>
      <c r="K483" s="52"/>
      <c r="L483" s="52"/>
      <c r="M483" s="52"/>
      <c r="N483" s="52"/>
      <c r="O483" s="52"/>
      <c r="P483" s="52"/>
      <c r="Q483" s="52"/>
      <c r="R483" s="52"/>
      <c r="S483" s="52"/>
      <c r="T483" s="52"/>
      <c r="U483" s="52"/>
      <c r="V483" s="52"/>
      <c r="W483" s="52"/>
      <c r="X483" s="52"/>
      <c r="Y483" s="52"/>
      <c r="Z483" s="52"/>
    </row>
    <row r="484">
      <c r="A484" s="59"/>
      <c r="B484" s="34"/>
      <c r="C484" s="52"/>
      <c r="D484" s="52"/>
      <c r="E484" s="52"/>
      <c r="F484" s="52"/>
      <c r="G484" s="52"/>
      <c r="H484" s="52"/>
      <c r="I484" s="52"/>
      <c r="J484" s="52"/>
      <c r="K484" s="52"/>
      <c r="L484" s="52"/>
      <c r="M484" s="52"/>
      <c r="N484" s="52"/>
      <c r="O484" s="52"/>
      <c r="P484" s="52"/>
      <c r="Q484" s="52"/>
      <c r="R484" s="52"/>
      <c r="S484" s="52"/>
      <c r="T484" s="52"/>
      <c r="U484" s="52"/>
      <c r="V484" s="52"/>
      <c r="W484" s="52"/>
      <c r="X484" s="52"/>
      <c r="Y484" s="52"/>
      <c r="Z484" s="52"/>
    </row>
    <row r="485">
      <c r="A485" s="59"/>
      <c r="B485" s="34"/>
      <c r="C485" s="52"/>
      <c r="D485" s="52"/>
      <c r="E485" s="52"/>
      <c r="F485" s="52"/>
      <c r="G485" s="52"/>
      <c r="H485" s="52"/>
      <c r="I485" s="52"/>
      <c r="J485" s="52"/>
      <c r="K485" s="52"/>
      <c r="L485" s="52"/>
      <c r="M485" s="52"/>
      <c r="N485" s="52"/>
      <c r="O485" s="52"/>
      <c r="P485" s="52"/>
      <c r="Q485" s="52"/>
      <c r="R485" s="52"/>
      <c r="S485" s="52"/>
      <c r="T485" s="52"/>
      <c r="U485" s="52"/>
      <c r="V485" s="52"/>
      <c r="W485" s="52"/>
      <c r="X485" s="52"/>
      <c r="Y485" s="52"/>
      <c r="Z485" s="52"/>
    </row>
    <row r="486">
      <c r="A486" s="59"/>
      <c r="B486" s="34"/>
      <c r="C486" s="52"/>
      <c r="D486" s="52"/>
      <c r="E486" s="52"/>
      <c r="F486" s="52"/>
      <c r="G486" s="52"/>
      <c r="H486" s="52"/>
      <c r="I486" s="52"/>
      <c r="J486" s="52"/>
      <c r="K486" s="52"/>
      <c r="L486" s="52"/>
      <c r="M486" s="52"/>
      <c r="N486" s="52"/>
      <c r="O486" s="52"/>
      <c r="P486" s="52"/>
      <c r="Q486" s="52"/>
      <c r="R486" s="52"/>
      <c r="S486" s="52"/>
      <c r="T486" s="52"/>
      <c r="U486" s="52"/>
      <c r="V486" s="52"/>
      <c r="W486" s="52"/>
      <c r="X486" s="52"/>
      <c r="Y486" s="52"/>
      <c r="Z486" s="52"/>
    </row>
    <row r="487">
      <c r="A487" s="59"/>
      <c r="B487" s="34"/>
      <c r="C487" s="52"/>
      <c r="D487" s="52"/>
      <c r="E487" s="52"/>
      <c r="F487" s="52"/>
      <c r="G487" s="52"/>
      <c r="H487" s="52"/>
      <c r="I487" s="52"/>
      <c r="J487" s="52"/>
      <c r="K487" s="52"/>
      <c r="L487" s="52"/>
      <c r="M487" s="52"/>
      <c r="N487" s="52"/>
      <c r="O487" s="52"/>
      <c r="P487" s="52"/>
      <c r="Q487" s="52"/>
      <c r="R487" s="52"/>
      <c r="S487" s="52"/>
      <c r="T487" s="52"/>
      <c r="U487" s="52"/>
      <c r="V487" s="52"/>
      <c r="W487" s="52"/>
      <c r="X487" s="52"/>
      <c r="Y487" s="52"/>
      <c r="Z487" s="52"/>
    </row>
    <row r="488">
      <c r="A488" s="59"/>
      <c r="B488" s="34"/>
      <c r="C488" s="52"/>
      <c r="D488" s="52"/>
      <c r="E488" s="52"/>
      <c r="F488" s="52"/>
      <c r="G488" s="52"/>
      <c r="H488" s="52"/>
      <c r="I488" s="52"/>
      <c r="J488" s="52"/>
      <c r="K488" s="52"/>
      <c r="L488" s="52"/>
      <c r="M488" s="52"/>
      <c r="N488" s="52"/>
      <c r="O488" s="52"/>
      <c r="P488" s="52"/>
      <c r="Q488" s="52"/>
      <c r="R488" s="52"/>
      <c r="S488" s="52"/>
      <c r="T488" s="52"/>
      <c r="U488" s="52"/>
      <c r="V488" s="52"/>
      <c r="W488" s="52"/>
      <c r="X488" s="52"/>
      <c r="Y488" s="52"/>
      <c r="Z488" s="52"/>
    </row>
    <row r="489">
      <c r="A489" s="59"/>
      <c r="B489" s="34"/>
      <c r="C489" s="52"/>
      <c r="D489" s="52"/>
      <c r="E489" s="52"/>
      <c r="F489" s="52"/>
      <c r="G489" s="52"/>
      <c r="H489" s="52"/>
      <c r="I489" s="52"/>
      <c r="J489" s="52"/>
      <c r="K489" s="52"/>
      <c r="L489" s="52"/>
      <c r="M489" s="52"/>
      <c r="N489" s="52"/>
      <c r="O489" s="52"/>
      <c r="P489" s="52"/>
      <c r="Q489" s="52"/>
      <c r="R489" s="52"/>
      <c r="S489" s="52"/>
      <c r="T489" s="52"/>
      <c r="U489" s="52"/>
      <c r="V489" s="52"/>
      <c r="W489" s="52"/>
      <c r="X489" s="52"/>
      <c r="Y489" s="52"/>
      <c r="Z489" s="52"/>
    </row>
    <row r="490">
      <c r="A490" s="59"/>
      <c r="B490" s="34"/>
      <c r="C490" s="52"/>
      <c r="D490" s="52"/>
      <c r="E490" s="52"/>
      <c r="F490" s="52"/>
      <c r="G490" s="52"/>
      <c r="H490" s="52"/>
      <c r="I490" s="52"/>
      <c r="J490" s="52"/>
      <c r="K490" s="52"/>
      <c r="L490" s="52"/>
      <c r="M490" s="52"/>
      <c r="N490" s="52"/>
      <c r="O490" s="52"/>
      <c r="P490" s="52"/>
      <c r="Q490" s="52"/>
      <c r="R490" s="52"/>
      <c r="S490" s="52"/>
      <c r="T490" s="52"/>
      <c r="U490" s="52"/>
      <c r="V490" s="52"/>
      <c r="W490" s="52"/>
      <c r="X490" s="52"/>
      <c r="Y490" s="52"/>
      <c r="Z490" s="52"/>
    </row>
    <row r="491">
      <c r="A491" s="59"/>
      <c r="B491" s="34"/>
      <c r="C491" s="52"/>
      <c r="D491" s="52"/>
      <c r="E491" s="52"/>
      <c r="F491" s="52"/>
      <c r="G491" s="52"/>
      <c r="H491" s="52"/>
      <c r="I491" s="52"/>
      <c r="J491" s="52"/>
      <c r="K491" s="52"/>
      <c r="L491" s="52"/>
      <c r="M491" s="52"/>
      <c r="N491" s="52"/>
      <c r="O491" s="52"/>
      <c r="P491" s="52"/>
      <c r="Q491" s="52"/>
      <c r="R491" s="52"/>
      <c r="S491" s="52"/>
      <c r="T491" s="52"/>
      <c r="U491" s="52"/>
      <c r="V491" s="52"/>
      <c r="W491" s="52"/>
      <c r="X491" s="52"/>
      <c r="Y491" s="52"/>
      <c r="Z491" s="52"/>
    </row>
    <row r="492">
      <c r="A492" s="59"/>
      <c r="B492" s="34"/>
      <c r="C492" s="52"/>
      <c r="D492" s="52"/>
      <c r="E492" s="52"/>
      <c r="F492" s="52"/>
      <c r="G492" s="52"/>
      <c r="H492" s="52"/>
      <c r="I492" s="52"/>
      <c r="J492" s="52"/>
      <c r="K492" s="52"/>
      <c r="L492" s="52"/>
      <c r="M492" s="52"/>
      <c r="N492" s="52"/>
      <c r="O492" s="52"/>
      <c r="P492" s="52"/>
      <c r="Q492" s="52"/>
      <c r="R492" s="52"/>
      <c r="S492" s="52"/>
      <c r="T492" s="52"/>
      <c r="U492" s="52"/>
      <c r="V492" s="52"/>
      <c r="W492" s="52"/>
      <c r="X492" s="52"/>
      <c r="Y492" s="52"/>
      <c r="Z492" s="52"/>
    </row>
    <row r="493">
      <c r="A493" s="59"/>
      <c r="B493" s="34"/>
      <c r="C493" s="52"/>
      <c r="D493" s="52"/>
      <c r="E493" s="52"/>
      <c r="F493" s="52"/>
      <c r="G493" s="52"/>
      <c r="H493" s="52"/>
      <c r="I493" s="52"/>
      <c r="J493" s="52"/>
      <c r="K493" s="52"/>
      <c r="L493" s="52"/>
      <c r="M493" s="52"/>
      <c r="N493" s="52"/>
      <c r="O493" s="52"/>
      <c r="P493" s="52"/>
      <c r="Q493" s="52"/>
      <c r="R493" s="52"/>
      <c r="S493" s="52"/>
      <c r="T493" s="52"/>
      <c r="U493" s="52"/>
      <c r="V493" s="52"/>
      <c r="W493" s="52"/>
      <c r="X493" s="52"/>
      <c r="Y493" s="52"/>
      <c r="Z493" s="52"/>
    </row>
    <row r="494">
      <c r="A494" s="59"/>
      <c r="B494" s="34"/>
      <c r="C494" s="52"/>
      <c r="D494" s="52"/>
      <c r="E494" s="52"/>
      <c r="F494" s="52"/>
      <c r="G494" s="52"/>
      <c r="H494" s="52"/>
      <c r="I494" s="52"/>
      <c r="J494" s="52"/>
      <c r="K494" s="52"/>
      <c r="L494" s="52"/>
      <c r="M494" s="52"/>
      <c r="N494" s="52"/>
      <c r="O494" s="52"/>
      <c r="P494" s="52"/>
      <c r="Q494" s="52"/>
      <c r="R494" s="52"/>
      <c r="S494" s="52"/>
      <c r="T494" s="52"/>
      <c r="U494" s="52"/>
      <c r="V494" s="52"/>
      <c r="W494" s="52"/>
      <c r="X494" s="52"/>
      <c r="Y494" s="52"/>
      <c r="Z494" s="52"/>
    </row>
    <row r="495">
      <c r="A495" s="59"/>
      <c r="B495" s="34"/>
      <c r="C495" s="52"/>
      <c r="D495" s="52"/>
      <c r="E495" s="52"/>
      <c r="F495" s="52"/>
      <c r="G495" s="52"/>
      <c r="H495" s="52"/>
      <c r="I495" s="52"/>
      <c r="J495" s="52"/>
      <c r="K495" s="52"/>
      <c r="L495" s="52"/>
      <c r="M495" s="52"/>
      <c r="N495" s="52"/>
      <c r="O495" s="52"/>
      <c r="P495" s="52"/>
      <c r="Q495" s="52"/>
      <c r="R495" s="52"/>
      <c r="S495" s="52"/>
      <c r="T495" s="52"/>
      <c r="U495" s="52"/>
      <c r="V495" s="52"/>
      <c r="W495" s="52"/>
      <c r="X495" s="52"/>
      <c r="Y495" s="52"/>
      <c r="Z495" s="52"/>
    </row>
    <row r="496">
      <c r="A496" s="59"/>
      <c r="B496" s="34"/>
      <c r="C496" s="52"/>
      <c r="D496" s="52"/>
      <c r="E496" s="52"/>
      <c r="F496" s="52"/>
      <c r="G496" s="52"/>
      <c r="H496" s="52"/>
      <c r="I496" s="52"/>
      <c r="J496" s="52"/>
      <c r="K496" s="52"/>
      <c r="L496" s="52"/>
      <c r="M496" s="52"/>
      <c r="N496" s="52"/>
      <c r="O496" s="52"/>
      <c r="P496" s="52"/>
      <c r="Q496" s="52"/>
      <c r="R496" s="52"/>
      <c r="S496" s="52"/>
      <c r="T496" s="52"/>
      <c r="U496" s="52"/>
      <c r="V496" s="52"/>
      <c r="W496" s="52"/>
      <c r="X496" s="52"/>
      <c r="Y496" s="52"/>
      <c r="Z496" s="52"/>
    </row>
    <row r="497">
      <c r="A497" s="59"/>
      <c r="B497" s="34"/>
      <c r="C497" s="52"/>
      <c r="D497" s="52"/>
      <c r="E497" s="52"/>
      <c r="F497" s="52"/>
      <c r="G497" s="52"/>
      <c r="H497" s="52"/>
      <c r="I497" s="52"/>
      <c r="J497" s="52"/>
      <c r="K497" s="52"/>
      <c r="L497" s="52"/>
      <c r="M497" s="52"/>
      <c r="N497" s="52"/>
      <c r="O497" s="52"/>
      <c r="P497" s="52"/>
      <c r="Q497" s="52"/>
      <c r="R497" s="52"/>
      <c r="S497" s="52"/>
      <c r="T497" s="52"/>
      <c r="U497" s="52"/>
      <c r="V497" s="52"/>
      <c r="W497" s="52"/>
      <c r="X497" s="52"/>
      <c r="Y497" s="52"/>
      <c r="Z497" s="52"/>
    </row>
    <row r="498">
      <c r="A498" s="59"/>
      <c r="B498" s="34"/>
      <c r="C498" s="52"/>
      <c r="D498" s="52"/>
      <c r="E498" s="52"/>
      <c r="F498" s="52"/>
      <c r="G498" s="52"/>
      <c r="H498" s="52"/>
      <c r="I498" s="52"/>
      <c r="J498" s="52"/>
      <c r="K498" s="52"/>
      <c r="L498" s="52"/>
      <c r="M498" s="52"/>
      <c r="N498" s="52"/>
      <c r="O498" s="52"/>
      <c r="P498" s="52"/>
      <c r="Q498" s="52"/>
      <c r="R498" s="52"/>
      <c r="S498" s="52"/>
      <c r="T498" s="52"/>
      <c r="U498" s="52"/>
      <c r="V498" s="52"/>
      <c r="W498" s="52"/>
      <c r="X498" s="52"/>
      <c r="Y498" s="52"/>
      <c r="Z498" s="52"/>
    </row>
    <row r="499">
      <c r="A499" s="59"/>
      <c r="B499" s="34"/>
      <c r="C499" s="52"/>
      <c r="D499" s="52"/>
      <c r="E499" s="52"/>
      <c r="F499" s="52"/>
      <c r="G499" s="52"/>
      <c r="H499" s="52"/>
      <c r="I499" s="52"/>
      <c r="J499" s="52"/>
      <c r="K499" s="52"/>
      <c r="L499" s="52"/>
      <c r="M499" s="52"/>
      <c r="N499" s="52"/>
      <c r="O499" s="52"/>
      <c r="P499" s="52"/>
      <c r="Q499" s="52"/>
      <c r="R499" s="52"/>
      <c r="S499" s="52"/>
      <c r="T499" s="52"/>
      <c r="U499" s="52"/>
      <c r="V499" s="52"/>
      <c r="W499" s="52"/>
      <c r="X499" s="52"/>
      <c r="Y499" s="52"/>
      <c r="Z499" s="52"/>
    </row>
    <row r="500">
      <c r="A500" s="59"/>
      <c r="B500" s="34"/>
      <c r="C500" s="52"/>
      <c r="D500" s="52"/>
      <c r="E500" s="52"/>
      <c r="F500" s="52"/>
      <c r="G500" s="52"/>
      <c r="H500" s="52"/>
      <c r="I500" s="52"/>
      <c r="J500" s="52"/>
      <c r="K500" s="52"/>
      <c r="L500" s="52"/>
      <c r="M500" s="52"/>
      <c r="N500" s="52"/>
      <c r="O500" s="52"/>
      <c r="P500" s="52"/>
      <c r="Q500" s="52"/>
      <c r="R500" s="52"/>
      <c r="S500" s="52"/>
      <c r="T500" s="52"/>
      <c r="U500" s="52"/>
      <c r="V500" s="52"/>
      <c r="W500" s="52"/>
      <c r="X500" s="52"/>
      <c r="Y500" s="52"/>
      <c r="Z500" s="52"/>
    </row>
    <row r="501">
      <c r="A501" s="59"/>
      <c r="B501" s="34"/>
      <c r="C501" s="52"/>
      <c r="D501" s="52"/>
      <c r="E501" s="52"/>
      <c r="F501" s="52"/>
      <c r="G501" s="52"/>
      <c r="H501" s="52"/>
      <c r="I501" s="52"/>
      <c r="J501" s="52"/>
      <c r="K501" s="52"/>
      <c r="L501" s="52"/>
      <c r="M501" s="52"/>
      <c r="N501" s="52"/>
      <c r="O501" s="52"/>
      <c r="P501" s="52"/>
      <c r="Q501" s="52"/>
      <c r="R501" s="52"/>
      <c r="S501" s="52"/>
      <c r="T501" s="52"/>
      <c r="U501" s="52"/>
      <c r="V501" s="52"/>
      <c r="W501" s="52"/>
      <c r="X501" s="52"/>
      <c r="Y501" s="52"/>
      <c r="Z501" s="52"/>
    </row>
    <row r="502">
      <c r="A502" s="59"/>
      <c r="B502" s="34"/>
      <c r="C502" s="52"/>
      <c r="D502" s="52"/>
      <c r="E502" s="52"/>
      <c r="F502" s="52"/>
      <c r="G502" s="52"/>
      <c r="H502" s="52"/>
      <c r="I502" s="52"/>
      <c r="J502" s="52"/>
      <c r="K502" s="52"/>
      <c r="L502" s="52"/>
      <c r="M502" s="52"/>
      <c r="N502" s="52"/>
      <c r="O502" s="52"/>
      <c r="P502" s="52"/>
      <c r="Q502" s="52"/>
      <c r="R502" s="52"/>
      <c r="S502" s="52"/>
      <c r="T502" s="52"/>
      <c r="U502" s="52"/>
      <c r="V502" s="52"/>
      <c r="W502" s="52"/>
      <c r="X502" s="52"/>
      <c r="Y502" s="52"/>
      <c r="Z502" s="52"/>
    </row>
    <row r="503">
      <c r="A503" s="59"/>
      <c r="B503" s="34"/>
      <c r="C503" s="52"/>
      <c r="D503" s="52"/>
      <c r="E503" s="52"/>
      <c r="F503" s="52"/>
      <c r="G503" s="52"/>
      <c r="H503" s="52"/>
      <c r="I503" s="52"/>
      <c r="J503" s="52"/>
      <c r="K503" s="52"/>
      <c r="L503" s="52"/>
      <c r="M503" s="52"/>
      <c r="N503" s="52"/>
      <c r="O503" s="52"/>
      <c r="P503" s="52"/>
      <c r="Q503" s="52"/>
      <c r="R503" s="52"/>
      <c r="S503" s="52"/>
      <c r="T503" s="52"/>
      <c r="U503" s="52"/>
      <c r="V503" s="52"/>
      <c r="W503" s="52"/>
      <c r="X503" s="52"/>
      <c r="Y503" s="52"/>
      <c r="Z503" s="52"/>
    </row>
    <row r="504">
      <c r="A504" s="59"/>
      <c r="B504" s="34"/>
      <c r="C504" s="52"/>
      <c r="D504" s="52"/>
      <c r="E504" s="52"/>
      <c r="F504" s="52"/>
      <c r="G504" s="52"/>
      <c r="H504" s="52"/>
      <c r="I504" s="52"/>
      <c r="J504" s="52"/>
      <c r="K504" s="52"/>
      <c r="L504" s="52"/>
      <c r="M504" s="52"/>
      <c r="N504" s="52"/>
      <c r="O504" s="52"/>
      <c r="P504" s="52"/>
      <c r="Q504" s="52"/>
      <c r="R504" s="52"/>
      <c r="S504" s="52"/>
      <c r="T504" s="52"/>
      <c r="U504" s="52"/>
      <c r="V504" s="52"/>
      <c r="W504" s="52"/>
      <c r="X504" s="52"/>
      <c r="Y504" s="52"/>
      <c r="Z504" s="52"/>
    </row>
    <row r="505">
      <c r="A505" s="59"/>
      <c r="B505" s="34"/>
      <c r="C505" s="52"/>
      <c r="D505" s="52"/>
      <c r="E505" s="52"/>
      <c r="F505" s="52"/>
      <c r="G505" s="52"/>
      <c r="H505" s="52"/>
      <c r="I505" s="52"/>
      <c r="J505" s="52"/>
      <c r="K505" s="52"/>
      <c r="L505" s="52"/>
      <c r="M505" s="52"/>
      <c r="N505" s="52"/>
      <c r="O505" s="52"/>
      <c r="P505" s="52"/>
      <c r="Q505" s="52"/>
      <c r="R505" s="52"/>
      <c r="S505" s="52"/>
      <c r="T505" s="52"/>
      <c r="U505" s="52"/>
      <c r="V505" s="52"/>
      <c r="W505" s="52"/>
      <c r="X505" s="52"/>
      <c r="Y505" s="52"/>
      <c r="Z505" s="52"/>
    </row>
    <row r="506">
      <c r="A506" s="59"/>
      <c r="B506" s="34"/>
      <c r="C506" s="52"/>
      <c r="D506" s="52"/>
      <c r="E506" s="52"/>
      <c r="F506" s="52"/>
      <c r="G506" s="52"/>
      <c r="H506" s="52"/>
      <c r="I506" s="52"/>
      <c r="J506" s="52"/>
      <c r="K506" s="52"/>
      <c r="L506" s="52"/>
      <c r="M506" s="52"/>
      <c r="N506" s="52"/>
      <c r="O506" s="52"/>
      <c r="P506" s="52"/>
      <c r="Q506" s="52"/>
      <c r="R506" s="52"/>
      <c r="S506" s="52"/>
      <c r="T506" s="52"/>
      <c r="U506" s="52"/>
      <c r="V506" s="52"/>
      <c r="W506" s="52"/>
      <c r="X506" s="52"/>
      <c r="Y506" s="52"/>
      <c r="Z506" s="52"/>
    </row>
    <row r="507">
      <c r="A507" s="59"/>
      <c r="B507" s="34"/>
      <c r="C507" s="52"/>
      <c r="D507" s="52"/>
      <c r="E507" s="52"/>
      <c r="F507" s="52"/>
      <c r="G507" s="52"/>
      <c r="H507" s="52"/>
      <c r="I507" s="52"/>
      <c r="J507" s="52"/>
      <c r="K507" s="52"/>
      <c r="L507" s="52"/>
      <c r="M507" s="52"/>
      <c r="N507" s="52"/>
      <c r="O507" s="52"/>
      <c r="P507" s="52"/>
      <c r="Q507" s="52"/>
      <c r="R507" s="52"/>
      <c r="S507" s="52"/>
      <c r="T507" s="52"/>
      <c r="U507" s="52"/>
      <c r="V507" s="52"/>
      <c r="W507" s="52"/>
      <c r="X507" s="52"/>
      <c r="Y507" s="52"/>
      <c r="Z507" s="52"/>
    </row>
    <row r="508">
      <c r="A508" s="59"/>
      <c r="B508" s="34"/>
      <c r="C508" s="52"/>
      <c r="D508" s="52"/>
      <c r="E508" s="52"/>
      <c r="F508" s="52"/>
      <c r="G508" s="52"/>
      <c r="H508" s="52"/>
      <c r="I508" s="52"/>
      <c r="J508" s="52"/>
      <c r="K508" s="52"/>
      <c r="L508" s="52"/>
      <c r="M508" s="52"/>
      <c r="N508" s="52"/>
      <c r="O508" s="52"/>
      <c r="P508" s="52"/>
      <c r="Q508" s="52"/>
      <c r="R508" s="52"/>
      <c r="S508" s="52"/>
      <c r="T508" s="52"/>
      <c r="U508" s="52"/>
      <c r="V508" s="52"/>
      <c r="W508" s="52"/>
      <c r="X508" s="52"/>
      <c r="Y508" s="52"/>
      <c r="Z508" s="52"/>
    </row>
    <row r="509">
      <c r="A509" s="59"/>
      <c r="B509" s="34"/>
      <c r="C509" s="52"/>
      <c r="D509" s="52"/>
      <c r="E509" s="52"/>
      <c r="F509" s="52"/>
      <c r="G509" s="52"/>
      <c r="H509" s="52"/>
      <c r="I509" s="52"/>
      <c r="J509" s="52"/>
      <c r="K509" s="52"/>
      <c r="L509" s="52"/>
      <c r="M509" s="52"/>
      <c r="N509" s="52"/>
      <c r="O509" s="52"/>
      <c r="P509" s="52"/>
      <c r="Q509" s="52"/>
      <c r="R509" s="52"/>
      <c r="S509" s="52"/>
      <c r="T509" s="52"/>
      <c r="U509" s="52"/>
      <c r="V509" s="52"/>
      <c r="W509" s="52"/>
      <c r="X509" s="52"/>
      <c r="Y509" s="52"/>
      <c r="Z509" s="52"/>
    </row>
    <row r="510">
      <c r="A510" s="59"/>
      <c r="B510" s="34"/>
      <c r="C510" s="52"/>
      <c r="D510" s="52"/>
      <c r="E510" s="52"/>
      <c r="F510" s="52"/>
      <c r="G510" s="52"/>
      <c r="H510" s="52"/>
      <c r="I510" s="52"/>
      <c r="J510" s="52"/>
      <c r="K510" s="52"/>
      <c r="L510" s="52"/>
      <c r="M510" s="52"/>
      <c r="N510" s="52"/>
      <c r="O510" s="52"/>
      <c r="P510" s="52"/>
      <c r="Q510" s="52"/>
      <c r="R510" s="52"/>
      <c r="S510" s="52"/>
      <c r="T510" s="52"/>
      <c r="U510" s="52"/>
      <c r="V510" s="52"/>
      <c r="W510" s="52"/>
      <c r="X510" s="52"/>
      <c r="Y510" s="52"/>
      <c r="Z510" s="52"/>
    </row>
    <row r="511">
      <c r="A511" s="59"/>
      <c r="B511" s="34"/>
      <c r="C511" s="52"/>
      <c r="D511" s="52"/>
      <c r="E511" s="52"/>
      <c r="F511" s="52"/>
      <c r="G511" s="52"/>
      <c r="H511" s="52"/>
      <c r="I511" s="52"/>
      <c r="J511" s="52"/>
      <c r="K511" s="52"/>
      <c r="L511" s="52"/>
      <c r="M511" s="52"/>
      <c r="N511" s="52"/>
      <c r="O511" s="52"/>
      <c r="P511" s="52"/>
      <c r="Q511" s="52"/>
      <c r="R511" s="52"/>
      <c r="S511" s="52"/>
      <c r="T511" s="52"/>
      <c r="U511" s="52"/>
      <c r="V511" s="52"/>
      <c r="W511" s="52"/>
      <c r="X511" s="52"/>
      <c r="Y511" s="52"/>
      <c r="Z511" s="52"/>
    </row>
    <row r="512">
      <c r="A512" s="59"/>
      <c r="B512" s="34"/>
      <c r="C512" s="52"/>
      <c r="D512" s="52"/>
      <c r="E512" s="52"/>
      <c r="F512" s="52"/>
      <c r="G512" s="52"/>
      <c r="H512" s="52"/>
      <c r="I512" s="52"/>
      <c r="J512" s="52"/>
      <c r="K512" s="52"/>
      <c r="L512" s="52"/>
      <c r="M512" s="52"/>
      <c r="N512" s="52"/>
      <c r="O512" s="52"/>
      <c r="P512" s="52"/>
      <c r="Q512" s="52"/>
      <c r="R512" s="52"/>
      <c r="S512" s="52"/>
      <c r="T512" s="52"/>
      <c r="U512" s="52"/>
      <c r="V512" s="52"/>
      <c r="W512" s="52"/>
      <c r="X512" s="52"/>
      <c r="Y512" s="52"/>
      <c r="Z512" s="52"/>
    </row>
    <row r="513">
      <c r="A513" s="59"/>
      <c r="B513" s="34"/>
      <c r="C513" s="52"/>
      <c r="D513" s="52"/>
      <c r="E513" s="52"/>
      <c r="F513" s="52"/>
      <c r="G513" s="52"/>
      <c r="H513" s="52"/>
      <c r="I513" s="52"/>
      <c r="J513" s="52"/>
      <c r="K513" s="52"/>
      <c r="L513" s="52"/>
      <c r="M513" s="52"/>
      <c r="N513" s="52"/>
      <c r="O513" s="52"/>
      <c r="P513" s="52"/>
      <c r="Q513" s="52"/>
      <c r="R513" s="52"/>
      <c r="S513" s="52"/>
      <c r="T513" s="52"/>
      <c r="U513" s="52"/>
      <c r="V513" s="52"/>
      <c r="W513" s="52"/>
      <c r="X513" s="52"/>
      <c r="Y513" s="52"/>
      <c r="Z513" s="52"/>
    </row>
    <row r="514">
      <c r="A514" s="59"/>
      <c r="B514" s="34"/>
      <c r="C514" s="52"/>
      <c r="D514" s="52"/>
      <c r="E514" s="52"/>
      <c r="F514" s="52"/>
      <c r="G514" s="52"/>
      <c r="H514" s="52"/>
      <c r="I514" s="52"/>
      <c r="J514" s="52"/>
      <c r="K514" s="52"/>
      <c r="L514" s="52"/>
      <c r="M514" s="52"/>
      <c r="N514" s="52"/>
      <c r="O514" s="52"/>
      <c r="P514" s="52"/>
      <c r="Q514" s="52"/>
      <c r="R514" s="52"/>
      <c r="S514" s="52"/>
      <c r="T514" s="52"/>
      <c r="U514" s="52"/>
      <c r="V514" s="52"/>
      <c r="W514" s="52"/>
      <c r="X514" s="52"/>
      <c r="Y514" s="52"/>
      <c r="Z514" s="52"/>
    </row>
    <row r="515">
      <c r="A515" s="59"/>
      <c r="B515" s="34"/>
      <c r="C515" s="52"/>
      <c r="D515" s="52"/>
      <c r="E515" s="52"/>
      <c r="F515" s="52"/>
      <c r="G515" s="52"/>
      <c r="H515" s="52"/>
      <c r="I515" s="52"/>
      <c r="J515" s="52"/>
      <c r="K515" s="52"/>
      <c r="L515" s="52"/>
      <c r="M515" s="52"/>
      <c r="N515" s="52"/>
      <c r="O515" s="52"/>
      <c r="P515" s="52"/>
      <c r="Q515" s="52"/>
      <c r="R515" s="52"/>
      <c r="S515" s="52"/>
      <c r="T515" s="52"/>
      <c r="U515" s="52"/>
      <c r="V515" s="52"/>
      <c r="W515" s="52"/>
      <c r="X515" s="52"/>
      <c r="Y515" s="52"/>
      <c r="Z515" s="52"/>
    </row>
    <row r="516">
      <c r="A516" s="59"/>
      <c r="B516" s="34"/>
      <c r="C516" s="52"/>
      <c r="D516" s="52"/>
      <c r="E516" s="52"/>
      <c r="F516" s="52"/>
      <c r="G516" s="52"/>
      <c r="H516" s="52"/>
      <c r="I516" s="52"/>
      <c r="J516" s="52"/>
      <c r="K516" s="52"/>
      <c r="L516" s="52"/>
      <c r="M516" s="52"/>
      <c r="N516" s="52"/>
      <c r="O516" s="52"/>
      <c r="P516" s="52"/>
      <c r="Q516" s="52"/>
      <c r="R516" s="52"/>
      <c r="S516" s="52"/>
      <c r="T516" s="52"/>
      <c r="U516" s="52"/>
      <c r="V516" s="52"/>
      <c r="W516" s="52"/>
      <c r="X516" s="52"/>
      <c r="Y516" s="52"/>
      <c r="Z516" s="52"/>
    </row>
    <row r="517">
      <c r="A517" s="59"/>
      <c r="B517" s="34"/>
      <c r="C517" s="52"/>
      <c r="D517" s="52"/>
      <c r="E517" s="52"/>
      <c r="F517" s="52"/>
      <c r="G517" s="52"/>
      <c r="H517" s="52"/>
      <c r="I517" s="52"/>
      <c r="J517" s="52"/>
      <c r="K517" s="52"/>
      <c r="L517" s="52"/>
      <c r="M517" s="52"/>
      <c r="N517" s="52"/>
      <c r="O517" s="52"/>
      <c r="P517" s="52"/>
      <c r="Q517" s="52"/>
      <c r="R517" s="52"/>
      <c r="S517" s="52"/>
      <c r="T517" s="52"/>
      <c r="U517" s="52"/>
      <c r="V517" s="52"/>
      <c r="W517" s="52"/>
      <c r="X517" s="52"/>
      <c r="Y517" s="52"/>
      <c r="Z517" s="52"/>
    </row>
    <row r="518">
      <c r="A518" s="59"/>
      <c r="B518" s="34"/>
      <c r="C518" s="52"/>
      <c r="D518" s="52"/>
      <c r="E518" s="52"/>
      <c r="F518" s="52"/>
      <c r="G518" s="52"/>
      <c r="H518" s="52"/>
      <c r="I518" s="52"/>
      <c r="J518" s="52"/>
      <c r="K518" s="52"/>
      <c r="L518" s="52"/>
      <c r="M518" s="52"/>
      <c r="N518" s="52"/>
      <c r="O518" s="52"/>
      <c r="P518" s="52"/>
      <c r="Q518" s="52"/>
      <c r="R518" s="52"/>
      <c r="S518" s="52"/>
      <c r="T518" s="52"/>
      <c r="U518" s="52"/>
      <c r="V518" s="52"/>
      <c r="W518" s="52"/>
      <c r="X518" s="52"/>
      <c r="Y518" s="52"/>
      <c r="Z518" s="52"/>
    </row>
    <row r="519">
      <c r="A519" s="59"/>
      <c r="B519" s="34"/>
      <c r="C519" s="52"/>
      <c r="D519" s="52"/>
      <c r="E519" s="52"/>
      <c r="F519" s="52"/>
      <c r="G519" s="52"/>
      <c r="H519" s="52"/>
      <c r="I519" s="52"/>
      <c r="J519" s="52"/>
      <c r="K519" s="52"/>
      <c r="L519" s="52"/>
      <c r="M519" s="52"/>
      <c r="N519" s="52"/>
      <c r="O519" s="52"/>
      <c r="P519" s="52"/>
      <c r="Q519" s="52"/>
      <c r="R519" s="52"/>
      <c r="S519" s="52"/>
      <c r="T519" s="52"/>
      <c r="U519" s="52"/>
      <c r="V519" s="52"/>
      <c r="W519" s="52"/>
      <c r="X519" s="52"/>
      <c r="Y519" s="52"/>
      <c r="Z519" s="52"/>
    </row>
    <row r="520">
      <c r="A520" s="59"/>
      <c r="B520" s="34"/>
      <c r="C520" s="52"/>
      <c r="D520" s="52"/>
      <c r="E520" s="52"/>
      <c r="F520" s="52"/>
      <c r="G520" s="52"/>
      <c r="H520" s="52"/>
      <c r="I520" s="52"/>
      <c r="J520" s="52"/>
      <c r="K520" s="52"/>
      <c r="L520" s="52"/>
      <c r="M520" s="52"/>
      <c r="N520" s="52"/>
      <c r="O520" s="52"/>
      <c r="P520" s="52"/>
      <c r="Q520" s="52"/>
      <c r="R520" s="52"/>
      <c r="S520" s="52"/>
      <c r="T520" s="52"/>
      <c r="U520" s="52"/>
      <c r="V520" s="52"/>
      <c r="W520" s="52"/>
      <c r="X520" s="52"/>
      <c r="Y520" s="52"/>
      <c r="Z520" s="52"/>
    </row>
    <row r="521">
      <c r="A521" s="59"/>
      <c r="B521" s="34"/>
      <c r="C521" s="52"/>
      <c r="D521" s="52"/>
      <c r="E521" s="52"/>
      <c r="F521" s="52"/>
      <c r="G521" s="52"/>
      <c r="H521" s="52"/>
      <c r="I521" s="52"/>
      <c r="J521" s="52"/>
      <c r="K521" s="52"/>
      <c r="L521" s="52"/>
      <c r="M521" s="52"/>
      <c r="N521" s="52"/>
      <c r="O521" s="52"/>
      <c r="P521" s="52"/>
      <c r="Q521" s="52"/>
      <c r="R521" s="52"/>
      <c r="S521" s="52"/>
      <c r="T521" s="52"/>
      <c r="U521" s="52"/>
      <c r="V521" s="52"/>
      <c r="W521" s="52"/>
      <c r="X521" s="52"/>
      <c r="Y521" s="52"/>
      <c r="Z521" s="52"/>
    </row>
    <row r="522">
      <c r="A522" s="59"/>
      <c r="B522" s="34"/>
      <c r="C522" s="52"/>
      <c r="D522" s="52"/>
      <c r="E522" s="52"/>
      <c r="F522" s="52"/>
      <c r="G522" s="52"/>
      <c r="H522" s="52"/>
      <c r="I522" s="52"/>
      <c r="J522" s="52"/>
      <c r="K522" s="52"/>
      <c r="L522" s="52"/>
      <c r="M522" s="52"/>
      <c r="N522" s="52"/>
      <c r="O522" s="52"/>
      <c r="P522" s="52"/>
      <c r="Q522" s="52"/>
      <c r="R522" s="52"/>
      <c r="S522" s="52"/>
      <c r="T522" s="52"/>
      <c r="U522" s="52"/>
      <c r="V522" s="52"/>
      <c r="W522" s="52"/>
      <c r="X522" s="52"/>
      <c r="Y522" s="52"/>
      <c r="Z522" s="52"/>
    </row>
    <row r="523">
      <c r="A523" s="59"/>
      <c r="B523" s="34"/>
      <c r="C523" s="52"/>
      <c r="D523" s="52"/>
      <c r="E523" s="52"/>
      <c r="F523" s="52"/>
      <c r="G523" s="52"/>
      <c r="H523" s="52"/>
      <c r="I523" s="52"/>
      <c r="J523" s="52"/>
      <c r="K523" s="52"/>
      <c r="L523" s="52"/>
      <c r="M523" s="52"/>
      <c r="N523" s="52"/>
      <c r="O523" s="52"/>
      <c r="P523" s="52"/>
      <c r="Q523" s="52"/>
      <c r="R523" s="52"/>
      <c r="S523" s="52"/>
      <c r="T523" s="52"/>
      <c r="U523" s="52"/>
      <c r="V523" s="52"/>
      <c r="W523" s="52"/>
      <c r="X523" s="52"/>
      <c r="Y523" s="52"/>
      <c r="Z523" s="52"/>
    </row>
    <row r="524">
      <c r="A524" s="59"/>
      <c r="B524" s="34"/>
      <c r="C524" s="52"/>
      <c r="D524" s="52"/>
      <c r="E524" s="52"/>
      <c r="F524" s="52"/>
      <c r="G524" s="52"/>
      <c r="H524" s="52"/>
      <c r="I524" s="52"/>
      <c r="J524" s="52"/>
      <c r="K524" s="52"/>
      <c r="L524" s="52"/>
      <c r="M524" s="52"/>
      <c r="N524" s="52"/>
      <c r="O524" s="52"/>
      <c r="P524" s="52"/>
      <c r="Q524" s="52"/>
      <c r="R524" s="52"/>
      <c r="S524" s="52"/>
      <c r="T524" s="52"/>
      <c r="U524" s="52"/>
      <c r="V524" s="52"/>
      <c r="W524" s="52"/>
      <c r="X524" s="52"/>
      <c r="Y524" s="52"/>
      <c r="Z524" s="52"/>
    </row>
    <row r="525">
      <c r="A525" s="59"/>
      <c r="B525" s="34"/>
      <c r="C525" s="52"/>
      <c r="D525" s="52"/>
      <c r="E525" s="52"/>
      <c r="F525" s="52"/>
      <c r="G525" s="52"/>
      <c r="H525" s="52"/>
      <c r="I525" s="52"/>
      <c r="J525" s="52"/>
      <c r="K525" s="52"/>
      <c r="L525" s="52"/>
      <c r="M525" s="52"/>
      <c r="N525" s="52"/>
      <c r="O525" s="52"/>
      <c r="P525" s="52"/>
      <c r="Q525" s="52"/>
      <c r="R525" s="52"/>
      <c r="S525" s="52"/>
      <c r="T525" s="52"/>
      <c r="U525" s="52"/>
      <c r="V525" s="52"/>
      <c r="W525" s="52"/>
      <c r="X525" s="52"/>
      <c r="Y525" s="52"/>
      <c r="Z525" s="52"/>
    </row>
    <row r="526">
      <c r="A526" s="59"/>
      <c r="B526" s="34"/>
      <c r="C526" s="52"/>
      <c r="D526" s="52"/>
      <c r="E526" s="52"/>
      <c r="F526" s="52"/>
      <c r="G526" s="52"/>
      <c r="H526" s="52"/>
      <c r="I526" s="52"/>
      <c r="J526" s="52"/>
      <c r="K526" s="52"/>
      <c r="L526" s="52"/>
      <c r="M526" s="52"/>
      <c r="N526" s="52"/>
      <c r="O526" s="52"/>
      <c r="P526" s="52"/>
      <c r="Q526" s="52"/>
      <c r="R526" s="52"/>
      <c r="S526" s="52"/>
      <c r="T526" s="52"/>
      <c r="U526" s="52"/>
      <c r="V526" s="52"/>
      <c r="W526" s="52"/>
      <c r="X526" s="52"/>
      <c r="Y526" s="52"/>
      <c r="Z526" s="52"/>
    </row>
    <row r="527">
      <c r="A527" s="59"/>
      <c r="B527" s="34"/>
      <c r="C527" s="52"/>
      <c r="D527" s="52"/>
      <c r="E527" s="52"/>
      <c r="F527" s="52"/>
      <c r="G527" s="52"/>
      <c r="H527" s="52"/>
      <c r="I527" s="52"/>
      <c r="J527" s="52"/>
      <c r="K527" s="52"/>
      <c r="L527" s="52"/>
      <c r="M527" s="52"/>
      <c r="N527" s="52"/>
      <c r="O527" s="52"/>
      <c r="P527" s="52"/>
      <c r="Q527" s="52"/>
      <c r="R527" s="52"/>
      <c r="S527" s="52"/>
      <c r="T527" s="52"/>
      <c r="U527" s="52"/>
      <c r="V527" s="52"/>
      <c r="W527" s="52"/>
      <c r="X527" s="52"/>
      <c r="Y527" s="52"/>
      <c r="Z527" s="52"/>
    </row>
    <row r="528">
      <c r="A528" s="59"/>
      <c r="B528" s="34"/>
      <c r="C528" s="52"/>
      <c r="D528" s="52"/>
      <c r="E528" s="52"/>
      <c r="F528" s="52"/>
      <c r="G528" s="52"/>
      <c r="H528" s="52"/>
      <c r="I528" s="52"/>
      <c r="J528" s="52"/>
      <c r="K528" s="52"/>
      <c r="L528" s="52"/>
      <c r="M528" s="52"/>
      <c r="N528" s="52"/>
      <c r="O528" s="52"/>
      <c r="P528" s="52"/>
      <c r="Q528" s="52"/>
      <c r="R528" s="52"/>
      <c r="S528" s="52"/>
      <c r="T528" s="52"/>
      <c r="U528" s="52"/>
      <c r="V528" s="52"/>
      <c r="W528" s="52"/>
      <c r="X528" s="52"/>
      <c r="Y528" s="52"/>
      <c r="Z528" s="52"/>
    </row>
    <row r="529">
      <c r="A529" s="59"/>
      <c r="B529" s="34"/>
      <c r="C529" s="52"/>
      <c r="D529" s="52"/>
      <c r="E529" s="52"/>
      <c r="F529" s="52"/>
      <c r="G529" s="52"/>
      <c r="H529" s="52"/>
      <c r="I529" s="52"/>
      <c r="J529" s="52"/>
      <c r="K529" s="52"/>
      <c r="L529" s="52"/>
      <c r="M529" s="52"/>
      <c r="N529" s="52"/>
      <c r="O529" s="52"/>
      <c r="P529" s="52"/>
      <c r="Q529" s="52"/>
      <c r="R529" s="52"/>
      <c r="S529" s="52"/>
      <c r="T529" s="52"/>
      <c r="U529" s="52"/>
      <c r="V529" s="52"/>
      <c r="W529" s="52"/>
      <c r="X529" s="52"/>
      <c r="Y529" s="52"/>
      <c r="Z529" s="52"/>
    </row>
    <row r="530">
      <c r="A530" s="59"/>
      <c r="B530" s="34"/>
      <c r="C530" s="52"/>
      <c r="D530" s="52"/>
      <c r="E530" s="52"/>
      <c r="F530" s="52"/>
      <c r="G530" s="52"/>
      <c r="H530" s="52"/>
      <c r="I530" s="52"/>
      <c r="J530" s="52"/>
      <c r="K530" s="52"/>
      <c r="L530" s="52"/>
      <c r="M530" s="52"/>
      <c r="N530" s="52"/>
      <c r="O530" s="52"/>
      <c r="P530" s="52"/>
      <c r="Q530" s="52"/>
      <c r="R530" s="52"/>
      <c r="S530" s="52"/>
      <c r="T530" s="52"/>
      <c r="U530" s="52"/>
      <c r="V530" s="52"/>
      <c r="W530" s="52"/>
      <c r="X530" s="52"/>
      <c r="Y530" s="52"/>
      <c r="Z530" s="52"/>
    </row>
    <row r="531">
      <c r="A531" s="59"/>
      <c r="B531" s="34"/>
      <c r="C531" s="52"/>
      <c r="D531" s="52"/>
      <c r="E531" s="52"/>
      <c r="F531" s="52"/>
      <c r="G531" s="52"/>
      <c r="H531" s="52"/>
      <c r="I531" s="52"/>
      <c r="J531" s="52"/>
      <c r="K531" s="52"/>
      <c r="L531" s="52"/>
      <c r="M531" s="52"/>
      <c r="N531" s="52"/>
      <c r="O531" s="52"/>
      <c r="P531" s="52"/>
      <c r="Q531" s="52"/>
      <c r="R531" s="52"/>
      <c r="S531" s="52"/>
      <c r="T531" s="52"/>
      <c r="U531" s="52"/>
      <c r="V531" s="52"/>
      <c r="W531" s="52"/>
      <c r="X531" s="52"/>
      <c r="Y531" s="52"/>
      <c r="Z531" s="52"/>
    </row>
    <row r="532">
      <c r="A532" s="59"/>
      <c r="B532" s="34"/>
      <c r="C532" s="52"/>
      <c r="D532" s="52"/>
      <c r="E532" s="52"/>
      <c r="F532" s="52"/>
      <c r="G532" s="52"/>
      <c r="H532" s="52"/>
      <c r="I532" s="52"/>
      <c r="J532" s="52"/>
      <c r="K532" s="52"/>
      <c r="L532" s="52"/>
      <c r="M532" s="52"/>
      <c r="N532" s="52"/>
      <c r="O532" s="52"/>
      <c r="P532" s="52"/>
      <c r="Q532" s="52"/>
      <c r="R532" s="52"/>
      <c r="S532" s="52"/>
      <c r="T532" s="52"/>
      <c r="U532" s="52"/>
      <c r="V532" s="52"/>
      <c r="W532" s="52"/>
      <c r="X532" s="52"/>
      <c r="Y532" s="52"/>
      <c r="Z532" s="52"/>
    </row>
    <row r="533">
      <c r="A533" s="59"/>
      <c r="B533" s="34"/>
      <c r="C533" s="52"/>
      <c r="D533" s="52"/>
      <c r="E533" s="52"/>
      <c r="F533" s="52"/>
      <c r="G533" s="52"/>
      <c r="H533" s="52"/>
      <c r="I533" s="52"/>
      <c r="J533" s="52"/>
      <c r="K533" s="52"/>
      <c r="L533" s="52"/>
      <c r="M533" s="52"/>
      <c r="N533" s="52"/>
      <c r="O533" s="52"/>
      <c r="P533" s="52"/>
      <c r="Q533" s="52"/>
      <c r="R533" s="52"/>
      <c r="S533" s="52"/>
      <c r="T533" s="52"/>
      <c r="U533" s="52"/>
      <c r="V533" s="52"/>
      <c r="W533" s="52"/>
      <c r="X533" s="52"/>
      <c r="Y533" s="52"/>
      <c r="Z533" s="52"/>
    </row>
    <row r="534">
      <c r="A534" s="59"/>
      <c r="B534" s="34"/>
      <c r="C534" s="52"/>
      <c r="D534" s="52"/>
      <c r="E534" s="52"/>
      <c r="F534" s="52"/>
      <c r="G534" s="52"/>
      <c r="H534" s="52"/>
      <c r="I534" s="52"/>
      <c r="J534" s="52"/>
      <c r="K534" s="52"/>
      <c r="L534" s="52"/>
      <c r="M534" s="52"/>
      <c r="N534" s="52"/>
      <c r="O534" s="52"/>
      <c r="P534" s="52"/>
      <c r="Q534" s="52"/>
      <c r="R534" s="52"/>
      <c r="S534" s="52"/>
      <c r="T534" s="52"/>
      <c r="U534" s="52"/>
      <c r="V534" s="52"/>
      <c r="W534" s="52"/>
      <c r="X534" s="52"/>
      <c r="Y534" s="52"/>
      <c r="Z534" s="52"/>
    </row>
    <row r="535">
      <c r="A535" s="59"/>
      <c r="B535" s="34"/>
      <c r="C535" s="52"/>
      <c r="D535" s="52"/>
      <c r="E535" s="52"/>
      <c r="F535" s="52"/>
      <c r="G535" s="52"/>
      <c r="H535" s="52"/>
      <c r="I535" s="52"/>
      <c r="J535" s="52"/>
      <c r="K535" s="52"/>
      <c r="L535" s="52"/>
      <c r="M535" s="52"/>
      <c r="N535" s="52"/>
      <c r="O535" s="52"/>
      <c r="P535" s="52"/>
      <c r="Q535" s="52"/>
      <c r="R535" s="52"/>
      <c r="S535" s="52"/>
      <c r="T535" s="52"/>
      <c r="U535" s="52"/>
      <c r="V535" s="52"/>
      <c r="W535" s="52"/>
      <c r="X535" s="52"/>
      <c r="Y535" s="52"/>
      <c r="Z535" s="52"/>
    </row>
    <row r="536">
      <c r="A536" s="59"/>
      <c r="B536" s="34"/>
      <c r="C536" s="52"/>
      <c r="D536" s="52"/>
      <c r="E536" s="52"/>
      <c r="F536" s="52"/>
      <c r="G536" s="52"/>
      <c r="H536" s="52"/>
      <c r="I536" s="52"/>
      <c r="J536" s="52"/>
      <c r="K536" s="52"/>
      <c r="L536" s="52"/>
      <c r="M536" s="52"/>
      <c r="N536" s="52"/>
      <c r="O536" s="52"/>
      <c r="P536" s="52"/>
      <c r="Q536" s="52"/>
      <c r="R536" s="52"/>
      <c r="S536" s="52"/>
      <c r="T536" s="52"/>
      <c r="U536" s="52"/>
      <c r="V536" s="52"/>
      <c r="W536" s="52"/>
      <c r="X536" s="52"/>
      <c r="Y536" s="52"/>
      <c r="Z536" s="52"/>
    </row>
    <row r="537">
      <c r="A537" s="59"/>
      <c r="B537" s="34"/>
      <c r="C537" s="52"/>
      <c r="D537" s="52"/>
      <c r="E537" s="52"/>
      <c r="F537" s="52"/>
      <c r="G537" s="52"/>
      <c r="H537" s="52"/>
      <c r="I537" s="52"/>
      <c r="J537" s="52"/>
      <c r="K537" s="52"/>
      <c r="L537" s="52"/>
      <c r="M537" s="52"/>
      <c r="N537" s="52"/>
      <c r="O537" s="52"/>
      <c r="P537" s="52"/>
      <c r="Q537" s="52"/>
      <c r="R537" s="52"/>
      <c r="S537" s="52"/>
      <c r="T537" s="52"/>
      <c r="U537" s="52"/>
      <c r="V537" s="52"/>
      <c r="W537" s="52"/>
      <c r="X537" s="52"/>
      <c r="Y537" s="52"/>
      <c r="Z537" s="52"/>
    </row>
    <row r="538">
      <c r="A538" s="59"/>
      <c r="B538" s="34"/>
      <c r="C538" s="52"/>
      <c r="D538" s="52"/>
      <c r="E538" s="52"/>
      <c r="F538" s="52"/>
      <c r="G538" s="52"/>
      <c r="H538" s="52"/>
      <c r="I538" s="52"/>
      <c r="J538" s="52"/>
      <c r="K538" s="52"/>
      <c r="L538" s="52"/>
      <c r="M538" s="52"/>
      <c r="N538" s="52"/>
      <c r="O538" s="52"/>
      <c r="P538" s="52"/>
      <c r="Q538" s="52"/>
      <c r="R538" s="52"/>
      <c r="S538" s="52"/>
      <c r="T538" s="52"/>
      <c r="U538" s="52"/>
      <c r="V538" s="52"/>
      <c r="W538" s="52"/>
      <c r="X538" s="52"/>
      <c r="Y538" s="52"/>
      <c r="Z538" s="52"/>
    </row>
    <row r="539">
      <c r="A539" s="59"/>
      <c r="B539" s="34"/>
      <c r="C539" s="52"/>
      <c r="D539" s="52"/>
      <c r="E539" s="52"/>
      <c r="F539" s="52"/>
      <c r="G539" s="52"/>
      <c r="H539" s="52"/>
      <c r="I539" s="52"/>
      <c r="J539" s="52"/>
      <c r="K539" s="52"/>
      <c r="L539" s="52"/>
      <c r="M539" s="52"/>
      <c r="N539" s="52"/>
      <c r="O539" s="52"/>
      <c r="P539" s="52"/>
      <c r="Q539" s="52"/>
      <c r="R539" s="52"/>
      <c r="S539" s="52"/>
      <c r="T539" s="52"/>
      <c r="U539" s="52"/>
      <c r="V539" s="52"/>
      <c r="W539" s="52"/>
      <c r="X539" s="52"/>
      <c r="Y539" s="52"/>
      <c r="Z539" s="52"/>
    </row>
    <row r="540">
      <c r="A540" s="59"/>
      <c r="B540" s="34"/>
      <c r="C540" s="52"/>
      <c r="D540" s="52"/>
      <c r="E540" s="52"/>
      <c r="F540" s="52"/>
      <c r="G540" s="52"/>
      <c r="H540" s="52"/>
      <c r="I540" s="52"/>
      <c r="J540" s="52"/>
      <c r="K540" s="52"/>
      <c r="L540" s="52"/>
      <c r="M540" s="52"/>
      <c r="N540" s="52"/>
      <c r="O540" s="52"/>
      <c r="P540" s="52"/>
      <c r="Q540" s="52"/>
      <c r="R540" s="52"/>
      <c r="S540" s="52"/>
      <c r="T540" s="52"/>
      <c r="U540" s="52"/>
      <c r="V540" s="52"/>
      <c r="W540" s="52"/>
      <c r="X540" s="52"/>
      <c r="Y540" s="52"/>
      <c r="Z540" s="52"/>
    </row>
    <row r="541">
      <c r="A541" s="59"/>
      <c r="B541" s="34"/>
      <c r="C541" s="52"/>
      <c r="D541" s="52"/>
      <c r="E541" s="52"/>
      <c r="F541" s="52"/>
      <c r="G541" s="52"/>
      <c r="H541" s="52"/>
      <c r="I541" s="52"/>
      <c r="J541" s="52"/>
      <c r="K541" s="52"/>
      <c r="L541" s="52"/>
      <c r="M541" s="52"/>
      <c r="N541" s="52"/>
      <c r="O541" s="52"/>
      <c r="P541" s="52"/>
      <c r="Q541" s="52"/>
      <c r="R541" s="52"/>
      <c r="S541" s="52"/>
      <c r="T541" s="52"/>
      <c r="U541" s="52"/>
      <c r="V541" s="52"/>
      <c r="W541" s="52"/>
      <c r="X541" s="52"/>
      <c r="Y541" s="52"/>
      <c r="Z541" s="52"/>
    </row>
    <row r="542">
      <c r="A542" s="59"/>
      <c r="B542" s="34"/>
      <c r="C542" s="52"/>
      <c r="D542" s="52"/>
      <c r="E542" s="52"/>
      <c r="F542" s="52"/>
      <c r="G542" s="52"/>
      <c r="H542" s="52"/>
      <c r="I542" s="52"/>
      <c r="J542" s="52"/>
      <c r="K542" s="52"/>
      <c r="L542" s="52"/>
      <c r="M542" s="52"/>
      <c r="N542" s="52"/>
      <c r="O542" s="52"/>
      <c r="P542" s="52"/>
      <c r="Q542" s="52"/>
      <c r="R542" s="52"/>
      <c r="S542" s="52"/>
      <c r="T542" s="52"/>
      <c r="U542" s="52"/>
      <c r="V542" s="52"/>
      <c r="W542" s="52"/>
      <c r="X542" s="52"/>
      <c r="Y542" s="52"/>
      <c r="Z542" s="52"/>
    </row>
    <row r="543">
      <c r="A543" s="59"/>
      <c r="B543" s="34"/>
      <c r="C543" s="52"/>
      <c r="D543" s="52"/>
      <c r="E543" s="52"/>
      <c r="F543" s="52"/>
      <c r="G543" s="52"/>
      <c r="H543" s="52"/>
      <c r="I543" s="52"/>
      <c r="J543" s="52"/>
      <c r="K543" s="52"/>
      <c r="L543" s="52"/>
      <c r="M543" s="52"/>
      <c r="N543" s="52"/>
      <c r="O543" s="52"/>
      <c r="P543" s="52"/>
      <c r="Q543" s="52"/>
      <c r="R543" s="52"/>
      <c r="S543" s="52"/>
      <c r="T543" s="52"/>
      <c r="U543" s="52"/>
      <c r="V543" s="52"/>
      <c r="W543" s="52"/>
      <c r="X543" s="52"/>
      <c r="Y543" s="52"/>
      <c r="Z543" s="52"/>
    </row>
    <row r="544">
      <c r="A544" s="59"/>
      <c r="B544" s="34"/>
      <c r="C544" s="52"/>
      <c r="D544" s="52"/>
      <c r="E544" s="52"/>
      <c r="F544" s="52"/>
      <c r="G544" s="52"/>
      <c r="H544" s="52"/>
      <c r="I544" s="52"/>
      <c r="J544" s="52"/>
      <c r="K544" s="52"/>
      <c r="L544" s="52"/>
      <c r="M544" s="52"/>
      <c r="N544" s="52"/>
      <c r="O544" s="52"/>
      <c r="P544" s="52"/>
      <c r="Q544" s="52"/>
      <c r="R544" s="52"/>
      <c r="S544" s="52"/>
      <c r="T544" s="52"/>
      <c r="U544" s="52"/>
      <c r="V544" s="52"/>
      <c r="W544" s="52"/>
      <c r="X544" s="52"/>
      <c r="Y544" s="52"/>
      <c r="Z544" s="52"/>
    </row>
    <row r="545">
      <c r="A545" s="59"/>
      <c r="B545" s="34"/>
      <c r="C545" s="52"/>
      <c r="D545" s="52"/>
      <c r="E545" s="52"/>
      <c r="F545" s="52"/>
      <c r="G545" s="52"/>
      <c r="H545" s="52"/>
      <c r="I545" s="52"/>
      <c r="J545" s="52"/>
      <c r="K545" s="52"/>
      <c r="L545" s="52"/>
      <c r="M545" s="52"/>
      <c r="N545" s="52"/>
      <c r="O545" s="52"/>
      <c r="P545" s="52"/>
      <c r="Q545" s="52"/>
      <c r="R545" s="52"/>
      <c r="S545" s="52"/>
      <c r="T545" s="52"/>
      <c r="U545" s="52"/>
      <c r="V545" s="52"/>
      <c r="W545" s="52"/>
      <c r="X545" s="52"/>
      <c r="Y545" s="52"/>
      <c r="Z545" s="52"/>
    </row>
    <row r="546">
      <c r="A546" s="59"/>
      <c r="B546" s="34"/>
      <c r="C546" s="52"/>
      <c r="D546" s="52"/>
      <c r="E546" s="52"/>
      <c r="F546" s="52"/>
      <c r="G546" s="52"/>
      <c r="H546" s="52"/>
      <c r="I546" s="52"/>
      <c r="J546" s="52"/>
      <c r="K546" s="52"/>
      <c r="L546" s="52"/>
      <c r="M546" s="52"/>
      <c r="N546" s="52"/>
      <c r="O546" s="52"/>
      <c r="P546" s="52"/>
      <c r="Q546" s="52"/>
      <c r="R546" s="52"/>
      <c r="S546" s="52"/>
      <c r="T546" s="52"/>
      <c r="U546" s="52"/>
      <c r="V546" s="52"/>
      <c r="W546" s="52"/>
      <c r="X546" s="52"/>
      <c r="Y546" s="52"/>
      <c r="Z546" s="52"/>
    </row>
    <row r="547">
      <c r="A547" s="59"/>
      <c r="B547" s="34"/>
      <c r="C547" s="52"/>
      <c r="D547" s="52"/>
      <c r="E547" s="52"/>
      <c r="F547" s="52"/>
      <c r="G547" s="52"/>
      <c r="H547" s="52"/>
      <c r="I547" s="52"/>
      <c r="J547" s="52"/>
      <c r="K547" s="52"/>
      <c r="L547" s="52"/>
      <c r="M547" s="52"/>
      <c r="N547" s="52"/>
      <c r="O547" s="52"/>
      <c r="P547" s="52"/>
      <c r="Q547" s="52"/>
      <c r="R547" s="52"/>
      <c r="S547" s="52"/>
      <c r="T547" s="52"/>
      <c r="U547" s="52"/>
      <c r="V547" s="52"/>
      <c r="W547" s="52"/>
      <c r="X547" s="52"/>
      <c r="Y547" s="52"/>
      <c r="Z547" s="52"/>
    </row>
    <row r="548">
      <c r="A548" s="59"/>
      <c r="B548" s="34"/>
      <c r="C548" s="52"/>
      <c r="D548" s="52"/>
      <c r="E548" s="52"/>
      <c r="F548" s="52"/>
      <c r="G548" s="52"/>
      <c r="H548" s="52"/>
      <c r="I548" s="52"/>
      <c r="J548" s="52"/>
      <c r="K548" s="52"/>
      <c r="L548" s="52"/>
      <c r="M548" s="52"/>
      <c r="N548" s="52"/>
      <c r="O548" s="52"/>
      <c r="P548" s="52"/>
      <c r="Q548" s="52"/>
      <c r="R548" s="52"/>
      <c r="S548" s="52"/>
      <c r="T548" s="52"/>
      <c r="U548" s="52"/>
      <c r="V548" s="52"/>
      <c r="W548" s="52"/>
      <c r="X548" s="52"/>
      <c r="Y548" s="52"/>
      <c r="Z548" s="52"/>
    </row>
    <row r="549">
      <c r="A549" s="59"/>
      <c r="B549" s="34"/>
      <c r="C549" s="52"/>
      <c r="D549" s="52"/>
      <c r="E549" s="52"/>
      <c r="F549" s="52"/>
      <c r="G549" s="52"/>
      <c r="H549" s="52"/>
      <c r="I549" s="52"/>
      <c r="J549" s="52"/>
      <c r="K549" s="52"/>
      <c r="L549" s="52"/>
      <c r="M549" s="52"/>
      <c r="N549" s="52"/>
      <c r="O549" s="52"/>
      <c r="P549" s="52"/>
      <c r="Q549" s="52"/>
      <c r="R549" s="52"/>
      <c r="S549" s="52"/>
      <c r="T549" s="52"/>
      <c r="U549" s="52"/>
      <c r="V549" s="52"/>
      <c r="W549" s="52"/>
      <c r="X549" s="52"/>
      <c r="Y549" s="52"/>
      <c r="Z549" s="52"/>
    </row>
    <row r="550">
      <c r="A550" s="59"/>
      <c r="B550" s="34"/>
      <c r="C550" s="52"/>
      <c r="D550" s="52"/>
      <c r="E550" s="52"/>
      <c r="F550" s="52"/>
      <c r="G550" s="52"/>
      <c r="H550" s="52"/>
      <c r="I550" s="52"/>
      <c r="J550" s="52"/>
      <c r="K550" s="52"/>
      <c r="L550" s="52"/>
      <c r="M550" s="52"/>
      <c r="N550" s="52"/>
      <c r="O550" s="52"/>
      <c r="P550" s="52"/>
      <c r="Q550" s="52"/>
      <c r="R550" s="52"/>
      <c r="S550" s="52"/>
      <c r="T550" s="52"/>
      <c r="U550" s="52"/>
      <c r="V550" s="52"/>
      <c r="W550" s="52"/>
      <c r="X550" s="52"/>
      <c r="Y550" s="52"/>
      <c r="Z550" s="52"/>
    </row>
    <row r="551">
      <c r="A551" s="59"/>
      <c r="B551" s="34"/>
      <c r="C551" s="52"/>
      <c r="D551" s="52"/>
      <c r="E551" s="52"/>
      <c r="F551" s="52"/>
      <c r="G551" s="52"/>
      <c r="H551" s="52"/>
      <c r="I551" s="52"/>
      <c r="J551" s="52"/>
      <c r="K551" s="52"/>
      <c r="L551" s="52"/>
      <c r="M551" s="52"/>
      <c r="N551" s="52"/>
      <c r="O551" s="52"/>
      <c r="P551" s="52"/>
      <c r="Q551" s="52"/>
      <c r="R551" s="52"/>
      <c r="S551" s="52"/>
      <c r="T551" s="52"/>
      <c r="U551" s="52"/>
      <c r="V551" s="52"/>
      <c r="W551" s="52"/>
      <c r="X551" s="52"/>
      <c r="Y551" s="52"/>
      <c r="Z551" s="52"/>
    </row>
    <row r="552">
      <c r="A552" s="59"/>
      <c r="B552" s="34"/>
      <c r="C552" s="52"/>
      <c r="D552" s="52"/>
      <c r="E552" s="52"/>
      <c r="F552" s="52"/>
      <c r="G552" s="52"/>
      <c r="H552" s="52"/>
      <c r="I552" s="52"/>
      <c r="J552" s="52"/>
      <c r="K552" s="52"/>
      <c r="L552" s="52"/>
      <c r="M552" s="52"/>
      <c r="N552" s="52"/>
      <c r="O552" s="52"/>
      <c r="P552" s="52"/>
      <c r="Q552" s="52"/>
      <c r="R552" s="52"/>
      <c r="S552" s="52"/>
      <c r="T552" s="52"/>
      <c r="U552" s="52"/>
      <c r="V552" s="52"/>
      <c r="W552" s="52"/>
      <c r="X552" s="52"/>
      <c r="Y552" s="52"/>
      <c r="Z552" s="52"/>
    </row>
    <row r="553">
      <c r="A553" s="59"/>
      <c r="B553" s="34"/>
      <c r="C553" s="52"/>
      <c r="D553" s="52"/>
      <c r="E553" s="52"/>
      <c r="F553" s="52"/>
      <c r="G553" s="52"/>
      <c r="H553" s="52"/>
      <c r="I553" s="52"/>
      <c r="J553" s="52"/>
      <c r="K553" s="52"/>
      <c r="L553" s="52"/>
      <c r="M553" s="52"/>
      <c r="N553" s="52"/>
      <c r="O553" s="52"/>
      <c r="P553" s="52"/>
      <c r="Q553" s="52"/>
      <c r="R553" s="52"/>
      <c r="S553" s="52"/>
      <c r="T553" s="52"/>
      <c r="U553" s="52"/>
      <c r="V553" s="52"/>
      <c r="W553" s="52"/>
      <c r="X553" s="52"/>
      <c r="Y553" s="52"/>
      <c r="Z553" s="52"/>
    </row>
    <row r="554">
      <c r="A554" s="59"/>
      <c r="B554" s="34"/>
      <c r="C554" s="52"/>
      <c r="D554" s="52"/>
      <c r="E554" s="52"/>
      <c r="F554" s="52"/>
      <c r="G554" s="52"/>
      <c r="H554" s="52"/>
      <c r="I554" s="52"/>
      <c r="J554" s="52"/>
      <c r="K554" s="52"/>
      <c r="L554" s="52"/>
      <c r="M554" s="52"/>
      <c r="N554" s="52"/>
      <c r="O554" s="52"/>
      <c r="P554" s="52"/>
      <c r="Q554" s="52"/>
      <c r="R554" s="52"/>
      <c r="S554" s="52"/>
      <c r="T554" s="52"/>
      <c r="U554" s="52"/>
      <c r="V554" s="52"/>
      <c r="W554" s="52"/>
      <c r="X554" s="52"/>
      <c r="Y554" s="52"/>
      <c r="Z554" s="52"/>
    </row>
    <row r="555">
      <c r="A555" s="59"/>
      <c r="B555" s="34"/>
      <c r="C555" s="52"/>
      <c r="D555" s="52"/>
      <c r="E555" s="52"/>
      <c r="F555" s="52"/>
      <c r="G555" s="52"/>
      <c r="H555" s="52"/>
      <c r="I555" s="52"/>
      <c r="J555" s="52"/>
      <c r="K555" s="52"/>
      <c r="L555" s="52"/>
      <c r="M555" s="52"/>
      <c r="N555" s="52"/>
      <c r="O555" s="52"/>
      <c r="P555" s="52"/>
      <c r="Q555" s="52"/>
      <c r="R555" s="52"/>
      <c r="S555" s="52"/>
      <c r="T555" s="52"/>
      <c r="U555" s="52"/>
      <c r="V555" s="52"/>
      <c r="W555" s="52"/>
      <c r="X555" s="52"/>
      <c r="Y555" s="52"/>
      <c r="Z555" s="52"/>
    </row>
    <row r="556">
      <c r="A556" s="59"/>
      <c r="B556" s="34"/>
      <c r="C556" s="52"/>
      <c r="D556" s="52"/>
      <c r="E556" s="52"/>
      <c r="F556" s="52"/>
      <c r="G556" s="52"/>
      <c r="H556" s="52"/>
      <c r="I556" s="52"/>
      <c r="J556" s="52"/>
      <c r="K556" s="52"/>
      <c r="L556" s="52"/>
      <c r="M556" s="52"/>
      <c r="N556" s="52"/>
      <c r="O556" s="52"/>
      <c r="P556" s="52"/>
      <c r="Q556" s="52"/>
      <c r="R556" s="52"/>
      <c r="S556" s="52"/>
      <c r="T556" s="52"/>
      <c r="U556" s="52"/>
      <c r="V556" s="52"/>
      <c r="W556" s="52"/>
      <c r="X556" s="52"/>
      <c r="Y556" s="52"/>
      <c r="Z556" s="52"/>
    </row>
    <row r="557">
      <c r="A557" s="59"/>
      <c r="B557" s="34"/>
      <c r="C557" s="52"/>
      <c r="D557" s="52"/>
      <c r="E557" s="52"/>
      <c r="F557" s="52"/>
      <c r="G557" s="52"/>
      <c r="H557" s="52"/>
      <c r="I557" s="52"/>
      <c r="J557" s="52"/>
      <c r="K557" s="52"/>
      <c r="L557" s="52"/>
      <c r="M557" s="52"/>
      <c r="N557" s="52"/>
      <c r="O557" s="52"/>
      <c r="P557" s="52"/>
      <c r="Q557" s="52"/>
      <c r="R557" s="52"/>
      <c r="S557" s="52"/>
      <c r="T557" s="52"/>
      <c r="U557" s="52"/>
      <c r="V557" s="52"/>
      <c r="W557" s="52"/>
      <c r="X557" s="52"/>
      <c r="Y557" s="52"/>
      <c r="Z557" s="52"/>
    </row>
    <row r="558">
      <c r="A558" s="59"/>
      <c r="B558" s="34"/>
      <c r="C558" s="52"/>
      <c r="D558" s="52"/>
      <c r="E558" s="52"/>
      <c r="F558" s="52"/>
      <c r="G558" s="52"/>
      <c r="H558" s="52"/>
      <c r="I558" s="52"/>
      <c r="J558" s="52"/>
      <c r="K558" s="52"/>
      <c r="L558" s="52"/>
      <c r="M558" s="52"/>
      <c r="N558" s="52"/>
      <c r="O558" s="52"/>
      <c r="P558" s="52"/>
      <c r="Q558" s="52"/>
      <c r="R558" s="52"/>
      <c r="S558" s="52"/>
      <c r="T558" s="52"/>
      <c r="U558" s="52"/>
      <c r="V558" s="52"/>
      <c r="W558" s="52"/>
      <c r="X558" s="52"/>
      <c r="Y558" s="52"/>
      <c r="Z558" s="52"/>
    </row>
    <row r="559">
      <c r="A559" s="59"/>
      <c r="B559" s="34"/>
      <c r="C559" s="52"/>
      <c r="D559" s="52"/>
      <c r="E559" s="52"/>
      <c r="F559" s="52"/>
      <c r="G559" s="52"/>
      <c r="H559" s="52"/>
      <c r="I559" s="52"/>
      <c r="J559" s="52"/>
      <c r="K559" s="52"/>
      <c r="L559" s="52"/>
      <c r="M559" s="52"/>
      <c r="N559" s="52"/>
      <c r="O559" s="52"/>
      <c r="P559" s="52"/>
      <c r="Q559" s="52"/>
      <c r="R559" s="52"/>
      <c r="S559" s="52"/>
      <c r="T559" s="52"/>
      <c r="U559" s="52"/>
      <c r="V559" s="52"/>
      <c r="W559" s="52"/>
      <c r="X559" s="52"/>
      <c r="Y559" s="52"/>
      <c r="Z559" s="52"/>
    </row>
    <row r="560">
      <c r="A560" s="59"/>
      <c r="B560" s="34"/>
      <c r="C560" s="52"/>
      <c r="D560" s="52"/>
      <c r="E560" s="52"/>
      <c r="F560" s="52"/>
      <c r="G560" s="52"/>
      <c r="H560" s="52"/>
      <c r="I560" s="52"/>
      <c r="J560" s="52"/>
      <c r="K560" s="52"/>
      <c r="L560" s="52"/>
      <c r="M560" s="52"/>
      <c r="N560" s="52"/>
      <c r="O560" s="52"/>
      <c r="P560" s="52"/>
      <c r="Q560" s="52"/>
      <c r="R560" s="52"/>
      <c r="S560" s="52"/>
      <c r="T560" s="52"/>
      <c r="U560" s="52"/>
      <c r="V560" s="52"/>
      <c r="W560" s="52"/>
      <c r="X560" s="52"/>
      <c r="Y560" s="52"/>
      <c r="Z560" s="52"/>
    </row>
    <row r="561">
      <c r="A561" s="59"/>
      <c r="B561" s="34"/>
      <c r="C561" s="52"/>
      <c r="D561" s="52"/>
      <c r="E561" s="52"/>
      <c r="F561" s="52"/>
      <c r="G561" s="52"/>
      <c r="H561" s="52"/>
      <c r="I561" s="52"/>
      <c r="J561" s="52"/>
      <c r="K561" s="52"/>
      <c r="L561" s="52"/>
      <c r="M561" s="52"/>
      <c r="N561" s="52"/>
      <c r="O561" s="52"/>
      <c r="P561" s="52"/>
      <c r="Q561" s="52"/>
      <c r="R561" s="52"/>
      <c r="S561" s="52"/>
      <c r="T561" s="52"/>
      <c r="U561" s="52"/>
      <c r="V561" s="52"/>
      <c r="W561" s="52"/>
      <c r="X561" s="52"/>
      <c r="Y561" s="52"/>
      <c r="Z561" s="52"/>
    </row>
    <row r="562">
      <c r="A562" s="59"/>
      <c r="B562" s="34"/>
      <c r="C562" s="52"/>
      <c r="D562" s="52"/>
      <c r="E562" s="52"/>
      <c r="F562" s="52"/>
      <c r="G562" s="52"/>
      <c r="H562" s="52"/>
      <c r="I562" s="52"/>
      <c r="J562" s="52"/>
      <c r="K562" s="52"/>
      <c r="L562" s="52"/>
      <c r="M562" s="52"/>
      <c r="N562" s="52"/>
      <c r="O562" s="52"/>
      <c r="P562" s="52"/>
      <c r="Q562" s="52"/>
      <c r="R562" s="52"/>
      <c r="S562" s="52"/>
      <c r="T562" s="52"/>
      <c r="U562" s="52"/>
      <c r="V562" s="52"/>
      <c r="W562" s="52"/>
      <c r="X562" s="52"/>
      <c r="Y562" s="52"/>
      <c r="Z562" s="52"/>
    </row>
    <row r="563">
      <c r="A563" s="59"/>
      <c r="B563" s="34"/>
      <c r="C563" s="52"/>
      <c r="D563" s="52"/>
      <c r="E563" s="52"/>
      <c r="F563" s="52"/>
      <c r="G563" s="52"/>
      <c r="H563" s="52"/>
      <c r="I563" s="52"/>
      <c r="J563" s="52"/>
      <c r="K563" s="52"/>
      <c r="L563" s="52"/>
      <c r="M563" s="52"/>
      <c r="N563" s="52"/>
      <c r="O563" s="52"/>
      <c r="P563" s="52"/>
      <c r="Q563" s="52"/>
      <c r="R563" s="52"/>
      <c r="S563" s="52"/>
      <c r="T563" s="52"/>
      <c r="U563" s="52"/>
      <c r="V563" s="52"/>
      <c r="W563" s="52"/>
      <c r="X563" s="52"/>
      <c r="Y563" s="52"/>
      <c r="Z563" s="52"/>
    </row>
    <row r="564">
      <c r="A564" s="59"/>
      <c r="B564" s="34"/>
      <c r="C564" s="52"/>
      <c r="D564" s="52"/>
      <c r="E564" s="52"/>
      <c r="F564" s="52"/>
      <c r="G564" s="52"/>
      <c r="H564" s="52"/>
      <c r="I564" s="52"/>
      <c r="J564" s="52"/>
      <c r="K564" s="52"/>
      <c r="L564" s="52"/>
      <c r="M564" s="52"/>
      <c r="N564" s="52"/>
      <c r="O564" s="52"/>
      <c r="P564" s="52"/>
      <c r="Q564" s="52"/>
      <c r="R564" s="52"/>
      <c r="S564" s="52"/>
      <c r="T564" s="52"/>
      <c r="U564" s="52"/>
      <c r="V564" s="52"/>
      <c r="W564" s="52"/>
      <c r="X564" s="52"/>
      <c r="Y564" s="52"/>
      <c r="Z564" s="52"/>
    </row>
    <row r="565">
      <c r="A565" s="59"/>
      <c r="B565" s="34"/>
      <c r="C565" s="52"/>
      <c r="D565" s="52"/>
      <c r="E565" s="52"/>
      <c r="F565" s="52"/>
      <c r="G565" s="52"/>
      <c r="H565" s="52"/>
      <c r="I565" s="52"/>
      <c r="J565" s="52"/>
      <c r="K565" s="52"/>
      <c r="L565" s="52"/>
      <c r="M565" s="52"/>
      <c r="N565" s="52"/>
      <c r="O565" s="52"/>
      <c r="P565" s="52"/>
      <c r="Q565" s="52"/>
      <c r="R565" s="52"/>
      <c r="S565" s="52"/>
      <c r="T565" s="52"/>
      <c r="U565" s="52"/>
      <c r="V565" s="52"/>
      <c r="W565" s="52"/>
      <c r="X565" s="52"/>
      <c r="Y565" s="52"/>
      <c r="Z565" s="52"/>
    </row>
    <row r="566">
      <c r="A566" s="59"/>
      <c r="B566" s="34"/>
      <c r="C566" s="52"/>
      <c r="D566" s="52"/>
      <c r="E566" s="52"/>
      <c r="F566" s="52"/>
      <c r="G566" s="52"/>
      <c r="H566" s="52"/>
      <c r="I566" s="52"/>
      <c r="J566" s="52"/>
      <c r="K566" s="52"/>
      <c r="L566" s="52"/>
      <c r="M566" s="52"/>
      <c r="N566" s="52"/>
      <c r="O566" s="52"/>
      <c r="P566" s="52"/>
      <c r="Q566" s="52"/>
      <c r="R566" s="52"/>
      <c r="S566" s="52"/>
      <c r="T566" s="52"/>
      <c r="U566" s="52"/>
      <c r="V566" s="52"/>
      <c r="W566" s="52"/>
      <c r="X566" s="52"/>
      <c r="Y566" s="52"/>
      <c r="Z566" s="52"/>
    </row>
    <row r="567">
      <c r="A567" s="59"/>
      <c r="B567" s="34"/>
      <c r="C567" s="52"/>
      <c r="D567" s="52"/>
      <c r="E567" s="52"/>
      <c r="F567" s="52"/>
      <c r="G567" s="52"/>
      <c r="H567" s="52"/>
      <c r="I567" s="52"/>
      <c r="J567" s="52"/>
      <c r="K567" s="52"/>
      <c r="L567" s="52"/>
      <c r="M567" s="52"/>
      <c r="N567" s="52"/>
      <c r="O567" s="52"/>
      <c r="P567" s="52"/>
      <c r="Q567" s="52"/>
      <c r="R567" s="52"/>
      <c r="S567" s="52"/>
      <c r="T567" s="52"/>
      <c r="U567" s="52"/>
      <c r="V567" s="52"/>
      <c r="W567" s="52"/>
      <c r="X567" s="52"/>
      <c r="Y567" s="52"/>
      <c r="Z567" s="52"/>
    </row>
    <row r="568">
      <c r="A568" s="59"/>
      <c r="B568" s="34"/>
      <c r="C568" s="52"/>
      <c r="D568" s="52"/>
      <c r="E568" s="52"/>
      <c r="F568" s="52"/>
      <c r="G568" s="52"/>
      <c r="H568" s="52"/>
      <c r="I568" s="52"/>
      <c r="J568" s="52"/>
      <c r="K568" s="52"/>
      <c r="L568" s="52"/>
      <c r="M568" s="52"/>
      <c r="N568" s="52"/>
      <c r="O568" s="52"/>
      <c r="P568" s="52"/>
      <c r="Q568" s="52"/>
      <c r="R568" s="52"/>
      <c r="S568" s="52"/>
      <c r="T568" s="52"/>
      <c r="U568" s="52"/>
      <c r="V568" s="52"/>
      <c r="W568" s="52"/>
      <c r="X568" s="52"/>
      <c r="Y568" s="52"/>
      <c r="Z568" s="52"/>
    </row>
    <row r="569">
      <c r="A569" s="59"/>
      <c r="B569" s="34"/>
      <c r="C569" s="52"/>
      <c r="D569" s="52"/>
      <c r="E569" s="52"/>
      <c r="F569" s="52"/>
      <c r="G569" s="52"/>
      <c r="H569" s="52"/>
      <c r="I569" s="52"/>
      <c r="J569" s="52"/>
      <c r="K569" s="52"/>
      <c r="L569" s="52"/>
      <c r="M569" s="52"/>
      <c r="N569" s="52"/>
      <c r="O569" s="52"/>
      <c r="P569" s="52"/>
      <c r="Q569" s="52"/>
      <c r="R569" s="52"/>
      <c r="S569" s="52"/>
      <c r="T569" s="52"/>
      <c r="U569" s="52"/>
      <c r="V569" s="52"/>
      <c r="W569" s="52"/>
      <c r="X569" s="52"/>
      <c r="Y569" s="52"/>
      <c r="Z569" s="52"/>
    </row>
    <row r="570">
      <c r="A570" s="59"/>
      <c r="B570" s="34"/>
      <c r="C570" s="52"/>
      <c r="D570" s="52"/>
      <c r="E570" s="52"/>
      <c r="F570" s="52"/>
      <c r="G570" s="52"/>
      <c r="H570" s="52"/>
      <c r="I570" s="52"/>
      <c r="J570" s="52"/>
      <c r="K570" s="52"/>
      <c r="L570" s="52"/>
      <c r="M570" s="52"/>
      <c r="N570" s="52"/>
      <c r="O570" s="52"/>
      <c r="P570" s="52"/>
      <c r="Q570" s="52"/>
      <c r="R570" s="52"/>
      <c r="S570" s="52"/>
      <c r="T570" s="52"/>
      <c r="U570" s="52"/>
      <c r="V570" s="52"/>
      <c r="W570" s="52"/>
      <c r="X570" s="52"/>
      <c r="Y570" s="52"/>
      <c r="Z570" s="52"/>
    </row>
    <row r="571">
      <c r="A571" s="59"/>
      <c r="B571" s="34"/>
      <c r="C571" s="52"/>
      <c r="D571" s="52"/>
      <c r="E571" s="52"/>
      <c r="F571" s="52"/>
      <c r="G571" s="52"/>
      <c r="H571" s="52"/>
      <c r="I571" s="52"/>
      <c r="J571" s="52"/>
      <c r="K571" s="52"/>
      <c r="L571" s="52"/>
      <c r="M571" s="52"/>
      <c r="N571" s="52"/>
      <c r="O571" s="52"/>
      <c r="P571" s="52"/>
      <c r="Q571" s="52"/>
      <c r="R571" s="52"/>
      <c r="S571" s="52"/>
      <c r="T571" s="52"/>
      <c r="U571" s="52"/>
      <c r="V571" s="52"/>
      <c r="W571" s="52"/>
      <c r="X571" s="52"/>
      <c r="Y571" s="52"/>
      <c r="Z571" s="52"/>
    </row>
    <row r="572">
      <c r="A572" s="59"/>
      <c r="B572" s="34"/>
      <c r="C572" s="52"/>
      <c r="D572" s="52"/>
      <c r="E572" s="52"/>
      <c r="F572" s="52"/>
      <c r="G572" s="52"/>
      <c r="H572" s="52"/>
      <c r="I572" s="52"/>
      <c r="J572" s="52"/>
      <c r="K572" s="52"/>
      <c r="L572" s="52"/>
      <c r="M572" s="52"/>
      <c r="N572" s="52"/>
      <c r="O572" s="52"/>
      <c r="P572" s="52"/>
      <c r="Q572" s="52"/>
      <c r="R572" s="52"/>
      <c r="S572" s="52"/>
      <c r="T572" s="52"/>
      <c r="U572" s="52"/>
      <c r="V572" s="52"/>
      <c r="W572" s="52"/>
      <c r="X572" s="52"/>
      <c r="Y572" s="52"/>
      <c r="Z572" s="52"/>
    </row>
    <row r="573">
      <c r="A573" s="59"/>
      <c r="B573" s="34"/>
      <c r="C573" s="52"/>
      <c r="D573" s="52"/>
      <c r="E573" s="52"/>
      <c r="F573" s="52"/>
      <c r="G573" s="52"/>
      <c r="H573" s="52"/>
      <c r="I573" s="52"/>
      <c r="J573" s="52"/>
      <c r="K573" s="52"/>
      <c r="L573" s="52"/>
      <c r="M573" s="52"/>
      <c r="N573" s="52"/>
      <c r="O573" s="52"/>
      <c r="P573" s="52"/>
      <c r="Q573" s="52"/>
      <c r="R573" s="52"/>
      <c r="S573" s="52"/>
      <c r="T573" s="52"/>
      <c r="U573" s="52"/>
      <c r="V573" s="52"/>
      <c r="W573" s="52"/>
      <c r="X573" s="52"/>
      <c r="Y573" s="52"/>
      <c r="Z573" s="52"/>
    </row>
    <row r="574">
      <c r="A574" s="59"/>
      <c r="B574" s="34"/>
      <c r="C574" s="52"/>
      <c r="D574" s="52"/>
      <c r="E574" s="52"/>
      <c r="F574" s="52"/>
      <c r="G574" s="52"/>
      <c r="H574" s="52"/>
      <c r="I574" s="52"/>
      <c r="J574" s="52"/>
      <c r="K574" s="52"/>
      <c r="L574" s="52"/>
      <c r="M574" s="52"/>
      <c r="N574" s="52"/>
      <c r="O574" s="52"/>
      <c r="P574" s="52"/>
      <c r="Q574" s="52"/>
      <c r="R574" s="52"/>
      <c r="S574" s="52"/>
      <c r="T574" s="52"/>
      <c r="U574" s="52"/>
      <c r="V574" s="52"/>
      <c r="W574" s="52"/>
      <c r="X574" s="52"/>
      <c r="Y574" s="52"/>
      <c r="Z574" s="52"/>
    </row>
    <row r="575">
      <c r="A575" s="59"/>
      <c r="B575" s="34"/>
      <c r="C575" s="52"/>
      <c r="D575" s="52"/>
      <c r="E575" s="52"/>
      <c r="F575" s="52"/>
      <c r="G575" s="52"/>
      <c r="H575" s="52"/>
      <c r="I575" s="52"/>
      <c r="J575" s="52"/>
      <c r="K575" s="52"/>
      <c r="L575" s="52"/>
      <c r="M575" s="52"/>
      <c r="N575" s="52"/>
      <c r="O575" s="52"/>
      <c r="P575" s="52"/>
      <c r="Q575" s="52"/>
      <c r="R575" s="52"/>
      <c r="S575" s="52"/>
      <c r="T575" s="52"/>
      <c r="U575" s="52"/>
      <c r="V575" s="52"/>
      <c r="W575" s="52"/>
      <c r="X575" s="52"/>
      <c r="Y575" s="52"/>
      <c r="Z575" s="52"/>
    </row>
    <row r="576">
      <c r="A576" s="59"/>
      <c r="B576" s="34"/>
      <c r="C576" s="52"/>
      <c r="D576" s="52"/>
      <c r="E576" s="52"/>
      <c r="F576" s="52"/>
      <c r="G576" s="52"/>
      <c r="H576" s="52"/>
      <c r="I576" s="52"/>
      <c r="J576" s="52"/>
      <c r="K576" s="52"/>
      <c r="L576" s="52"/>
      <c r="M576" s="52"/>
      <c r="N576" s="52"/>
      <c r="O576" s="52"/>
      <c r="P576" s="52"/>
      <c r="Q576" s="52"/>
      <c r="R576" s="52"/>
      <c r="S576" s="52"/>
      <c r="T576" s="52"/>
      <c r="U576" s="52"/>
      <c r="V576" s="52"/>
      <c r="W576" s="52"/>
      <c r="X576" s="52"/>
      <c r="Y576" s="52"/>
      <c r="Z576" s="52"/>
    </row>
    <row r="577">
      <c r="A577" s="59"/>
      <c r="B577" s="34"/>
      <c r="C577" s="52"/>
      <c r="D577" s="52"/>
      <c r="E577" s="52"/>
      <c r="F577" s="52"/>
      <c r="G577" s="52"/>
      <c r="H577" s="52"/>
      <c r="I577" s="52"/>
      <c r="J577" s="52"/>
      <c r="K577" s="52"/>
      <c r="L577" s="52"/>
      <c r="M577" s="52"/>
      <c r="N577" s="52"/>
      <c r="O577" s="52"/>
      <c r="P577" s="52"/>
      <c r="Q577" s="52"/>
      <c r="R577" s="52"/>
      <c r="S577" s="52"/>
      <c r="T577" s="52"/>
      <c r="U577" s="52"/>
      <c r="V577" s="52"/>
      <c r="W577" s="52"/>
      <c r="X577" s="52"/>
      <c r="Y577" s="52"/>
      <c r="Z577" s="52"/>
    </row>
    <row r="578">
      <c r="A578" s="59"/>
      <c r="B578" s="34"/>
      <c r="C578" s="52"/>
      <c r="D578" s="52"/>
      <c r="E578" s="52"/>
      <c r="F578" s="52"/>
      <c r="G578" s="52"/>
      <c r="H578" s="52"/>
      <c r="I578" s="52"/>
      <c r="J578" s="52"/>
      <c r="K578" s="52"/>
      <c r="L578" s="52"/>
      <c r="M578" s="52"/>
      <c r="N578" s="52"/>
      <c r="O578" s="52"/>
      <c r="P578" s="52"/>
      <c r="Q578" s="52"/>
      <c r="R578" s="52"/>
      <c r="S578" s="52"/>
      <c r="T578" s="52"/>
      <c r="U578" s="52"/>
      <c r="V578" s="52"/>
      <c r="W578" s="52"/>
      <c r="X578" s="52"/>
      <c r="Y578" s="52"/>
      <c r="Z578" s="52"/>
    </row>
    <row r="579">
      <c r="A579" s="59"/>
      <c r="B579" s="34"/>
      <c r="C579" s="52"/>
      <c r="D579" s="52"/>
      <c r="E579" s="52"/>
      <c r="F579" s="52"/>
      <c r="G579" s="52"/>
      <c r="H579" s="52"/>
      <c r="I579" s="52"/>
      <c r="J579" s="52"/>
      <c r="K579" s="52"/>
      <c r="L579" s="52"/>
      <c r="M579" s="52"/>
      <c r="N579" s="52"/>
      <c r="O579" s="52"/>
      <c r="P579" s="52"/>
      <c r="Q579" s="52"/>
      <c r="R579" s="52"/>
      <c r="S579" s="52"/>
      <c r="T579" s="52"/>
      <c r="U579" s="52"/>
      <c r="V579" s="52"/>
      <c r="W579" s="52"/>
      <c r="X579" s="52"/>
      <c r="Y579" s="52"/>
      <c r="Z579" s="52"/>
    </row>
    <row r="580">
      <c r="A580" s="59"/>
      <c r="B580" s="34"/>
      <c r="C580" s="52"/>
      <c r="D580" s="52"/>
      <c r="E580" s="52"/>
      <c r="F580" s="52"/>
      <c r="G580" s="52"/>
      <c r="H580" s="52"/>
      <c r="I580" s="52"/>
      <c r="J580" s="52"/>
      <c r="K580" s="52"/>
      <c r="L580" s="52"/>
      <c r="M580" s="52"/>
      <c r="N580" s="52"/>
      <c r="O580" s="52"/>
      <c r="P580" s="52"/>
      <c r="Q580" s="52"/>
      <c r="R580" s="52"/>
      <c r="S580" s="52"/>
      <c r="T580" s="52"/>
      <c r="U580" s="52"/>
      <c r="V580" s="52"/>
      <c r="W580" s="52"/>
      <c r="X580" s="52"/>
      <c r="Y580" s="52"/>
      <c r="Z580" s="52"/>
    </row>
    <row r="581">
      <c r="A581" s="59"/>
      <c r="B581" s="34"/>
      <c r="C581" s="52"/>
      <c r="D581" s="52"/>
      <c r="E581" s="52"/>
      <c r="F581" s="52"/>
      <c r="G581" s="52"/>
      <c r="H581" s="52"/>
      <c r="I581" s="52"/>
      <c r="J581" s="52"/>
      <c r="K581" s="52"/>
      <c r="L581" s="52"/>
      <c r="M581" s="52"/>
      <c r="N581" s="52"/>
      <c r="O581" s="52"/>
      <c r="P581" s="52"/>
      <c r="Q581" s="52"/>
      <c r="R581" s="52"/>
      <c r="S581" s="52"/>
      <c r="T581" s="52"/>
      <c r="U581" s="52"/>
      <c r="V581" s="52"/>
      <c r="W581" s="52"/>
      <c r="X581" s="52"/>
      <c r="Y581" s="52"/>
      <c r="Z581" s="52"/>
    </row>
    <row r="582">
      <c r="A582" s="59"/>
      <c r="B582" s="34"/>
      <c r="C582" s="52"/>
      <c r="D582" s="52"/>
      <c r="E582" s="52"/>
      <c r="F582" s="52"/>
      <c r="G582" s="52"/>
      <c r="H582" s="52"/>
      <c r="I582" s="52"/>
      <c r="J582" s="52"/>
      <c r="K582" s="52"/>
      <c r="L582" s="52"/>
      <c r="M582" s="52"/>
      <c r="N582" s="52"/>
      <c r="O582" s="52"/>
      <c r="P582" s="52"/>
      <c r="Q582" s="52"/>
      <c r="R582" s="52"/>
      <c r="S582" s="52"/>
      <c r="T582" s="52"/>
      <c r="U582" s="52"/>
      <c r="V582" s="52"/>
      <c r="W582" s="52"/>
      <c r="X582" s="52"/>
      <c r="Y582" s="52"/>
      <c r="Z582" s="52"/>
    </row>
    <row r="583">
      <c r="A583" s="59"/>
      <c r="B583" s="34"/>
      <c r="C583" s="52"/>
      <c r="D583" s="52"/>
      <c r="E583" s="52"/>
      <c r="F583" s="52"/>
      <c r="G583" s="52"/>
      <c r="H583" s="52"/>
      <c r="I583" s="52"/>
      <c r="J583" s="52"/>
      <c r="K583" s="52"/>
      <c r="L583" s="52"/>
      <c r="M583" s="52"/>
      <c r="N583" s="52"/>
      <c r="O583" s="52"/>
      <c r="P583" s="52"/>
      <c r="Q583" s="52"/>
      <c r="R583" s="52"/>
      <c r="S583" s="52"/>
      <c r="T583" s="52"/>
      <c r="U583" s="52"/>
      <c r="V583" s="52"/>
      <c r="W583" s="52"/>
      <c r="X583" s="52"/>
      <c r="Y583" s="52"/>
      <c r="Z583" s="52"/>
    </row>
    <row r="584">
      <c r="A584" s="59"/>
      <c r="B584" s="34"/>
      <c r="C584" s="52"/>
      <c r="D584" s="52"/>
      <c r="E584" s="52"/>
      <c r="F584" s="52"/>
      <c r="G584" s="52"/>
      <c r="H584" s="52"/>
      <c r="I584" s="52"/>
      <c r="J584" s="52"/>
      <c r="K584" s="52"/>
      <c r="L584" s="52"/>
      <c r="M584" s="52"/>
      <c r="N584" s="52"/>
      <c r="O584" s="52"/>
      <c r="P584" s="52"/>
      <c r="Q584" s="52"/>
      <c r="R584" s="52"/>
      <c r="S584" s="52"/>
      <c r="T584" s="52"/>
      <c r="U584" s="52"/>
      <c r="V584" s="52"/>
      <c r="W584" s="52"/>
      <c r="X584" s="52"/>
      <c r="Y584" s="52"/>
      <c r="Z584" s="52"/>
    </row>
    <row r="585">
      <c r="A585" s="59"/>
      <c r="B585" s="34"/>
      <c r="C585" s="52"/>
      <c r="D585" s="52"/>
      <c r="E585" s="52"/>
      <c r="F585" s="52"/>
      <c r="G585" s="52"/>
      <c r="H585" s="52"/>
      <c r="I585" s="52"/>
      <c r="J585" s="52"/>
      <c r="K585" s="52"/>
      <c r="L585" s="52"/>
      <c r="M585" s="52"/>
      <c r="N585" s="52"/>
      <c r="O585" s="52"/>
      <c r="P585" s="52"/>
      <c r="Q585" s="52"/>
      <c r="R585" s="52"/>
      <c r="S585" s="52"/>
      <c r="T585" s="52"/>
      <c r="U585" s="52"/>
      <c r="V585" s="52"/>
      <c r="W585" s="52"/>
      <c r="X585" s="52"/>
      <c r="Y585" s="52"/>
      <c r="Z585" s="52"/>
    </row>
    <row r="586">
      <c r="A586" s="59"/>
      <c r="B586" s="34"/>
      <c r="C586" s="52"/>
      <c r="D586" s="52"/>
      <c r="E586" s="52"/>
      <c r="F586" s="52"/>
      <c r="G586" s="52"/>
      <c r="H586" s="52"/>
      <c r="I586" s="52"/>
      <c r="J586" s="52"/>
      <c r="K586" s="52"/>
      <c r="L586" s="52"/>
      <c r="M586" s="52"/>
      <c r="N586" s="52"/>
      <c r="O586" s="52"/>
      <c r="P586" s="52"/>
      <c r="Q586" s="52"/>
      <c r="R586" s="52"/>
      <c r="S586" s="52"/>
      <c r="T586" s="52"/>
      <c r="U586" s="52"/>
      <c r="V586" s="52"/>
      <c r="W586" s="52"/>
      <c r="X586" s="52"/>
      <c r="Y586" s="52"/>
      <c r="Z586" s="52"/>
    </row>
    <row r="587">
      <c r="A587" s="59"/>
      <c r="B587" s="34"/>
      <c r="C587" s="52"/>
      <c r="D587" s="52"/>
      <c r="E587" s="52"/>
      <c r="F587" s="52"/>
      <c r="G587" s="52"/>
      <c r="H587" s="52"/>
      <c r="I587" s="52"/>
      <c r="J587" s="52"/>
      <c r="K587" s="52"/>
      <c r="L587" s="52"/>
      <c r="M587" s="52"/>
      <c r="N587" s="52"/>
      <c r="O587" s="52"/>
      <c r="P587" s="52"/>
      <c r="Q587" s="52"/>
      <c r="R587" s="52"/>
      <c r="S587" s="52"/>
      <c r="T587" s="52"/>
      <c r="U587" s="52"/>
      <c r="V587" s="52"/>
      <c r="W587" s="52"/>
      <c r="X587" s="52"/>
      <c r="Y587" s="52"/>
      <c r="Z587" s="52"/>
    </row>
    <row r="588">
      <c r="A588" s="59"/>
      <c r="B588" s="34"/>
      <c r="C588" s="52"/>
      <c r="D588" s="52"/>
      <c r="E588" s="52"/>
      <c r="F588" s="52"/>
      <c r="G588" s="52"/>
      <c r="H588" s="52"/>
      <c r="I588" s="52"/>
      <c r="J588" s="52"/>
      <c r="K588" s="52"/>
      <c r="L588" s="52"/>
      <c r="M588" s="52"/>
      <c r="N588" s="52"/>
      <c r="O588" s="52"/>
      <c r="P588" s="52"/>
      <c r="Q588" s="52"/>
      <c r="R588" s="52"/>
      <c r="S588" s="52"/>
      <c r="T588" s="52"/>
      <c r="U588" s="52"/>
      <c r="V588" s="52"/>
      <c r="W588" s="52"/>
      <c r="X588" s="52"/>
      <c r="Y588" s="52"/>
      <c r="Z588" s="52"/>
    </row>
    <row r="589">
      <c r="A589" s="59"/>
      <c r="B589" s="34"/>
      <c r="C589" s="52"/>
      <c r="D589" s="52"/>
      <c r="E589" s="52"/>
      <c r="F589" s="52"/>
      <c r="G589" s="52"/>
      <c r="H589" s="52"/>
      <c r="I589" s="52"/>
      <c r="J589" s="52"/>
      <c r="K589" s="52"/>
      <c r="L589" s="52"/>
      <c r="M589" s="52"/>
      <c r="N589" s="52"/>
      <c r="O589" s="52"/>
      <c r="P589" s="52"/>
      <c r="Q589" s="52"/>
      <c r="R589" s="52"/>
      <c r="S589" s="52"/>
      <c r="T589" s="52"/>
      <c r="U589" s="52"/>
      <c r="V589" s="52"/>
      <c r="W589" s="52"/>
      <c r="X589" s="52"/>
      <c r="Y589" s="52"/>
      <c r="Z589" s="52"/>
    </row>
    <row r="590">
      <c r="A590" s="59"/>
      <c r="B590" s="34"/>
      <c r="C590" s="52"/>
      <c r="D590" s="52"/>
      <c r="E590" s="52"/>
      <c r="F590" s="52"/>
      <c r="G590" s="52"/>
      <c r="H590" s="52"/>
      <c r="I590" s="52"/>
      <c r="J590" s="52"/>
      <c r="K590" s="52"/>
      <c r="L590" s="52"/>
      <c r="M590" s="52"/>
      <c r="N590" s="52"/>
      <c r="O590" s="52"/>
      <c r="P590" s="52"/>
      <c r="Q590" s="52"/>
      <c r="R590" s="52"/>
      <c r="S590" s="52"/>
      <c r="T590" s="52"/>
      <c r="U590" s="52"/>
      <c r="V590" s="52"/>
      <c r="W590" s="52"/>
      <c r="X590" s="52"/>
      <c r="Y590" s="52"/>
      <c r="Z590" s="52"/>
    </row>
    <row r="591">
      <c r="A591" s="59"/>
      <c r="B591" s="34"/>
      <c r="C591" s="52"/>
      <c r="D591" s="52"/>
      <c r="E591" s="52"/>
      <c r="F591" s="52"/>
      <c r="G591" s="52"/>
      <c r="H591" s="52"/>
      <c r="I591" s="52"/>
      <c r="J591" s="52"/>
      <c r="K591" s="52"/>
      <c r="L591" s="52"/>
      <c r="M591" s="52"/>
      <c r="N591" s="52"/>
      <c r="O591" s="52"/>
      <c r="P591" s="52"/>
      <c r="Q591" s="52"/>
      <c r="R591" s="52"/>
      <c r="S591" s="52"/>
      <c r="T591" s="52"/>
      <c r="U591" s="52"/>
      <c r="V591" s="52"/>
      <c r="W591" s="52"/>
      <c r="X591" s="52"/>
      <c r="Y591" s="52"/>
      <c r="Z591" s="52"/>
    </row>
    <row r="592">
      <c r="A592" s="59"/>
      <c r="B592" s="34"/>
      <c r="C592" s="52"/>
      <c r="D592" s="52"/>
      <c r="E592" s="52"/>
      <c r="F592" s="52"/>
      <c r="G592" s="52"/>
      <c r="H592" s="52"/>
      <c r="I592" s="52"/>
      <c r="J592" s="52"/>
      <c r="K592" s="52"/>
      <c r="L592" s="52"/>
      <c r="M592" s="52"/>
      <c r="N592" s="52"/>
      <c r="O592" s="52"/>
      <c r="P592" s="52"/>
      <c r="Q592" s="52"/>
      <c r="R592" s="52"/>
      <c r="S592" s="52"/>
      <c r="T592" s="52"/>
      <c r="U592" s="52"/>
      <c r="V592" s="52"/>
      <c r="W592" s="52"/>
      <c r="X592" s="52"/>
      <c r="Y592" s="52"/>
      <c r="Z592" s="52"/>
    </row>
    <row r="593">
      <c r="A593" s="59"/>
      <c r="B593" s="34"/>
      <c r="C593" s="52"/>
      <c r="D593" s="52"/>
      <c r="E593" s="52"/>
      <c r="F593" s="52"/>
      <c r="G593" s="52"/>
      <c r="H593" s="52"/>
      <c r="I593" s="52"/>
      <c r="J593" s="52"/>
      <c r="K593" s="52"/>
      <c r="L593" s="52"/>
      <c r="M593" s="52"/>
      <c r="N593" s="52"/>
      <c r="O593" s="52"/>
      <c r="P593" s="52"/>
      <c r="Q593" s="52"/>
      <c r="R593" s="52"/>
      <c r="S593" s="52"/>
      <c r="T593" s="52"/>
      <c r="U593" s="52"/>
      <c r="V593" s="52"/>
      <c r="W593" s="52"/>
      <c r="X593" s="52"/>
      <c r="Y593" s="52"/>
      <c r="Z593" s="52"/>
    </row>
    <row r="594">
      <c r="A594" s="59"/>
      <c r="B594" s="34"/>
      <c r="C594" s="52"/>
      <c r="D594" s="52"/>
      <c r="E594" s="52"/>
      <c r="F594" s="52"/>
      <c r="G594" s="52"/>
      <c r="H594" s="52"/>
      <c r="I594" s="52"/>
      <c r="J594" s="52"/>
      <c r="K594" s="52"/>
      <c r="L594" s="52"/>
      <c r="M594" s="52"/>
      <c r="N594" s="52"/>
      <c r="O594" s="52"/>
      <c r="P594" s="52"/>
      <c r="Q594" s="52"/>
      <c r="R594" s="52"/>
      <c r="S594" s="52"/>
      <c r="T594" s="52"/>
      <c r="U594" s="52"/>
      <c r="V594" s="52"/>
      <c r="W594" s="52"/>
      <c r="X594" s="52"/>
      <c r="Y594" s="52"/>
      <c r="Z594" s="52"/>
    </row>
    <row r="595">
      <c r="A595" s="59"/>
      <c r="B595" s="34"/>
      <c r="C595" s="52"/>
      <c r="D595" s="52"/>
      <c r="E595" s="52"/>
      <c r="F595" s="52"/>
      <c r="G595" s="52"/>
      <c r="H595" s="52"/>
      <c r="I595" s="52"/>
      <c r="J595" s="52"/>
      <c r="K595" s="52"/>
      <c r="L595" s="52"/>
      <c r="M595" s="52"/>
      <c r="N595" s="52"/>
      <c r="O595" s="52"/>
      <c r="P595" s="52"/>
      <c r="Q595" s="52"/>
      <c r="R595" s="52"/>
      <c r="S595" s="52"/>
      <c r="T595" s="52"/>
      <c r="U595" s="52"/>
      <c r="V595" s="52"/>
      <c r="W595" s="52"/>
      <c r="X595" s="52"/>
      <c r="Y595" s="52"/>
      <c r="Z595" s="52"/>
    </row>
    <row r="596">
      <c r="A596" s="59"/>
      <c r="B596" s="34"/>
      <c r="C596" s="52"/>
      <c r="D596" s="52"/>
      <c r="E596" s="52"/>
      <c r="F596" s="52"/>
      <c r="G596" s="52"/>
      <c r="H596" s="52"/>
      <c r="I596" s="52"/>
      <c r="J596" s="52"/>
      <c r="K596" s="52"/>
      <c r="L596" s="52"/>
      <c r="M596" s="52"/>
      <c r="N596" s="52"/>
      <c r="O596" s="52"/>
      <c r="P596" s="52"/>
      <c r="Q596" s="52"/>
      <c r="R596" s="52"/>
      <c r="S596" s="52"/>
      <c r="T596" s="52"/>
      <c r="U596" s="52"/>
      <c r="V596" s="52"/>
      <c r="W596" s="52"/>
      <c r="X596" s="52"/>
      <c r="Y596" s="52"/>
      <c r="Z596" s="52"/>
    </row>
    <row r="597">
      <c r="A597" s="59"/>
      <c r="B597" s="34"/>
      <c r="C597" s="52"/>
      <c r="D597" s="52"/>
      <c r="E597" s="52"/>
      <c r="F597" s="52"/>
      <c r="G597" s="52"/>
      <c r="H597" s="52"/>
      <c r="I597" s="52"/>
      <c r="J597" s="52"/>
      <c r="K597" s="52"/>
      <c r="L597" s="52"/>
      <c r="M597" s="52"/>
      <c r="N597" s="52"/>
      <c r="O597" s="52"/>
      <c r="P597" s="52"/>
      <c r="Q597" s="52"/>
      <c r="R597" s="52"/>
      <c r="S597" s="52"/>
      <c r="T597" s="52"/>
      <c r="U597" s="52"/>
      <c r="V597" s="52"/>
      <c r="W597" s="52"/>
      <c r="X597" s="52"/>
      <c r="Y597" s="52"/>
      <c r="Z597" s="52"/>
    </row>
    <row r="598">
      <c r="A598" s="59"/>
      <c r="B598" s="34"/>
      <c r="C598" s="52"/>
      <c r="D598" s="52"/>
      <c r="E598" s="52"/>
      <c r="F598" s="52"/>
      <c r="G598" s="52"/>
      <c r="H598" s="52"/>
      <c r="I598" s="52"/>
      <c r="J598" s="52"/>
      <c r="K598" s="52"/>
      <c r="L598" s="52"/>
      <c r="M598" s="52"/>
      <c r="N598" s="52"/>
      <c r="O598" s="52"/>
      <c r="P598" s="52"/>
      <c r="Q598" s="52"/>
      <c r="R598" s="52"/>
      <c r="S598" s="52"/>
      <c r="T598" s="52"/>
      <c r="U598" s="52"/>
      <c r="V598" s="52"/>
      <c r="W598" s="52"/>
      <c r="X598" s="52"/>
      <c r="Y598" s="52"/>
      <c r="Z598" s="52"/>
    </row>
    <row r="599">
      <c r="A599" s="59"/>
      <c r="B599" s="34"/>
      <c r="C599" s="52"/>
      <c r="D599" s="52"/>
      <c r="E599" s="52"/>
      <c r="F599" s="52"/>
      <c r="G599" s="52"/>
      <c r="H599" s="52"/>
      <c r="I599" s="52"/>
      <c r="J599" s="52"/>
      <c r="K599" s="52"/>
      <c r="L599" s="52"/>
      <c r="M599" s="52"/>
      <c r="N599" s="52"/>
      <c r="O599" s="52"/>
      <c r="P599" s="52"/>
      <c r="Q599" s="52"/>
      <c r="R599" s="52"/>
      <c r="S599" s="52"/>
      <c r="T599" s="52"/>
      <c r="U599" s="52"/>
      <c r="V599" s="52"/>
      <c r="W599" s="52"/>
      <c r="X599" s="52"/>
      <c r="Y599" s="52"/>
      <c r="Z599" s="52"/>
    </row>
    <row r="600">
      <c r="A600" s="59"/>
      <c r="B600" s="34"/>
      <c r="C600" s="52"/>
      <c r="D600" s="52"/>
      <c r="E600" s="52"/>
      <c r="F600" s="52"/>
      <c r="G600" s="52"/>
      <c r="H600" s="52"/>
      <c r="I600" s="52"/>
      <c r="J600" s="52"/>
      <c r="K600" s="52"/>
      <c r="L600" s="52"/>
      <c r="M600" s="52"/>
      <c r="N600" s="52"/>
      <c r="O600" s="52"/>
      <c r="P600" s="52"/>
      <c r="Q600" s="52"/>
      <c r="R600" s="52"/>
      <c r="S600" s="52"/>
      <c r="T600" s="52"/>
      <c r="U600" s="52"/>
      <c r="V600" s="52"/>
      <c r="W600" s="52"/>
      <c r="X600" s="52"/>
      <c r="Y600" s="52"/>
      <c r="Z600" s="52"/>
    </row>
    <row r="601">
      <c r="A601" s="59"/>
      <c r="B601" s="34"/>
      <c r="C601" s="52"/>
      <c r="D601" s="52"/>
      <c r="E601" s="52"/>
      <c r="F601" s="52"/>
      <c r="G601" s="52"/>
      <c r="H601" s="52"/>
      <c r="I601" s="52"/>
      <c r="J601" s="52"/>
      <c r="K601" s="52"/>
      <c r="L601" s="52"/>
      <c r="M601" s="52"/>
      <c r="N601" s="52"/>
      <c r="O601" s="52"/>
      <c r="P601" s="52"/>
      <c r="Q601" s="52"/>
      <c r="R601" s="52"/>
      <c r="S601" s="52"/>
      <c r="T601" s="52"/>
      <c r="U601" s="52"/>
      <c r="V601" s="52"/>
      <c r="W601" s="52"/>
      <c r="X601" s="52"/>
      <c r="Y601" s="52"/>
      <c r="Z601" s="52"/>
    </row>
    <row r="602">
      <c r="A602" s="59"/>
      <c r="B602" s="34"/>
      <c r="C602" s="52"/>
      <c r="D602" s="52"/>
      <c r="E602" s="52"/>
      <c r="F602" s="52"/>
      <c r="G602" s="52"/>
      <c r="H602" s="52"/>
      <c r="I602" s="52"/>
      <c r="J602" s="52"/>
      <c r="K602" s="52"/>
      <c r="L602" s="52"/>
      <c r="M602" s="52"/>
      <c r="N602" s="52"/>
      <c r="O602" s="52"/>
      <c r="P602" s="52"/>
      <c r="Q602" s="52"/>
      <c r="R602" s="52"/>
      <c r="S602" s="52"/>
      <c r="T602" s="52"/>
      <c r="U602" s="52"/>
      <c r="V602" s="52"/>
      <c r="W602" s="52"/>
      <c r="X602" s="52"/>
      <c r="Y602" s="52"/>
      <c r="Z602" s="52"/>
    </row>
    <row r="603">
      <c r="A603" s="59"/>
      <c r="B603" s="34"/>
      <c r="C603" s="52"/>
      <c r="D603" s="52"/>
      <c r="E603" s="52"/>
      <c r="F603" s="52"/>
      <c r="G603" s="52"/>
      <c r="H603" s="52"/>
      <c r="I603" s="52"/>
      <c r="J603" s="52"/>
      <c r="K603" s="52"/>
      <c r="L603" s="52"/>
      <c r="M603" s="52"/>
      <c r="N603" s="52"/>
      <c r="O603" s="52"/>
      <c r="P603" s="52"/>
      <c r="Q603" s="52"/>
      <c r="R603" s="52"/>
      <c r="S603" s="52"/>
      <c r="T603" s="52"/>
      <c r="U603" s="52"/>
      <c r="V603" s="52"/>
      <c r="W603" s="52"/>
      <c r="X603" s="52"/>
      <c r="Y603" s="52"/>
      <c r="Z603" s="52"/>
    </row>
    <row r="604">
      <c r="A604" s="59"/>
      <c r="B604" s="34"/>
      <c r="C604" s="52"/>
      <c r="D604" s="52"/>
      <c r="E604" s="52"/>
      <c r="F604" s="52"/>
      <c r="G604" s="52"/>
      <c r="H604" s="52"/>
      <c r="I604" s="52"/>
      <c r="J604" s="52"/>
      <c r="K604" s="52"/>
      <c r="L604" s="52"/>
      <c r="M604" s="52"/>
      <c r="N604" s="52"/>
      <c r="O604" s="52"/>
      <c r="P604" s="52"/>
      <c r="Q604" s="52"/>
      <c r="R604" s="52"/>
      <c r="S604" s="52"/>
      <c r="T604" s="52"/>
      <c r="U604" s="52"/>
      <c r="V604" s="52"/>
      <c r="W604" s="52"/>
      <c r="X604" s="52"/>
      <c r="Y604" s="52"/>
      <c r="Z604" s="52"/>
    </row>
    <row r="605">
      <c r="A605" s="59"/>
      <c r="B605" s="34"/>
      <c r="C605" s="52"/>
      <c r="D605" s="52"/>
      <c r="E605" s="52"/>
      <c r="F605" s="52"/>
      <c r="G605" s="52"/>
      <c r="H605" s="52"/>
      <c r="I605" s="52"/>
      <c r="J605" s="52"/>
      <c r="K605" s="52"/>
      <c r="L605" s="52"/>
      <c r="M605" s="52"/>
      <c r="N605" s="52"/>
      <c r="O605" s="52"/>
      <c r="P605" s="52"/>
      <c r="Q605" s="52"/>
      <c r="R605" s="52"/>
      <c r="S605" s="52"/>
      <c r="T605" s="52"/>
      <c r="U605" s="52"/>
      <c r="V605" s="52"/>
      <c r="W605" s="52"/>
      <c r="X605" s="52"/>
      <c r="Y605" s="52"/>
      <c r="Z605" s="52"/>
    </row>
    <row r="606">
      <c r="A606" s="59"/>
      <c r="B606" s="34"/>
      <c r="C606" s="52"/>
      <c r="D606" s="52"/>
      <c r="E606" s="52"/>
      <c r="F606" s="52"/>
      <c r="G606" s="52"/>
      <c r="H606" s="52"/>
      <c r="I606" s="52"/>
      <c r="J606" s="52"/>
      <c r="K606" s="52"/>
      <c r="L606" s="52"/>
      <c r="M606" s="52"/>
      <c r="N606" s="52"/>
      <c r="O606" s="52"/>
      <c r="P606" s="52"/>
      <c r="Q606" s="52"/>
      <c r="R606" s="52"/>
      <c r="S606" s="52"/>
      <c r="T606" s="52"/>
      <c r="U606" s="52"/>
      <c r="V606" s="52"/>
      <c r="W606" s="52"/>
      <c r="X606" s="52"/>
      <c r="Y606" s="52"/>
      <c r="Z606" s="52"/>
    </row>
    <row r="607">
      <c r="A607" s="59"/>
      <c r="B607" s="34"/>
      <c r="C607" s="52"/>
      <c r="D607" s="52"/>
      <c r="E607" s="52"/>
      <c r="F607" s="52"/>
      <c r="G607" s="52"/>
      <c r="H607" s="52"/>
      <c r="I607" s="52"/>
      <c r="J607" s="52"/>
      <c r="K607" s="52"/>
      <c r="L607" s="52"/>
      <c r="M607" s="52"/>
      <c r="N607" s="52"/>
      <c r="O607" s="52"/>
      <c r="P607" s="52"/>
      <c r="Q607" s="52"/>
      <c r="R607" s="52"/>
      <c r="S607" s="52"/>
      <c r="T607" s="52"/>
      <c r="U607" s="52"/>
      <c r="V607" s="52"/>
      <c r="W607" s="52"/>
      <c r="X607" s="52"/>
      <c r="Y607" s="52"/>
      <c r="Z607" s="52"/>
    </row>
    <row r="608">
      <c r="A608" s="59"/>
      <c r="B608" s="34"/>
      <c r="C608" s="52"/>
      <c r="D608" s="52"/>
      <c r="E608" s="52"/>
      <c r="F608" s="52"/>
      <c r="G608" s="52"/>
      <c r="H608" s="52"/>
      <c r="I608" s="52"/>
      <c r="J608" s="52"/>
      <c r="K608" s="52"/>
      <c r="L608" s="52"/>
      <c r="M608" s="52"/>
      <c r="N608" s="52"/>
      <c r="O608" s="52"/>
      <c r="P608" s="52"/>
      <c r="Q608" s="52"/>
      <c r="R608" s="52"/>
      <c r="S608" s="52"/>
      <c r="T608" s="52"/>
      <c r="U608" s="52"/>
      <c r="V608" s="52"/>
      <c r="W608" s="52"/>
      <c r="X608" s="52"/>
      <c r="Y608" s="52"/>
      <c r="Z608" s="52"/>
    </row>
    <row r="609">
      <c r="A609" s="59"/>
      <c r="B609" s="34"/>
      <c r="C609" s="52"/>
      <c r="D609" s="52"/>
      <c r="E609" s="52"/>
      <c r="F609" s="52"/>
      <c r="G609" s="52"/>
      <c r="H609" s="52"/>
      <c r="I609" s="52"/>
      <c r="J609" s="52"/>
      <c r="K609" s="52"/>
      <c r="L609" s="52"/>
      <c r="M609" s="52"/>
      <c r="N609" s="52"/>
      <c r="O609" s="52"/>
      <c r="P609" s="52"/>
      <c r="Q609" s="52"/>
      <c r="R609" s="52"/>
      <c r="S609" s="52"/>
      <c r="T609" s="52"/>
      <c r="U609" s="52"/>
      <c r="V609" s="52"/>
      <c r="W609" s="52"/>
      <c r="X609" s="52"/>
      <c r="Y609" s="52"/>
      <c r="Z609" s="52"/>
    </row>
    <row r="610">
      <c r="A610" s="59"/>
      <c r="B610" s="34"/>
      <c r="C610" s="52"/>
      <c r="D610" s="52"/>
      <c r="E610" s="52"/>
      <c r="F610" s="52"/>
      <c r="G610" s="52"/>
      <c r="H610" s="52"/>
      <c r="I610" s="52"/>
      <c r="J610" s="52"/>
      <c r="K610" s="52"/>
      <c r="L610" s="52"/>
      <c r="M610" s="52"/>
      <c r="N610" s="52"/>
      <c r="O610" s="52"/>
      <c r="P610" s="52"/>
      <c r="Q610" s="52"/>
      <c r="R610" s="52"/>
      <c r="S610" s="52"/>
      <c r="T610" s="52"/>
      <c r="U610" s="52"/>
      <c r="V610" s="52"/>
      <c r="W610" s="52"/>
      <c r="X610" s="52"/>
      <c r="Y610" s="52"/>
      <c r="Z610" s="52"/>
    </row>
    <row r="611">
      <c r="A611" s="59"/>
      <c r="B611" s="34"/>
      <c r="C611" s="52"/>
      <c r="D611" s="52"/>
      <c r="E611" s="52"/>
      <c r="F611" s="52"/>
      <c r="G611" s="52"/>
      <c r="H611" s="52"/>
      <c r="I611" s="52"/>
      <c r="J611" s="52"/>
      <c r="K611" s="52"/>
      <c r="L611" s="52"/>
      <c r="M611" s="52"/>
      <c r="N611" s="52"/>
      <c r="O611" s="52"/>
      <c r="P611" s="52"/>
      <c r="Q611" s="52"/>
      <c r="R611" s="52"/>
      <c r="S611" s="52"/>
      <c r="T611" s="52"/>
      <c r="U611" s="52"/>
      <c r="V611" s="52"/>
      <c r="W611" s="52"/>
      <c r="X611" s="52"/>
      <c r="Y611" s="52"/>
      <c r="Z611" s="52"/>
    </row>
    <row r="612">
      <c r="A612" s="59"/>
      <c r="B612" s="34"/>
      <c r="C612" s="52"/>
      <c r="D612" s="52"/>
      <c r="E612" s="52"/>
      <c r="F612" s="52"/>
      <c r="G612" s="52"/>
      <c r="H612" s="52"/>
      <c r="I612" s="52"/>
      <c r="J612" s="52"/>
      <c r="K612" s="52"/>
      <c r="L612" s="52"/>
      <c r="M612" s="52"/>
      <c r="N612" s="52"/>
      <c r="O612" s="52"/>
      <c r="P612" s="52"/>
      <c r="Q612" s="52"/>
      <c r="R612" s="52"/>
      <c r="S612" s="52"/>
      <c r="T612" s="52"/>
      <c r="U612" s="52"/>
      <c r="V612" s="52"/>
      <c r="W612" s="52"/>
      <c r="X612" s="52"/>
      <c r="Y612" s="52"/>
      <c r="Z612" s="52"/>
    </row>
    <row r="613">
      <c r="A613" s="59"/>
      <c r="B613" s="34"/>
      <c r="C613" s="52"/>
      <c r="D613" s="52"/>
      <c r="E613" s="52"/>
      <c r="F613" s="52"/>
      <c r="G613" s="52"/>
      <c r="H613" s="52"/>
      <c r="I613" s="52"/>
      <c r="J613" s="52"/>
      <c r="K613" s="52"/>
      <c r="L613" s="52"/>
      <c r="M613" s="52"/>
      <c r="N613" s="52"/>
      <c r="O613" s="52"/>
      <c r="P613" s="52"/>
      <c r="Q613" s="52"/>
      <c r="R613" s="52"/>
      <c r="S613" s="52"/>
      <c r="T613" s="52"/>
      <c r="U613" s="52"/>
      <c r="V613" s="52"/>
      <c r="W613" s="52"/>
      <c r="X613" s="52"/>
      <c r="Y613" s="52"/>
      <c r="Z613" s="52"/>
    </row>
    <row r="614">
      <c r="A614" s="59"/>
      <c r="B614" s="34"/>
      <c r="C614" s="52"/>
      <c r="D614" s="52"/>
      <c r="E614" s="52"/>
      <c r="F614" s="52"/>
      <c r="G614" s="52"/>
      <c r="H614" s="52"/>
      <c r="I614" s="52"/>
      <c r="J614" s="52"/>
      <c r="K614" s="52"/>
      <c r="L614" s="52"/>
      <c r="M614" s="52"/>
      <c r="N614" s="52"/>
      <c r="O614" s="52"/>
      <c r="P614" s="52"/>
      <c r="Q614" s="52"/>
      <c r="R614" s="52"/>
      <c r="S614" s="52"/>
      <c r="T614" s="52"/>
      <c r="U614" s="52"/>
      <c r="V614" s="52"/>
      <c r="W614" s="52"/>
      <c r="X614" s="52"/>
      <c r="Y614" s="52"/>
      <c r="Z614" s="52"/>
    </row>
    <row r="615">
      <c r="A615" s="59"/>
      <c r="B615" s="34"/>
      <c r="C615" s="52"/>
      <c r="D615" s="52"/>
      <c r="E615" s="52"/>
      <c r="F615" s="52"/>
      <c r="G615" s="52"/>
      <c r="H615" s="52"/>
      <c r="I615" s="52"/>
      <c r="J615" s="52"/>
      <c r="K615" s="52"/>
      <c r="L615" s="52"/>
      <c r="M615" s="52"/>
      <c r="N615" s="52"/>
      <c r="O615" s="52"/>
      <c r="P615" s="52"/>
      <c r="Q615" s="52"/>
      <c r="R615" s="52"/>
      <c r="S615" s="52"/>
      <c r="T615" s="52"/>
      <c r="U615" s="52"/>
      <c r="V615" s="52"/>
      <c r="W615" s="52"/>
      <c r="X615" s="52"/>
      <c r="Y615" s="52"/>
      <c r="Z615" s="52"/>
    </row>
    <row r="616">
      <c r="A616" s="59"/>
      <c r="B616" s="34"/>
      <c r="C616" s="52"/>
      <c r="D616" s="52"/>
      <c r="E616" s="52"/>
      <c r="F616" s="52"/>
      <c r="G616" s="52"/>
      <c r="H616" s="52"/>
      <c r="I616" s="52"/>
      <c r="J616" s="52"/>
      <c r="K616" s="52"/>
      <c r="L616" s="52"/>
      <c r="M616" s="52"/>
      <c r="N616" s="52"/>
      <c r="O616" s="52"/>
      <c r="P616" s="52"/>
      <c r="Q616" s="52"/>
      <c r="R616" s="52"/>
      <c r="S616" s="52"/>
      <c r="T616" s="52"/>
      <c r="U616" s="52"/>
      <c r="V616" s="52"/>
      <c r="W616" s="52"/>
      <c r="X616" s="52"/>
      <c r="Y616" s="52"/>
      <c r="Z616" s="52"/>
    </row>
    <row r="617">
      <c r="A617" s="59"/>
      <c r="B617" s="34"/>
      <c r="C617" s="52"/>
      <c r="D617" s="52"/>
      <c r="E617" s="52"/>
      <c r="F617" s="52"/>
      <c r="G617" s="52"/>
      <c r="H617" s="52"/>
      <c r="I617" s="52"/>
      <c r="J617" s="52"/>
      <c r="K617" s="52"/>
      <c r="L617" s="52"/>
      <c r="M617" s="52"/>
      <c r="N617" s="52"/>
      <c r="O617" s="52"/>
      <c r="P617" s="52"/>
      <c r="Q617" s="52"/>
      <c r="R617" s="52"/>
      <c r="S617" s="52"/>
      <c r="T617" s="52"/>
      <c r="U617" s="52"/>
      <c r="V617" s="52"/>
      <c r="W617" s="52"/>
      <c r="X617" s="52"/>
      <c r="Y617" s="52"/>
      <c r="Z617" s="52"/>
    </row>
    <row r="618">
      <c r="A618" s="59"/>
      <c r="B618" s="34"/>
      <c r="C618" s="52"/>
      <c r="D618" s="52"/>
      <c r="E618" s="52"/>
      <c r="F618" s="52"/>
      <c r="G618" s="52"/>
      <c r="H618" s="52"/>
      <c r="I618" s="52"/>
      <c r="J618" s="52"/>
      <c r="K618" s="52"/>
      <c r="L618" s="52"/>
      <c r="M618" s="52"/>
      <c r="N618" s="52"/>
      <c r="O618" s="52"/>
      <c r="P618" s="52"/>
      <c r="Q618" s="52"/>
      <c r="R618" s="52"/>
      <c r="S618" s="52"/>
      <c r="T618" s="52"/>
      <c r="U618" s="52"/>
      <c r="V618" s="52"/>
      <c r="W618" s="52"/>
      <c r="X618" s="52"/>
      <c r="Y618" s="52"/>
      <c r="Z618" s="52"/>
    </row>
    <row r="619">
      <c r="A619" s="59"/>
      <c r="B619" s="34"/>
      <c r="C619" s="52"/>
      <c r="D619" s="52"/>
      <c r="E619" s="52"/>
      <c r="F619" s="52"/>
      <c r="G619" s="52"/>
      <c r="H619" s="52"/>
      <c r="I619" s="52"/>
      <c r="J619" s="52"/>
      <c r="K619" s="52"/>
      <c r="L619" s="52"/>
      <c r="M619" s="52"/>
      <c r="N619" s="52"/>
      <c r="O619" s="52"/>
      <c r="P619" s="52"/>
      <c r="Q619" s="52"/>
      <c r="R619" s="52"/>
      <c r="S619" s="52"/>
      <c r="T619" s="52"/>
      <c r="U619" s="52"/>
      <c r="V619" s="52"/>
      <c r="W619" s="52"/>
      <c r="X619" s="52"/>
      <c r="Y619" s="52"/>
      <c r="Z619" s="52"/>
    </row>
    <row r="620">
      <c r="A620" s="59"/>
      <c r="B620" s="34"/>
      <c r="C620" s="52"/>
      <c r="D620" s="52"/>
      <c r="E620" s="52"/>
      <c r="F620" s="52"/>
      <c r="G620" s="52"/>
      <c r="H620" s="52"/>
      <c r="I620" s="52"/>
      <c r="J620" s="52"/>
      <c r="K620" s="52"/>
      <c r="L620" s="52"/>
      <c r="M620" s="52"/>
      <c r="N620" s="52"/>
      <c r="O620" s="52"/>
      <c r="P620" s="52"/>
      <c r="Q620" s="52"/>
      <c r="R620" s="52"/>
      <c r="S620" s="52"/>
      <c r="T620" s="52"/>
      <c r="U620" s="52"/>
      <c r="V620" s="52"/>
      <c r="W620" s="52"/>
      <c r="X620" s="52"/>
      <c r="Y620" s="52"/>
      <c r="Z620" s="52"/>
    </row>
    <row r="621">
      <c r="A621" s="59"/>
      <c r="B621" s="34"/>
      <c r="C621" s="52"/>
      <c r="D621" s="52"/>
      <c r="E621" s="52"/>
      <c r="F621" s="52"/>
      <c r="G621" s="52"/>
      <c r="H621" s="52"/>
      <c r="I621" s="52"/>
      <c r="J621" s="52"/>
      <c r="K621" s="52"/>
      <c r="L621" s="52"/>
      <c r="M621" s="52"/>
      <c r="N621" s="52"/>
      <c r="O621" s="52"/>
      <c r="P621" s="52"/>
      <c r="Q621" s="52"/>
      <c r="R621" s="52"/>
      <c r="S621" s="52"/>
      <c r="T621" s="52"/>
      <c r="U621" s="52"/>
      <c r="V621" s="52"/>
      <c r="W621" s="52"/>
      <c r="X621" s="52"/>
      <c r="Y621" s="52"/>
      <c r="Z621" s="52"/>
    </row>
    <row r="622">
      <c r="A622" s="59"/>
      <c r="B622" s="34"/>
      <c r="C622" s="52"/>
      <c r="D622" s="52"/>
      <c r="E622" s="52"/>
      <c r="F622" s="52"/>
      <c r="G622" s="52"/>
      <c r="H622" s="52"/>
      <c r="I622" s="52"/>
      <c r="J622" s="52"/>
      <c r="K622" s="52"/>
      <c r="L622" s="52"/>
      <c r="M622" s="52"/>
      <c r="N622" s="52"/>
      <c r="O622" s="52"/>
      <c r="P622" s="52"/>
      <c r="Q622" s="52"/>
      <c r="R622" s="52"/>
      <c r="S622" s="52"/>
      <c r="T622" s="52"/>
      <c r="U622" s="52"/>
      <c r="V622" s="52"/>
      <c r="W622" s="52"/>
      <c r="X622" s="52"/>
      <c r="Y622" s="52"/>
      <c r="Z622" s="52"/>
    </row>
    <row r="623">
      <c r="A623" s="59"/>
      <c r="B623" s="34"/>
      <c r="C623" s="52"/>
      <c r="D623" s="52"/>
      <c r="E623" s="52"/>
      <c r="F623" s="52"/>
      <c r="G623" s="52"/>
      <c r="H623" s="52"/>
      <c r="I623" s="52"/>
      <c r="J623" s="52"/>
      <c r="K623" s="52"/>
      <c r="L623" s="52"/>
      <c r="M623" s="52"/>
      <c r="N623" s="52"/>
      <c r="O623" s="52"/>
      <c r="P623" s="52"/>
      <c r="Q623" s="52"/>
      <c r="R623" s="52"/>
      <c r="S623" s="52"/>
      <c r="T623" s="52"/>
      <c r="U623" s="52"/>
      <c r="V623" s="52"/>
      <c r="W623" s="52"/>
      <c r="X623" s="52"/>
      <c r="Y623" s="52"/>
      <c r="Z623" s="52"/>
    </row>
    <row r="624">
      <c r="A624" s="59"/>
      <c r="B624" s="34"/>
      <c r="C624" s="52"/>
      <c r="D624" s="52"/>
      <c r="E624" s="52"/>
      <c r="F624" s="52"/>
      <c r="G624" s="52"/>
      <c r="H624" s="52"/>
      <c r="I624" s="52"/>
      <c r="J624" s="52"/>
      <c r="K624" s="52"/>
      <c r="L624" s="52"/>
      <c r="M624" s="52"/>
      <c r="N624" s="52"/>
      <c r="O624" s="52"/>
      <c r="P624" s="52"/>
      <c r="Q624" s="52"/>
      <c r="R624" s="52"/>
      <c r="S624" s="52"/>
      <c r="T624" s="52"/>
      <c r="U624" s="52"/>
      <c r="V624" s="52"/>
      <c r="W624" s="52"/>
      <c r="X624" s="52"/>
      <c r="Y624" s="52"/>
      <c r="Z624" s="52"/>
    </row>
    <row r="625">
      <c r="A625" s="59"/>
      <c r="B625" s="34"/>
      <c r="C625" s="52"/>
      <c r="D625" s="52"/>
      <c r="E625" s="52"/>
      <c r="F625" s="52"/>
      <c r="G625" s="52"/>
      <c r="H625" s="52"/>
      <c r="I625" s="52"/>
      <c r="J625" s="52"/>
      <c r="K625" s="52"/>
      <c r="L625" s="52"/>
      <c r="M625" s="52"/>
      <c r="N625" s="52"/>
      <c r="O625" s="52"/>
      <c r="P625" s="52"/>
      <c r="Q625" s="52"/>
      <c r="R625" s="52"/>
      <c r="S625" s="52"/>
      <c r="T625" s="52"/>
      <c r="U625" s="52"/>
      <c r="V625" s="52"/>
      <c r="W625" s="52"/>
      <c r="X625" s="52"/>
      <c r="Y625" s="52"/>
      <c r="Z625" s="52"/>
    </row>
    <row r="626">
      <c r="A626" s="59"/>
      <c r="B626" s="34"/>
      <c r="C626" s="52"/>
      <c r="D626" s="52"/>
      <c r="E626" s="52"/>
      <c r="F626" s="52"/>
      <c r="G626" s="52"/>
      <c r="H626" s="52"/>
      <c r="I626" s="52"/>
      <c r="J626" s="52"/>
      <c r="K626" s="52"/>
      <c r="L626" s="52"/>
      <c r="M626" s="52"/>
      <c r="N626" s="52"/>
      <c r="O626" s="52"/>
      <c r="P626" s="52"/>
      <c r="Q626" s="52"/>
      <c r="R626" s="52"/>
      <c r="S626" s="52"/>
      <c r="T626" s="52"/>
      <c r="U626" s="52"/>
      <c r="V626" s="52"/>
      <c r="W626" s="52"/>
      <c r="X626" s="52"/>
      <c r="Y626" s="52"/>
      <c r="Z626" s="52"/>
    </row>
    <row r="627">
      <c r="A627" s="59"/>
      <c r="B627" s="34"/>
      <c r="C627" s="52"/>
      <c r="D627" s="52"/>
      <c r="E627" s="52"/>
      <c r="F627" s="52"/>
      <c r="G627" s="52"/>
      <c r="H627" s="52"/>
      <c r="I627" s="52"/>
      <c r="J627" s="52"/>
      <c r="K627" s="52"/>
      <c r="L627" s="52"/>
      <c r="M627" s="52"/>
      <c r="N627" s="52"/>
      <c r="O627" s="52"/>
      <c r="P627" s="52"/>
      <c r="Q627" s="52"/>
      <c r="R627" s="52"/>
      <c r="S627" s="52"/>
      <c r="T627" s="52"/>
      <c r="U627" s="52"/>
      <c r="V627" s="52"/>
      <c r="W627" s="52"/>
      <c r="X627" s="52"/>
      <c r="Y627" s="52"/>
      <c r="Z627" s="52"/>
    </row>
    <row r="628">
      <c r="A628" s="59"/>
      <c r="B628" s="34"/>
      <c r="C628" s="52"/>
      <c r="D628" s="52"/>
      <c r="E628" s="52"/>
      <c r="F628" s="52"/>
      <c r="G628" s="52"/>
      <c r="H628" s="52"/>
      <c r="I628" s="52"/>
      <c r="J628" s="52"/>
      <c r="K628" s="52"/>
      <c r="L628" s="52"/>
      <c r="M628" s="52"/>
      <c r="N628" s="52"/>
      <c r="O628" s="52"/>
      <c r="P628" s="52"/>
      <c r="Q628" s="52"/>
      <c r="R628" s="52"/>
      <c r="S628" s="52"/>
      <c r="T628" s="52"/>
      <c r="U628" s="52"/>
      <c r="V628" s="52"/>
      <c r="W628" s="52"/>
      <c r="X628" s="52"/>
      <c r="Y628" s="52"/>
      <c r="Z628" s="52"/>
    </row>
    <row r="629">
      <c r="A629" s="59"/>
      <c r="B629" s="34"/>
      <c r="C629" s="52"/>
      <c r="D629" s="52"/>
      <c r="E629" s="52"/>
      <c r="F629" s="52"/>
      <c r="G629" s="52"/>
      <c r="H629" s="52"/>
      <c r="I629" s="52"/>
      <c r="J629" s="52"/>
      <c r="K629" s="52"/>
      <c r="L629" s="52"/>
      <c r="M629" s="52"/>
      <c r="N629" s="52"/>
      <c r="O629" s="52"/>
      <c r="P629" s="52"/>
      <c r="Q629" s="52"/>
      <c r="R629" s="52"/>
      <c r="S629" s="52"/>
      <c r="T629" s="52"/>
      <c r="U629" s="52"/>
      <c r="V629" s="52"/>
      <c r="W629" s="52"/>
      <c r="X629" s="52"/>
      <c r="Y629" s="52"/>
      <c r="Z629" s="52"/>
    </row>
    <row r="630">
      <c r="A630" s="59"/>
      <c r="B630" s="34"/>
      <c r="C630" s="52"/>
      <c r="D630" s="52"/>
      <c r="E630" s="52"/>
      <c r="F630" s="52"/>
      <c r="G630" s="52"/>
      <c r="H630" s="52"/>
      <c r="I630" s="52"/>
      <c r="J630" s="52"/>
      <c r="K630" s="52"/>
      <c r="L630" s="52"/>
      <c r="M630" s="52"/>
      <c r="N630" s="52"/>
      <c r="O630" s="52"/>
      <c r="P630" s="52"/>
      <c r="Q630" s="52"/>
      <c r="R630" s="52"/>
      <c r="S630" s="52"/>
      <c r="T630" s="52"/>
      <c r="U630" s="52"/>
      <c r="V630" s="52"/>
      <c r="W630" s="52"/>
      <c r="X630" s="52"/>
      <c r="Y630" s="52"/>
      <c r="Z630" s="52"/>
    </row>
    <row r="631">
      <c r="A631" s="59"/>
      <c r="B631" s="34"/>
      <c r="C631" s="52"/>
      <c r="D631" s="52"/>
      <c r="E631" s="52"/>
      <c r="F631" s="52"/>
      <c r="G631" s="52"/>
      <c r="H631" s="52"/>
      <c r="I631" s="52"/>
      <c r="J631" s="52"/>
      <c r="K631" s="52"/>
      <c r="L631" s="52"/>
      <c r="M631" s="52"/>
      <c r="N631" s="52"/>
      <c r="O631" s="52"/>
      <c r="P631" s="52"/>
      <c r="Q631" s="52"/>
      <c r="R631" s="52"/>
      <c r="S631" s="52"/>
      <c r="T631" s="52"/>
      <c r="U631" s="52"/>
      <c r="V631" s="52"/>
      <c r="W631" s="52"/>
      <c r="X631" s="52"/>
      <c r="Y631" s="52"/>
      <c r="Z631" s="52"/>
    </row>
    <row r="632">
      <c r="A632" s="59"/>
      <c r="B632" s="34"/>
      <c r="C632" s="52"/>
      <c r="D632" s="52"/>
      <c r="E632" s="52"/>
      <c r="F632" s="52"/>
      <c r="G632" s="52"/>
      <c r="H632" s="52"/>
      <c r="I632" s="52"/>
      <c r="J632" s="52"/>
      <c r="K632" s="52"/>
      <c r="L632" s="52"/>
      <c r="M632" s="52"/>
      <c r="N632" s="52"/>
      <c r="O632" s="52"/>
      <c r="P632" s="52"/>
      <c r="Q632" s="52"/>
      <c r="R632" s="52"/>
      <c r="S632" s="52"/>
      <c r="T632" s="52"/>
      <c r="U632" s="52"/>
      <c r="V632" s="52"/>
      <c r="W632" s="52"/>
      <c r="X632" s="52"/>
      <c r="Y632" s="52"/>
      <c r="Z632" s="52"/>
    </row>
    <row r="633">
      <c r="A633" s="59"/>
      <c r="B633" s="34"/>
      <c r="C633" s="52"/>
      <c r="D633" s="52"/>
      <c r="E633" s="52"/>
      <c r="F633" s="52"/>
      <c r="G633" s="52"/>
      <c r="H633" s="52"/>
      <c r="I633" s="52"/>
      <c r="J633" s="52"/>
      <c r="K633" s="52"/>
      <c r="L633" s="52"/>
      <c r="M633" s="52"/>
      <c r="N633" s="52"/>
      <c r="O633" s="52"/>
      <c r="P633" s="52"/>
      <c r="Q633" s="52"/>
      <c r="R633" s="52"/>
      <c r="S633" s="52"/>
      <c r="T633" s="52"/>
      <c r="U633" s="52"/>
      <c r="V633" s="52"/>
      <c r="W633" s="52"/>
      <c r="X633" s="52"/>
      <c r="Y633" s="52"/>
      <c r="Z633" s="52"/>
    </row>
    <row r="634">
      <c r="A634" s="59"/>
      <c r="B634" s="34"/>
      <c r="C634" s="52"/>
      <c r="D634" s="52"/>
      <c r="E634" s="52"/>
      <c r="F634" s="52"/>
      <c r="G634" s="52"/>
      <c r="H634" s="52"/>
      <c r="I634" s="52"/>
      <c r="J634" s="52"/>
      <c r="K634" s="52"/>
      <c r="L634" s="52"/>
      <c r="M634" s="52"/>
      <c r="N634" s="52"/>
      <c r="O634" s="52"/>
      <c r="P634" s="52"/>
      <c r="Q634" s="52"/>
      <c r="R634" s="52"/>
      <c r="S634" s="52"/>
      <c r="T634" s="52"/>
      <c r="U634" s="52"/>
      <c r="V634" s="52"/>
      <c r="W634" s="52"/>
      <c r="X634" s="52"/>
      <c r="Y634" s="52"/>
      <c r="Z634" s="52"/>
    </row>
    <row r="635">
      <c r="A635" s="59"/>
      <c r="B635" s="34"/>
      <c r="C635" s="52"/>
      <c r="D635" s="52"/>
      <c r="E635" s="52"/>
      <c r="F635" s="52"/>
      <c r="G635" s="52"/>
      <c r="H635" s="52"/>
      <c r="I635" s="52"/>
      <c r="J635" s="52"/>
      <c r="K635" s="52"/>
      <c r="L635" s="52"/>
      <c r="M635" s="52"/>
      <c r="N635" s="52"/>
      <c r="O635" s="52"/>
      <c r="P635" s="52"/>
      <c r="Q635" s="52"/>
      <c r="R635" s="52"/>
      <c r="S635" s="52"/>
      <c r="T635" s="52"/>
      <c r="U635" s="52"/>
      <c r="V635" s="52"/>
      <c r="W635" s="52"/>
      <c r="X635" s="52"/>
      <c r="Y635" s="52"/>
      <c r="Z635" s="52"/>
    </row>
    <row r="636">
      <c r="A636" s="59"/>
      <c r="B636" s="34"/>
      <c r="C636" s="52"/>
      <c r="D636" s="52"/>
      <c r="E636" s="52"/>
      <c r="F636" s="52"/>
      <c r="G636" s="52"/>
      <c r="H636" s="52"/>
      <c r="I636" s="52"/>
      <c r="J636" s="52"/>
      <c r="K636" s="52"/>
      <c r="L636" s="52"/>
      <c r="M636" s="52"/>
      <c r="N636" s="52"/>
      <c r="O636" s="52"/>
      <c r="P636" s="52"/>
      <c r="Q636" s="52"/>
      <c r="R636" s="52"/>
      <c r="S636" s="52"/>
      <c r="T636" s="52"/>
      <c r="U636" s="52"/>
      <c r="V636" s="52"/>
      <c r="W636" s="52"/>
      <c r="X636" s="52"/>
      <c r="Y636" s="52"/>
      <c r="Z636" s="52"/>
    </row>
    <row r="637">
      <c r="A637" s="59"/>
      <c r="B637" s="34"/>
      <c r="C637" s="52"/>
      <c r="D637" s="52"/>
      <c r="E637" s="52"/>
      <c r="F637" s="52"/>
      <c r="G637" s="52"/>
      <c r="H637" s="52"/>
      <c r="I637" s="52"/>
      <c r="J637" s="52"/>
      <c r="K637" s="52"/>
      <c r="L637" s="52"/>
      <c r="M637" s="52"/>
      <c r="N637" s="52"/>
      <c r="O637" s="52"/>
      <c r="P637" s="52"/>
      <c r="Q637" s="52"/>
      <c r="R637" s="52"/>
      <c r="S637" s="52"/>
      <c r="T637" s="52"/>
      <c r="U637" s="52"/>
      <c r="V637" s="52"/>
      <c r="W637" s="52"/>
      <c r="X637" s="52"/>
      <c r="Y637" s="52"/>
      <c r="Z637" s="52"/>
    </row>
    <row r="638">
      <c r="A638" s="59"/>
      <c r="B638" s="34"/>
      <c r="C638" s="52"/>
      <c r="D638" s="52"/>
      <c r="E638" s="52"/>
      <c r="F638" s="52"/>
      <c r="G638" s="52"/>
      <c r="H638" s="52"/>
      <c r="I638" s="52"/>
      <c r="J638" s="52"/>
      <c r="K638" s="52"/>
      <c r="L638" s="52"/>
      <c r="M638" s="52"/>
      <c r="N638" s="52"/>
      <c r="O638" s="52"/>
      <c r="P638" s="52"/>
      <c r="Q638" s="52"/>
      <c r="R638" s="52"/>
      <c r="S638" s="52"/>
      <c r="T638" s="52"/>
      <c r="U638" s="52"/>
      <c r="V638" s="52"/>
      <c r="W638" s="52"/>
      <c r="X638" s="52"/>
      <c r="Y638" s="52"/>
      <c r="Z638" s="52"/>
    </row>
    <row r="639">
      <c r="A639" s="59"/>
      <c r="B639" s="34"/>
      <c r="C639" s="52"/>
      <c r="D639" s="52"/>
      <c r="E639" s="52"/>
      <c r="F639" s="52"/>
      <c r="G639" s="52"/>
      <c r="H639" s="52"/>
      <c r="I639" s="52"/>
      <c r="J639" s="52"/>
      <c r="K639" s="52"/>
      <c r="L639" s="52"/>
      <c r="M639" s="52"/>
      <c r="N639" s="52"/>
      <c r="O639" s="52"/>
      <c r="P639" s="52"/>
      <c r="Q639" s="52"/>
      <c r="R639" s="52"/>
      <c r="S639" s="52"/>
      <c r="T639" s="52"/>
      <c r="U639" s="52"/>
      <c r="V639" s="52"/>
      <c r="W639" s="52"/>
      <c r="X639" s="52"/>
      <c r="Y639" s="52"/>
      <c r="Z639" s="52"/>
    </row>
    <row r="640">
      <c r="A640" s="59"/>
      <c r="B640" s="34"/>
      <c r="C640" s="52"/>
      <c r="D640" s="52"/>
      <c r="E640" s="52"/>
      <c r="F640" s="52"/>
      <c r="G640" s="52"/>
      <c r="H640" s="52"/>
      <c r="I640" s="52"/>
      <c r="J640" s="52"/>
      <c r="K640" s="52"/>
      <c r="L640" s="52"/>
      <c r="M640" s="52"/>
      <c r="N640" s="52"/>
      <c r="O640" s="52"/>
      <c r="P640" s="52"/>
      <c r="Q640" s="52"/>
      <c r="R640" s="52"/>
      <c r="S640" s="52"/>
      <c r="T640" s="52"/>
      <c r="U640" s="52"/>
      <c r="V640" s="52"/>
      <c r="W640" s="52"/>
      <c r="X640" s="52"/>
      <c r="Y640" s="52"/>
      <c r="Z640" s="52"/>
    </row>
    <row r="641">
      <c r="A641" s="59"/>
      <c r="B641" s="34"/>
      <c r="C641" s="52"/>
      <c r="D641" s="52"/>
      <c r="E641" s="52"/>
      <c r="F641" s="52"/>
      <c r="G641" s="52"/>
      <c r="H641" s="52"/>
      <c r="I641" s="52"/>
      <c r="J641" s="52"/>
      <c r="K641" s="52"/>
      <c r="L641" s="52"/>
      <c r="M641" s="52"/>
      <c r="N641" s="52"/>
      <c r="O641" s="52"/>
      <c r="P641" s="52"/>
      <c r="Q641" s="52"/>
      <c r="R641" s="52"/>
      <c r="S641" s="52"/>
      <c r="T641" s="52"/>
      <c r="U641" s="52"/>
      <c r="V641" s="52"/>
      <c r="W641" s="52"/>
      <c r="X641" s="52"/>
      <c r="Y641" s="52"/>
      <c r="Z641" s="52"/>
    </row>
    <row r="642">
      <c r="A642" s="59"/>
      <c r="B642" s="34"/>
      <c r="C642" s="52"/>
      <c r="D642" s="52"/>
      <c r="E642" s="52"/>
      <c r="F642" s="52"/>
      <c r="G642" s="52"/>
      <c r="H642" s="52"/>
      <c r="I642" s="52"/>
      <c r="J642" s="52"/>
      <c r="K642" s="52"/>
      <c r="L642" s="52"/>
      <c r="M642" s="52"/>
      <c r="N642" s="52"/>
      <c r="O642" s="52"/>
      <c r="P642" s="52"/>
      <c r="Q642" s="52"/>
      <c r="R642" s="52"/>
      <c r="S642" s="52"/>
      <c r="T642" s="52"/>
      <c r="U642" s="52"/>
      <c r="V642" s="52"/>
      <c r="W642" s="52"/>
      <c r="X642" s="52"/>
      <c r="Y642" s="52"/>
      <c r="Z642" s="52"/>
    </row>
    <row r="643">
      <c r="A643" s="59"/>
      <c r="B643" s="34"/>
      <c r="C643" s="52"/>
      <c r="D643" s="52"/>
      <c r="E643" s="52"/>
      <c r="F643" s="52"/>
      <c r="G643" s="52"/>
      <c r="H643" s="52"/>
      <c r="I643" s="52"/>
      <c r="J643" s="52"/>
      <c r="K643" s="52"/>
      <c r="L643" s="52"/>
      <c r="M643" s="52"/>
      <c r="N643" s="52"/>
      <c r="O643" s="52"/>
      <c r="P643" s="52"/>
      <c r="Q643" s="52"/>
      <c r="R643" s="52"/>
      <c r="S643" s="52"/>
      <c r="T643" s="52"/>
      <c r="U643" s="52"/>
      <c r="V643" s="52"/>
      <c r="W643" s="52"/>
      <c r="X643" s="52"/>
      <c r="Y643" s="52"/>
      <c r="Z643" s="52"/>
    </row>
    <row r="644">
      <c r="A644" s="59"/>
      <c r="B644" s="34"/>
      <c r="C644" s="52"/>
      <c r="D644" s="52"/>
      <c r="E644" s="52"/>
      <c r="F644" s="52"/>
      <c r="G644" s="52"/>
      <c r="H644" s="52"/>
      <c r="I644" s="52"/>
      <c r="J644" s="52"/>
      <c r="K644" s="52"/>
      <c r="L644" s="52"/>
      <c r="M644" s="52"/>
      <c r="N644" s="52"/>
      <c r="O644" s="52"/>
      <c r="P644" s="52"/>
      <c r="Q644" s="52"/>
      <c r="R644" s="52"/>
      <c r="S644" s="52"/>
      <c r="T644" s="52"/>
      <c r="U644" s="52"/>
      <c r="V644" s="52"/>
      <c r="W644" s="52"/>
      <c r="X644" s="52"/>
      <c r="Y644" s="52"/>
      <c r="Z644" s="52"/>
    </row>
    <row r="645">
      <c r="A645" s="59"/>
      <c r="B645" s="34"/>
      <c r="C645" s="52"/>
      <c r="D645" s="52"/>
      <c r="E645" s="52"/>
      <c r="F645" s="52"/>
      <c r="G645" s="52"/>
      <c r="H645" s="52"/>
      <c r="I645" s="52"/>
      <c r="J645" s="52"/>
      <c r="K645" s="52"/>
      <c r="L645" s="52"/>
      <c r="M645" s="52"/>
      <c r="N645" s="52"/>
      <c r="O645" s="52"/>
      <c r="P645" s="52"/>
      <c r="Q645" s="52"/>
      <c r="R645" s="52"/>
      <c r="S645" s="52"/>
      <c r="T645" s="52"/>
      <c r="U645" s="52"/>
      <c r="V645" s="52"/>
      <c r="W645" s="52"/>
      <c r="X645" s="52"/>
      <c r="Y645" s="52"/>
      <c r="Z645" s="52"/>
    </row>
    <row r="646">
      <c r="A646" s="59"/>
      <c r="B646" s="34"/>
      <c r="C646" s="52"/>
      <c r="D646" s="52"/>
      <c r="E646" s="52"/>
      <c r="F646" s="52"/>
      <c r="G646" s="52"/>
      <c r="H646" s="52"/>
      <c r="I646" s="52"/>
      <c r="J646" s="52"/>
      <c r="K646" s="52"/>
      <c r="L646" s="52"/>
      <c r="M646" s="52"/>
      <c r="N646" s="52"/>
      <c r="O646" s="52"/>
      <c r="P646" s="52"/>
      <c r="Q646" s="52"/>
      <c r="R646" s="52"/>
      <c r="S646" s="52"/>
      <c r="T646" s="52"/>
      <c r="U646" s="52"/>
      <c r="V646" s="52"/>
      <c r="W646" s="52"/>
      <c r="X646" s="52"/>
      <c r="Y646" s="52"/>
      <c r="Z646" s="52"/>
    </row>
    <row r="647">
      <c r="A647" s="59"/>
      <c r="B647" s="34"/>
      <c r="C647" s="52"/>
      <c r="D647" s="52"/>
      <c r="E647" s="52"/>
      <c r="F647" s="52"/>
      <c r="G647" s="52"/>
      <c r="H647" s="52"/>
      <c r="I647" s="52"/>
      <c r="J647" s="52"/>
      <c r="K647" s="52"/>
      <c r="L647" s="52"/>
      <c r="M647" s="52"/>
      <c r="N647" s="52"/>
      <c r="O647" s="52"/>
      <c r="P647" s="52"/>
      <c r="Q647" s="52"/>
      <c r="R647" s="52"/>
      <c r="S647" s="52"/>
      <c r="T647" s="52"/>
      <c r="U647" s="52"/>
      <c r="V647" s="52"/>
      <c r="W647" s="52"/>
      <c r="X647" s="52"/>
      <c r="Y647" s="52"/>
      <c r="Z647" s="52"/>
    </row>
    <row r="648">
      <c r="A648" s="59"/>
      <c r="B648" s="34"/>
      <c r="C648" s="52"/>
      <c r="D648" s="52"/>
      <c r="E648" s="52"/>
      <c r="F648" s="52"/>
      <c r="G648" s="52"/>
      <c r="H648" s="52"/>
      <c r="I648" s="52"/>
      <c r="J648" s="52"/>
      <c r="K648" s="52"/>
      <c r="L648" s="52"/>
      <c r="M648" s="52"/>
      <c r="N648" s="52"/>
      <c r="O648" s="52"/>
      <c r="P648" s="52"/>
      <c r="Q648" s="52"/>
      <c r="R648" s="52"/>
      <c r="S648" s="52"/>
      <c r="T648" s="52"/>
      <c r="U648" s="52"/>
      <c r="V648" s="52"/>
      <c r="W648" s="52"/>
      <c r="X648" s="52"/>
      <c r="Y648" s="52"/>
      <c r="Z648" s="52"/>
    </row>
    <row r="649">
      <c r="A649" s="59"/>
      <c r="B649" s="34"/>
      <c r="C649" s="52"/>
      <c r="D649" s="52"/>
      <c r="E649" s="52"/>
      <c r="F649" s="52"/>
      <c r="G649" s="52"/>
      <c r="H649" s="52"/>
      <c r="I649" s="52"/>
      <c r="J649" s="52"/>
      <c r="K649" s="52"/>
      <c r="L649" s="52"/>
      <c r="M649" s="52"/>
      <c r="N649" s="52"/>
      <c r="O649" s="52"/>
      <c r="P649" s="52"/>
      <c r="Q649" s="52"/>
      <c r="R649" s="52"/>
      <c r="S649" s="52"/>
      <c r="T649" s="52"/>
      <c r="U649" s="52"/>
      <c r="V649" s="52"/>
      <c r="W649" s="52"/>
      <c r="X649" s="52"/>
      <c r="Y649" s="52"/>
      <c r="Z649" s="52"/>
    </row>
    <row r="650">
      <c r="A650" s="59"/>
      <c r="B650" s="34"/>
      <c r="C650" s="52"/>
      <c r="D650" s="52"/>
      <c r="E650" s="52"/>
      <c r="F650" s="52"/>
      <c r="G650" s="52"/>
      <c r="H650" s="52"/>
      <c r="I650" s="52"/>
      <c r="J650" s="52"/>
      <c r="K650" s="52"/>
      <c r="L650" s="52"/>
      <c r="M650" s="52"/>
      <c r="N650" s="52"/>
      <c r="O650" s="52"/>
      <c r="P650" s="52"/>
      <c r="Q650" s="52"/>
      <c r="R650" s="52"/>
      <c r="S650" s="52"/>
      <c r="T650" s="52"/>
      <c r="U650" s="52"/>
      <c r="V650" s="52"/>
      <c r="W650" s="52"/>
      <c r="X650" s="52"/>
      <c r="Y650" s="52"/>
      <c r="Z650" s="52"/>
    </row>
    <row r="651">
      <c r="A651" s="59"/>
      <c r="B651" s="34"/>
      <c r="C651" s="52"/>
      <c r="D651" s="52"/>
      <c r="E651" s="52"/>
      <c r="F651" s="52"/>
      <c r="G651" s="52"/>
      <c r="H651" s="52"/>
      <c r="I651" s="52"/>
      <c r="J651" s="52"/>
      <c r="K651" s="52"/>
      <c r="L651" s="52"/>
      <c r="M651" s="52"/>
      <c r="N651" s="52"/>
      <c r="O651" s="52"/>
      <c r="P651" s="52"/>
      <c r="Q651" s="52"/>
      <c r="R651" s="52"/>
      <c r="S651" s="52"/>
      <c r="T651" s="52"/>
      <c r="U651" s="52"/>
      <c r="V651" s="52"/>
      <c r="W651" s="52"/>
      <c r="X651" s="52"/>
      <c r="Y651" s="52"/>
      <c r="Z651" s="52"/>
    </row>
    <row r="652">
      <c r="A652" s="59"/>
      <c r="B652" s="34"/>
      <c r="C652" s="52"/>
      <c r="D652" s="52"/>
      <c r="E652" s="52"/>
      <c r="F652" s="52"/>
      <c r="G652" s="52"/>
      <c r="H652" s="52"/>
      <c r="I652" s="52"/>
      <c r="J652" s="52"/>
      <c r="K652" s="52"/>
      <c r="L652" s="52"/>
      <c r="M652" s="52"/>
      <c r="N652" s="52"/>
      <c r="O652" s="52"/>
      <c r="P652" s="52"/>
      <c r="Q652" s="52"/>
      <c r="R652" s="52"/>
      <c r="S652" s="52"/>
      <c r="T652" s="52"/>
      <c r="U652" s="52"/>
      <c r="V652" s="52"/>
      <c r="W652" s="52"/>
      <c r="X652" s="52"/>
      <c r="Y652" s="52"/>
      <c r="Z652" s="52"/>
    </row>
    <row r="653">
      <c r="A653" s="59"/>
      <c r="B653" s="34"/>
      <c r="C653" s="52"/>
      <c r="D653" s="52"/>
      <c r="E653" s="52"/>
      <c r="F653" s="52"/>
      <c r="G653" s="52"/>
      <c r="H653" s="52"/>
      <c r="I653" s="52"/>
      <c r="J653" s="52"/>
      <c r="K653" s="52"/>
      <c r="L653" s="52"/>
      <c r="M653" s="52"/>
      <c r="N653" s="52"/>
      <c r="O653" s="52"/>
      <c r="P653" s="52"/>
      <c r="Q653" s="52"/>
      <c r="R653" s="52"/>
      <c r="S653" s="52"/>
      <c r="T653" s="52"/>
      <c r="U653" s="52"/>
      <c r="V653" s="52"/>
      <c r="W653" s="52"/>
      <c r="X653" s="52"/>
      <c r="Y653" s="52"/>
      <c r="Z653" s="52"/>
    </row>
    <row r="654">
      <c r="A654" s="59"/>
      <c r="B654" s="34"/>
      <c r="C654" s="52"/>
      <c r="D654" s="52"/>
      <c r="E654" s="52"/>
      <c r="F654" s="52"/>
      <c r="G654" s="52"/>
      <c r="H654" s="52"/>
      <c r="I654" s="52"/>
      <c r="J654" s="52"/>
      <c r="K654" s="52"/>
      <c r="L654" s="52"/>
      <c r="M654" s="52"/>
      <c r="N654" s="52"/>
      <c r="O654" s="52"/>
      <c r="P654" s="52"/>
      <c r="Q654" s="52"/>
      <c r="R654" s="52"/>
      <c r="S654" s="52"/>
      <c r="T654" s="52"/>
      <c r="U654" s="52"/>
      <c r="V654" s="52"/>
      <c r="W654" s="52"/>
      <c r="X654" s="52"/>
      <c r="Y654" s="52"/>
      <c r="Z654" s="52"/>
    </row>
    <row r="655">
      <c r="A655" s="59"/>
      <c r="B655" s="34"/>
      <c r="C655" s="52"/>
      <c r="D655" s="52"/>
      <c r="E655" s="52"/>
      <c r="F655" s="52"/>
      <c r="G655" s="52"/>
      <c r="H655" s="52"/>
      <c r="I655" s="52"/>
      <c r="J655" s="52"/>
      <c r="K655" s="52"/>
      <c r="L655" s="52"/>
      <c r="M655" s="52"/>
      <c r="N655" s="52"/>
      <c r="O655" s="52"/>
      <c r="P655" s="52"/>
      <c r="Q655" s="52"/>
      <c r="R655" s="52"/>
      <c r="S655" s="52"/>
      <c r="T655" s="52"/>
      <c r="U655" s="52"/>
      <c r="V655" s="52"/>
      <c r="W655" s="52"/>
      <c r="X655" s="52"/>
      <c r="Y655" s="52"/>
      <c r="Z655" s="52"/>
    </row>
    <row r="656">
      <c r="A656" s="59"/>
      <c r="B656" s="34"/>
      <c r="C656" s="52"/>
      <c r="D656" s="52"/>
      <c r="E656" s="52"/>
      <c r="F656" s="52"/>
      <c r="G656" s="52"/>
      <c r="H656" s="52"/>
      <c r="I656" s="52"/>
      <c r="J656" s="52"/>
      <c r="K656" s="52"/>
      <c r="L656" s="52"/>
      <c r="M656" s="52"/>
      <c r="N656" s="52"/>
      <c r="O656" s="52"/>
      <c r="P656" s="52"/>
      <c r="Q656" s="52"/>
      <c r="R656" s="52"/>
      <c r="S656" s="52"/>
      <c r="T656" s="52"/>
      <c r="U656" s="52"/>
      <c r="V656" s="52"/>
      <c r="W656" s="52"/>
      <c r="X656" s="52"/>
      <c r="Y656" s="52"/>
      <c r="Z656" s="52"/>
    </row>
    <row r="657">
      <c r="A657" s="59"/>
      <c r="B657" s="34"/>
      <c r="C657" s="52"/>
      <c r="D657" s="52"/>
      <c r="E657" s="52"/>
      <c r="F657" s="52"/>
      <c r="G657" s="52"/>
      <c r="H657" s="52"/>
      <c r="I657" s="52"/>
      <c r="J657" s="52"/>
      <c r="K657" s="52"/>
      <c r="L657" s="52"/>
      <c r="M657" s="52"/>
      <c r="N657" s="52"/>
      <c r="O657" s="52"/>
      <c r="P657" s="52"/>
      <c r="Q657" s="52"/>
      <c r="R657" s="52"/>
      <c r="S657" s="52"/>
      <c r="T657" s="52"/>
      <c r="U657" s="52"/>
      <c r="V657" s="52"/>
      <c r="W657" s="52"/>
      <c r="X657" s="52"/>
      <c r="Y657" s="52"/>
      <c r="Z657" s="52"/>
    </row>
    <row r="658">
      <c r="A658" s="59"/>
      <c r="B658" s="34"/>
      <c r="C658" s="52"/>
      <c r="D658" s="52"/>
      <c r="E658" s="52"/>
      <c r="F658" s="52"/>
      <c r="G658" s="52"/>
      <c r="H658" s="52"/>
      <c r="I658" s="52"/>
      <c r="J658" s="52"/>
      <c r="K658" s="52"/>
      <c r="L658" s="52"/>
      <c r="M658" s="52"/>
      <c r="N658" s="52"/>
      <c r="O658" s="52"/>
      <c r="P658" s="52"/>
      <c r="Q658" s="52"/>
      <c r="R658" s="52"/>
      <c r="S658" s="52"/>
      <c r="T658" s="52"/>
      <c r="U658" s="52"/>
      <c r="V658" s="52"/>
      <c r="W658" s="52"/>
      <c r="X658" s="52"/>
      <c r="Y658" s="52"/>
      <c r="Z658" s="52"/>
    </row>
    <row r="659">
      <c r="A659" s="59"/>
      <c r="B659" s="34"/>
      <c r="C659" s="52"/>
      <c r="D659" s="52"/>
      <c r="E659" s="52"/>
      <c r="F659" s="52"/>
      <c r="G659" s="52"/>
      <c r="H659" s="52"/>
      <c r="I659" s="52"/>
      <c r="J659" s="52"/>
      <c r="K659" s="52"/>
      <c r="L659" s="52"/>
      <c r="M659" s="52"/>
      <c r="N659" s="52"/>
      <c r="O659" s="52"/>
      <c r="P659" s="52"/>
      <c r="Q659" s="52"/>
      <c r="R659" s="52"/>
      <c r="S659" s="52"/>
      <c r="T659" s="52"/>
      <c r="U659" s="52"/>
      <c r="V659" s="52"/>
      <c r="W659" s="52"/>
      <c r="X659" s="52"/>
      <c r="Y659" s="52"/>
      <c r="Z659" s="52"/>
    </row>
    <row r="660">
      <c r="A660" s="59"/>
      <c r="B660" s="34"/>
      <c r="C660" s="52"/>
      <c r="D660" s="52"/>
      <c r="E660" s="52"/>
      <c r="F660" s="52"/>
      <c r="G660" s="52"/>
      <c r="H660" s="52"/>
      <c r="I660" s="52"/>
      <c r="J660" s="52"/>
      <c r="K660" s="52"/>
      <c r="L660" s="52"/>
      <c r="M660" s="52"/>
      <c r="N660" s="52"/>
      <c r="O660" s="52"/>
      <c r="P660" s="52"/>
      <c r="Q660" s="52"/>
      <c r="R660" s="52"/>
      <c r="S660" s="52"/>
      <c r="T660" s="52"/>
      <c r="U660" s="52"/>
      <c r="V660" s="52"/>
      <c r="W660" s="52"/>
      <c r="X660" s="52"/>
      <c r="Y660" s="52"/>
      <c r="Z660" s="52"/>
    </row>
    <row r="661">
      <c r="A661" s="59"/>
      <c r="B661" s="34"/>
      <c r="C661" s="52"/>
      <c r="D661" s="52"/>
      <c r="E661" s="52"/>
      <c r="F661" s="52"/>
      <c r="G661" s="52"/>
      <c r="H661" s="52"/>
      <c r="I661" s="52"/>
      <c r="J661" s="52"/>
      <c r="K661" s="52"/>
      <c r="L661" s="52"/>
      <c r="M661" s="52"/>
      <c r="N661" s="52"/>
      <c r="O661" s="52"/>
      <c r="P661" s="52"/>
      <c r="Q661" s="52"/>
      <c r="R661" s="52"/>
      <c r="S661" s="52"/>
      <c r="T661" s="52"/>
      <c r="U661" s="52"/>
      <c r="V661" s="52"/>
      <c r="W661" s="52"/>
      <c r="X661" s="52"/>
      <c r="Y661" s="52"/>
      <c r="Z661" s="52"/>
    </row>
    <row r="662">
      <c r="A662" s="59"/>
      <c r="B662" s="34"/>
      <c r="C662" s="52"/>
      <c r="D662" s="52"/>
      <c r="E662" s="52"/>
      <c r="F662" s="52"/>
      <c r="G662" s="52"/>
      <c r="H662" s="52"/>
      <c r="I662" s="52"/>
      <c r="J662" s="52"/>
      <c r="K662" s="52"/>
      <c r="L662" s="52"/>
      <c r="M662" s="52"/>
      <c r="N662" s="52"/>
      <c r="O662" s="52"/>
      <c r="P662" s="52"/>
      <c r="Q662" s="52"/>
      <c r="R662" s="52"/>
      <c r="S662" s="52"/>
      <c r="T662" s="52"/>
      <c r="U662" s="52"/>
      <c r="V662" s="52"/>
      <c r="W662" s="52"/>
      <c r="X662" s="52"/>
      <c r="Y662" s="52"/>
      <c r="Z662" s="52"/>
    </row>
    <row r="663">
      <c r="A663" s="59"/>
      <c r="B663" s="34"/>
      <c r="C663" s="52"/>
      <c r="D663" s="52"/>
      <c r="E663" s="52"/>
      <c r="F663" s="52"/>
      <c r="G663" s="52"/>
      <c r="H663" s="52"/>
      <c r="I663" s="52"/>
      <c r="J663" s="52"/>
      <c r="K663" s="52"/>
      <c r="L663" s="52"/>
      <c r="M663" s="52"/>
      <c r="N663" s="52"/>
      <c r="O663" s="52"/>
      <c r="P663" s="52"/>
      <c r="Q663" s="52"/>
      <c r="R663" s="52"/>
      <c r="S663" s="52"/>
      <c r="T663" s="52"/>
      <c r="U663" s="52"/>
      <c r="V663" s="52"/>
      <c r="W663" s="52"/>
      <c r="X663" s="52"/>
      <c r="Y663" s="52"/>
      <c r="Z663" s="52"/>
    </row>
    <row r="664">
      <c r="A664" s="59"/>
      <c r="B664" s="34"/>
      <c r="C664" s="52"/>
      <c r="D664" s="52"/>
      <c r="E664" s="52"/>
      <c r="F664" s="52"/>
      <c r="G664" s="52"/>
      <c r="H664" s="52"/>
      <c r="I664" s="52"/>
      <c r="J664" s="52"/>
      <c r="K664" s="52"/>
      <c r="L664" s="52"/>
      <c r="M664" s="52"/>
      <c r="N664" s="52"/>
      <c r="O664" s="52"/>
      <c r="P664" s="52"/>
      <c r="Q664" s="52"/>
      <c r="R664" s="52"/>
      <c r="S664" s="52"/>
      <c r="T664" s="52"/>
      <c r="U664" s="52"/>
      <c r="V664" s="52"/>
      <c r="W664" s="52"/>
      <c r="X664" s="52"/>
      <c r="Y664" s="52"/>
      <c r="Z664" s="52"/>
    </row>
    <row r="665">
      <c r="A665" s="59"/>
      <c r="B665" s="34"/>
      <c r="C665" s="52"/>
      <c r="D665" s="52"/>
      <c r="E665" s="52"/>
      <c r="F665" s="52"/>
      <c r="G665" s="52"/>
      <c r="H665" s="52"/>
      <c r="I665" s="52"/>
      <c r="J665" s="52"/>
      <c r="K665" s="52"/>
      <c r="L665" s="52"/>
      <c r="M665" s="52"/>
      <c r="N665" s="52"/>
      <c r="O665" s="52"/>
      <c r="P665" s="52"/>
      <c r="Q665" s="52"/>
      <c r="R665" s="52"/>
      <c r="S665" s="52"/>
      <c r="T665" s="52"/>
      <c r="U665" s="52"/>
      <c r="V665" s="52"/>
      <c r="W665" s="52"/>
      <c r="X665" s="52"/>
      <c r="Y665" s="52"/>
      <c r="Z665" s="52"/>
    </row>
    <row r="666">
      <c r="A666" s="59"/>
      <c r="B666" s="34"/>
      <c r="C666" s="52"/>
      <c r="D666" s="52"/>
      <c r="E666" s="52"/>
      <c r="F666" s="52"/>
      <c r="G666" s="52"/>
      <c r="H666" s="52"/>
      <c r="I666" s="52"/>
      <c r="J666" s="52"/>
      <c r="K666" s="52"/>
      <c r="L666" s="52"/>
      <c r="M666" s="52"/>
      <c r="N666" s="52"/>
      <c r="O666" s="52"/>
      <c r="P666" s="52"/>
      <c r="Q666" s="52"/>
      <c r="R666" s="52"/>
      <c r="S666" s="52"/>
      <c r="T666" s="52"/>
      <c r="U666" s="52"/>
      <c r="V666" s="52"/>
      <c r="W666" s="52"/>
      <c r="X666" s="52"/>
      <c r="Y666" s="52"/>
      <c r="Z666" s="52"/>
    </row>
    <row r="667">
      <c r="A667" s="59"/>
      <c r="B667" s="34"/>
      <c r="C667" s="52"/>
      <c r="D667" s="52"/>
      <c r="E667" s="52"/>
      <c r="F667" s="52"/>
      <c r="G667" s="52"/>
      <c r="H667" s="52"/>
      <c r="I667" s="52"/>
      <c r="J667" s="52"/>
      <c r="K667" s="52"/>
      <c r="L667" s="52"/>
      <c r="M667" s="52"/>
      <c r="N667" s="52"/>
      <c r="O667" s="52"/>
      <c r="P667" s="52"/>
      <c r="Q667" s="52"/>
      <c r="R667" s="52"/>
      <c r="S667" s="52"/>
      <c r="T667" s="52"/>
      <c r="U667" s="52"/>
      <c r="V667" s="52"/>
      <c r="W667" s="52"/>
      <c r="X667" s="52"/>
      <c r="Y667" s="52"/>
      <c r="Z667" s="52"/>
    </row>
    <row r="668">
      <c r="A668" s="59"/>
      <c r="B668" s="34"/>
      <c r="C668" s="52"/>
      <c r="D668" s="52"/>
      <c r="E668" s="52"/>
      <c r="F668" s="52"/>
      <c r="G668" s="52"/>
      <c r="H668" s="52"/>
      <c r="I668" s="52"/>
      <c r="J668" s="52"/>
      <c r="K668" s="52"/>
      <c r="L668" s="52"/>
      <c r="M668" s="52"/>
      <c r="N668" s="52"/>
      <c r="O668" s="52"/>
      <c r="P668" s="52"/>
      <c r="Q668" s="52"/>
      <c r="R668" s="52"/>
      <c r="S668" s="52"/>
      <c r="T668" s="52"/>
      <c r="U668" s="52"/>
      <c r="V668" s="52"/>
      <c r="W668" s="52"/>
      <c r="X668" s="52"/>
      <c r="Y668" s="52"/>
      <c r="Z668" s="52"/>
    </row>
    <row r="669">
      <c r="A669" s="59"/>
      <c r="B669" s="34"/>
      <c r="C669" s="52"/>
      <c r="D669" s="52"/>
      <c r="E669" s="52"/>
      <c r="F669" s="52"/>
      <c r="G669" s="52"/>
      <c r="H669" s="52"/>
      <c r="I669" s="52"/>
      <c r="J669" s="52"/>
      <c r="K669" s="52"/>
      <c r="L669" s="52"/>
      <c r="M669" s="52"/>
      <c r="N669" s="52"/>
      <c r="O669" s="52"/>
      <c r="P669" s="52"/>
      <c r="Q669" s="52"/>
      <c r="R669" s="52"/>
      <c r="S669" s="52"/>
      <c r="T669" s="52"/>
      <c r="U669" s="52"/>
      <c r="V669" s="52"/>
      <c r="W669" s="52"/>
      <c r="X669" s="52"/>
      <c r="Y669" s="52"/>
      <c r="Z669" s="52"/>
    </row>
    <row r="670">
      <c r="A670" s="59"/>
      <c r="B670" s="34"/>
      <c r="C670" s="52"/>
      <c r="D670" s="52"/>
      <c r="E670" s="52"/>
      <c r="F670" s="52"/>
      <c r="G670" s="52"/>
      <c r="H670" s="52"/>
      <c r="I670" s="52"/>
      <c r="J670" s="52"/>
      <c r="K670" s="52"/>
      <c r="L670" s="52"/>
      <c r="M670" s="52"/>
      <c r="N670" s="52"/>
      <c r="O670" s="52"/>
      <c r="P670" s="52"/>
      <c r="Q670" s="52"/>
      <c r="R670" s="52"/>
      <c r="S670" s="52"/>
      <c r="T670" s="52"/>
      <c r="U670" s="52"/>
      <c r="V670" s="52"/>
      <c r="W670" s="52"/>
      <c r="X670" s="52"/>
      <c r="Y670" s="52"/>
      <c r="Z670" s="52"/>
    </row>
    <row r="671">
      <c r="A671" s="59"/>
      <c r="B671" s="34"/>
      <c r="C671" s="52"/>
      <c r="D671" s="52"/>
      <c r="E671" s="52"/>
      <c r="F671" s="52"/>
      <c r="G671" s="52"/>
      <c r="H671" s="52"/>
      <c r="I671" s="52"/>
      <c r="J671" s="52"/>
      <c r="K671" s="52"/>
      <c r="L671" s="52"/>
      <c r="M671" s="52"/>
      <c r="N671" s="52"/>
      <c r="O671" s="52"/>
      <c r="P671" s="52"/>
      <c r="Q671" s="52"/>
      <c r="R671" s="52"/>
      <c r="S671" s="52"/>
      <c r="T671" s="52"/>
      <c r="U671" s="52"/>
      <c r="V671" s="52"/>
      <c r="W671" s="52"/>
      <c r="X671" s="52"/>
      <c r="Y671" s="52"/>
      <c r="Z671" s="52"/>
    </row>
    <row r="672">
      <c r="A672" s="59"/>
      <c r="B672" s="34"/>
      <c r="C672" s="52"/>
      <c r="D672" s="52"/>
      <c r="E672" s="52"/>
      <c r="F672" s="52"/>
      <c r="G672" s="52"/>
      <c r="H672" s="52"/>
      <c r="I672" s="52"/>
      <c r="J672" s="52"/>
      <c r="K672" s="52"/>
      <c r="L672" s="52"/>
      <c r="M672" s="52"/>
      <c r="N672" s="52"/>
      <c r="O672" s="52"/>
      <c r="P672" s="52"/>
      <c r="Q672" s="52"/>
      <c r="R672" s="52"/>
      <c r="S672" s="52"/>
      <c r="T672" s="52"/>
      <c r="U672" s="52"/>
      <c r="V672" s="52"/>
      <c r="W672" s="52"/>
      <c r="X672" s="52"/>
      <c r="Y672" s="52"/>
      <c r="Z672" s="52"/>
    </row>
    <row r="673">
      <c r="A673" s="59"/>
      <c r="B673" s="34"/>
      <c r="C673" s="52"/>
      <c r="D673" s="52"/>
      <c r="E673" s="52"/>
      <c r="F673" s="52"/>
      <c r="G673" s="52"/>
      <c r="H673" s="52"/>
      <c r="I673" s="52"/>
      <c r="J673" s="52"/>
      <c r="K673" s="52"/>
      <c r="L673" s="52"/>
      <c r="M673" s="52"/>
      <c r="N673" s="52"/>
      <c r="O673" s="52"/>
      <c r="P673" s="52"/>
      <c r="Q673" s="52"/>
      <c r="R673" s="52"/>
      <c r="S673" s="52"/>
      <c r="T673" s="52"/>
      <c r="U673" s="52"/>
      <c r="V673" s="52"/>
      <c r="W673" s="52"/>
      <c r="X673" s="52"/>
      <c r="Y673" s="52"/>
      <c r="Z673" s="52"/>
    </row>
    <row r="674">
      <c r="A674" s="59"/>
      <c r="B674" s="34"/>
      <c r="C674" s="52"/>
      <c r="D674" s="52"/>
      <c r="E674" s="52"/>
      <c r="F674" s="52"/>
      <c r="G674" s="52"/>
      <c r="H674" s="52"/>
      <c r="I674" s="52"/>
      <c r="J674" s="52"/>
      <c r="K674" s="52"/>
      <c r="L674" s="52"/>
      <c r="M674" s="52"/>
      <c r="N674" s="52"/>
      <c r="O674" s="52"/>
      <c r="P674" s="52"/>
      <c r="Q674" s="52"/>
      <c r="R674" s="52"/>
      <c r="S674" s="52"/>
      <c r="T674" s="52"/>
      <c r="U674" s="52"/>
      <c r="V674" s="52"/>
      <c r="W674" s="52"/>
      <c r="X674" s="52"/>
      <c r="Y674" s="52"/>
      <c r="Z674" s="52"/>
    </row>
    <row r="675">
      <c r="A675" s="59"/>
      <c r="B675" s="34"/>
      <c r="C675" s="52"/>
      <c r="D675" s="52"/>
      <c r="E675" s="52"/>
      <c r="F675" s="52"/>
      <c r="G675" s="52"/>
      <c r="H675" s="52"/>
      <c r="I675" s="52"/>
      <c r="J675" s="52"/>
      <c r="K675" s="52"/>
      <c r="L675" s="52"/>
      <c r="M675" s="52"/>
      <c r="N675" s="52"/>
      <c r="O675" s="52"/>
      <c r="P675" s="52"/>
      <c r="Q675" s="52"/>
      <c r="R675" s="52"/>
      <c r="S675" s="52"/>
      <c r="T675" s="52"/>
      <c r="U675" s="52"/>
      <c r="V675" s="52"/>
      <c r="W675" s="52"/>
      <c r="X675" s="52"/>
      <c r="Y675" s="52"/>
      <c r="Z675" s="52"/>
    </row>
    <row r="676">
      <c r="A676" s="59"/>
      <c r="B676" s="34"/>
      <c r="C676" s="52"/>
      <c r="D676" s="52"/>
      <c r="E676" s="52"/>
      <c r="F676" s="52"/>
      <c r="G676" s="52"/>
      <c r="H676" s="52"/>
      <c r="I676" s="52"/>
      <c r="J676" s="52"/>
      <c r="K676" s="52"/>
      <c r="L676" s="52"/>
      <c r="M676" s="52"/>
      <c r="N676" s="52"/>
      <c r="O676" s="52"/>
      <c r="P676" s="52"/>
      <c r="Q676" s="52"/>
      <c r="R676" s="52"/>
      <c r="S676" s="52"/>
      <c r="T676" s="52"/>
      <c r="U676" s="52"/>
      <c r="V676" s="52"/>
      <c r="W676" s="52"/>
      <c r="X676" s="52"/>
      <c r="Y676" s="52"/>
      <c r="Z676" s="52"/>
    </row>
    <row r="677">
      <c r="A677" s="59"/>
      <c r="B677" s="34"/>
      <c r="C677" s="52"/>
      <c r="D677" s="52"/>
      <c r="E677" s="52"/>
      <c r="F677" s="52"/>
      <c r="G677" s="52"/>
      <c r="H677" s="52"/>
      <c r="I677" s="52"/>
      <c r="J677" s="52"/>
      <c r="K677" s="52"/>
      <c r="L677" s="52"/>
      <c r="M677" s="52"/>
      <c r="N677" s="52"/>
      <c r="O677" s="52"/>
      <c r="P677" s="52"/>
      <c r="Q677" s="52"/>
      <c r="R677" s="52"/>
      <c r="S677" s="52"/>
      <c r="T677" s="52"/>
      <c r="U677" s="52"/>
      <c r="V677" s="52"/>
      <c r="W677" s="52"/>
      <c r="X677" s="52"/>
      <c r="Y677" s="52"/>
      <c r="Z677" s="52"/>
    </row>
    <row r="678">
      <c r="A678" s="59"/>
      <c r="B678" s="34"/>
      <c r="C678" s="52"/>
      <c r="D678" s="52"/>
      <c r="E678" s="52"/>
      <c r="F678" s="52"/>
      <c r="G678" s="52"/>
      <c r="H678" s="52"/>
      <c r="I678" s="52"/>
      <c r="J678" s="52"/>
      <c r="K678" s="52"/>
      <c r="L678" s="52"/>
      <c r="M678" s="52"/>
      <c r="N678" s="52"/>
      <c r="O678" s="52"/>
      <c r="P678" s="52"/>
      <c r="Q678" s="52"/>
      <c r="R678" s="52"/>
      <c r="S678" s="52"/>
      <c r="T678" s="52"/>
      <c r="U678" s="52"/>
      <c r="V678" s="52"/>
      <c r="W678" s="52"/>
      <c r="X678" s="52"/>
      <c r="Y678" s="52"/>
      <c r="Z678" s="52"/>
    </row>
    <row r="679">
      <c r="A679" s="59"/>
      <c r="B679" s="34"/>
      <c r="C679" s="52"/>
      <c r="D679" s="52"/>
      <c r="E679" s="52"/>
      <c r="F679" s="52"/>
      <c r="G679" s="52"/>
      <c r="H679" s="52"/>
      <c r="I679" s="52"/>
      <c r="J679" s="52"/>
      <c r="K679" s="52"/>
      <c r="L679" s="52"/>
      <c r="M679" s="52"/>
      <c r="N679" s="52"/>
      <c r="O679" s="52"/>
      <c r="P679" s="52"/>
      <c r="Q679" s="52"/>
      <c r="R679" s="52"/>
      <c r="S679" s="52"/>
      <c r="T679" s="52"/>
      <c r="U679" s="52"/>
      <c r="V679" s="52"/>
      <c r="W679" s="52"/>
      <c r="X679" s="52"/>
      <c r="Y679" s="52"/>
      <c r="Z679" s="52"/>
    </row>
    <row r="680">
      <c r="A680" s="59"/>
      <c r="B680" s="34"/>
      <c r="C680" s="52"/>
      <c r="D680" s="52"/>
      <c r="E680" s="52"/>
      <c r="F680" s="52"/>
      <c r="G680" s="52"/>
      <c r="H680" s="52"/>
      <c r="I680" s="52"/>
      <c r="J680" s="52"/>
      <c r="K680" s="52"/>
      <c r="L680" s="52"/>
      <c r="M680" s="52"/>
      <c r="N680" s="52"/>
      <c r="O680" s="52"/>
      <c r="P680" s="52"/>
      <c r="Q680" s="52"/>
      <c r="R680" s="52"/>
      <c r="S680" s="52"/>
      <c r="T680" s="52"/>
      <c r="U680" s="52"/>
      <c r="V680" s="52"/>
      <c r="W680" s="52"/>
      <c r="X680" s="52"/>
      <c r="Y680" s="52"/>
      <c r="Z680" s="52"/>
    </row>
    <row r="681">
      <c r="A681" s="59"/>
      <c r="B681" s="34"/>
      <c r="C681" s="52"/>
      <c r="D681" s="52"/>
      <c r="E681" s="52"/>
      <c r="F681" s="52"/>
      <c r="G681" s="52"/>
      <c r="H681" s="52"/>
      <c r="I681" s="52"/>
      <c r="J681" s="52"/>
      <c r="K681" s="52"/>
      <c r="L681" s="52"/>
      <c r="M681" s="52"/>
      <c r="N681" s="52"/>
      <c r="O681" s="52"/>
      <c r="P681" s="52"/>
      <c r="Q681" s="52"/>
      <c r="R681" s="52"/>
      <c r="S681" s="52"/>
      <c r="T681" s="52"/>
      <c r="U681" s="52"/>
      <c r="V681" s="52"/>
      <c r="W681" s="52"/>
      <c r="X681" s="52"/>
      <c r="Y681" s="52"/>
      <c r="Z681" s="52"/>
    </row>
    <row r="682">
      <c r="A682" s="59"/>
      <c r="B682" s="34"/>
      <c r="C682" s="52"/>
      <c r="D682" s="52"/>
      <c r="E682" s="52"/>
      <c r="F682" s="52"/>
      <c r="G682" s="52"/>
      <c r="H682" s="52"/>
      <c r="I682" s="52"/>
      <c r="J682" s="52"/>
      <c r="K682" s="52"/>
      <c r="L682" s="52"/>
      <c r="M682" s="52"/>
      <c r="N682" s="52"/>
      <c r="O682" s="52"/>
      <c r="P682" s="52"/>
      <c r="Q682" s="52"/>
      <c r="R682" s="52"/>
      <c r="S682" s="52"/>
      <c r="T682" s="52"/>
      <c r="U682" s="52"/>
      <c r="V682" s="52"/>
      <c r="W682" s="52"/>
      <c r="X682" s="52"/>
      <c r="Y682" s="52"/>
      <c r="Z682" s="52"/>
    </row>
    <row r="683">
      <c r="A683" s="59"/>
      <c r="B683" s="34"/>
      <c r="C683" s="52"/>
      <c r="D683" s="52"/>
      <c r="E683" s="52"/>
      <c r="F683" s="52"/>
      <c r="G683" s="52"/>
      <c r="H683" s="52"/>
      <c r="I683" s="52"/>
      <c r="J683" s="52"/>
      <c r="K683" s="52"/>
      <c r="L683" s="52"/>
      <c r="M683" s="52"/>
      <c r="N683" s="52"/>
      <c r="O683" s="52"/>
      <c r="P683" s="52"/>
      <c r="Q683" s="52"/>
      <c r="R683" s="52"/>
      <c r="S683" s="52"/>
      <c r="T683" s="52"/>
      <c r="U683" s="52"/>
      <c r="V683" s="52"/>
      <c r="W683" s="52"/>
      <c r="X683" s="52"/>
      <c r="Y683" s="52"/>
      <c r="Z683" s="52"/>
    </row>
    <row r="684">
      <c r="A684" s="59"/>
      <c r="B684" s="34"/>
      <c r="C684" s="52"/>
      <c r="D684" s="52"/>
      <c r="E684" s="52"/>
      <c r="F684" s="52"/>
      <c r="G684" s="52"/>
      <c r="H684" s="52"/>
      <c r="I684" s="52"/>
      <c r="J684" s="52"/>
      <c r="K684" s="52"/>
      <c r="L684" s="52"/>
      <c r="M684" s="52"/>
      <c r="N684" s="52"/>
      <c r="O684" s="52"/>
      <c r="P684" s="52"/>
      <c r="Q684" s="52"/>
      <c r="R684" s="52"/>
      <c r="S684" s="52"/>
      <c r="T684" s="52"/>
      <c r="U684" s="52"/>
      <c r="V684" s="52"/>
      <c r="W684" s="52"/>
      <c r="X684" s="52"/>
      <c r="Y684" s="52"/>
      <c r="Z684" s="52"/>
    </row>
    <row r="685">
      <c r="A685" s="59"/>
      <c r="B685" s="34"/>
      <c r="C685" s="52"/>
      <c r="D685" s="52"/>
      <c r="E685" s="52"/>
      <c r="F685" s="52"/>
      <c r="G685" s="52"/>
      <c r="H685" s="52"/>
      <c r="I685" s="52"/>
      <c r="J685" s="52"/>
      <c r="K685" s="52"/>
      <c r="L685" s="52"/>
      <c r="M685" s="52"/>
      <c r="N685" s="52"/>
      <c r="O685" s="52"/>
      <c r="P685" s="52"/>
      <c r="Q685" s="52"/>
      <c r="R685" s="52"/>
      <c r="S685" s="52"/>
      <c r="T685" s="52"/>
      <c r="U685" s="52"/>
      <c r="V685" s="52"/>
      <c r="W685" s="52"/>
      <c r="X685" s="52"/>
      <c r="Y685" s="52"/>
      <c r="Z685" s="52"/>
    </row>
    <row r="686">
      <c r="A686" s="59"/>
      <c r="B686" s="34"/>
      <c r="C686" s="52"/>
      <c r="D686" s="52"/>
      <c r="E686" s="52"/>
      <c r="F686" s="52"/>
      <c r="G686" s="52"/>
      <c r="H686" s="52"/>
      <c r="I686" s="52"/>
      <c r="J686" s="52"/>
      <c r="K686" s="52"/>
      <c r="L686" s="52"/>
      <c r="M686" s="52"/>
      <c r="N686" s="52"/>
      <c r="O686" s="52"/>
      <c r="P686" s="52"/>
      <c r="Q686" s="52"/>
      <c r="R686" s="52"/>
      <c r="S686" s="52"/>
      <c r="T686" s="52"/>
      <c r="U686" s="52"/>
      <c r="V686" s="52"/>
      <c r="W686" s="52"/>
      <c r="X686" s="52"/>
      <c r="Y686" s="52"/>
      <c r="Z686" s="52"/>
    </row>
    <row r="687">
      <c r="A687" s="59"/>
      <c r="B687" s="34"/>
      <c r="C687" s="52"/>
      <c r="D687" s="52"/>
      <c r="E687" s="52"/>
      <c r="F687" s="52"/>
      <c r="G687" s="52"/>
      <c r="H687" s="52"/>
      <c r="I687" s="52"/>
      <c r="J687" s="52"/>
      <c r="K687" s="52"/>
      <c r="L687" s="52"/>
      <c r="M687" s="52"/>
      <c r="N687" s="52"/>
      <c r="O687" s="52"/>
      <c r="P687" s="52"/>
      <c r="Q687" s="52"/>
      <c r="R687" s="52"/>
      <c r="S687" s="52"/>
      <c r="T687" s="52"/>
      <c r="U687" s="52"/>
      <c r="V687" s="52"/>
      <c r="W687" s="52"/>
      <c r="X687" s="52"/>
      <c r="Y687" s="52"/>
      <c r="Z687" s="52"/>
    </row>
    <row r="688">
      <c r="A688" s="59"/>
      <c r="B688" s="34"/>
      <c r="C688" s="52"/>
      <c r="D688" s="52"/>
      <c r="E688" s="52"/>
      <c r="F688" s="52"/>
      <c r="G688" s="52"/>
      <c r="H688" s="52"/>
      <c r="I688" s="52"/>
      <c r="J688" s="52"/>
      <c r="K688" s="52"/>
      <c r="L688" s="52"/>
      <c r="M688" s="52"/>
      <c r="N688" s="52"/>
      <c r="O688" s="52"/>
      <c r="P688" s="52"/>
      <c r="Q688" s="52"/>
      <c r="R688" s="52"/>
      <c r="S688" s="52"/>
      <c r="T688" s="52"/>
      <c r="U688" s="52"/>
      <c r="V688" s="52"/>
      <c r="W688" s="52"/>
      <c r="X688" s="52"/>
      <c r="Y688" s="52"/>
      <c r="Z688" s="52"/>
    </row>
    <row r="689">
      <c r="A689" s="59"/>
      <c r="B689" s="34"/>
      <c r="C689" s="52"/>
      <c r="D689" s="52"/>
      <c r="E689" s="52"/>
      <c r="F689" s="52"/>
      <c r="G689" s="52"/>
      <c r="H689" s="52"/>
      <c r="I689" s="52"/>
      <c r="J689" s="52"/>
      <c r="K689" s="52"/>
      <c r="L689" s="52"/>
      <c r="M689" s="52"/>
      <c r="N689" s="52"/>
      <c r="O689" s="52"/>
      <c r="P689" s="52"/>
      <c r="Q689" s="52"/>
      <c r="R689" s="52"/>
      <c r="S689" s="52"/>
      <c r="T689" s="52"/>
      <c r="U689" s="52"/>
      <c r="V689" s="52"/>
      <c r="W689" s="52"/>
      <c r="X689" s="52"/>
      <c r="Y689" s="52"/>
      <c r="Z689" s="52"/>
    </row>
    <row r="690">
      <c r="A690" s="59"/>
      <c r="B690" s="34"/>
      <c r="C690" s="52"/>
      <c r="D690" s="52"/>
      <c r="E690" s="52"/>
      <c r="F690" s="52"/>
      <c r="G690" s="52"/>
      <c r="H690" s="52"/>
      <c r="I690" s="52"/>
      <c r="J690" s="52"/>
      <c r="K690" s="52"/>
      <c r="L690" s="52"/>
      <c r="M690" s="52"/>
      <c r="N690" s="52"/>
      <c r="O690" s="52"/>
      <c r="P690" s="52"/>
      <c r="Q690" s="52"/>
      <c r="R690" s="52"/>
      <c r="S690" s="52"/>
      <c r="T690" s="52"/>
      <c r="U690" s="52"/>
      <c r="V690" s="52"/>
      <c r="W690" s="52"/>
      <c r="X690" s="52"/>
      <c r="Y690" s="52"/>
      <c r="Z690" s="52"/>
    </row>
    <row r="691">
      <c r="A691" s="59"/>
      <c r="B691" s="34"/>
      <c r="C691" s="52"/>
      <c r="D691" s="52"/>
      <c r="E691" s="52"/>
      <c r="F691" s="52"/>
      <c r="G691" s="52"/>
      <c r="H691" s="52"/>
      <c r="I691" s="52"/>
      <c r="J691" s="52"/>
      <c r="K691" s="52"/>
      <c r="L691" s="52"/>
      <c r="M691" s="52"/>
      <c r="N691" s="52"/>
      <c r="O691" s="52"/>
      <c r="P691" s="52"/>
      <c r="Q691" s="52"/>
      <c r="R691" s="52"/>
      <c r="S691" s="52"/>
      <c r="T691" s="52"/>
      <c r="U691" s="52"/>
      <c r="V691" s="52"/>
      <c r="W691" s="52"/>
      <c r="X691" s="52"/>
      <c r="Y691" s="52"/>
      <c r="Z691" s="52"/>
    </row>
    <row r="692">
      <c r="A692" s="59"/>
      <c r="B692" s="34"/>
      <c r="C692" s="52"/>
      <c r="D692" s="52"/>
      <c r="E692" s="52"/>
      <c r="F692" s="52"/>
      <c r="G692" s="52"/>
      <c r="H692" s="52"/>
      <c r="I692" s="52"/>
      <c r="J692" s="52"/>
      <c r="K692" s="52"/>
      <c r="L692" s="52"/>
      <c r="M692" s="52"/>
      <c r="N692" s="52"/>
      <c r="O692" s="52"/>
      <c r="P692" s="52"/>
      <c r="Q692" s="52"/>
      <c r="R692" s="52"/>
      <c r="S692" s="52"/>
      <c r="T692" s="52"/>
      <c r="U692" s="52"/>
      <c r="V692" s="52"/>
      <c r="W692" s="52"/>
      <c r="X692" s="52"/>
      <c r="Y692" s="52"/>
      <c r="Z692" s="52"/>
    </row>
    <row r="693">
      <c r="A693" s="59"/>
      <c r="B693" s="34"/>
      <c r="C693" s="52"/>
      <c r="D693" s="52"/>
      <c r="E693" s="52"/>
      <c r="F693" s="52"/>
      <c r="G693" s="52"/>
      <c r="H693" s="52"/>
      <c r="I693" s="52"/>
      <c r="J693" s="52"/>
      <c r="K693" s="52"/>
      <c r="L693" s="52"/>
      <c r="M693" s="52"/>
      <c r="N693" s="52"/>
      <c r="O693" s="52"/>
      <c r="P693" s="52"/>
      <c r="Q693" s="52"/>
      <c r="R693" s="52"/>
      <c r="S693" s="52"/>
      <c r="T693" s="52"/>
      <c r="U693" s="52"/>
      <c r="V693" s="52"/>
      <c r="W693" s="52"/>
      <c r="X693" s="52"/>
      <c r="Y693" s="52"/>
      <c r="Z693" s="52"/>
    </row>
    <row r="694">
      <c r="A694" s="59"/>
      <c r="B694" s="34"/>
      <c r="C694" s="52"/>
      <c r="D694" s="52"/>
      <c r="E694" s="52"/>
      <c r="F694" s="52"/>
      <c r="G694" s="52"/>
      <c r="H694" s="52"/>
      <c r="I694" s="52"/>
      <c r="J694" s="52"/>
      <c r="K694" s="52"/>
      <c r="L694" s="52"/>
      <c r="M694" s="52"/>
      <c r="N694" s="52"/>
      <c r="O694" s="52"/>
      <c r="P694" s="52"/>
      <c r="Q694" s="52"/>
      <c r="R694" s="52"/>
      <c r="S694" s="52"/>
      <c r="T694" s="52"/>
      <c r="U694" s="52"/>
      <c r="V694" s="52"/>
      <c r="W694" s="52"/>
      <c r="X694" s="52"/>
      <c r="Y694" s="52"/>
      <c r="Z694" s="52"/>
    </row>
    <row r="695">
      <c r="A695" s="59"/>
      <c r="B695" s="34"/>
      <c r="C695" s="52"/>
      <c r="D695" s="52"/>
      <c r="E695" s="52"/>
      <c r="F695" s="52"/>
      <c r="G695" s="52"/>
      <c r="H695" s="52"/>
      <c r="I695" s="52"/>
      <c r="J695" s="52"/>
      <c r="K695" s="52"/>
      <c r="L695" s="52"/>
      <c r="M695" s="52"/>
      <c r="N695" s="52"/>
      <c r="O695" s="52"/>
      <c r="P695" s="52"/>
      <c r="Q695" s="52"/>
      <c r="R695" s="52"/>
      <c r="S695" s="52"/>
      <c r="T695" s="52"/>
      <c r="U695" s="52"/>
      <c r="V695" s="52"/>
      <c r="W695" s="52"/>
      <c r="X695" s="52"/>
      <c r="Y695" s="52"/>
      <c r="Z695" s="52"/>
    </row>
    <row r="696">
      <c r="A696" s="59"/>
      <c r="B696" s="34"/>
      <c r="C696" s="52"/>
      <c r="D696" s="52"/>
      <c r="E696" s="52"/>
      <c r="F696" s="52"/>
      <c r="G696" s="52"/>
      <c r="H696" s="52"/>
      <c r="I696" s="52"/>
      <c r="J696" s="52"/>
      <c r="K696" s="52"/>
      <c r="L696" s="52"/>
      <c r="M696" s="52"/>
      <c r="N696" s="52"/>
      <c r="O696" s="52"/>
      <c r="P696" s="52"/>
      <c r="Q696" s="52"/>
      <c r="R696" s="52"/>
      <c r="S696" s="52"/>
      <c r="T696" s="52"/>
      <c r="U696" s="52"/>
      <c r="V696" s="52"/>
      <c r="W696" s="52"/>
      <c r="X696" s="52"/>
      <c r="Y696" s="52"/>
      <c r="Z696" s="52"/>
    </row>
    <row r="697">
      <c r="A697" s="59"/>
      <c r="B697" s="34"/>
      <c r="C697" s="52"/>
      <c r="D697" s="52"/>
      <c r="E697" s="52"/>
      <c r="F697" s="52"/>
      <c r="G697" s="52"/>
      <c r="H697" s="52"/>
      <c r="I697" s="52"/>
      <c r="J697" s="52"/>
      <c r="K697" s="52"/>
      <c r="L697" s="52"/>
      <c r="M697" s="52"/>
      <c r="N697" s="52"/>
      <c r="O697" s="52"/>
      <c r="P697" s="52"/>
      <c r="Q697" s="52"/>
      <c r="R697" s="52"/>
      <c r="S697" s="52"/>
      <c r="T697" s="52"/>
      <c r="U697" s="52"/>
      <c r="V697" s="52"/>
      <c r="W697" s="52"/>
      <c r="X697" s="52"/>
      <c r="Y697" s="52"/>
      <c r="Z697" s="52"/>
    </row>
    <row r="698">
      <c r="A698" s="59"/>
      <c r="B698" s="34"/>
      <c r="C698" s="52"/>
      <c r="D698" s="52"/>
      <c r="E698" s="52"/>
      <c r="F698" s="52"/>
      <c r="G698" s="52"/>
      <c r="H698" s="52"/>
      <c r="I698" s="52"/>
      <c r="J698" s="52"/>
      <c r="K698" s="52"/>
      <c r="L698" s="52"/>
      <c r="M698" s="52"/>
      <c r="N698" s="52"/>
      <c r="O698" s="52"/>
      <c r="P698" s="52"/>
      <c r="Q698" s="52"/>
      <c r="R698" s="52"/>
      <c r="S698" s="52"/>
      <c r="T698" s="52"/>
      <c r="U698" s="52"/>
      <c r="V698" s="52"/>
      <c r="W698" s="52"/>
      <c r="X698" s="52"/>
      <c r="Y698" s="52"/>
      <c r="Z698" s="52"/>
    </row>
    <row r="699">
      <c r="A699" s="59"/>
      <c r="B699" s="34"/>
      <c r="C699" s="52"/>
      <c r="D699" s="52"/>
      <c r="E699" s="52"/>
      <c r="F699" s="52"/>
      <c r="G699" s="52"/>
      <c r="H699" s="52"/>
      <c r="I699" s="52"/>
      <c r="J699" s="52"/>
      <c r="K699" s="52"/>
      <c r="L699" s="52"/>
      <c r="M699" s="52"/>
      <c r="N699" s="52"/>
      <c r="O699" s="52"/>
      <c r="P699" s="52"/>
      <c r="Q699" s="52"/>
      <c r="R699" s="52"/>
      <c r="S699" s="52"/>
      <c r="T699" s="52"/>
      <c r="U699" s="52"/>
      <c r="V699" s="52"/>
      <c r="W699" s="52"/>
      <c r="X699" s="52"/>
      <c r="Y699" s="52"/>
      <c r="Z699" s="52"/>
    </row>
    <row r="700">
      <c r="A700" s="59"/>
      <c r="B700" s="34"/>
      <c r="C700" s="52"/>
      <c r="D700" s="52"/>
      <c r="E700" s="52"/>
      <c r="F700" s="52"/>
      <c r="G700" s="52"/>
      <c r="H700" s="52"/>
      <c r="I700" s="52"/>
      <c r="J700" s="52"/>
      <c r="K700" s="52"/>
      <c r="L700" s="52"/>
      <c r="M700" s="52"/>
      <c r="N700" s="52"/>
      <c r="O700" s="52"/>
      <c r="P700" s="52"/>
      <c r="Q700" s="52"/>
      <c r="R700" s="52"/>
      <c r="S700" s="52"/>
      <c r="T700" s="52"/>
      <c r="U700" s="52"/>
      <c r="V700" s="52"/>
      <c r="W700" s="52"/>
      <c r="X700" s="52"/>
      <c r="Y700" s="52"/>
      <c r="Z700" s="52"/>
    </row>
    <row r="701">
      <c r="A701" s="59"/>
      <c r="B701" s="34"/>
      <c r="C701" s="52"/>
      <c r="D701" s="52"/>
      <c r="E701" s="52"/>
      <c r="F701" s="52"/>
      <c r="G701" s="52"/>
      <c r="H701" s="52"/>
      <c r="I701" s="52"/>
      <c r="J701" s="52"/>
      <c r="K701" s="52"/>
      <c r="L701" s="52"/>
      <c r="M701" s="52"/>
      <c r="N701" s="52"/>
      <c r="O701" s="52"/>
      <c r="P701" s="52"/>
      <c r="Q701" s="52"/>
      <c r="R701" s="52"/>
      <c r="S701" s="52"/>
      <c r="T701" s="52"/>
      <c r="U701" s="52"/>
      <c r="V701" s="52"/>
      <c r="W701" s="52"/>
      <c r="X701" s="52"/>
      <c r="Y701" s="52"/>
      <c r="Z701" s="52"/>
    </row>
    <row r="702">
      <c r="A702" s="59"/>
      <c r="B702" s="34"/>
      <c r="C702" s="52"/>
      <c r="D702" s="52"/>
      <c r="E702" s="52"/>
      <c r="F702" s="52"/>
      <c r="G702" s="52"/>
      <c r="H702" s="52"/>
      <c r="I702" s="52"/>
      <c r="J702" s="52"/>
      <c r="K702" s="52"/>
      <c r="L702" s="52"/>
      <c r="M702" s="52"/>
      <c r="N702" s="52"/>
      <c r="O702" s="52"/>
      <c r="P702" s="52"/>
      <c r="Q702" s="52"/>
      <c r="R702" s="52"/>
      <c r="S702" s="52"/>
      <c r="T702" s="52"/>
      <c r="U702" s="52"/>
      <c r="V702" s="52"/>
      <c r="W702" s="52"/>
      <c r="X702" s="52"/>
      <c r="Y702" s="52"/>
      <c r="Z702" s="52"/>
    </row>
    <row r="703">
      <c r="A703" s="59"/>
      <c r="B703" s="34"/>
      <c r="C703" s="52"/>
      <c r="D703" s="52"/>
      <c r="E703" s="52"/>
      <c r="F703" s="52"/>
      <c r="G703" s="52"/>
      <c r="H703" s="52"/>
      <c r="I703" s="52"/>
      <c r="J703" s="52"/>
      <c r="K703" s="52"/>
      <c r="L703" s="52"/>
      <c r="M703" s="52"/>
      <c r="N703" s="52"/>
      <c r="O703" s="52"/>
      <c r="P703" s="52"/>
      <c r="Q703" s="52"/>
      <c r="R703" s="52"/>
      <c r="S703" s="52"/>
      <c r="T703" s="52"/>
      <c r="U703" s="52"/>
      <c r="V703" s="52"/>
      <c r="W703" s="52"/>
      <c r="X703" s="52"/>
      <c r="Y703" s="52"/>
      <c r="Z703" s="52"/>
    </row>
    <row r="704">
      <c r="A704" s="59"/>
      <c r="B704" s="34"/>
      <c r="C704" s="52"/>
      <c r="D704" s="52"/>
      <c r="E704" s="52"/>
      <c r="F704" s="52"/>
      <c r="G704" s="52"/>
      <c r="H704" s="52"/>
      <c r="I704" s="52"/>
      <c r="J704" s="52"/>
      <c r="K704" s="52"/>
      <c r="L704" s="52"/>
      <c r="M704" s="52"/>
      <c r="N704" s="52"/>
      <c r="O704" s="52"/>
      <c r="P704" s="52"/>
      <c r="Q704" s="52"/>
      <c r="R704" s="52"/>
      <c r="S704" s="52"/>
      <c r="T704" s="52"/>
      <c r="U704" s="52"/>
      <c r="V704" s="52"/>
      <c r="W704" s="52"/>
      <c r="X704" s="52"/>
      <c r="Y704" s="52"/>
      <c r="Z704" s="52"/>
    </row>
    <row r="705">
      <c r="A705" s="59"/>
      <c r="B705" s="34"/>
      <c r="C705" s="52"/>
      <c r="D705" s="52"/>
      <c r="E705" s="52"/>
      <c r="F705" s="52"/>
      <c r="G705" s="52"/>
      <c r="H705" s="52"/>
      <c r="I705" s="52"/>
      <c r="J705" s="52"/>
      <c r="K705" s="52"/>
      <c r="L705" s="52"/>
      <c r="M705" s="52"/>
      <c r="N705" s="52"/>
      <c r="O705" s="52"/>
      <c r="P705" s="52"/>
      <c r="Q705" s="52"/>
      <c r="R705" s="52"/>
      <c r="S705" s="52"/>
      <c r="T705" s="52"/>
      <c r="U705" s="52"/>
      <c r="V705" s="52"/>
      <c r="W705" s="52"/>
      <c r="X705" s="52"/>
      <c r="Y705" s="52"/>
      <c r="Z705" s="52"/>
    </row>
    <row r="706">
      <c r="A706" s="59"/>
      <c r="B706" s="34"/>
      <c r="C706" s="52"/>
      <c r="D706" s="52"/>
      <c r="E706" s="52"/>
      <c r="F706" s="52"/>
      <c r="G706" s="52"/>
      <c r="H706" s="52"/>
      <c r="I706" s="52"/>
      <c r="J706" s="52"/>
      <c r="K706" s="52"/>
      <c r="L706" s="52"/>
      <c r="M706" s="52"/>
      <c r="N706" s="52"/>
      <c r="O706" s="52"/>
      <c r="P706" s="52"/>
      <c r="Q706" s="52"/>
      <c r="R706" s="52"/>
      <c r="S706" s="52"/>
      <c r="T706" s="52"/>
      <c r="U706" s="52"/>
      <c r="V706" s="52"/>
      <c r="W706" s="52"/>
      <c r="X706" s="52"/>
      <c r="Y706" s="52"/>
      <c r="Z706" s="52"/>
    </row>
    <row r="707">
      <c r="A707" s="59"/>
      <c r="B707" s="34"/>
      <c r="C707" s="52"/>
      <c r="D707" s="52"/>
      <c r="E707" s="52"/>
      <c r="F707" s="52"/>
      <c r="G707" s="52"/>
      <c r="H707" s="52"/>
      <c r="I707" s="52"/>
      <c r="J707" s="52"/>
      <c r="K707" s="52"/>
      <c r="L707" s="52"/>
      <c r="M707" s="52"/>
      <c r="N707" s="52"/>
      <c r="O707" s="52"/>
      <c r="P707" s="52"/>
      <c r="Q707" s="52"/>
      <c r="R707" s="52"/>
      <c r="S707" s="52"/>
      <c r="T707" s="52"/>
      <c r="U707" s="52"/>
      <c r="V707" s="52"/>
      <c r="W707" s="52"/>
      <c r="X707" s="52"/>
      <c r="Y707" s="52"/>
      <c r="Z707" s="52"/>
    </row>
    <row r="708">
      <c r="A708" s="59"/>
      <c r="B708" s="34"/>
      <c r="C708" s="52"/>
      <c r="D708" s="52"/>
      <c r="E708" s="52"/>
      <c r="F708" s="52"/>
      <c r="G708" s="52"/>
      <c r="H708" s="52"/>
      <c r="I708" s="52"/>
      <c r="J708" s="52"/>
      <c r="K708" s="52"/>
      <c r="L708" s="52"/>
      <c r="M708" s="52"/>
      <c r="N708" s="52"/>
      <c r="O708" s="52"/>
      <c r="P708" s="52"/>
      <c r="Q708" s="52"/>
      <c r="R708" s="52"/>
      <c r="S708" s="52"/>
      <c r="T708" s="52"/>
      <c r="U708" s="52"/>
      <c r="V708" s="52"/>
      <c r="W708" s="52"/>
      <c r="X708" s="52"/>
      <c r="Y708" s="52"/>
      <c r="Z708" s="52"/>
    </row>
    <row r="709">
      <c r="A709" s="59"/>
      <c r="B709" s="34"/>
      <c r="C709" s="52"/>
      <c r="D709" s="52"/>
      <c r="E709" s="52"/>
      <c r="F709" s="52"/>
      <c r="G709" s="52"/>
      <c r="H709" s="52"/>
      <c r="I709" s="52"/>
      <c r="J709" s="52"/>
      <c r="K709" s="52"/>
      <c r="L709" s="52"/>
      <c r="M709" s="52"/>
      <c r="N709" s="52"/>
      <c r="O709" s="52"/>
      <c r="P709" s="52"/>
      <c r="Q709" s="52"/>
      <c r="R709" s="52"/>
      <c r="S709" s="52"/>
      <c r="T709" s="52"/>
      <c r="U709" s="52"/>
      <c r="V709" s="52"/>
      <c r="W709" s="52"/>
      <c r="X709" s="52"/>
      <c r="Y709" s="52"/>
      <c r="Z709" s="52"/>
    </row>
    <row r="710">
      <c r="A710" s="59"/>
      <c r="B710" s="34"/>
      <c r="C710" s="52"/>
      <c r="D710" s="52"/>
      <c r="E710" s="52"/>
      <c r="F710" s="52"/>
      <c r="G710" s="52"/>
      <c r="H710" s="52"/>
      <c r="I710" s="52"/>
      <c r="J710" s="52"/>
      <c r="K710" s="52"/>
      <c r="L710" s="52"/>
      <c r="M710" s="52"/>
      <c r="N710" s="52"/>
      <c r="O710" s="52"/>
      <c r="P710" s="52"/>
      <c r="Q710" s="52"/>
      <c r="R710" s="52"/>
      <c r="S710" s="52"/>
      <c r="T710" s="52"/>
      <c r="U710" s="52"/>
      <c r="V710" s="52"/>
      <c r="W710" s="52"/>
      <c r="X710" s="52"/>
      <c r="Y710" s="52"/>
      <c r="Z710" s="52"/>
    </row>
    <row r="711">
      <c r="A711" s="59"/>
      <c r="B711" s="34"/>
      <c r="C711" s="52"/>
      <c r="D711" s="52"/>
      <c r="E711" s="52"/>
      <c r="F711" s="52"/>
      <c r="G711" s="52"/>
      <c r="H711" s="52"/>
      <c r="I711" s="52"/>
      <c r="J711" s="52"/>
      <c r="K711" s="52"/>
      <c r="L711" s="52"/>
      <c r="M711" s="52"/>
      <c r="N711" s="52"/>
      <c r="O711" s="52"/>
      <c r="P711" s="52"/>
      <c r="Q711" s="52"/>
      <c r="R711" s="52"/>
      <c r="S711" s="52"/>
      <c r="T711" s="52"/>
      <c r="U711" s="52"/>
      <c r="V711" s="52"/>
      <c r="W711" s="52"/>
      <c r="X711" s="52"/>
      <c r="Y711" s="52"/>
      <c r="Z711" s="52"/>
    </row>
    <row r="712">
      <c r="A712" s="59"/>
      <c r="B712" s="34"/>
      <c r="C712" s="52"/>
      <c r="D712" s="52"/>
      <c r="E712" s="52"/>
      <c r="F712" s="52"/>
      <c r="G712" s="52"/>
      <c r="H712" s="52"/>
      <c r="I712" s="52"/>
      <c r="J712" s="52"/>
      <c r="K712" s="52"/>
      <c r="L712" s="52"/>
      <c r="M712" s="52"/>
      <c r="N712" s="52"/>
      <c r="O712" s="52"/>
      <c r="P712" s="52"/>
      <c r="Q712" s="52"/>
      <c r="R712" s="52"/>
      <c r="S712" s="52"/>
      <c r="T712" s="52"/>
      <c r="U712" s="52"/>
      <c r="V712" s="52"/>
      <c r="W712" s="52"/>
      <c r="X712" s="52"/>
      <c r="Y712" s="52"/>
      <c r="Z712" s="52"/>
    </row>
    <row r="713">
      <c r="A713" s="59"/>
      <c r="B713" s="34"/>
      <c r="C713" s="52"/>
      <c r="D713" s="52"/>
      <c r="E713" s="52"/>
      <c r="F713" s="52"/>
      <c r="G713" s="52"/>
      <c r="H713" s="52"/>
      <c r="I713" s="52"/>
      <c r="J713" s="52"/>
      <c r="K713" s="52"/>
      <c r="L713" s="52"/>
      <c r="M713" s="52"/>
      <c r="N713" s="52"/>
      <c r="O713" s="52"/>
      <c r="P713" s="52"/>
      <c r="Q713" s="52"/>
      <c r="R713" s="52"/>
      <c r="S713" s="52"/>
      <c r="T713" s="52"/>
      <c r="U713" s="52"/>
      <c r="V713" s="52"/>
      <c r="W713" s="52"/>
      <c r="X713" s="52"/>
      <c r="Y713" s="52"/>
      <c r="Z713" s="52"/>
    </row>
    <row r="714">
      <c r="A714" s="59"/>
      <c r="B714" s="34"/>
      <c r="C714" s="52"/>
      <c r="D714" s="52"/>
      <c r="E714" s="52"/>
      <c r="F714" s="52"/>
      <c r="G714" s="52"/>
      <c r="H714" s="52"/>
      <c r="I714" s="52"/>
      <c r="J714" s="52"/>
      <c r="K714" s="52"/>
      <c r="L714" s="52"/>
      <c r="M714" s="52"/>
      <c r="N714" s="52"/>
      <c r="O714" s="52"/>
      <c r="P714" s="52"/>
      <c r="Q714" s="52"/>
      <c r="R714" s="52"/>
      <c r="S714" s="52"/>
      <c r="T714" s="52"/>
      <c r="U714" s="52"/>
      <c r="V714" s="52"/>
      <c r="W714" s="52"/>
      <c r="X714" s="52"/>
      <c r="Y714" s="52"/>
      <c r="Z714" s="52"/>
    </row>
    <row r="715">
      <c r="A715" s="59"/>
      <c r="B715" s="34"/>
      <c r="C715" s="52"/>
      <c r="D715" s="52"/>
      <c r="E715" s="52"/>
      <c r="F715" s="52"/>
      <c r="G715" s="52"/>
      <c r="H715" s="52"/>
      <c r="I715" s="52"/>
      <c r="J715" s="52"/>
      <c r="K715" s="52"/>
      <c r="L715" s="52"/>
      <c r="M715" s="52"/>
      <c r="N715" s="52"/>
      <c r="O715" s="52"/>
      <c r="P715" s="52"/>
      <c r="Q715" s="52"/>
      <c r="R715" s="52"/>
      <c r="S715" s="52"/>
      <c r="T715" s="52"/>
      <c r="U715" s="52"/>
      <c r="V715" s="52"/>
      <c r="W715" s="52"/>
      <c r="X715" s="52"/>
      <c r="Y715" s="52"/>
      <c r="Z715" s="52"/>
    </row>
    <row r="716">
      <c r="A716" s="59"/>
      <c r="B716" s="34"/>
      <c r="C716" s="52"/>
      <c r="D716" s="52"/>
      <c r="E716" s="52"/>
      <c r="F716" s="52"/>
      <c r="G716" s="52"/>
      <c r="H716" s="52"/>
      <c r="I716" s="52"/>
      <c r="J716" s="52"/>
      <c r="K716" s="52"/>
      <c r="L716" s="52"/>
      <c r="M716" s="52"/>
      <c r="N716" s="52"/>
      <c r="O716" s="52"/>
      <c r="P716" s="52"/>
      <c r="Q716" s="52"/>
      <c r="R716" s="52"/>
      <c r="S716" s="52"/>
      <c r="T716" s="52"/>
      <c r="U716" s="52"/>
      <c r="V716" s="52"/>
      <c r="W716" s="52"/>
      <c r="X716" s="52"/>
      <c r="Y716" s="52"/>
      <c r="Z716" s="52"/>
    </row>
    <row r="717">
      <c r="A717" s="59"/>
      <c r="B717" s="34"/>
      <c r="C717" s="52"/>
      <c r="D717" s="52"/>
      <c r="E717" s="52"/>
      <c r="F717" s="52"/>
      <c r="G717" s="52"/>
      <c r="H717" s="52"/>
      <c r="I717" s="52"/>
      <c r="J717" s="52"/>
      <c r="K717" s="52"/>
      <c r="L717" s="52"/>
      <c r="M717" s="52"/>
      <c r="N717" s="52"/>
      <c r="O717" s="52"/>
      <c r="P717" s="52"/>
      <c r="Q717" s="52"/>
      <c r="R717" s="52"/>
      <c r="S717" s="52"/>
      <c r="T717" s="52"/>
      <c r="U717" s="52"/>
      <c r="V717" s="52"/>
      <c r="W717" s="52"/>
      <c r="X717" s="52"/>
      <c r="Y717" s="52"/>
      <c r="Z717" s="52"/>
    </row>
    <row r="718">
      <c r="A718" s="59"/>
      <c r="B718" s="34"/>
      <c r="C718" s="52"/>
      <c r="D718" s="52"/>
      <c r="E718" s="52"/>
      <c r="F718" s="52"/>
      <c r="G718" s="52"/>
      <c r="H718" s="52"/>
      <c r="I718" s="52"/>
      <c r="J718" s="52"/>
      <c r="K718" s="52"/>
      <c r="L718" s="52"/>
      <c r="M718" s="52"/>
      <c r="N718" s="52"/>
      <c r="O718" s="52"/>
      <c r="P718" s="52"/>
      <c r="Q718" s="52"/>
      <c r="R718" s="52"/>
      <c r="S718" s="52"/>
      <c r="T718" s="52"/>
      <c r="U718" s="52"/>
      <c r="V718" s="52"/>
      <c r="W718" s="52"/>
      <c r="X718" s="52"/>
      <c r="Y718" s="52"/>
      <c r="Z718" s="52"/>
    </row>
    <row r="719">
      <c r="A719" s="59"/>
      <c r="B719" s="34"/>
      <c r="C719" s="52"/>
      <c r="D719" s="52"/>
      <c r="E719" s="52"/>
      <c r="F719" s="52"/>
      <c r="G719" s="52"/>
      <c r="H719" s="52"/>
      <c r="I719" s="52"/>
      <c r="J719" s="52"/>
      <c r="K719" s="52"/>
      <c r="L719" s="52"/>
      <c r="M719" s="52"/>
      <c r="N719" s="52"/>
      <c r="O719" s="52"/>
      <c r="P719" s="52"/>
      <c r="Q719" s="52"/>
      <c r="R719" s="52"/>
      <c r="S719" s="52"/>
      <c r="T719" s="52"/>
      <c r="U719" s="52"/>
      <c r="V719" s="52"/>
      <c r="W719" s="52"/>
      <c r="X719" s="52"/>
      <c r="Y719" s="52"/>
      <c r="Z719" s="52"/>
    </row>
    <row r="720">
      <c r="A720" s="59"/>
      <c r="B720" s="34"/>
      <c r="C720" s="52"/>
      <c r="D720" s="52"/>
      <c r="E720" s="52"/>
      <c r="F720" s="52"/>
      <c r="G720" s="52"/>
      <c r="H720" s="52"/>
      <c r="I720" s="52"/>
      <c r="J720" s="52"/>
      <c r="K720" s="52"/>
      <c r="L720" s="52"/>
      <c r="M720" s="52"/>
      <c r="N720" s="52"/>
      <c r="O720" s="52"/>
      <c r="P720" s="52"/>
      <c r="Q720" s="52"/>
      <c r="R720" s="52"/>
      <c r="S720" s="52"/>
      <c r="T720" s="52"/>
      <c r="U720" s="52"/>
      <c r="V720" s="52"/>
      <c r="W720" s="52"/>
      <c r="X720" s="52"/>
      <c r="Y720" s="52"/>
      <c r="Z720" s="52"/>
    </row>
    <row r="721">
      <c r="A721" s="59"/>
      <c r="B721" s="34"/>
      <c r="C721" s="52"/>
      <c r="D721" s="52"/>
      <c r="E721" s="52"/>
      <c r="F721" s="52"/>
      <c r="G721" s="52"/>
      <c r="H721" s="52"/>
      <c r="I721" s="52"/>
      <c r="J721" s="52"/>
      <c r="K721" s="52"/>
      <c r="L721" s="52"/>
      <c r="M721" s="52"/>
      <c r="N721" s="52"/>
      <c r="O721" s="52"/>
      <c r="P721" s="52"/>
      <c r="Q721" s="52"/>
      <c r="R721" s="52"/>
      <c r="S721" s="52"/>
      <c r="T721" s="52"/>
      <c r="U721" s="52"/>
      <c r="V721" s="52"/>
      <c r="W721" s="52"/>
      <c r="X721" s="52"/>
      <c r="Y721" s="52"/>
      <c r="Z721" s="52"/>
    </row>
    <row r="722">
      <c r="A722" s="59"/>
      <c r="B722" s="34"/>
      <c r="C722" s="52"/>
      <c r="D722" s="52"/>
      <c r="E722" s="52"/>
      <c r="F722" s="52"/>
      <c r="G722" s="52"/>
      <c r="H722" s="52"/>
      <c r="I722" s="52"/>
      <c r="J722" s="52"/>
      <c r="K722" s="52"/>
      <c r="L722" s="52"/>
      <c r="M722" s="52"/>
      <c r="N722" s="52"/>
      <c r="O722" s="52"/>
      <c r="P722" s="52"/>
      <c r="Q722" s="52"/>
      <c r="R722" s="52"/>
      <c r="S722" s="52"/>
      <c r="T722" s="52"/>
      <c r="U722" s="52"/>
      <c r="V722" s="52"/>
      <c r="W722" s="52"/>
      <c r="X722" s="52"/>
      <c r="Y722" s="52"/>
      <c r="Z722" s="52"/>
    </row>
    <row r="723">
      <c r="A723" s="59"/>
      <c r="B723" s="34"/>
      <c r="C723" s="52"/>
      <c r="D723" s="52"/>
      <c r="E723" s="52"/>
      <c r="F723" s="52"/>
      <c r="G723" s="52"/>
      <c r="H723" s="52"/>
      <c r="I723" s="52"/>
      <c r="J723" s="52"/>
      <c r="K723" s="52"/>
      <c r="L723" s="52"/>
      <c r="M723" s="52"/>
      <c r="N723" s="52"/>
      <c r="O723" s="52"/>
      <c r="P723" s="52"/>
      <c r="Q723" s="52"/>
      <c r="R723" s="52"/>
      <c r="S723" s="52"/>
      <c r="T723" s="52"/>
      <c r="U723" s="52"/>
      <c r="V723" s="52"/>
      <c r="W723" s="52"/>
      <c r="X723" s="52"/>
      <c r="Y723" s="52"/>
      <c r="Z723" s="52"/>
    </row>
    <row r="724">
      <c r="A724" s="59"/>
      <c r="B724" s="34"/>
      <c r="C724" s="52"/>
      <c r="D724" s="52"/>
      <c r="E724" s="52"/>
      <c r="F724" s="52"/>
      <c r="G724" s="52"/>
      <c r="H724" s="52"/>
      <c r="I724" s="52"/>
      <c r="J724" s="52"/>
      <c r="K724" s="52"/>
      <c r="L724" s="52"/>
      <c r="M724" s="52"/>
      <c r="N724" s="52"/>
      <c r="O724" s="52"/>
      <c r="P724" s="52"/>
      <c r="Q724" s="52"/>
      <c r="R724" s="52"/>
      <c r="S724" s="52"/>
      <c r="T724" s="52"/>
      <c r="U724" s="52"/>
      <c r="V724" s="52"/>
      <c r="W724" s="52"/>
      <c r="X724" s="52"/>
      <c r="Y724" s="52"/>
      <c r="Z724" s="52"/>
    </row>
    <row r="725">
      <c r="A725" s="59"/>
      <c r="B725" s="34"/>
      <c r="C725" s="52"/>
      <c r="D725" s="52"/>
      <c r="E725" s="52"/>
      <c r="F725" s="52"/>
      <c r="G725" s="52"/>
      <c r="H725" s="52"/>
      <c r="I725" s="52"/>
      <c r="J725" s="52"/>
      <c r="K725" s="52"/>
      <c r="L725" s="52"/>
      <c r="M725" s="52"/>
      <c r="N725" s="52"/>
      <c r="O725" s="52"/>
      <c r="P725" s="52"/>
      <c r="Q725" s="52"/>
      <c r="R725" s="52"/>
      <c r="S725" s="52"/>
      <c r="T725" s="52"/>
      <c r="U725" s="52"/>
      <c r="V725" s="52"/>
      <c r="W725" s="52"/>
      <c r="X725" s="52"/>
      <c r="Y725" s="52"/>
      <c r="Z725" s="52"/>
    </row>
    <row r="726">
      <c r="A726" s="59"/>
      <c r="B726" s="34"/>
      <c r="C726" s="52"/>
      <c r="D726" s="52"/>
      <c r="E726" s="52"/>
      <c r="F726" s="52"/>
      <c r="G726" s="52"/>
      <c r="H726" s="52"/>
      <c r="I726" s="52"/>
      <c r="J726" s="52"/>
      <c r="K726" s="52"/>
      <c r="L726" s="52"/>
      <c r="M726" s="52"/>
      <c r="N726" s="52"/>
      <c r="O726" s="52"/>
      <c r="P726" s="52"/>
      <c r="Q726" s="52"/>
      <c r="R726" s="52"/>
      <c r="S726" s="52"/>
      <c r="T726" s="52"/>
      <c r="U726" s="52"/>
      <c r="V726" s="52"/>
      <c r="W726" s="52"/>
      <c r="X726" s="52"/>
      <c r="Y726" s="52"/>
      <c r="Z726" s="52"/>
    </row>
    <row r="727">
      <c r="A727" s="59"/>
      <c r="B727" s="34"/>
      <c r="C727" s="52"/>
      <c r="D727" s="52"/>
      <c r="E727" s="52"/>
      <c r="F727" s="52"/>
      <c r="G727" s="52"/>
      <c r="H727" s="52"/>
      <c r="I727" s="52"/>
      <c r="J727" s="52"/>
      <c r="K727" s="52"/>
      <c r="L727" s="52"/>
      <c r="M727" s="52"/>
      <c r="N727" s="52"/>
      <c r="O727" s="52"/>
      <c r="P727" s="52"/>
      <c r="Q727" s="52"/>
      <c r="R727" s="52"/>
      <c r="S727" s="52"/>
      <c r="T727" s="52"/>
      <c r="U727" s="52"/>
      <c r="V727" s="52"/>
      <c r="W727" s="52"/>
      <c r="X727" s="52"/>
      <c r="Y727" s="52"/>
      <c r="Z727" s="52"/>
    </row>
    <row r="728">
      <c r="A728" s="59"/>
      <c r="B728" s="34"/>
      <c r="C728" s="52"/>
      <c r="D728" s="52"/>
      <c r="E728" s="52"/>
      <c r="F728" s="52"/>
      <c r="G728" s="52"/>
      <c r="H728" s="52"/>
      <c r="I728" s="52"/>
      <c r="J728" s="52"/>
      <c r="K728" s="52"/>
      <c r="L728" s="52"/>
      <c r="M728" s="52"/>
      <c r="N728" s="52"/>
      <c r="O728" s="52"/>
      <c r="P728" s="52"/>
      <c r="Q728" s="52"/>
      <c r="R728" s="52"/>
      <c r="S728" s="52"/>
      <c r="T728" s="52"/>
      <c r="U728" s="52"/>
      <c r="V728" s="52"/>
      <c r="W728" s="52"/>
      <c r="X728" s="52"/>
      <c r="Y728" s="52"/>
      <c r="Z728" s="52"/>
    </row>
    <row r="729">
      <c r="A729" s="59"/>
      <c r="B729" s="34"/>
      <c r="C729" s="52"/>
      <c r="D729" s="52"/>
      <c r="E729" s="52"/>
      <c r="F729" s="52"/>
      <c r="G729" s="52"/>
      <c r="H729" s="52"/>
      <c r="I729" s="52"/>
      <c r="J729" s="52"/>
      <c r="K729" s="52"/>
      <c r="L729" s="52"/>
      <c r="M729" s="52"/>
      <c r="N729" s="52"/>
      <c r="O729" s="52"/>
      <c r="P729" s="52"/>
      <c r="Q729" s="52"/>
      <c r="R729" s="52"/>
      <c r="S729" s="52"/>
      <c r="T729" s="52"/>
      <c r="U729" s="52"/>
      <c r="V729" s="52"/>
      <c r="W729" s="52"/>
      <c r="X729" s="52"/>
      <c r="Y729" s="52"/>
      <c r="Z729" s="52"/>
    </row>
    <row r="730">
      <c r="A730" s="59"/>
      <c r="B730" s="34"/>
      <c r="C730" s="52"/>
      <c r="D730" s="52"/>
      <c r="E730" s="52"/>
      <c r="F730" s="52"/>
      <c r="G730" s="52"/>
      <c r="H730" s="52"/>
      <c r="I730" s="52"/>
      <c r="J730" s="52"/>
      <c r="K730" s="52"/>
      <c r="L730" s="52"/>
      <c r="M730" s="52"/>
      <c r="N730" s="52"/>
      <c r="O730" s="52"/>
      <c r="P730" s="52"/>
      <c r="Q730" s="52"/>
      <c r="R730" s="52"/>
      <c r="S730" s="52"/>
      <c r="T730" s="52"/>
      <c r="U730" s="52"/>
      <c r="V730" s="52"/>
      <c r="W730" s="52"/>
      <c r="X730" s="52"/>
      <c r="Y730" s="52"/>
      <c r="Z730" s="52"/>
    </row>
    <row r="731">
      <c r="A731" s="59"/>
      <c r="B731" s="34"/>
      <c r="C731" s="52"/>
      <c r="D731" s="52"/>
      <c r="E731" s="52"/>
      <c r="F731" s="52"/>
      <c r="G731" s="52"/>
      <c r="H731" s="52"/>
      <c r="I731" s="52"/>
      <c r="J731" s="52"/>
      <c r="K731" s="52"/>
      <c r="L731" s="52"/>
      <c r="M731" s="52"/>
      <c r="N731" s="52"/>
      <c r="O731" s="52"/>
      <c r="P731" s="52"/>
      <c r="Q731" s="52"/>
      <c r="R731" s="52"/>
      <c r="S731" s="52"/>
      <c r="T731" s="52"/>
      <c r="U731" s="52"/>
      <c r="V731" s="52"/>
      <c r="W731" s="52"/>
      <c r="X731" s="52"/>
      <c r="Y731" s="52"/>
      <c r="Z731" s="52"/>
    </row>
    <row r="732">
      <c r="A732" s="59"/>
      <c r="B732" s="34"/>
      <c r="C732" s="52"/>
      <c r="D732" s="52"/>
      <c r="E732" s="52"/>
      <c r="F732" s="52"/>
      <c r="G732" s="52"/>
      <c r="H732" s="52"/>
      <c r="I732" s="52"/>
      <c r="J732" s="52"/>
      <c r="K732" s="52"/>
      <c r="L732" s="52"/>
      <c r="M732" s="52"/>
      <c r="N732" s="52"/>
      <c r="O732" s="52"/>
      <c r="P732" s="52"/>
      <c r="Q732" s="52"/>
      <c r="R732" s="52"/>
      <c r="S732" s="52"/>
      <c r="T732" s="52"/>
      <c r="U732" s="52"/>
      <c r="V732" s="52"/>
      <c r="W732" s="52"/>
      <c r="X732" s="52"/>
      <c r="Y732" s="52"/>
      <c r="Z732" s="52"/>
    </row>
    <row r="733">
      <c r="A733" s="59"/>
      <c r="B733" s="34"/>
      <c r="C733" s="52"/>
      <c r="D733" s="52"/>
      <c r="E733" s="52"/>
      <c r="F733" s="52"/>
      <c r="G733" s="52"/>
      <c r="H733" s="52"/>
      <c r="I733" s="52"/>
      <c r="J733" s="52"/>
      <c r="K733" s="52"/>
      <c r="L733" s="52"/>
      <c r="M733" s="52"/>
      <c r="N733" s="52"/>
      <c r="O733" s="52"/>
      <c r="P733" s="52"/>
      <c r="Q733" s="52"/>
      <c r="R733" s="52"/>
      <c r="S733" s="52"/>
      <c r="T733" s="52"/>
      <c r="U733" s="52"/>
      <c r="V733" s="52"/>
      <c r="W733" s="52"/>
      <c r="X733" s="52"/>
      <c r="Y733" s="52"/>
      <c r="Z733" s="52"/>
    </row>
    <row r="734">
      <c r="A734" s="59"/>
      <c r="B734" s="34"/>
      <c r="C734" s="52"/>
      <c r="D734" s="52"/>
      <c r="E734" s="52"/>
      <c r="F734" s="52"/>
      <c r="G734" s="52"/>
      <c r="H734" s="52"/>
      <c r="I734" s="52"/>
      <c r="J734" s="52"/>
      <c r="K734" s="52"/>
      <c r="L734" s="52"/>
      <c r="M734" s="52"/>
      <c r="N734" s="52"/>
      <c r="O734" s="52"/>
      <c r="P734" s="52"/>
      <c r="Q734" s="52"/>
      <c r="R734" s="52"/>
      <c r="S734" s="52"/>
      <c r="T734" s="52"/>
      <c r="U734" s="52"/>
      <c r="V734" s="52"/>
      <c r="W734" s="52"/>
      <c r="X734" s="52"/>
      <c r="Y734" s="52"/>
      <c r="Z734" s="52"/>
    </row>
    <row r="735">
      <c r="A735" s="59"/>
      <c r="B735" s="34"/>
      <c r="C735" s="52"/>
      <c r="D735" s="52"/>
      <c r="E735" s="52"/>
      <c r="F735" s="52"/>
      <c r="G735" s="52"/>
      <c r="H735" s="52"/>
      <c r="I735" s="52"/>
      <c r="J735" s="52"/>
      <c r="K735" s="52"/>
      <c r="L735" s="52"/>
      <c r="M735" s="52"/>
      <c r="N735" s="52"/>
      <c r="O735" s="52"/>
      <c r="P735" s="52"/>
      <c r="Q735" s="52"/>
      <c r="R735" s="52"/>
      <c r="S735" s="52"/>
      <c r="T735" s="52"/>
      <c r="U735" s="52"/>
      <c r="V735" s="52"/>
      <c r="W735" s="52"/>
      <c r="X735" s="52"/>
      <c r="Y735" s="52"/>
      <c r="Z735" s="52"/>
    </row>
    <row r="736">
      <c r="A736" s="59"/>
      <c r="B736" s="34"/>
      <c r="C736" s="52"/>
      <c r="D736" s="52"/>
      <c r="E736" s="52"/>
      <c r="F736" s="52"/>
      <c r="G736" s="52"/>
      <c r="H736" s="52"/>
      <c r="I736" s="52"/>
      <c r="J736" s="52"/>
      <c r="K736" s="52"/>
      <c r="L736" s="52"/>
      <c r="M736" s="52"/>
      <c r="N736" s="52"/>
      <c r="O736" s="52"/>
      <c r="P736" s="52"/>
      <c r="Q736" s="52"/>
      <c r="R736" s="52"/>
      <c r="S736" s="52"/>
      <c r="T736" s="52"/>
      <c r="U736" s="52"/>
      <c r="V736" s="52"/>
      <c r="W736" s="52"/>
      <c r="X736" s="52"/>
      <c r="Y736" s="52"/>
      <c r="Z736" s="52"/>
    </row>
    <row r="737">
      <c r="A737" s="59"/>
      <c r="B737" s="34"/>
      <c r="C737" s="52"/>
      <c r="D737" s="52"/>
      <c r="E737" s="52"/>
      <c r="F737" s="52"/>
      <c r="G737" s="52"/>
      <c r="H737" s="52"/>
      <c r="I737" s="52"/>
      <c r="J737" s="52"/>
      <c r="K737" s="52"/>
      <c r="L737" s="52"/>
      <c r="M737" s="52"/>
      <c r="N737" s="52"/>
      <c r="O737" s="52"/>
      <c r="P737" s="52"/>
      <c r="Q737" s="52"/>
      <c r="R737" s="52"/>
      <c r="S737" s="52"/>
      <c r="T737" s="52"/>
      <c r="U737" s="52"/>
      <c r="V737" s="52"/>
      <c r="W737" s="52"/>
      <c r="X737" s="52"/>
      <c r="Y737" s="52"/>
      <c r="Z737" s="52"/>
    </row>
    <row r="738">
      <c r="A738" s="59"/>
      <c r="B738" s="34"/>
      <c r="C738" s="52"/>
      <c r="D738" s="52"/>
      <c r="E738" s="52"/>
      <c r="F738" s="52"/>
      <c r="G738" s="52"/>
      <c r="H738" s="52"/>
      <c r="I738" s="52"/>
      <c r="J738" s="52"/>
      <c r="K738" s="52"/>
      <c r="L738" s="52"/>
      <c r="M738" s="52"/>
      <c r="N738" s="52"/>
      <c r="O738" s="52"/>
      <c r="P738" s="52"/>
      <c r="Q738" s="52"/>
      <c r="R738" s="52"/>
      <c r="S738" s="52"/>
      <c r="T738" s="52"/>
      <c r="U738" s="52"/>
      <c r="V738" s="52"/>
      <c r="W738" s="52"/>
      <c r="X738" s="52"/>
      <c r="Y738" s="52"/>
      <c r="Z738" s="52"/>
    </row>
    <row r="739">
      <c r="A739" s="59"/>
      <c r="B739" s="34"/>
      <c r="C739" s="52"/>
      <c r="D739" s="52"/>
      <c r="E739" s="52"/>
      <c r="F739" s="52"/>
      <c r="G739" s="52"/>
      <c r="H739" s="52"/>
      <c r="I739" s="52"/>
      <c r="J739" s="52"/>
      <c r="K739" s="52"/>
      <c r="L739" s="52"/>
      <c r="M739" s="52"/>
      <c r="N739" s="52"/>
      <c r="O739" s="52"/>
      <c r="P739" s="52"/>
      <c r="Q739" s="52"/>
      <c r="R739" s="52"/>
      <c r="S739" s="52"/>
      <c r="T739" s="52"/>
      <c r="U739" s="52"/>
      <c r="V739" s="52"/>
      <c r="W739" s="52"/>
      <c r="X739" s="52"/>
      <c r="Y739" s="52"/>
      <c r="Z739" s="52"/>
    </row>
    <row r="740">
      <c r="A740" s="59"/>
      <c r="B740" s="34"/>
      <c r="C740" s="52"/>
      <c r="D740" s="52"/>
      <c r="E740" s="52"/>
      <c r="F740" s="52"/>
      <c r="G740" s="52"/>
      <c r="H740" s="52"/>
      <c r="I740" s="52"/>
      <c r="J740" s="52"/>
      <c r="K740" s="52"/>
      <c r="L740" s="52"/>
      <c r="M740" s="52"/>
      <c r="N740" s="52"/>
      <c r="O740" s="52"/>
      <c r="P740" s="52"/>
      <c r="Q740" s="52"/>
      <c r="R740" s="52"/>
      <c r="S740" s="52"/>
      <c r="T740" s="52"/>
      <c r="U740" s="52"/>
      <c r="V740" s="52"/>
      <c r="W740" s="52"/>
      <c r="X740" s="52"/>
      <c r="Y740" s="52"/>
      <c r="Z740" s="52"/>
    </row>
    <row r="741">
      <c r="A741" s="59"/>
      <c r="B741" s="34"/>
      <c r="C741" s="52"/>
      <c r="D741" s="52"/>
      <c r="E741" s="52"/>
      <c r="F741" s="52"/>
      <c r="G741" s="52"/>
      <c r="H741" s="52"/>
      <c r="I741" s="52"/>
      <c r="J741" s="52"/>
      <c r="K741" s="52"/>
      <c r="L741" s="52"/>
      <c r="M741" s="52"/>
      <c r="N741" s="52"/>
      <c r="O741" s="52"/>
      <c r="P741" s="52"/>
      <c r="Q741" s="52"/>
      <c r="R741" s="52"/>
      <c r="S741" s="52"/>
      <c r="T741" s="52"/>
      <c r="U741" s="52"/>
      <c r="V741" s="52"/>
      <c r="W741" s="52"/>
      <c r="X741" s="52"/>
      <c r="Y741" s="52"/>
      <c r="Z741" s="52"/>
    </row>
    <row r="742">
      <c r="A742" s="59"/>
      <c r="B742" s="34"/>
      <c r="C742" s="52"/>
      <c r="D742" s="52"/>
      <c r="E742" s="52"/>
      <c r="F742" s="52"/>
      <c r="G742" s="52"/>
      <c r="H742" s="52"/>
      <c r="I742" s="52"/>
      <c r="J742" s="52"/>
      <c r="K742" s="52"/>
      <c r="L742" s="52"/>
      <c r="M742" s="52"/>
      <c r="N742" s="52"/>
      <c r="O742" s="52"/>
      <c r="P742" s="52"/>
      <c r="Q742" s="52"/>
      <c r="R742" s="52"/>
      <c r="S742" s="52"/>
      <c r="T742" s="52"/>
      <c r="U742" s="52"/>
      <c r="V742" s="52"/>
      <c r="W742" s="52"/>
      <c r="X742" s="52"/>
      <c r="Y742" s="52"/>
      <c r="Z742" s="52"/>
    </row>
    <row r="743">
      <c r="A743" s="59"/>
      <c r="B743" s="34"/>
      <c r="C743" s="52"/>
      <c r="D743" s="52"/>
      <c r="E743" s="52"/>
      <c r="F743" s="52"/>
      <c r="G743" s="52"/>
      <c r="H743" s="52"/>
      <c r="I743" s="52"/>
      <c r="J743" s="52"/>
      <c r="K743" s="52"/>
      <c r="L743" s="52"/>
      <c r="M743" s="52"/>
      <c r="N743" s="52"/>
      <c r="O743" s="52"/>
      <c r="P743" s="52"/>
      <c r="Q743" s="52"/>
      <c r="R743" s="52"/>
      <c r="S743" s="52"/>
      <c r="T743" s="52"/>
      <c r="U743" s="52"/>
      <c r="V743" s="52"/>
      <c r="W743" s="52"/>
      <c r="X743" s="52"/>
      <c r="Y743" s="52"/>
      <c r="Z743" s="52"/>
    </row>
    <row r="744">
      <c r="A744" s="59"/>
      <c r="B744" s="34"/>
      <c r="C744" s="52"/>
      <c r="D744" s="52"/>
      <c r="E744" s="52"/>
      <c r="F744" s="52"/>
      <c r="G744" s="52"/>
      <c r="H744" s="52"/>
      <c r="I744" s="52"/>
      <c r="J744" s="52"/>
      <c r="K744" s="52"/>
      <c r="L744" s="52"/>
      <c r="M744" s="52"/>
      <c r="N744" s="52"/>
      <c r="O744" s="52"/>
      <c r="P744" s="52"/>
      <c r="Q744" s="52"/>
      <c r="R744" s="52"/>
      <c r="S744" s="52"/>
      <c r="T744" s="52"/>
      <c r="U744" s="52"/>
      <c r="V744" s="52"/>
      <c r="W744" s="52"/>
      <c r="X744" s="52"/>
      <c r="Y744" s="52"/>
      <c r="Z744" s="52"/>
    </row>
    <row r="745">
      <c r="A745" s="59"/>
      <c r="B745" s="34"/>
      <c r="C745" s="52"/>
      <c r="D745" s="52"/>
      <c r="E745" s="52"/>
      <c r="F745" s="52"/>
      <c r="G745" s="52"/>
      <c r="H745" s="52"/>
      <c r="I745" s="52"/>
      <c r="J745" s="52"/>
      <c r="K745" s="52"/>
      <c r="L745" s="52"/>
      <c r="M745" s="52"/>
      <c r="N745" s="52"/>
      <c r="O745" s="52"/>
      <c r="P745" s="52"/>
      <c r="Q745" s="52"/>
      <c r="R745" s="52"/>
      <c r="S745" s="52"/>
      <c r="T745" s="52"/>
      <c r="U745" s="52"/>
      <c r="V745" s="52"/>
      <c r="W745" s="52"/>
      <c r="X745" s="52"/>
      <c r="Y745" s="52"/>
      <c r="Z745" s="52"/>
    </row>
    <row r="746">
      <c r="A746" s="59"/>
      <c r="B746" s="34"/>
      <c r="C746" s="52"/>
      <c r="D746" s="52"/>
      <c r="E746" s="52"/>
      <c r="F746" s="52"/>
      <c r="G746" s="52"/>
      <c r="H746" s="52"/>
      <c r="I746" s="52"/>
      <c r="J746" s="52"/>
      <c r="K746" s="52"/>
      <c r="L746" s="52"/>
      <c r="M746" s="52"/>
      <c r="N746" s="52"/>
      <c r="O746" s="52"/>
      <c r="P746" s="52"/>
      <c r="Q746" s="52"/>
      <c r="R746" s="52"/>
      <c r="S746" s="52"/>
      <c r="T746" s="52"/>
      <c r="U746" s="52"/>
      <c r="V746" s="52"/>
      <c r="W746" s="52"/>
      <c r="X746" s="52"/>
      <c r="Y746" s="52"/>
      <c r="Z746" s="52"/>
    </row>
    <row r="747">
      <c r="A747" s="59"/>
      <c r="B747" s="34"/>
      <c r="C747" s="52"/>
      <c r="D747" s="52"/>
      <c r="E747" s="52"/>
      <c r="F747" s="52"/>
      <c r="G747" s="52"/>
      <c r="H747" s="52"/>
      <c r="I747" s="52"/>
      <c r="J747" s="52"/>
      <c r="K747" s="52"/>
      <c r="L747" s="52"/>
      <c r="M747" s="52"/>
      <c r="N747" s="52"/>
      <c r="O747" s="52"/>
      <c r="P747" s="52"/>
      <c r="Q747" s="52"/>
      <c r="R747" s="52"/>
      <c r="S747" s="52"/>
      <c r="T747" s="52"/>
      <c r="U747" s="52"/>
      <c r="V747" s="52"/>
      <c r="W747" s="52"/>
      <c r="X747" s="52"/>
      <c r="Y747" s="52"/>
      <c r="Z747" s="52"/>
    </row>
    <row r="748">
      <c r="A748" s="59"/>
      <c r="B748" s="34"/>
      <c r="C748" s="52"/>
      <c r="D748" s="52"/>
      <c r="E748" s="52"/>
      <c r="F748" s="52"/>
      <c r="G748" s="52"/>
      <c r="H748" s="52"/>
      <c r="I748" s="52"/>
      <c r="J748" s="52"/>
      <c r="K748" s="52"/>
      <c r="L748" s="52"/>
      <c r="M748" s="52"/>
      <c r="N748" s="52"/>
      <c r="O748" s="52"/>
      <c r="P748" s="52"/>
      <c r="Q748" s="52"/>
      <c r="R748" s="52"/>
      <c r="S748" s="52"/>
      <c r="T748" s="52"/>
      <c r="U748" s="52"/>
      <c r="V748" s="52"/>
      <c r="W748" s="52"/>
      <c r="X748" s="52"/>
      <c r="Y748" s="52"/>
      <c r="Z748" s="52"/>
    </row>
    <row r="749">
      <c r="A749" s="59"/>
      <c r="B749" s="34"/>
      <c r="C749" s="52"/>
      <c r="D749" s="52"/>
      <c r="E749" s="52"/>
      <c r="F749" s="52"/>
      <c r="G749" s="52"/>
      <c r="H749" s="52"/>
      <c r="I749" s="52"/>
      <c r="J749" s="52"/>
      <c r="K749" s="52"/>
      <c r="L749" s="52"/>
      <c r="M749" s="52"/>
      <c r="N749" s="52"/>
      <c r="O749" s="52"/>
      <c r="P749" s="52"/>
      <c r="Q749" s="52"/>
      <c r="R749" s="52"/>
      <c r="S749" s="52"/>
      <c r="T749" s="52"/>
      <c r="U749" s="52"/>
      <c r="V749" s="52"/>
      <c r="W749" s="52"/>
      <c r="X749" s="52"/>
      <c r="Y749" s="52"/>
      <c r="Z749" s="52"/>
    </row>
    <row r="750">
      <c r="A750" s="59"/>
      <c r="B750" s="34"/>
      <c r="C750" s="52"/>
      <c r="D750" s="52"/>
      <c r="E750" s="52"/>
      <c r="F750" s="52"/>
      <c r="G750" s="52"/>
      <c r="H750" s="52"/>
      <c r="I750" s="52"/>
      <c r="J750" s="52"/>
      <c r="K750" s="52"/>
      <c r="L750" s="52"/>
      <c r="M750" s="52"/>
      <c r="N750" s="52"/>
      <c r="O750" s="52"/>
      <c r="P750" s="52"/>
      <c r="Q750" s="52"/>
      <c r="R750" s="52"/>
      <c r="S750" s="52"/>
      <c r="T750" s="52"/>
      <c r="U750" s="52"/>
      <c r="V750" s="52"/>
      <c r="W750" s="52"/>
      <c r="X750" s="52"/>
      <c r="Y750" s="52"/>
      <c r="Z750" s="52"/>
    </row>
    <row r="751">
      <c r="A751" s="59"/>
      <c r="B751" s="34"/>
      <c r="C751" s="52"/>
      <c r="D751" s="52"/>
      <c r="E751" s="52"/>
      <c r="F751" s="52"/>
      <c r="G751" s="52"/>
      <c r="H751" s="52"/>
      <c r="I751" s="52"/>
      <c r="J751" s="52"/>
      <c r="K751" s="52"/>
      <c r="L751" s="52"/>
      <c r="M751" s="52"/>
      <c r="N751" s="52"/>
      <c r="O751" s="52"/>
      <c r="P751" s="52"/>
      <c r="Q751" s="52"/>
      <c r="R751" s="52"/>
      <c r="S751" s="52"/>
      <c r="T751" s="52"/>
      <c r="U751" s="52"/>
      <c r="V751" s="52"/>
      <c r="W751" s="52"/>
      <c r="X751" s="52"/>
      <c r="Y751" s="52"/>
      <c r="Z751" s="52"/>
    </row>
    <row r="752">
      <c r="A752" s="59"/>
      <c r="B752" s="34"/>
      <c r="C752" s="52"/>
      <c r="D752" s="52"/>
      <c r="E752" s="52"/>
      <c r="F752" s="52"/>
      <c r="G752" s="52"/>
      <c r="H752" s="52"/>
      <c r="I752" s="52"/>
      <c r="J752" s="52"/>
      <c r="K752" s="52"/>
      <c r="L752" s="52"/>
      <c r="M752" s="52"/>
      <c r="N752" s="52"/>
      <c r="O752" s="52"/>
      <c r="P752" s="52"/>
      <c r="Q752" s="52"/>
      <c r="R752" s="52"/>
      <c r="S752" s="52"/>
      <c r="T752" s="52"/>
      <c r="U752" s="52"/>
      <c r="V752" s="52"/>
      <c r="W752" s="52"/>
      <c r="X752" s="52"/>
      <c r="Y752" s="52"/>
      <c r="Z752" s="52"/>
    </row>
    <row r="753">
      <c r="A753" s="59"/>
      <c r="B753" s="34"/>
      <c r="C753" s="52"/>
      <c r="D753" s="52"/>
      <c r="E753" s="52"/>
      <c r="F753" s="52"/>
      <c r="G753" s="52"/>
      <c r="H753" s="52"/>
      <c r="I753" s="52"/>
      <c r="J753" s="52"/>
      <c r="K753" s="52"/>
      <c r="L753" s="52"/>
      <c r="M753" s="52"/>
      <c r="N753" s="52"/>
      <c r="O753" s="52"/>
      <c r="P753" s="52"/>
      <c r="Q753" s="52"/>
      <c r="R753" s="52"/>
      <c r="S753" s="52"/>
      <c r="T753" s="52"/>
      <c r="U753" s="52"/>
      <c r="V753" s="52"/>
      <c r="W753" s="52"/>
      <c r="X753" s="52"/>
      <c r="Y753" s="52"/>
      <c r="Z753" s="52"/>
    </row>
    <row r="754">
      <c r="A754" s="59"/>
      <c r="B754" s="34"/>
      <c r="C754" s="52"/>
      <c r="D754" s="52"/>
      <c r="E754" s="52"/>
      <c r="F754" s="52"/>
      <c r="G754" s="52"/>
      <c r="H754" s="52"/>
      <c r="I754" s="52"/>
      <c r="J754" s="52"/>
      <c r="K754" s="52"/>
      <c r="L754" s="52"/>
      <c r="M754" s="52"/>
      <c r="N754" s="52"/>
      <c r="O754" s="52"/>
      <c r="P754" s="52"/>
      <c r="Q754" s="52"/>
      <c r="R754" s="52"/>
      <c r="S754" s="52"/>
      <c r="T754" s="52"/>
      <c r="U754" s="52"/>
      <c r="V754" s="52"/>
      <c r="W754" s="52"/>
      <c r="X754" s="52"/>
      <c r="Y754" s="52"/>
      <c r="Z754" s="52"/>
    </row>
    <row r="755">
      <c r="A755" s="59"/>
      <c r="B755" s="34"/>
      <c r="C755" s="52"/>
      <c r="D755" s="52"/>
      <c r="E755" s="52"/>
      <c r="F755" s="52"/>
      <c r="G755" s="52"/>
      <c r="H755" s="52"/>
      <c r="I755" s="52"/>
      <c r="J755" s="52"/>
      <c r="K755" s="52"/>
      <c r="L755" s="52"/>
      <c r="M755" s="52"/>
      <c r="N755" s="52"/>
      <c r="O755" s="52"/>
      <c r="P755" s="52"/>
      <c r="Q755" s="52"/>
      <c r="R755" s="52"/>
      <c r="S755" s="52"/>
      <c r="T755" s="52"/>
      <c r="U755" s="52"/>
      <c r="V755" s="52"/>
      <c r="W755" s="52"/>
      <c r="X755" s="52"/>
      <c r="Y755" s="52"/>
      <c r="Z755" s="52"/>
    </row>
    <row r="756">
      <c r="A756" s="59"/>
      <c r="B756" s="34"/>
      <c r="C756" s="52"/>
      <c r="D756" s="52"/>
      <c r="E756" s="52"/>
      <c r="F756" s="52"/>
      <c r="G756" s="52"/>
      <c r="H756" s="52"/>
      <c r="I756" s="52"/>
      <c r="J756" s="52"/>
      <c r="K756" s="52"/>
      <c r="L756" s="52"/>
      <c r="M756" s="52"/>
      <c r="N756" s="52"/>
      <c r="O756" s="52"/>
      <c r="P756" s="52"/>
      <c r="Q756" s="52"/>
      <c r="R756" s="52"/>
      <c r="S756" s="52"/>
      <c r="T756" s="52"/>
      <c r="U756" s="52"/>
      <c r="V756" s="52"/>
      <c r="W756" s="52"/>
      <c r="X756" s="52"/>
      <c r="Y756" s="52"/>
      <c r="Z756" s="52"/>
    </row>
    <row r="757">
      <c r="A757" s="59"/>
      <c r="B757" s="34"/>
      <c r="C757" s="52"/>
      <c r="D757" s="52"/>
      <c r="E757" s="52"/>
      <c r="F757" s="52"/>
      <c r="G757" s="52"/>
      <c r="H757" s="52"/>
      <c r="I757" s="52"/>
      <c r="J757" s="52"/>
      <c r="K757" s="52"/>
      <c r="L757" s="52"/>
      <c r="M757" s="52"/>
      <c r="N757" s="52"/>
      <c r="O757" s="52"/>
      <c r="P757" s="52"/>
      <c r="Q757" s="52"/>
      <c r="R757" s="52"/>
      <c r="S757" s="52"/>
      <c r="T757" s="52"/>
      <c r="U757" s="52"/>
      <c r="V757" s="52"/>
      <c r="W757" s="52"/>
      <c r="X757" s="52"/>
      <c r="Y757" s="52"/>
      <c r="Z757" s="52"/>
    </row>
    <row r="758">
      <c r="A758" s="59"/>
      <c r="B758" s="34"/>
      <c r="C758" s="52"/>
      <c r="D758" s="52"/>
      <c r="E758" s="52"/>
      <c r="F758" s="52"/>
      <c r="G758" s="52"/>
      <c r="H758" s="52"/>
      <c r="I758" s="52"/>
      <c r="J758" s="52"/>
      <c r="K758" s="52"/>
      <c r="L758" s="52"/>
      <c r="M758" s="52"/>
      <c r="N758" s="52"/>
      <c r="O758" s="52"/>
      <c r="P758" s="52"/>
      <c r="Q758" s="52"/>
      <c r="R758" s="52"/>
      <c r="S758" s="52"/>
      <c r="T758" s="52"/>
      <c r="U758" s="52"/>
      <c r="V758" s="52"/>
      <c r="W758" s="52"/>
      <c r="X758" s="52"/>
      <c r="Y758" s="52"/>
      <c r="Z758" s="52"/>
    </row>
    <row r="759">
      <c r="A759" s="59"/>
      <c r="B759" s="34"/>
      <c r="C759" s="52"/>
      <c r="D759" s="52"/>
      <c r="E759" s="52"/>
      <c r="F759" s="52"/>
      <c r="G759" s="52"/>
      <c r="H759" s="52"/>
      <c r="I759" s="52"/>
      <c r="J759" s="52"/>
      <c r="K759" s="52"/>
      <c r="L759" s="52"/>
      <c r="M759" s="52"/>
      <c r="N759" s="52"/>
      <c r="O759" s="52"/>
      <c r="P759" s="52"/>
      <c r="Q759" s="52"/>
      <c r="R759" s="52"/>
      <c r="S759" s="52"/>
      <c r="T759" s="52"/>
      <c r="U759" s="52"/>
      <c r="V759" s="52"/>
      <c r="W759" s="52"/>
      <c r="X759" s="52"/>
      <c r="Y759" s="52"/>
      <c r="Z759" s="52"/>
    </row>
    <row r="760">
      <c r="A760" s="59"/>
      <c r="B760" s="34"/>
      <c r="C760" s="52"/>
      <c r="D760" s="52"/>
      <c r="E760" s="52"/>
      <c r="F760" s="52"/>
      <c r="G760" s="52"/>
      <c r="H760" s="52"/>
      <c r="I760" s="52"/>
      <c r="J760" s="52"/>
      <c r="K760" s="52"/>
      <c r="L760" s="52"/>
      <c r="M760" s="52"/>
      <c r="N760" s="52"/>
      <c r="O760" s="52"/>
      <c r="P760" s="52"/>
      <c r="Q760" s="52"/>
      <c r="R760" s="52"/>
      <c r="S760" s="52"/>
      <c r="T760" s="52"/>
      <c r="U760" s="52"/>
      <c r="V760" s="52"/>
      <c r="W760" s="52"/>
      <c r="X760" s="52"/>
      <c r="Y760" s="52"/>
      <c r="Z760" s="52"/>
    </row>
    <row r="761">
      <c r="A761" s="59"/>
      <c r="B761" s="34"/>
      <c r="C761" s="52"/>
      <c r="D761" s="52"/>
      <c r="E761" s="52"/>
      <c r="F761" s="52"/>
      <c r="G761" s="52"/>
      <c r="H761" s="52"/>
      <c r="I761" s="52"/>
      <c r="J761" s="52"/>
      <c r="K761" s="52"/>
      <c r="L761" s="52"/>
      <c r="M761" s="52"/>
      <c r="N761" s="52"/>
      <c r="O761" s="52"/>
      <c r="P761" s="52"/>
      <c r="Q761" s="52"/>
      <c r="R761" s="52"/>
      <c r="S761" s="52"/>
      <c r="T761" s="52"/>
      <c r="U761" s="52"/>
      <c r="V761" s="52"/>
      <c r="W761" s="52"/>
      <c r="X761" s="52"/>
      <c r="Y761" s="52"/>
      <c r="Z761" s="52"/>
    </row>
    <row r="762">
      <c r="A762" s="59"/>
      <c r="B762" s="34"/>
      <c r="C762" s="52"/>
      <c r="D762" s="52"/>
      <c r="E762" s="52"/>
      <c r="F762" s="52"/>
      <c r="G762" s="52"/>
      <c r="H762" s="52"/>
      <c r="I762" s="52"/>
      <c r="J762" s="52"/>
      <c r="K762" s="52"/>
      <c r="L762" s="52"/>
      <c r="M762" s="52"/>
      <c r="N762" s="52"/>
      <c r="O762" s="52"/>
      <c r="P762" s="52"/>
      <c r="Q762" s="52"/>
      <c r="R762" s="52"/>
      <c r="S762" s="52"/>
      <c r="T762" s="52"/>
      <c r="U762" s="52"/>
      <c r="V762" s="52"/>
      <c r="W762" s="52"/>
      <c r="X762" s="52"/>
      <c r="Y762" s="52"/>
      <c r="Z762" s="52"/>
    </row>
    <row r="763">
      <c r="A763" s="59"/>
      <c r="B763" s="34"/>
      <c r="C763" s="52"/>
      <c r="D763" s="52"/>
      <c r="E763" s="52"/>
      <c r="F763" s="52"/>
      <c r="G763" s="52"/>
      <c r="H763" s="52"/>
      <c r="I763" s="52"/>
      <c r="J763" s="52"/>
      <c r="K763" s="52"/>
      <c r="L763" s="52"/>
      <c r="M763" s="52"/>
      <c r="N763" s="52"/>
      <c r="O763" s="52"/>
      <c r="P763" s="52"/>
      <c r="Q763" s="52"/>
      <c r="R763" s="52"/>
      <c r="S763" s="52"/>
      <c r="T763" s="52"/>
      <c r="U763" s="52"/>
      <c r="V763" s="52"/>
      <c r="W763" s="52"/>
      <c r="X763" s="52"/>
      <c r="Y763" s="52"/>
      <c r="Z763" s="52"/>
    </row>
    <row r="764">
      <c r="A764" s="59"/>
      <c r="B764" s="34"/>
      <c r="C764" s="52"/>
      <c r="D764" s="52"/>
      <c r="E764" s="52"/>
      <c r="F764" s="52"/>
      <c r="G764" s="52"/>
      <c r="H764" s="52"/>
      <c r="I764" s="52"/>
      <c r="J764" s="52"/>
      <c r="K764" s="52"/>
      <c r="L764" s="52"/>
      <c r="M764" s="52"/>
      <c r="N764" s="52"/>
      <c r="O764" s="52"/>
      <c r="P764" s="52"/>
      <c r="Q764" s="52"/>
      <c r="R764" s="52"/>
      <c r="S764" s="52"/>
      <c r="T764" s="52"/>
      <c r="U764" s="52"/>
      <c r="V764" s="52"/>
      <c r="W764" s="52"/>
      <c r="X764" s="52"/>
      <c r="Y764" s="52"/>
      <c r="Z764" s="52"/>
    </row>
    <row r="765">
      <c r="A765" s="59"/>
      <c r="B765" s="34"/>
      <c r="C765" s="52"/>
      <c r="D765" s="52"/>
      <c r="E765" s="52"/>
      <c r="F765" s="52"/>
      <c r="G765" s="52"/>
      <c r="H765" s="52"/>
      <c r="I765" s="52"/>
      <c r="J765" s="52"/>
      <c r="K765" s="52"/>
      <c r="L765" s="52"/>
      <c r="M765" s="52"/>
      <c r="N765" s="52"/>
      <c r="O765" s="52"/>
      <c r="P765" s="52"/>
      <c r="Q765" s="52"/>
      <c r="R765" s="52"/>
      <c r="S765" s="52"/>
      <c r="T765" s="52"/>
      <c r="U765" s="52"/>
      <c r="V765" s="52"/>
      <c r="W765" s="52"/>
      <c r="X765" s="52"/>
      <c r="Y765" s="52"/>
      <c r="Z765" s="52"/>
    </row>
    <row r="766">
      <c r="A766" s="59"/>
      <c r="B766" s="34"/>
      <c r="C766" s="52"/>
      <c r="D766" s="52"/>
      <c r="E766" s="52"/>
      <c r="F766" s="52"/>
      <c r="G766" s="52"/>
      <c r="H766" s="52"/>
      <c r="I766" s="52"/>
      <c r="J766" s="52"/>
      <c r="K766" s="52"/>
      <c r="L766" s="52"/>
      <c r="M766" s="52"/>
      <c r="N766" s="52"/>
      <c r="O766" s="52"/>
      <c r="P766" s="52"/>
      <c r="Q766" s="52"/>
      <c r="R766" s="52"/>
      <c r="S766" s="52"/>
      <c r="T766" s="52"/>
      <c r="U766" s="52"/>
      <c r="V766" s="52"/>
      <c r="W766" s="52"/>
      <c r="X766" s="52"/>
      <c r="Y766" s="52"/>
      <c r="Z766" s="52"/>
    </row>
    <row r="767">
      <c r="A767" s="59"/>
      <c r="B767" s="34"/>
      <c r="C767" s="52"/>
      <c r="D767" s="52"/>
      <c r="E767" s="52"/>
      <c r="F767" s="52"/>
      <c r="G767" s="52"/>
      <c r="H767" s="52"/>
      <c r="I767" s="52"/>
      <c r="J767" s="52"/>
      <c r="K767" s="52"/>
      <c r="L767" s="52"/>
      <c r="M767" s="52"/>
      <c r="N767" s="52"/>
      <c r="O767" s="52"/>
      <c r="P767" s="52"/>
      <c r="Q767" s="52"/>
      <c r="R767" s="52"/>
      <c r="S767" s="52"/>
      <c r="T767" s="52"/>
      <c r="U767" s="52"/>
      <c r="V767" s="52"/>
      <c r="W767" s="52"/>
      <c r="X767" s="52"/>
      <c r="Y767" s="52"/>
      <c r="Z767" s="52"/>
    </row>
    <row r="768">
      <c r="A768" s="59"/>
      <c r="B768" s="34"/>
      <c r="C768" s="52"/>
      <c r="D768" s="52"/>
      <c r="E768" s="52"/>
      <c r="F768" s="52"/>
      <c r="G768" s="52"/>
      <c r="H768" s="52"/>
      <c r="I768" s="52"/>
      <c r="J768" s="52"/>
      <c r="K768" s="52"/>
      <c r="L768" s="52"/>
      <c r="M768" s="52"/>
      <c r="N768" s="52"/>
      <c r="O768" s="52"/>
      <c r="P768" s="52"/>
      <c r="Q768" s="52"/>
      <c r="R768" s="52"/>
      <c r="S768" s="52"/>
      <c r="T768" s="52"/>
      <c r="U768" s="52"/>
      <c r="V768" s="52"/>
      <c r="W768" s="52"/>
      <c r="X768" s="52"/>
      <c r="Y768" s="52"/>
      <c r="Z768" s="52"/>
    </row>
    <row r="769">
      <c r="A769" s="59"/>
      <c r="B769" s="34"/>
      <c r="C769" s="52"/>
      <c r="D769" s="52"/>
      <c r="E769" s="52"/>
      <c r="F769" s="52"/>
      <c r="G769" s="52"/>
      <c r="H769" s="52"/>
      <c r="I769" s="52"/>
      <c r="J769" s="52"/>
      <c r="K769" s="52"/>
      <c r="L769" s="52"/>
      <c r="M769" s="52"/>
      <c r="N769" s="52"/>
      <c r="O769" s="52"/>
      <c r="P769" s="52"/>
      <c r="Q769" s="52"/>
      <c r="R769" s="52"/>
      <c r="S769" s="52"/>
      <c r="T769" s="52"/>
      <c r="U769" s="52"/>
      <c r="V769" s="52"/>
      <c r="W769" s="52"/>
      <c r="X769" s="52"/>
      <c r="Y769" s="52"/>
      <c r="Z769" s="52"/>
    </row>
    <row r="770">
      <c r="A770" s="59"/>
      <c r="B770" s="34"/>
      <c r="C770" s="52"/>
      <c r="D770" s="52"/>
      <c r="E770" s="52"/>
      <c r="F770" s="52"/>
      <c r="G770" s="52"/>
      <c r="H770" s="52"/>
      <c r="I770" s="52"/>
      <c r="J770" s="52"/>
      <c r="K770" s="52"/>
      <c r="L770" s="52"/>
      <c r="M770" s="52"/>
      <c r="N770" s="52"/>
      <c r="O770" s="52"/>
      <c r="P770" s="52"/>
      <c r="Q770" s="52"/>
      <c r="R770" s="52"/>
      <c r="S770" s="52"/>
      <c r="T770" s="52"/>
      <c r="U770" s="52"/>
      <c r="V770" s="52"/>
      <c r="W770" s="52"/>
      <c r="X770" s="52"/>
      <c r="Y770" s="52"/>
      <c r="Z770" s="52"/>
    </row>
    <row r="771">
      <c r="A771" s="59"/>
      <c r="B771" s="34"/>
      <c r="C771" s="52"/>
      <c r="D771" s="52"/>
      <c r="E771" s="52"/>
      <c r="F771" s="52"/>
      <c r="G771" s="52"/>
      <c r="H771" s="52"/>
      <c r="I771" s="52"/>
      <c r="J771" s="52"/>
      <c r="K771" s="52"/>
      <c r="L771" s="52"/>
      <c r="M771" s="52"/>
      <c r="N771" s="52"/>
      <c r="O771" s="52"/>
      <c r="P771" s="52"/>
      <c r="Q771" s="52"/>
      <c r="R771" s="52"/>
      <c r="S771" s="52"/>
      <c r="T771" s="52"/>
      <c r="U771" s="52"/>
      <c r="V771" s="52"/>
      <c r="W771" s="52"/>
      <c r="X771" s="52"/>
      <c r="Y771" s="52"/>
      <c r="Z771" s="52"/>
    </row>
    <row r="772">
      <c r="A772" s="59"/>
      <c r="B772" s="34"/>
      <c r="C772" s="52"/>
      <c r="D772" s="52"/>
      <c r="E772" s="52"/>
      <c r="F772" s="52"/>
      <c r="G772" s="52"/>
      <c r="H772" s="52"/>
      <c r="I772" s="52"/>
      <c r="J772" s="52"/>
      <c r="K772" s="52"/>
      <c r="L772" s="52"/>
      <c r="M772" s="52"/>
      <c r="N772" s="52"/>
      <c r="O772" s="52"/>
      <c r="P772" s="52"/>
      <c r="Q772" s="52"/>
      <c r="R772" s="52"/>
      <c r="S772" s="52"/>
      <c r="T772" s="52"/>
      <c r="U772" s="52"/>
      <c r="V772" s="52"/>
      <c r="W772" s="52"/>
      <c r="X772" s="52"/>
      <c r="Y772" s="52"/>
      <c r="Z772" s="52"/>
    </row>
    <row r="773">
      <c r="A773" s="59"/>
      <c r="B773" s="34"/>
      <c r="C773" s="52"/>
      <c r="D773" s="52"/>
      <c r="E773" s="52"/>
      <c r="F773" s="52"/>
      <c r="G773" s="52"/>
      <c r="H773" s="52"/>
      <c r="I773" s="52"/>
      <c r="J773" s="52"/>
      <c r="K773" s="52"/>
      <c r="L773" s="52"/>
      <c r="M773" s="52"/>
      <c r="N773" s="52"/>
      <c r="O773" s="52"/>
      <c r="P773" s="52"/>
      <c r="Q773" s="52"/>
      <c r="R773" s="52"/>
      <c r="S773" s="52"/>
      <c r="T773" s="52"/>
      <c r="U773" s="52"/>
      <c r="V773" s="52"/>
      <c r="W773" s="52"/>
      <c r="X773" s="52"/>
      <c r="Y773" s="52"/>
      <c r="Z773" s="52"/>
    </row>
    <row r="774">
      <c r="A774" s="59"/>
      <c r="B774" s="34"/>
      <c r="C774" s="52"/>
      <c r="D774" s="52"/>
      <c r="E774" s="52"/>
      <c r="F774" s="52"/>
      <c r="G774" s="52"/>
      <c r="H774" s="52"/>
      <c r="I774" s="52"/>
      <c r="J774" s="52"/>
      <c r="K774" s="52"/>
      <c r="L774" s="52"/>
      <c r="M774" s="52"/>
      <c r="N774" s="52"/>
      <c r="O774" s="52"/>
      <c r="P774" s="52"/>
      <c r="Q774" s="52"/>
      <c r="R774" s="52"/>
      <c r="S774" s="52"/>
      <c r="T774" s="52"/>
      <c r="U774" s="52"/>
      <c r="V774" s="52"/>
      <c r="W774" s="52"/>
      <c r="X774" s="52"/>
      <c r="Y774" s="52"/>
      <c r="Z774" s="52"/>
    </row>
    <row r="775">
      <c r="A775" s="59"/>
      <c r="B775" s="34"/>
      <c r="C775" s="52"/>
      <c r="D775" s="52"/>
      <c r="E775" s="52"/>
      <c r="F775" s="52"/>
      <c r="G775" s="52"/>
      <c r="H775" s="52"/>
      <c r="I775" s="52"/>
      <c r="J775" s="52"/>
      <c r="K775" s="52"/>
      <c r="L775" s="52"/>
      <c r="M775" s="52"/>
      <c r="N775" s="52"/>
      <c r="O775" s="52"/>
      <c r="P775" s="52"/>
      <c r="Q775" s="52"/>
      <c r="R775" s="52"/>
      <c r="S775" s="52"/>
      <c r="T775" s="52"/>
      <c r="U775" s="52"/>
      <c r="V775" s="52"/>
      <c r="W775" s="52"/>
      <c r="X775" s="52"/>
      <c r="Y775" s="52"/>
      <c r="Z775" s="52"/>
    </row>
    <row r="776">
      <c r="A776" s="59"/>
      <c r="B776" s="34"/>
      <c r="C776" s="52"/>
      <c r="D776" s="52"/>
      <c r="E776" s="52"/>
      <c r="F776" s="52"/>
      <c r="G776" s="52"/>
      <c r="H776" s="52"/>
      <c r="I776" s="52"/>
      <c r="J776" s="52"/>
      <c r="K776" s="52"/>
      <c r="L776" s="52"/>
      <c r="M776" s="52"/>
      <c r="N776" s="52"/>
      <c r="O776" s="52"/>
      <c r="P776" s="52"/>
      <c r="Q776" s="52"/>
      <c r="R776" s="52"/>
      <c r="S776" s="52"/>
      <c r="T776" s="52"/>
      <c r="U776" s="52"/>
      <c r="V776" s="52"/>
      <c r="W776" s="52"/>
      <c r="X776" s="52"/>
      <c r="Y776" s="52"/>
      <c r="Z776" s="52"/>
    </row>
    <row r="777">
      <c r="A777" s="59"/>
      <c r="B777" s="34"/>
      <c r="C777" s="52"/>
      <c r="D777" s="52"/>
      <c r="E777" s="52"/>
      <c r="F777" s="52"/>
      <c r="G777" s="52"/>
      <c r="H777" s="52"/>
      <c r="I777" s="52"/>
      <c r="J777" s="52"/>
      <c r="K777" s="52"/>
      <c r="L777" s="52"/>
      <c r="M777" s="52"/>
      <c r="N777" s="52"/>
      <c r="O777" s="52"/>
      <c r="P777" s="52"/>
      <c r="Q777" s="52"/>
      <c r="R777" s="52"/>
      <c r="S777" s="52"/>
      <c r="T777" s="52"/>
      <c r="U777" s="52"/>
      <c r="V777" s="52"/>
      <c r="W777" s="52"/>
      <c r="X777" s="52"/>
      <c r="Y777" s="52"/>
      <c r="Z777" s="52"/>
    </row>
    <row r="778">
      <c r="A778" s="59"/>
      <c r="B778" s="34"/>
      <c r="C778" s="52"/>
      <c r="D778" s="52"/>
      <c r="E778" s="52"/>
      <c r="F778" s="52"/>
      <c r="G778" s="52"/>
      <c r="H778" s="52"/>
      <c r="I778" s="52"/>
      <c r="J778" s="52"/>
      <c r="K778" s="52"/>
      <c r="L778" s="52"/>
      <c r="M778" s="52"/>
      <c r="N778" s="52"/>
      <c r="O778" s="52"/>
      <c r="P778" s="52"/>
      <c r="Q778" s="52"/>
      <c r="R778" s="52"/>
      <c r="S778" s="52"/>
      <c r="T778" s="52"/>
      <c r="U778" s="52"/>
      <c r="V778" s="52"/>
      <c r="W778" s="52"/>
      <c r="X778" s="52"/>
      <c r="Y778" s="52"/>
      <c r="Z778" s="52"/>
    </row>
    <row r="779">
      <c r="A779" s="59"/>
      <c r="B779" s="34"/>
      <c r="C779" s="52"/>
      <c r="D779" s="52"/>
      <c r="E779" s="52"/>
      <c r="F779" s="52"/>
      <c r="G779" s="52"/>
      <c r="H779" s="52"/>
      <c r="I779" s="52"/>
      <c r="J779" s="52"/>
      <c r="K779" s="52"/>
      <c r="L779" s="52"/>
      <c r="M779" s="52"/>
      <c r="N779" s="52"/>
      <c r="O779" s="52"/>
      <c r="P779" s="52"/>
      <c r="Q779" s="52"/>
      <c r="R779" s="52"/>
      <c r="S779" s="52"/>
      <c r="T779" s="52"/>
      <c r="U779" s="52"/>
      <c r="V779" s="52"/>
      <c r="W779" s="52"/>
      <c r="X779" s="52"/>
      <c r="Y779" s="52"/>
      <c r="Z779" s="52"/>
    </row>
    <row r="780">
      <c r="A780" s="59"/>
      <c r="B780" s="34"/>
      <c r="C780" s="52"/>
      <c r="D780" s="52"/>
      <c r="E780" s="52"/>
      <c r="F780" s="52"/>
      <c r="G780" s="52"/>
      <c r="H780" s="52"/>
      <c r="I780" s="52"/>
      <c r="J780" s="52"/>
      <c r="K780" s="52"/>
      <c r="L780" s="52"/>
      <c r="M780" s="52"/>
      <c r="N780" s="52"/>
      <c r="O780" s="52"/>
      <c r="P780" s="52"/>
      <c r="Q780" s="52"/>
      <c r="R780" s="52"/>
      <c r="S780" s="52"/>
      <c r="T780" s="52"/>
      <c r="U780" s="52"/>
      <c r="V780" s="52"/>
      <c r="W780" s="52"/>
      <c r="X780" s="52"/>
      <c r="Y780" s="52"/>
      <c r="Z780" s="52"/>
    </row>
    <row r="781">
      <c r="A781" s="59"/>
      <c r="B781" s="34"/>
      <c r="C781" s="52"/>
      <c r="D781" s="52"/>
      <c r="E781" s="52"/>
      <c r="F781" s="52"/>
      <c r="G781" s="52"/>
      <c r="H781" s="52"/>
      <c r="I781" s="52"/>
      <c r="J781" s="52"/>
      <c r="K781" s="52"/>
      <c r="L781" s="52"/>
      <c r="M781" s="52"/>
      <c r="N781" s="52"/>
      <c r="O781" s="52"/>
      <c r="P781" s="52"/>
      <c r="Q781" s="52"/>
      <c r="R781" s="52"/>
      <c r="S781" s="52"/>
      <c r="T781" s="52"/>
      <c r="U781" s="52"/>
      <c r="V781" s="52"/>
      <c r="W781" s="52"/>
      <c r="X781" s="52"/>
      <c r="Y781" s="52"/>
      <c r="Z781" s="52"/>
    </row>
    <row r="782">
      <c r="A782" s="59"/>
      <c r="B782" s="34"/>
      <c r="C782" s="52"/>
      <c r="D782" s="52"/>
      <c r="E782" s="52"/>
      <c r="F782" s="52"/>
      <c r="G782" s="52"/>
      <c r="H782" s="52"/>
      <c r="I782" s="52"/>
      <c r="J782" s="52"/>
      <c r="K782" s="52"/>
      <c r="L782" s="52"/>
      <c r="M782" s="52"/>
      <c r="N782" s="52"/>
      <c r="O782" s="52"/>
      <c r="P782" s="52"/>
      <c r="Q782" s="52"/>
      <c r="R782" s="52"/>
      <c r="S782" s="52"/>
      <c r="T782" s="52"/>
      <c r="U782" s="52"/>
      <c r="V782" s="52"/>
      <c r="W782" s="52"/>
      <c r="X782" s="52"/>
      <c r="Y782" s="52"/>
      <c r="Z782" s="52"/>
    </row>
    <row r="783">
      <c r="A783" s="59"/>
      <c r="B783" s="34"/>
      <c r="C783" s="52"/>
      <c r="D783" s="52"/>
      <c r="E783" s="52"/>
      <c r="F783" s="52"/>
      <c r="G783" s="52"/>
      <c r="H783" s="52"/>
      <c r="I783" s="52"/>
      <c r="J783" s="52"/>
      <c r="K783" s="52"/>
      <c r="L783" s="52"/>
      <c r="M783" s="52"/>
      <c r="N783" s="52"/>
      <c r="O783" s="52"/>
      <c r="P783" s="52"/>
      <c r="Q783" s="52"/>
      <c r="R783" s="52"/>
      <c r="S783" s="52"/>
      <c r="T783" s="52"/>
      <c r="U783" s="52"/>
      <c r="V783" s="52"/>
      <c r="W783" s="52"/>
      <c r="X783" s="52"/>
      <c r="Y783" s="52"/>
      <c r="Z783" s="52"/>
    </row>
    <row r="784">
      <c r="A784" s="59"/>
      <c r="B784" s="34"/>
      <c r="C784" s="52"/>
      <c r="D784" s="52"/>
      <c r="E784" s="52"/>
      <c r="F784" s="52"/>
      <c r="G784" s="52"/>
      <c r="H784" s="52"/>
      <c r="I784" s="52"/>
      <c r="J784" s="52"/>
      <c r="K784" s="52"/>
      <c r="L784" s="52"/>
      <c r="M784" s="52"/>
      <c r="N784" s="52"/>
      <c r="O784" s="52"/>
      <c r="P784" s="52"/>
      <c r="Q784" s="52"/>
      <c r="R784" s="52"/>
      <c r="S784" s="52"/>
      <c r="T784" s="52"/>
      <c r="U784" s="52"/>
      <c r="V784" s="52"/>
      <c r="W784" s="52"/>
      <c r="X784" s="52"/>
      <c r="Y784" s="52"/>
      <c r="Z784" s="52"/>
    </row>
    <row r="785">
      <c r="A785" s="59"/>
      <c r="B785" s="34"/>
      <c r="C785" s="52"/>
      <c r="D785" s="52"/>
      <c r="E785" s="52"/>
      <c r="F785" s="52"/>
      <c r="G785" s="52"/>
      <c r="H785" s="52"/>
      <c r="I785" s="52"/>
      <c r="J785" s="52"/>
      <c r="K785" s="52"/>
      <c r="L785" s="52"/>
      <c r="M785" s="52"/>
      <c r="N785" s="52"/>
      <c r="O785" s="52"/>
      <c r="P785" s="52"/>
      <c r="Q785" s="52"/>
      <c r="R785" s="52"/>
      <c r="S785" s="52"/>
      <c r="T785" s="52"/>
      <c r="U785" s="52"/>
      <c r="V785" s="52"/>
      <c r="W785" s="52"/>
      <c r="X785" s="52"/>
      <c r="Y785" s="52"/>
      <c r="Z785" s="52"/>
    </row>
    <row r="786">
      <c r="A786" s="59"/>
      <c r="B786" s="34"/>
      <c r="C786" s="52"/>
      <c r="D786" s="52"/>
      <c r="E786" s="52"/>
      <c r="F786" s="52"/>
      <c r="G786" s="52"/>
      <c r="H786" s="52"/>
      <c r="I786" s="52"/>
      <c r="J786" s="52"/>
      <c r="K786" s="52"/>
      <c r="L786" s="52"/>
      <c r="M786" s="52"/>
      <c r="N786" s="52"/>
      <c r="O786" s="52"/>
      <c r="P786" s="52"/>
      <c r="Q786" s="52"/>
      <c r="R786" s="52"/>
      <c r="S786" s="52"/>
      <c r="T786" s="52"/>
      <c r="U786" s="52"/>
      <c r="V786" s="52"/>
      <c r="W786" s="52"/>
      <c r="X786" s="52"/>
      <c r="Y786" s="52"/>
      <c r="Z786" s="52"/>
    </row>
    <row r="787">
      <c r="A787" s="59"/>
      <c r="B787" s="34"/>
      <c r="C787" s="52"/>
      <c r="D787" s="52"/>
      <c r="E787" s="52"/>
      <c r="F787" s="52"/>
      <c r="G787" s="52"/>
      <c r="H787" s="52"/>
      <c r="I787" s="52"/>
      <c r="J787" s="52"/>
      <c r="K787" s="52"/>
      <c r="L787" s="52"/>
      <c r="M787" s="52"/>
      <c r="N787" s="52"/>
      <c r="O787" s="52"/>
      <c r="P787" s="52"/>
      <c r="Q787" s="52"/>
      <c r="R787" s="52"/>
      <c r="S787" s="52"/>
      <c r="T787" s="52"/>
      <c r="U787" s="52"/>
      <c r="V787" s="52"/>
      <c r="W787" s="52"/>
      <c r="X787" s="52"/>
      <c r="Y787" s="52"/>
      <c r="Z787" s="52"/>
    </row>
    <row r="788">
      <c r="A788" s="59"/>
      <c r="B788" s="34"/>
      <c r="C788" s="52"/>
      <c r="D788" s="52"/>
      <c r="E788" s="52"/>
      <c r="F788" s="52"/>
      <c r="G788" s="52"/>
      <c r="H788" s="52"/>
      <c r="I788" s="52"/>
      <c r="J788" s="52"/>
      <c r="K788" s="52"/>
      <c r="L788" s="52"/>
      <c r="M788" s="52"/>
      <c r="N788" s="52"/>
      <c r="O788" s="52"/>
      <c r="P788" s="52"/>
      <c r="Q788" s="52"/>
      <c r="R788" s="52"/>
      <c r="S788" s="52"/>
      <c r="T788" s="52"/>
      <c r="U788" s="52"/>
      <c r="V788" s="52"/>
      <c r="W788" s="52"/>
      <c r="X788" s="52"/>
      <c r="Y788" s="52"/>
      <c r="Z788" s="52"/>
    </row>
    <row r="789">
      <c r="A789" s="59"/>
      <c r="B789" s="34"/>
      <c r="C789" s="52"/>
      <c r="D789" s="52"/>
      <c r="E789" s="52"/>
      <c r="F789" s="52"/>
      <c r="G789" s="52"/>
      <c r="H789" s="52"/>
      <c r="I789" s="52"/>
      <c r="J789" s="52"/>
      <c r="K789" s="52"/>
      <c r="L789" s="52"/>
      <c r="M789" s="52"/>
      <c r="N789" s="52"/>
      <c r="O789" s="52"/>
      <c r="P789" s="52"/>
      <c r="Q789" s="52"/>
      <c r="R789" s="52"/>
      <c r="S789" s="52"/>
      <c r="T789" s="52"/>
      <c r="U789" s="52"/>
      <c r="V789" s="52"/>
      <c r="W789" s="52"/>
      <c r="X789" s="52"/>
      <c r="Y789" s="52"/>
      <c r="Z789" s="52"/>
    </row>
    <row r="790">
      <c r="A790" s="59"/>
      <c r="B790" s="34"/>
      <c r="C790" s="52"/>
      <c r="D790" s="52"/>
      <c r="E790" s="52"/>
      <c r="F790" s="52"/>
      <c r="G790" s="52"/>
      <c r="H790" s="52"/>
      <c r="I790" s="52"/>
      <c r="J790" s="52"/>
      <c r="K790" s="52"/>
      <c r="L790" s="52"/>
      <c r="M790" s="52"/>
      <c r="N790" s="52"/>
      <c r="O790" s="52"/>
      <c r="P790" s="52"/>
      <c r="Q790" s="52"/>
      <c r="R790" s="52"/>
      <c r="S790" s="52"/>
      <c r="T790" s="52"/>
      <c r="U790" s="52"/>
      <c r="V790" s="52"/>
      <c r="W790" s="52"/>
      <c r="X790" s="52"/>
      <c r="Y790" s="52"/>
      <c r="Z790" s="52"/>
    </row>
    <row r="791">
      <c r="A791" s="59"/>
      <c r="B791" s="34"/>
      <c r="C791" s="52"/>
      <c r="D791" s="52"/>
      <c r="E791" s="52"/>
      <c r="F791" s="52"/>
      <c r="G791" s="52"/>
      <c r="H791" s="52"/>
      <c r="I791" s="52"/>
      <c r="J791" s="52"/>
      <c r="K791" s="52"/>
      <c r="L791" s="52"/>
      <c r="M791" s="52"/>
      <c r="N791" s="52"/>
      <c r="O791" s="52"/>
      <c r="P791" s="52"/>
      <c r="Q791" s="52"/>
      <c r="R791" s="52"/>
      <c r="S791" s="52"/>
      <c r="T791" s="52"/>
      <c r="U791" s="52"/>
      <c r="V791" s="52"/>
      <c r="W791" s="52"/>
      <c r="X791" s="52"/>
      <c r="Y791" s="52"/>
      <c r="Z791" s="52"/>
    </row>
    <row r="792">
      <c r="A792" s="59"/>
      <c r="B792" s="34"/>
      <c r="C792" s="52"/>
      <c r="D792" s="52"/>
      <c r="E792" s="52"/>
      <c r="F792" s="52"/>
      <c r="G792" s="52"/>
      <c r="H792" s="52"/>
      <c r="I792" s="52"/>
      <c r="J792" s="52"/>
      <c r="K792" s="52"/>
      <c r="L792" s="52"/>
      <c r="M792" s="52"/>
      <c r="N792" s="52"/>
      <c r="O792" s="52"/>
      <c r="P792" s="52"/>
      <c r="Q792" s="52"/>
      <c r="R792" s="52"/>
      <c r="S792" s="52"/>
      <c r="T792" s="52"/>
      <c r="U792" s="52"/>
      <c r="V792" s="52"/>
      <c r="W792" s="52"/>
      <c r="X792" s="52"/>
      <c r="Y792" s="52"/>
      <c r="Z792" s="52"/>
    </row>
    <row r="793">
      <c r="A793" s="59"/>
      <c r="B793" s="34"/>
      <c r="C793" s="52"/>
      <c r="D793" s="52"/>
      <c r="E793" s="52"/>
      <c r="F793" s="52"/>
      <c r="G793" s="52"/>
      <c r="H793" s="52"/>
      <c r="I793" s="52"/>
      <c r="J793" s="52"/>
      <c r="K793" s="52"/>
      <c r="L793" s="52"/>
      <c r="M793" s="52"/>
      <c r="N793" s="52"/>
      <c r="O793" s="52"/>
      <c r="P793" s="52"/>
      <c r="Q793" s="52"/>
      <c r="R793" s="52"/>
      <c r="S793" s="52"/>
      <c r="T793" s="52"/>
      <c r="U793" s="52"/>
      <c r="V793" s="52"/>
      <c r="W793" s="52"/>
      <c r="X793" s="52"/>
      <c r="Y793" s="52"/>
      <c r="Z793" s="52"/>
    </row>
    <row r="794">
      <c r="A794" s="59"/>
      <c r="B794" s="34"/>
      <c r="C794" s="52"/>
      <c r="D794" s="52"/>
      <c r="E794" s="52"/>
      <c r="F794" s="52"/>
      <c r="G794" s="52"/>
      <c r="H794" s="52"/>
      <c r="I794" s="52"/>
      <c r="J794" s="52"/>
      <c r="K794" s="52"/>
      <c r="L794" s="52"/>
      <c r="M794" s="52"/>
      <c r="N794" s="52"/>
      <c r="O794" s="52"/>
      <c r="P794" s="52"/>
      <c r="Q794" s="52"/>
      <c r="R794" s="52"/>
      <c r="S794" s="52"/>
      <c r="T794" s="52"/>
      <c r="U794" s="52"/>
      <c r="V794" s="52"/>
      <c r="W794" s="52"/>
      <c r="X794" s="52"/>
      <c r="Y794" s="52"/>
      <c r="Z794" s="52"/>
    </row>
    <row r="795">
      <c r="A795" s="59"/>
      <c r="B795" s="34"/>
      <c r="C795" s="52"/>
      <c r="D795" s="52"/>
      <c r="E795" s="52"/>
      <c r="F795" s="52"/>
      <c r="G795" s="52"/>
      <c r="H795" s="52"/>
      <c r="I795" s="52"/>
      <c r="J795" s="52"/>
      <c r="K795" s="52"/>
      <c r="L795" s="52"/>
      <c r="M795" s="52"/>
      <c r="N795" s="52"/>
      <c r="O795" s="52"/>
      <c r="P795" s="52"/>
      <c r="Q795" s="52"/>
      <c r="R795" s="52"/>
      <c r="S795" s="52"/>
      <c r="T795" s="52"/>
      <c r="U795" s="52"/>
      <c r="V795" s="52"/>
      <c r="W795" s="52"/>
      <c r="X795" s="52"/>
      <c r="Y795" s="52"/>
      <c r="Z795" s="52"/>
    </row>
    <row r="796">
      <c r="A796" s="59"/>
      <c r="B796" s="34"/>
      <c r="C796" s="52"/>
      <c r="D796" s="52"/>
      <c r="E796" s="52"/>
      <c r="F796" s="52"/>
      <c r="G796" s="52"/>
      <c r="H796" s="52"/>
      <c r="I796" s="52"/>
      <c r="J796" s="52"/>
      <c r="K796" s="52"/>
      <c r="L796" s="52"/>
      <c r="M796" s="52"/>
      <c r="N796" s="52"/>
      <c r="O796" s="52"/>
      <c r="P796" s="52"/>
      <c r="Q796" s="52"/>
      <c r="R796" s="52"/>
      <c r="S796" s="52"/>
      <c r="T796" s="52"/>
      <c r="U796" s="52"/>
      <c r="V796" s="52"/>
      <c r="W796" s="52"/>
      <c r="X796" s="52"/>
      <c r="Y796" s="52"/>
      <c r="Z796" s="52"/>
    </row>
    <row r="797">
      <c r="A797" s="59"/>
      <c r="B797" s="34"/>
      <c r="C797" s="52"/>
      <c r="D797" s="52"/>
      <c r="E797" s="52"/>
      <c r="F797" s="52"/>
      <c r="G797" s="52"/>
      <c r="H797" s="52"/>
      <c r="I797" s="52"/>
      <c r="J797" s="52"/>
      <c r="K797" s="52"/>
      <c r="L797" s="52"/>
      <c r="M797" s="52"/>
      <c r="N797" s="52"/>
      <c r="O797" s="52"/>
      <c r="P797" s="52"/>
      <c r="Q797" s="52"/>
      <c r="R797" s="52"/>
      <c r="S797" s="52"/>
      <c r="T797" s="52"/>
      <c r="U797" s="52"/>
      <c r="V797" s="52"/>
      <c r="W797" s="52"/>
      <c r="X797" s="52"/>
      <c r="Y797" s="52"/>
      <c r="Z797" s="52"/>
    </row>
    <row r="798">
      <c r="A798" s="59"/>
      <c r="B798" s="34"/>
      <c r="C798" s="52"/>
      <c r="D798" s="52"/>
      <c r="E798" s="52"/>
      <c r="F798" s="52"/>
      <c r="G798" s="52"/>
      <c r="H798" s="52"/>
      <c r="I798" s="52"/>
      <c r="J798" s="52"/>
      <c r="K798" s="52"/>
      <c r="L798" s="52"/>
      <c r="M798" s="52"/>
      <c r="N798" s="52"/>
      <c r="O798" s="52"/>
      <c r="P798" s="52"/>
      <c r="Q798" s="52"/>
      <c r="R798" s="52"/>
      <c r="S798" s="52"/>
      <c r="T798" s="52"/>
      <c r="U798" s="52"/>
      <c r="V798" s="52"/>
      <c r="W798" s="52"/>
      <c r="X798" s="52"/>
      <c r="Y798" s="52"/>
      <c r="Z798" s="52"/>
    </row>
    <row r="799">
      <c r="A799" s="59"/>
      <c r="B799" s="34"/>
      <c r="C799" s="52"/>
      <c r="D799" s="52"/>
      <c r="E799" s="52"/>
      <c r="F799" s="52"/>
      <c r="G799" s="52"/>
      <c r="H799" s="52"/>
      <c r="I799" s="52"/>
      <c r="J799" s="52"/>
      <c r="K799" s="52"/>
      <c r="L799" s="52"/>
      <c r="M799" s="52"/>
      <c r="N799" s="52"/>
      <c r="O799" s="52"/>
      <c r="P799" s="52"/>
      <c r="Q799" s="52"/>
      <c r="R799" s="52"/>
      <c r="S799" s="52"/>
      <c r="T799" s="52"/>
      <c r="U799" s="52"/>
      <c r="V799" s="52"/>
      <c r="W799" s="52"/>
      <c r="X799" s="52"/>
      <c r="Y799" s="52"/>
      <c r="Z799" s="52"/>
    </row>
    <row r="800">
      <c r="A800" s="59"/>
      <c r="B800" s="34"/>
      <c r="C800" s="52"/>
      <c r="D800" s="52"/>
      <c r="E800" s="52"/>
      <c r="F800" s="52"/>
      <c r="G800" s="52"/>
      <c r="H800" s="52"/>
      <c r="I800" s="52"/>
      <c r="J800" s="52"/>
      <c r="K800" s="52"/>
      <c r="L800" s="52"/>
      <c r="M800" s="52"/>
      <c r="N800" s="52"/>
      <c r="O800" s="52"/>
      <c r="P800" s="52"/>
      <c r="Q800" s="52"/>
      <c r="R800" s="52"/>
      <c r="S800" s="52"/>
      <c r="T800" s="52"/>
      <c r="U800" s="52"/>
      <c r="V800" s="52"/>
      <c r="W800" s="52"/>
      <c r="X800" s="52"/>
      <c r="Y800" s="52"/>
      <c r="Z800" s="52"/>
    </row>
    <row r="801">
      <c r="A801" s="59"/>
      <c r="B801" s="34"/>
      <c r="C801" s="52"/>
      <c r="D801" s="52"/>
      <c r="E801" s="52"/>
      <c r="F801" s="52"/>
      <c r="G801" s="52"/>
      <c r="H801" s="52"/>
      <c r="I801" s="52"/>
      <c r="J801" s="52"/>
      <c r="K801" s="52"/>
      <c r="L801" s="52"/>
      <c r="M801" s="52"/>
      <c r="N801" s="52"/>
      <c r="O801" s="52"/>
      <c r="P801" s="52"/>
      <c r="Q801" s="52"/>
      <c r="R801" s="52"/>
      <c r="S801" s="52"/>
      <c r="T801" s="52"/>
      <c r="U801" s="52"/>
      <c r="V801" s="52"/>
      <c r="W801" s="52"/>
      <c r="X801" s="52"/>
      <c r="Y801" s="52"/>
      <c r="Z801" s="52"/>
    </row>
    <row r="802">
      <c r="A802" s="59"/>
      <c r="B802" s="34"/>
      <c r="C802" s="52"/>
      <c r="D802" s="52"/>
      <c r="E802" s="52"/>
      <c r="F802" s="52"/>
      <c r="G802" s="52"/>
      <c r="H802" s="52"/>
      <c r="I802" s="52"/>
      <c r="J802" s="52"/>
      <c r="K802" s="52"/>
      <c r="L802" s="52"/>
      <c r="M802" s="52"/>
      <c r="N802" s="52"/>
      <c r="O802" s="52"/>
      <c r="P802" s="52"/>
      <c r="Q802" s="52"/>
      <c r="R802" s="52"/>
      <c r="S802" s="52"/>
      <c r="T802" s="52"/>
      <c r="U802" s="52"/>
      <c r="V802" s="52"/>
      <c r="W802" s="52"/>
      <c r="X802" s="52"/>
      <c r="Y802" s="52"/>
      <c r="Z802" s="52"/>
    </row>
    <row r="803">
      <c r="A803" s="59"/>
      <c r="B803" s="34"/>
      <c r="C803" s="52"/>
      <c r="D803" s="52"/>
      <c r="E803" s="52"/>
      <c r="F803" s="52"/>
      <c r="G803" s="52"/>
      <c r="H803" s="52"/>
      <c r="I803" s="52"/>
      <c r="J803" s="52"/>
      <c r="K803" s="52"/>
      <c r="L803" s="52"/>
      <c r="M803" s="52"/>
      <c r="N803" s="52"/>
      <c r="O803" s="52"/>
      <c r="P803" s="52"/>
      <c r="Q803" s="52"/>
      <c r="R803" s="52"/>
      <c r="S803" s="52"/>
      <c r="T803" s="52"/>
      <c r="U803" s="52"/>
      <c r="V803" s="52"/>
      <c r="W803" s="52"/>
      <c r="X803" s="52"/>
      <c r="Y803" s="52"/>
      <c r="Z803" s="52"/>
    </row>
    <row r="804">
      <c r="A804" s="59"/>
      <c r="B804" s="34"/>
      <c r="C804" s="52"/>
      <c r="D804" s="52"/>
      <c r="E804" s="52"/>
      <c r="F804" s="52"/>
      <c r="G804" s="52"/>
      <c r="H804" s="52"/>
      <c r="I804" s="52"/>
      <c r="J804" s="52"/>
      <c r="K804" s="52"/>
      <c r="L804" s="52"/>
      <c r="M804" s="52"/>
      <c r="N804" s="52"/>
      <c r="O804" s="52"/>
      <c r="P804" s="52"/>
      <c r="Q804" s="52"/>
      <c r="R804" s="52"/>
      <c r="S804" s="52"/>
      <c r="T804" s="52"/>
      <c r="U804" s="52"/>
      <c r="V804" s="52"/>
      <c r="W804" s="52"/>
      <c r="X804" s="52"/>
      <c r="Y804" s="52"/>
      <c r="Z804" s="52"/>
    </row>
    <row r="805">
      <c r="A805" s="59"/>
      <c r="B805" s="34"/>
      <c r="C805" s="52"/>
      <c r="D805" s="52"/>
      <c r="E805" s="52"/>
      <c r="F805" s="52"/>
      <c r="G805" s="52"/>
      <c r="H805" s="52"/>
      <c r="I805" s="52"/>
      <c r="J805" s="52"/>
      <c r="K805" s="52"/>
      <c r="L805" s="52"/>
      <c r="M805" s="52"/>
      <c r="N805" s="52"/>
      <c r="O805" s="52"/>
      <c r="P805" s="52"/>
      <c r="Q805" s="52"/>
      <c r="R805" s="52"/>
      <c r="S805" s="52"/>
      <c r="T805" s="52"/>
      <c r="U805" s="52"/>
      <c r="V805" s="52"/>
      <c r="W805" s="52"/>
      <c r="X805" s="52"/>
      <c r="Y805" s="52"/>
      <c r="Z805" s="52"/>
    </row>
    <row r="806">
      <c r="A806" s="59"/>
      <c r="B806" s="34"/>
      <c r="C806" s="52"/>
      <c r="D806" s="52"/>
      <c r="E806" s="52"/>
      <c r="F806" s="52"/>
      <c r="G806" s="52"/>
      <c r="H806" s="52"/>
      <c r="I806" s="52"/>
      <c r="J806" s="52"/>
      <c r="K806" s="52"/>
      <c r="L806" s="52"/>
      <c r="M806" s="52"/>
      <c r="N806" s="52"/>
      <c r="O806" s="52"/>
      <c r="P806" s="52"/>
      <c r="Q806" s="52"/>
      <c r="R806" s="52"/>
      <c r="S806" s="52"/>
      <c r="T806" s="52"/>
      <c r="U806" s="52"/>
      <c r="V806" s="52"/>
      <c r="W806" s="52"/>
      <c r="X806" s="52"/>
      <c r="Y806" s="52"/>
      <c r="Z806" s="52"/>
    </row>
    <row r="807">
      <c r="A807" s="59"/>
      <c r="B807" s="34"/>
      <c r="C807" s="52"/>
      <c r="D807" s="52"/>
      <c r="E807" s="52"/>
      <c r="F807" s="52"/>
      <c r="G807" s="52"/>
      <c r="H807" s="52"/>
      <c r="I807" s="52"/>
      <c r="J807" s="52"/>
      <c r="K807" s="52"/>
      <c r="L807" s="52"/>
      <c r="M807" s="52"/>
      <c r="N807" s="52"/>
      <c r="O807" s="52"/>
      <c r="P807" s="52"/>
      <c r="Q807" s="52"/>
      <c r="R807" s="52"/>
      <c r="S807" s="52"/>
      <c r="T807" s="52"/>
      <c r="U807" s="52"/>
      <c r="V807" s="52"/>
      <c r="W807" s="52"/>
      <c r="X807" s="52"/>
      <c r="Y807" s="52"/>
      <c r="Z807" s="52"/>
    </row>
    <row r="808">
      <c r="A808" s="59"/>
      <c r="B808" s="34"/>
      <c r="C808" s="52"/>
      <c r="D808" s="52"/>
      <c r="E808" s="52"/>
      <c r="F808" s="52"/>
      <c r="G808" s="52"/>
      <c r="H808" s="52"/>
      <c r="I808" s="52"/>
      <c r="J808" s="52"/>
      <c r="K808" s="52"/>
      <c r="L808" s="52"/>
      <c r="M808" s="52"/>
      <c r="N808" s="52"/>
      <c r="O808" s="52"/>
      <c r="P808" s="52"/>
      <c r="Q808" s="52"/>
      <c r="R808" s="52"/>
      <c r="S808" s="52"/>
      <c r="T808" s="52"/>
      <c r="U808" s="52"/>
      <c r="V808" s="52"/>
      <c r="W808" s="52"/>
      <c r="X808" s="52"/>
      <c r="Y808" s="52"/>
      <c r="Z808" s="52"/>
    </row>
    <row r="809">
      <c r="A809" s="59"/>
      <c r="B809" s="34"/>
      <c r="C809" s="52"/>
      <c r="D809" s="52"/>
      <c r="E809" s="52"/>
      <c r="F809" s="52"/>
      <c r="G809" s="52"/>
      <c r="H809" s="52"/>
      <c r="I809" s="52"/>
      <c r="J809" s="52"/>
      <c r="K809" s="52"/>
      <c r="L809" s="52"/>
      <c r="M809" s="52"/>
      <c r="N809" s="52"/>
      <c r="O809" s="52"/>
      <c r="P809" s="52"/>
      <c r="Q809" s="52"/>
      <c r="R809" s="52"/>
      <c r="S809" s="52"/>
      <c r="T809" s="52"/>
      <c r="U809" s="52"/>
      <c r="V809" s="52"/>
      <c r="W809" s="52"/>
      <c r="X809" s="52"/>
      <c r="Y809" s="52"/>
      <c r="Z809" s="52"/>
    </row>
    <row r="810">
      <c r="A810" s="59"/>
      <c r="B810" s="34"/>
      <c r="C810" s="52"/>
      <c r="D810" s="52"/>
      <c r="E810" s="52"/>
      <c r="F810" s="52"/>
      <c r="G810" s="52"/>
      <c r="H810" s="52"/>
      <c r="I810" s="52"/>
      <c r="J810" s="52"/>
      <c r="K810" s="52"/>
      <c r="L810" s="52"/>
      <c r="M810" s="52"/>
      <c r="N810" s="52"/>
      <c r="O810" s="52"/>
      <c r="P810" s="52"/>
      <c r="Q810" s="52"/>
      <c r="R810" s="52"/>
      <c r="S810" s="52"/>
      <c r="T810" s="52"/>
      <c r="U810" s="52"/>
      <c r="V810" s="52"/>
      <c r="W810" s="52"/>
      <c r="X810" s="52"/>
      <c r="Y810" s="52"/>
      <c r="Z810" s="52"/>
    </row>
    <row r="811">
      <c r="A811" s="59"/>
      <c r="B811" s="34"/>
      <c r="C811" s="52"/>
      <c r="D811" s="52"/>
      <c r="E811" s="52"/>
      <c r="F811" s="52"/>
      <c r="G811" s="52"/>
      <c r="H811" s="52"/>
      <c r="I811" s="52"/>
      <c r="J811" s="52"/>
      <c r="K811" s="52"/>
      <c r="L811" s="52"/>
      <c r="M811" s="52"/>
      <c r="N811" s="52"/>
      <c r="O811" s="52"/>
      <c r="P811" s="52"/>
      <c r="Q811" s="52"/>
      <c r="R811" s="52"/>
      <c r="S811" s="52"/>
      <c r="T811" s="52"/>
      <c r="U811" s="52"/>
      <c r="V811" s="52"/>
      <c r="W811" s="52"/>
      <c r="X811" s="52"/>
      <c r="Y811" s="52"/>
      <c r="Z811" s="52"/>
    </row>
    <row r="812">
      <c r="A812" s="59"/>
      <c r="B812" s="34"/>
      <c r="C812" s="52"/>
      <c r="D812" s="52"/>
      <c r="E812" s="52"/>
      <c r="F812" s="52"/>
      <c r="G812" s="52"/>
      <c r="H812" s="52"/>
      <c r="I812" s="52"/>
      <c r="J812" s="52"/>
      <c r="K812" s="52"/>
      <c r="L812" s="52"/>
      <c r="M812" s="52"/>
      <c r="N812" s="52"/>
      <c r="O812" s="52"/>
      <c r="P812" s="52"/>
      <c r="Q812" s="52"/>
      <c r="R812" s="52"/>
      <c r="S812" s="52"/>
      <c r="T812" s="52"/>
      <c r="U812" s="52"/>
      <c r="V812" s="52"/>
      <c r="W812" s="52"/>
      <c r="X812" s="52"/>
      <c r="Y812" s="52"/>
      <c r="Z812" s="52"/>
    </row>
    <row r="813">
      <c r="A813" s="59"/>
      <c r="B813" s="34"/>
      <c r="C813" s="52"/>
      <c r="D813" s="52"/>
      <c r="E813" s="52"/>
      <c r="F813" s="52"/>
      <c r="G813" s="52"/>
      <c r="H813" s="52"/>
      <c r="I813" s="52"/>
      <c r="J813" s="52"/>
      <c r="K813" s="52"/>
      <c r="L813" s="52"/>
      <c r="M813" s="52"/>
      <c r="N813" s="52"/>
      <c r="O813" s="52"/>
      <c r="P813" s="52"/>
      <c r="Q813" s="52"/>
      <c r="R813" s="52"/>
      <c r="S813" s="52"/>
      <c r="T813" s="52"/>
      <c r="U813" s="52"/>
      <c r="V813" s="52"/>
      <c r="W813" s="52"/>
      <c r="X813" s="52"/>
      <c r="Y813" s="52"/>
      <c r="Z813" s="52"/>
    </row>
    <row r="814">
      <c r="A814" s="59"/>
      <c r="B814" s="34"/>
      <c r="C814" s="52"/>
      <c r="D814" s="52"/>
      <c r="E814" s="52"/>
      <c r="F814" s="52"/>
      <c r="G814" s="52"/>
      <c r="H814" s="52"/>
      <c r="I814" s="52"/>
      <c r="J814" s="52"/>
      <c r="K814" s="52"/>
      <c r="L814" s="52"/>
      <c r="M814" s="52"/>
      <c r="N814" s="52"/>
      <c r="O814" s="52"/>
      <c r="P814" s="52"/>
      <c r="Q814" s="52"/>
      <c r="R814" s="52"/>
      <c r="S814" s="52"/>
      <c r="T814" s="52"/>
      <c r="U814" s="52"/>
      <c r="V814" s="52"/>
      <c r="W814" s="52"/>
      <c r="X814" s="52"/>
      <c r="Y814" s="52"/>
      <c r="Z814" s="52"/>
    </row>
    <row r="815">
      <c r="A815" s="59"/>
      <c r="B815" s="34"/>
      <c r="C815" s="52"/>
      <c r="D815" s="52"/>
      <c r="E815" s="52"/>
      <c r="F815" s="52"/>
      <c r="G815" s="52"/>
      <c r="H815" s="52"/>
      <c r="I815" s="52"/>
      <c r="J815" s="52"/>
      <c r="K815" s="52"/>
      <c r="L815" s="52"/>
      <c r="M815" s="52"/>
      <c r="N815" s="52"/>
      <c r="O815" s="52"/>
      <c r="P815" s="52"/>
      <c r="Q815" s="52"/>
      <c r="R815" s="52"/>
      <c r="S815" s="52"/>
      <c r="T815" s="52"/>
      <c r="U815" s="52"/>
      <c r="V815" s="52"/>
      <c r="W815" s="52"/>
      <c r="X815" s="52"/>
      <c r="Y815" s="52"/>
      <c r="Z815" s="52"/>
    </row>
    <row r="816">
      <c r="A816" s="59"/>
      <c r="B816" s="34"/>
      <c r="C816" s="52"/>
      <c r="D816" s="52"/>
      <c r="E816" s="52"/>
      <c r="F816" s="52"/>
      <c r="G816" s="52"/>
      <c r="H816" s="52"/>
      <c r="I816" s="52"/>
      <c r="J816" s="52"/>
      <c r="K816" s="52"/>
      <c r="L816" s="52"/>
      <c r="M816" s="52"/>
      <c r="N816" s="52"/>
      <c r="O816" s="52"/>
      <c r="P816" s="52"/>
      <c r="Q816" s="52"/>
      <c r="R816" s="52"/>
      <c r="S816" s="52"/>
      <c r="T816" s="52"/>
      <c r="U816" s="52"/>
      <c r="V816" s="52"/>
      <c r="W816" s="52"/>
      <c r="X816" s="52"/>
      <c r="Y816" s="52"/>
      <c r="Z816" s="52"/>
    </row>
    <row r="817">
      <c r="A817" s="59"/>
      <c r="B817" s="34"/>
      <c r="C817" s="52"/>
      <c r="D817" s="52"/>
      <c r="E817" s="52"/>
      <c r="F817" s="52"/>
      <c r="G817" s="52"/>
      <c r="H817" s="52"/>
      <c r="I817" s="52"/>
      <c r="J817" s="52"/>
      <c r="K817" s="52"/>
      <c r="L817" s="52"/>
      <c r="M817" s="52"/>
      <c r="N817" s="52"/>
      <c r="O817" s="52"/>
      <c r="P817" s="52"/>
      <c r="Q817" s="52"/>
      <c r="R817" s="52"/>
      <c r="S817" s="52"/>
      <c r="T817" s="52"/>
      <c r="U817" s="52"/>
      <c r="V817" s="52"/>
      <c r="W817" s="52"/>
      <c r="X817" s="52"/>
      <c r="Y817" s="52"/>
      <c r="Z817" s="52"/>
    </row>
    <row r="818">
      <c r="A818" s="59"/>
      <c r="B818" s="34"/>
      <c r="C818" s="52"/>
      <c r="D818" s="52"/>
      <c r="E818" s="52"/>
      <c r="F818" s="52"/>
      <c r="G818" s="52"/>
      <c r="H818" s="52"/>
      <c r="I818" s="52"/>
      <c r="J818" s="52"/>
      <c r="K818" s="52"/>
      <c r="L818" s="52"/>
      <c r="M818" s="52"/>
      <c r="N818" s="52"/>
      <c r="O818" s="52"/>
      <c r="P818" s="52"/>
      <c r="Q818" s="52"/>
      <c r="R818" s="52"/>
      <c r="S818" s="52"/>
      <c r="T818" s="52"/>
      <c r="U818" s="52"/>
      <c r="V818" s="52"/>
      <c r="W818" s="52"/>
      <c r="X818" s="52"/>
      <c r="Y818" s="52"/>
      <c r="Z818" s="52"/>
    </row>
    <row r="819">
      <c r="A819" s="59"/>
      <c r="B819" s="34"/>
      <c r="C819" s="52"/>
      <c r="D819" s="52"/>
      <c r="E819" s="52"/>
      <c r="F819" s="52"/>
      <c r="G819" s="52"/>
      <c r="H819" s="52"/>
      <c r="I819" s="52"/>
      <c r="J819" s="52"/>
      <c r="K819" s="52"/>
      <c r="L819" s="52"/>
      <c r="M819" s="52"/>
      <c r="N819" s="52"/>
      <c r="O819" s="52"/>
      <c r="P819" s="52"/>
      <c r="Q819" s="52"/>
      <c r="R819" s="52"/>
      <c r="S819" s="52"/>
      <c r="T819" s="52"/>
      <c r="U819" s="52"/>
      <c r="V819" s="52"/>
      <c r="W819" s="52"/>
      <c r="X819" s="52"/>
      <c r="Y819" s="52"/>
      <c r="Z819" s="52"/>
    </row>
    <row r="820">
      <c r="A820" s="59"/>
      <c r="B820" s="34"/>
      <c r="C820" s="52"/>
      <c r="D820" s="52"/>
      <c r="E820" s="52"/>
      <c r="F820" s="52"/>
      <c r="G820" s="52"/>
      <c r="H820" s="52"/>
      <c r="I820" s="52"/>
      <c r="J820" s="52"/>
      <c r="K820" s="52"/>
      <c r="L820" s="52"/>
      <c r="M820" s="52"/>
      <c r="N820" s="52"/>
      <c r="O820" s="52"/>
      <c r="P820" s="52"/>
      <c r="Q820" s="52"/>
      <c r="R820" s="52"/>
      <c r="S820" s="52"/>
      <c r="T820" s="52"/>
      <c r="U820" s="52"/>
      <c r="V820" s="52"/>
      <c r="W820" s="52"/>
      <c r="X820" s="52"/>
      <c r="Y820" s="52"/>
      <c r="Z820" s="52"/>
    </row>
    <row r="821">
      <c r="A821" s="59"/>
      <c r="B821" s="34"/>
      <c r="C821" s="52"/>
      <c r="D821" s="52"/>
      <c r="E821" s="52"/>
      <c r="F821" s="52"/>
      <c r="G821" s="52"/>
      <c r="H821" s="52"/>
      <c r="I821" s="52"/>
      <c r="J821" s="52"/>
      <c r="K821" s="52"/>
      <c r="L821" s="52"/>
      <c r="M821" s="52"/>
      <c r="N821" s="52"/>
      <c r="O821" s="52"/>
      <c r="P821" s="52"/>
      <c r="Q821" s="52"/>
      <c r="R821" s="52"/>
      <c r="S821" s="52"/>
      <c r="T821" s="52"/>
      <c r="U821" s="52"/>
      <c r="V821" s="52"/>
      <c r="W821" s="52"/>
      <c r="X821" s="52"/>
      <c r="Y821" s="52"/>
      <c r="Z821" s="52"/>
    </row>
    <row r="822">
      <c r="A822" s="59"/>
      <c r="B822" s="34"/>
      <c r="C822" s="52"/>
      <c r="D822" s="52"/>
      <c r="E822" s="52"/>
      <c r="F822" s="52"/>
      <c r="G822" s="52"/>
      <c r="H822" s="52"/>
      <c r="I822" s="52"/>
      <c r="J822" s="52"/>
      <c r="K822" s="52"/>
      <c r="L822" s="52"/>
      <c r="M822" s="52"/>
      <c r="N822" s="52"/>
      <c r="O822" s="52"/>
      <c r="P822" s="52"/>
      <c r="Q822" s="52"/>
      <c r="R822" s="52"/>
      <c r="S822" s="52"/>
      <c r="T822" s="52"/>
      <c r="U822" s="52"/>
      <c r="V822" s="52"/>
      <c r="W822" s="52"/>
      <c r="X822" s="52"/>
      <c r="Y822" s="52"/>
      <c r="Z822" s="52"/>
    </row>
    <row r="823">
      <c r="A823" s="59"/>
      <c r="B823" s="34"/>
      <c r="C823" s="52"/>
      <c r="D823" s="52"/>
      <c r="E823" s="52"/>
      <c r="F823" s="52"/>
      <c r="G823" s="52"/>
      <c r="H823" s="52"/>
      <c r="I823" s="52"/>
      <c r="J823" s="52"/>
      <c r="K823" s="52"/>
      <c r="L823" s="52"/>
      <c r="M823" s="52"/>
      <c r="N823" s="52"/>
      <c r="O823" s="52"/>
      <c r="P823" s="52"/>
      <c r="Q823" s="52"/>
      <c r="R823" s="52"/>
      <c r="S823" s="52"/>
      <c r="T823" s="52"/>
      <c r="U823" s="52"/>
      <c r="V823" s="52"/>
      <c r="W823" s="52"/>
      <c r="X823" s="52"/>
      <c r="Y823" s="52"/>
      <c r="Z823" s="52"/>
    </row>
    <row r="824">
      <c r="A824" s="59"/>
      <c r="B824" s="34"/>
      <c r="C824" s="52"/>
      <c r="D824" s="52"/>
      <c r="E824" s="52"/>
      <c r="F824" s="52"/>
      <c r="G824" s="52"/>
      <c r="H824" s="52"/>
      <c r="I824" s="52"/>
      <c r="J824" s="52"/>
      <c r="K824" s="52"/>
      <c r="L824" s="52"/>
      <c r="M824" s="52"/>
      <c r="N824" s="52"/>
      <c r="O824" s="52"/>
      <c r="P824" s="52"/>
      <c r="Q824" s="52"/>
      <c r="R824" s="52"/>
      <c r="S824" s="52"/>
      <c r="T824" s="52"/>
      <c r="U824" s="52"/>
      <c r="V824" s="52"/>
      <c r="W824" s="52"/>
      <c r="X824" s="52"/>
      <c r="Y824" s="52"/>
      <c r="Z824" s="52"/>
    </row>
    <row r="825">
      <c r="A825" s="59"/>
      <c r="B825" s="34"/>
      <c r="C825" s="52"/>
      <c r="D825" s="52"/>
      <c r="E825" s="52"/>
      <c r="F825" s="52"/>
      <c r="G825" s="52"/>
      <c r="H825" s="52"/>
      <c r="I825" s="52"/>
      <c r="J825" s="52"/>
      <c r="K825" s="52"/>
      <c r="L825" s="52"/>
      <c r="M825" s="52"/>
      <c r="N825" s="52"/>
      <c r="O825" s="52"/>
      <c r="P825" s="52"/>
      <c r="Q825" s="52"/>
      <c r="R825" s="52"/>
      <c r="S825" s="52"/>
      <c r="T825" s="52"/>
      <c r="U825" s="52"/>
      <c r="V825" s="52"/>
      <c r="W825" s="52"/>
      <c r="X825" s="52"/>
      <c r="Y825" s="52"/>
      <c r="Z825" s="52"/>
    </row>
    <row r="826">
      <c r="A826" s="59"/>
      <c r="B826" s="34"/>
      <c r="C826" s="52"/>
      <c r="D826" s="52"/>
      <c r="E826" s="52"/>
      <c r="F826" s="52"/>
      <c r="G826" s="52"/>
      <c r="H826" s="52"/>
      <c r="I826" s="52"/>
      <c r="J826" s="52"/>
      <c r="K826" s="52"/>
      <c r="L826" s="52"/>
      <c r="M826" s="52"/>
      <c r="N826" s="52"/>
      <c r="O826" s="52"/>
      <c r="P826" s="52"/>
      <c r="Q826" s="52"/>
      <c r="R826" s="52"/>
      <c r="S826" s="52"/>
      <c r="T826" s="52"/>
      <c r="U826" s="52"/>
      <c r="V826" s="52"/>
      <c r="W826" s="52"/>
      <c r="X826" s="52"/>
      <c r="Y826" s="52"/>
      <c r="Z826" s="52"/>
    </row>
    <row r="827">
      <c r="A827" s="59"/>
      <c r="B827" s="34"/>
      <c r="C827" s="52"/>
      <c r="D827" s="52"/>
      <c r="E827" s="52"/>
      <c r="F827" s="52"/>
      <c r="G827" s="52"/>
      <c r="H827" s="52"/>
      <c r="I827" s="52"/>
      <c r="J827" s="52"/>
      <c r="K827" s="52"/>
      <c r="L827" s="52"/>
      <c r="M827" s="52"/>
      <c r="N827" s="52"/>
      <c r="O827" s="52"/>
      <c r="P827" s="52"/>
      <c r="Q827" s="52"/>
      <c r="R827" s="52"/>
      <c r="S827" s="52"/>
      <c r="T827" s="52"/>
      <c r="U827" s="52"/>
      <c r="V827" s="52"/>
      <c r="W827" s="52"/>
      <c r="X827" s="52"/>
      <c r="Y827" s="52"/>
      <c r="Z827" s="52"/>
    </row>
    <row r="828">
      <c r="A828" s="59"/>
      <c r="B828" s="34"/>
      <c r="C828" s="52"/>
      <c r="D828" s="52"/>
      <c r="E828" s="52"/>
      <c r="F828" s="52"/>
      <c r="G828" s="52"/>
      <c r="H828" s="52"/>
      <c r="I828" s="52"/>
      <c r="J828" s="52"/>
      <c r="K828" s="52"/>
      <c r="L828" s="52"/>
      <c r="M828" s="52"/>
      <c r="N828" s="52"/>
      <c r="O828" s="52"/>
      <c r="P828" s="52"/>
      <c r="Q828" s="52"/>
      <c r="R828" s="52"/>
      <c r="S828" s="52"/>
      <c r="T828" s="52"/>
      <c r="U828" s="52"/>
      <c r="V828" s="52"/>
      <c r="W828" s="52"/>
      <c r="X828" s="52"/>
      <c r="Y828" s="52"/>
      <c r="Z828" s="52"/>
    </row>
    <row r="829">
      <c r="A829" s="59"/>
      <c r="B829" s="34"/>
      <c r="C829" s="52"/>
      <c r="D829" s="52"/>
      <c r="E829" s="52"/>
      <c r="F829" s="52"/>
      <c r="G829" s="52"/>
      <c r="H829" s="52"/>
      <c r="I829" s="52"/>
      <c r="J829" s="52"/>
      <c r="K829" s="52"/>
      <c r="L829" s="52"/>
      <c r="M829" s="52"/>
      <c r="N829" s="52"/>
      <c r="O829" s="52"/>
      <c r="P829" s="52"/>
      <c r="Q829" s="52"/>
      <c r="R829" s="52"/>
      <c r="S829" s="52"/>
      <c r="T829" s="52"/>
      <c r="U829" s="52"/>
      <c r="V829" s="52"/>
      <c r="W829" s="52"/>
      <c r="X829" s="52"/>
      <c r="Y829" s="52"/>
      <c r="Z829" s="52"/>
    </row>
    <row r="830">
      <c r="A830" s="59"/>
      <c r="B830" s="34"/>
      <c r="C830" s="52"/>
      <c r="D830" s="52"/>
      <c r="E830" s="52"/>
      <c r="F830" s="52"/>
      <c r="G830" s="52"/>
      <c r="H830" s="52"/>
      <c r="I830" s="52"/>
      <c r="J830" s="52"/>
      <c r="K830" s="52"/>
      <c r="L830" s="52"/>
      <c r="M830" s="52"/>
      <c r="N830" s="52"/>
      <c r="O830" s="52"/>
      <c r="P830" s="52"/>
      <c r="Q830" s="52"/>
      <c r="R830" s="52"/>
      <c r="S830" s="52"/>
      <c r="T830" s="52"/>
      <c r="U830" s="52"/>
      <c r="V830" s="52"/>
      <c r="W830" s="52"/>
      <c r="X830" s="52"/>
      <c r="Y830" s="52"/>
      <c r="Z830" s="52"/>
    </row>
    <row r="831">
      <c r="A831" s="59"/>
      <c r="B831" s="34"/>
      <c r="C831" s="52"/>
      <c r="D831" s="52"/>
      <c r="E831" s="52"/>
      <c r="F831" s="52"/>
      <c r="G831" s="52"/>
      <c r="H831" s="52"/>
      <c r="I831" s="52"/>
      <c r="J831" s="52"/>
      <c r="K831" s="52"/>
      <c r="L831" s="52"/>
      <c r="M831" s="52"/>
      <c r="N831" s="52"/>
      <c r="O831" s="52"/>
      <c r="P831" s="52"/>
      <c r="Q831" s="52"/>
      <c r="R831" s="52"/>
      <c r="S831" s="52"/>
      <c r="T831" s="52"/>
      <c r="U831" s="52"/>
      <c r="V831" s="52"/>
      <c r="W831" s="52"/>
      <c r="X831" s="52"/>
      <c r="Y831" s="52"/>
      <c r="Z831" s="52"/>
    </row>
    <row r="832">
      <c r="A832" s="59"/>
      <c r="B832" s="34"/>
      <c r="C832" s="52"/>
      <c r="D832" s="52"/>
      <c r="E832" s="52"/>
      <c r="F832" s="52"/>
      <c r="G832" s="52"/>
      <c r="H832" s="52"/>
      <c r="I832" s="52"/>
      <c r="J832" s="52"/>
      <c r="K832" s="52"/>
      <c r="L832" s="52"/>
      <c r="M832" s="52"/>
      <c r="N832" s="52"/>
      <c r="O832" s="52"/>
      <c r="P832" s="52"/>
      <c r="Q832" s="52"/>
      <c r="R832" s="52"/>
      <c r="S832" s="52"/>
      <c r="T832" s="52"/>
      <c r="U832" s="52"/>
      <c r="V832" s="52"/>
      <c r="W832" s="52"/>
      <c r="X832" s="52"/>
      <c r="Y832" s="52"/>
      <c r="Z832" s="52"/>
    </row>
    <row r="833">
      <c r="A833" s="59"/>
      <c r="B833" s="34"/>
      <c r="C833" s="52"/>
      <c r="D833" s="52"/>
      <c r="E833" s="52"/>
      <c r="F833" s="52"/>
      <c r="G833" s="52"/>
      <c r="H833" s="52"/>
      <c r="I833" s="52"/>
      <c r="J833" s="52"/>
      <c r="K833" s="52"/>
      <c r="L833" s="52"/>
      <c r="M833" s="52"/>
      <c r="N833" s="52"/>
      <c r="O833" s="52"/>
      <c r="P833" s="52"/>
      <c r="Q833" s="52"/>
      <c r="R833" s="52"/>
      <c r="S833" s="52"/>
      <c r="T833" s="52"/>
      <c r="U833" s="52"/>
      <c r="V833" s="52"/>
      <c r="W833" s="52"/>
      <c r="X833" s="52"/>
      <c r="Y833" s="52"/>
      <c r="Z833" s="52"/>
    </row>
    <row r="834">
      <c r="A834" s="59"/>
      <c r="B834" s="34"/>
      <c r="C834" s="52"/>
      <c r="D834" s="52"/>
      <c r="E834" s="52"/>
      <c r="F834" s="52"/>
      <c r="G834" s="52"/>
      <c r="H834" s="52"/>
      <c r="I834" s="52"/>
      <c r="J834" s="52"/>
      <c r="K834" s="52"/>
      <c r="L834" s="52"/>
      <c r="M834" s="52"/>
      <c r="N834" s="52"/>
      <c r="O834" s="52"/>
      <c r="P834" s="52"/>
      <c r="Q834" s="52"/>
      <c r="R834" s="52"/>
      <c r="S834" s="52"/>
      <c r="T834" s="52"/>
      <c r="U834" s="52"/>
      <c r="V834" s="52"/>
      <c r="W834" s="52"/>
      <c r="X834" s="52"/>
      <c r="Y834" s="52"/>
      <c r="Z834" s="52"/>
    </row>
    <row r="835">
      <c r="A835" s="59"/>
      <c r="B835" s="34"/>
      <c r="C835" s="52"/>
      <c r="D835" s="52"/>
      <c r="E835" s="52"/>
      <c r="F835" s="52"/>
      <c r="G835" s="52"/>
      <c r="H835" s="52"/>
      <c r="I835" s="52"/>
      <c r="J835" s="52"/>
      <c r="K835" s="52"/>
      <c r="L835" s="52"/>
      <c r="M835" s="52"/>
      <c r="N835" s="52"/>
      <c r="O835" s="52"/>
      <c r="P835" s="52"/>
      <c r="Q835" s="52"/>
      <c r="R835" s="52"/>
      <c r="S835" s="52"/>
      <c r="T835" s="52"/>
      <c r="U835" s="52"/>
      <c r="V835" s="52"/>
      <c r="W835" s="52"/>
      <c r="X835" s="52"/>
      <c r="Y835" s="52"/>
      <c r="Z835" s="52"/>
    </row>
    <row r="836">
      <c r="A836" s="59"/>
      <c r="B836" s="34"/>
      <c r="C836" s="52"/>
      <c r="D836" s="52"/>
      <c r="E836" s="52"/>
      <c r="F836" s="52"/>
      <c r="G836" s="52"/>
      <c r="H836" s="52"/>
      <c r="I836" s="52"/>
      <c r="J836" s="52"/>
      <c r="K836" s="52"/>
      <c r="L836" s="52"/>
      <c r="M836" s="52"/>
      <c r="N836" s="52"/>
      <c r="O836" s="52"/>
      <c r="P836" s="52"/>
      <c r="Q836" s="52"/>
      <c r="R836" s="52"/>
      <c r="S836" s="52"/>
      <c r="T836" s="52"/>
      <c r="U836" s="52"/>
      <c r="V836" s="52"/>
      <c r="W836" s="52"/>
      <c r="X836" s="52"/>
      <c r="Y836" s="52"/>
      <c r="Z836" s="52"/>
    </row>
    <row r="837">
      <c r="A837" s="59"/>
      <c r="B837" s="34"/>
      <c r="C837" s="52"/>
      <c r="D837" s="52"/>
      <c r="E837" s="52"/>
      <c r="F837" s="52"/>
      <c r="G837" s="52"/>
      <c r="H837" s="52"/>
      <c r="I837" s="52"/>
      <c r="J837" s="52"/>
      <c r="K837" s="52"/>
      <c r="L837" s="52"/>
      <c r="M837" s="52"/>
      <c r="N837" s="52"/>
      <c r="O837" s="52"/>
      <c r="P837" s="52"/>
      <c r="Q837" s="52"/>
      <c r="R837" s="52"/>
      <c r="S837" s="52"/>
      <c r="T837" s="52"/>
      <c r="U837" s="52"/>
      <c r="V837" s="52"/>
      <c r="W837" s="52"/>
      <c r="X837" s="52"/>
      <c r="Y837" s="52"/>
      <c r="Z837" s="52"/>
    </row>
    <row r="838">
      <c r="A838" s="59"/>
      <c r="B838" s="34"/>
      <c r="C838" s="52"/>
      <c r="D838" s="52"/>
      <c r="E838" s="52"/>
      <c r="F838" s="52"/>
      <c r="G838" s="52"/>
      <c r="H838" s="52"/>
      <c r="I838" s="52"/>
      <c r="J838" s="52"/>
      <c r="K838" s="52"/>
      <c r="L838" s="52"/>
      <c r="M838" s="52"/>
      <c r="N838" s="52"/>
      <c r="O838" s="52"/>
      <c r="P838" s="52"/>
      <c r="Q838" s="52"/>
      <c r="R838" s="52"/>
      <c r="S838" s="52"/>
      <c r="T838" s="52"/>
      <c r="U838" s="52"/>
      <c r="V838" s="52"/>
      <c r="W838" s="52"/>
      <c r="X838" s="52"/>
      <c r="Y838" s="52"/>
      <c r="Z838" s="52"/>
    </row>
    <row r="839">
      <c r="A839" s="59"/>
      <c r="B839" s="34"/>
      <c r="C839" s="52"/>
      <c r="D839" s="52"/>
      <c r="E839" s="52"/>
      <c r="F839" s="52"/>
      <c r="G839" s="52"/>
      <c r="H839" s="52"/>
      <c r="I839" s="52"/>
      <c r="J839" s="52"/>
      <c r="K839" s="52"/>
      <c r="L839" s="52"/>
      <c r="M839" s="52"/>
      <c r="N839" s="52"/>
      <c r="O839" s="52"/>
      <c r="P839" s="52"/>
      <c r="Q839" s="52"/>
      <c r="R839" s="52"/>
      <c r="S839" s="52"/>
      <c r="T839" s="52"/>
      <c r="U839" s="52"/>
      <c r="V839" s="52"/>
      <c r="W839" s="52"/>
      <c r="X839" s="52"/>
      <c r="Y839" s="52"/>
      <c r="Z839" s="52"/>
    </row>
    <row r="840">
      <c r="A840" s="59"/>
      <c r="B840" s="34"/>
      <c r="C840" s="52"/>
      <c r="D840" s="52"/>
      <c r="E840" s="52"/>
      <c r="F840" s="52"/>
      <c r="G840" s="52"/>
      <c r="H840" s="52"/>
      <c r="I840" s="52"/>
      <c r="J840" s="52"/>
      <c r="K840" s="52"/>
      <c r="L840" s="52"/>
      <c r="M840" s="52"/>
      <c r="N840" s="52"/>
      <c r="O840" s="52"/>
      <c r="P840" s="52"/>
      <c r="Q840" s="52"/>
      <c r="R840" s="52"/>
      <c r="S840" s="52"/>
      <c r="T840" s="52"/>
      <c r="U840" s="52"/>
      <c r="V840" s="52"/>
      <c r="W840" s="52"/>
      <c r="X840" s="52"/>
      <c r="Y840" s="52"/>
      <c r="Z840" s="52"/>
    </row>
    <row r="841">
      <c r="A841" s="59"/>
      <c r="B841" s="34"/>
      <c r="C841" s="52"/>
      <c r="D841" s="52"/>
      <c r="E841" s="52"/>
      <c r="F841" s="52"/>
      <c r="G841" s="52"/>
      <c r="H841" s="52"/>
      <c r="I841" s="52"/>
      <c r="J841" s="52"/>
      <c r="K841" s="52"/>
      <c r="L841" s="52"/>
      <c r="M841" s="52"/>
      <c r="N841" s="52"/>
      <c r="O841" s="52"/>
      <c r="P841" s="52"/>
      <c r="Q841" s="52"/>
      <c r="R841" s="52"/>
      <c r="S841" s="52"/>
      <c r="T841" s="52"/>
      <c r="U841" s="52"/>
      <c r="V841" s="52"/>
      <c r="W841" s="52"/>
      <c r="X841" s="52"/>
      <c r="Y841" s="52"/>
      <c r="Z841" s="52"/>
    </row>
    <row r="842">
      <c r="A842" s="59"/>
      <c r="B842" s="34"/>
      <c r="C842" s="52"/>
      <c r="D842" s="52"/>
      <c r="E842" s="52"/>
      <c r="F842" s="52"/>
      <c r="G842" s="52"/>
      <c r="H842" s="52"/>
      <c r="I842" s="52"/>
      <c r="J842" s="52"/>
      <c r="K842" s="52"/>
      <c r="L842" s="52"/>
      <c r="M842" s="52"/>
      <c r="N842" s="52"/>
      <c r="O842" s="52"/>
      <c r="P842" s="52"/>
      <c r="Q842" s="52"/>
      <c r="R842" s="52"/>
      <c r="S842" s="52"/>
      <c r="T842" s="52"/>
      <c r="U842" s="52"/>
      <c r="V842" s="52"/>
      <c r="W842" s="52"/>
      <c r="X842" s="52"/>
      <c r="Y842" s="52"/>
      <c r="Z842" s="52"/>
    </row>
    <row r="843">
      <c r="A843" s="59"/>
      <c r="B843" s="34"/>
      <c r="C843" s="52"/>
      <c r="D843" s="52"/>
      <c r="E843" s="52"/>
      <c r="F843" s="52"/>
      <c r="G843" s="52"/>
      <c r="H843" s="52"/>
      <c r="I843" s="52"/>
      <c r="J843" s="52"/>
      <c r="K843" s="52"/>
      <c r="L843" s="52"/>
      <c r="M843" s="52"/>
      <c r="N843" s="52"/>
      <c r="O843" s="52"/>
      <c r="P843" s="52"/>
      <c r="Q843" s="52"/>
      <c r="R843" s="52"/>
      <c r="S843" s="52"/>
      <c r="T843" s="52"/>
      <c r="U843" s="52"/>
      <c r="V843" s="52"/>
      <c r="W843" s="52"/>
      <c r="X843" s="52"/>
      <c r="Y843" s="52"/>
      <c r="Z843" s="52"/>
    </row>
    <row r="844">
      <c r="A844" s="59"/>
      <c r="B844" s="34"/>
      <c r="C844" s="52"/>
      <c r="D844" s="52"/>
      <c r="E844" s="52"/>
      <c r="F844" s="52"/>
      <c r="G844" s="52"/>
      <c r="H844" s="52"/>
      <c r="I844" s="52"/>
      <c r="J844" s="52"/>
      <c r="K844" s="52"/>
      <c r="L844" s="52"/>
      <c r="M844" s="52"/>
      <c r="N844" s="52"/>
      <c r="O844" s="52"/>
      <c r="P844" s="52"/>
      <c r="Q844" s="52"/>
      <c r="R844" s="52"/>
      <c r="S844" s="52"/>
      <c r="T844" s="52"/>
      <c r="U844" s="52"/>
      <c r="V844" s="52"/>
      <c r="W844" s="52"/>
      <c r="X844" s="52"/>
      <c r="Y844" s="52"/>
      <c r="Z844" s="52"/>
    </row>
    <row r="845">
      <c r="A845" s="59"/>
      <c r="B845" s="34"/>
      <c r="C845" s="52"/>
      <c r="D845" s="52"/>
      <c r="E845" s="52"/>
      <c r="F845" s="52"/>
      <c r="G845" s="52"/>
      <c r="H845" s="52"/>
      <c r="I845" s="52"/>
      <c r="J845" s="52"/>
      <c r="K845" s="52"/>
      <c r="L845" s="52"/>
      <c r="M845" s="52"/>
      <c r="N845" s="52"/>
      <c r="O845" s="52"/>
      <c r="P845" s="52"/>
      <c r="Q845" s="52"/>
      <c r="R845" s="52"/>
      <c r="S845" s="52"/>
      <c r="T845" s="52"/>
      <c r="U845" s="52"/>
      <c r="V845" s="52"/>
      <c r="W845" s="52"/>
      <c r="X845" s="52"/>
      <c r="Y845" s="52"/>
      <c r="Z845" s="52"/>
    </row>
    <row r="846">
      <c r="A846" s="59"/>
      <c r="B846" s="34"/>
      <c r="C846" s="52"/>
      <c r="D846" s="52"/>
      <c r="E846" s="52"/>
      <c r="F846" s="52"/>
      <c r="G846" s="52"/>
      <c r="H846" s="52"/>
      <c r="I846" s="52"/>
      <c r="J846" s="52"/>
      <c r="K846" s="52"/>
      <c r="L846" s="52"/>
      <c r="M846" s="52"/>
      <c r="N846" s="52"/>
      <c r="O846" s="52"/>
      <c r="P846" s="52"/>
      <c r="Q846" s="52"/>
      <c r="R846" s="52"/>
      <c r="S846" s="52"/>
      <c r="T846" s="52"/>
      <c r="U846" s="52"/>
      <c r="V846" s="52"/>
      <c r="W846" s="52"/>
      <c r="X846" s="52"/>
      <c r="Y846" s="52"/>
      <c r="Z846" s="52"/>
    </row>
    <row r="847">
      <c r="A847" s="59"/>
      <c r="B847" s="34"/>
      <c r="C847" s="52"/>
      <c r="D847" s="52"/>
      <c r="E847" s="52"/>
      <c r="F847" s="52"/>
      <c r="G847" s="52"/>
      <c r="H847" s="52"/>
      <c r="I847" s="52"/>
      <c r="J847" s="52"/>
      <c r="K847" s="52"/>
      <c r="L847" s="52"/>
      <c r="M847" s="52"/>
      <c r="N847" s="52"/>
      <c r="O847" s="52"/>
      <c r="P847" s="52"/>
      <c r="Q847" s="52"/>
      <c r="R847" s="52"/>
      <c r="S847" s="52"/>
      <c r="T847" s="52"/>
      <c r="U847" s="52"/>
      <c r="V847" s="52"/>
      <c r="W847" s="52"/>
      <c r="X847" s="52"/>
      <c r="Y847" s="52"/>
      <c r="Z847" s="52"/>
    </row>
    <row r="848">
      <c r="A848" s="59"/>
      <c r="B848" s="34"/>
      <c r="C848" s="52"/>
      <c r="D848" s="52"/>
      <c r="E848" s="52"/>
      <c r="F848" s="52"/>
      <c r="G848" s="52"/>
      <c r="H848" s="52"/>
      <c r="I848" s="52"/>
      <c r="J848" s="52"/>
      <c r="K848" s="52"/>
      <c r="L848" s="52"/>
      <c r="M848" s="52"/>
      <c r="N848" s="52"/>
      <c r="O848" s="52"/>
      <c r="P848" s="52"/>
      <c r="Q848" s="52"/>
      <c r="R848" s="52"/>
      <c r="S848" s="52"/>
      <c r="T848" s="52"/>
      <c r="U848" s="52"/>
      <c r="V848" s="52"/>
      <c r="W848" s="52"/>
      <c r="X848" s="52"/>
      <c r="Y848" s="52"/>
      <c r="Z848" s="52"/>
    </row>
    <row r="849">
      <c r="A849" s="59"/>
      <c r="B849" s="34"/>
      <c r="C849" s="52"/>
      <c r="D849" s="52"/>
      <c r="E849" s="52"/>
      <c r="F849" s="52"/>
      <c r="G849" s="52"/>
      <c r="H849" s="52"/>
      <c r="I849" s="52"/>
      <c r="J849" s="52"/>
      <c r="K849" s="52"/>
      <c r="L849" s="52"/>
      <c r="M849" s="52"/>
      <c r="N849" s="52"/>
      <c r="O849" s="52"/>
      <c r="P849" s="52"/>
      <c r="Q849" s="52"/>
      <c r="R849" s="52"/>
      <c r="S849" s="52"/>
      <c r="T849" s="52"/>
      <c r="U849" s="52"/>
      <c r="V849" s="52"/>
      <c r="W849" s="52"/>
      <c r="X849" s="52"/>
      <c r="Y849" s="52"/>
      <c r="Z849" s="52"/>
    </row>
    <row r="850">
      <c r="A850" s="59"/>
      <c r="B850" s="34"/>
      <c r="C850" s="52"/>
      <c r="D850" s="52"/>
      <c r="E850" s="52"/>
      <c r="F850" s="52"/>
      <c r="G850" s="52"/>
      <c r="H850" s="52"/>
      <c r="I850" s="52"/>
      <c r="J850" s="52"/>
      <c r="K850" s="52"/>
      <c r="L850" s="52"/>
      <c r="M850" s="52"/>
      <c r="N850" s="52"/>
      <c r="O850" s="52"/>
      <c r="P850" s="52"/>
      <c r="Q850" s="52"/>
      <c r="R850" s="52"/>
      <c r="S850" s="52"/>
      <c r="T850" s="52"/>
      <c r="U850" s="52"/>
      <c r="V850" s="52"/>
      <c r="W850" s="52"/>
      <c r="X850" s="52"/>
      <c r="Y850" s="52"/>
      <c r="Z850" s="52"/>
    </row>
    <row r="851">
      <c r="A851" s="59"/>
      <c r="B851" s="34"/>
      <c r="C851" s="52"/>
      <c r="D851" s="52"/>
      <c r="E851" s="52"/>
      <c r="F851" s="52"/>
      <c r="G851" s="52"/>
      <c r="H851" s="52"/>
      <c r="I851" s="52"/>
      <c r="J851" s="52"/>
      <c r="K851" s="52"/>
      <c r="L851" s="52"/>
      <c r="M851" s="52"/>
      <c r="N851" s="52"/>
      <c r="O851" s="52"/>
      <c r="P851" s="52"/>
      <c r="Q851" s="52"/>
      <c r="R851" s="52"/>
      <c r="S851" s="52"/>
      <c r="T851" s="52"/>
      <c r="U851" s="52"/>
      <c r="V851" s="52"/>
      <c r="W851" s="52"/>
      <c r="X851" s="52"/>
      <c r="Y851" s="52"/>
      <c r="Z851" s="52"/>
    </row>
    <row r="852">
      <c r="A852" s="59"/>
      <c r="B852" s="34"/>
      <c r="C852" s="52"/>
      <c r="D852" s="52"/>
      <c r="E852" s="52"/>
      <c r="F852" s="52"/>
      <c r="G852" s="52"/>
      <c r="H852" s="52"/>
      <c r="I852" s="52"/>
      <c r="J852" s="52"/>
      <c r="K852" s="52"/>
      <c r="L852" s="52"/>
      <c r="M852" s="52"/>
      <c r="N852" s="52"/>
      <c r="O852" s="52"/>
      <c r="P852" s="52"/>
      <c r="Q852" s="52"/>
      <c r="R852" s="52"/>
      <c r="S852" s="52"/>
      <c r="T852" s="52"/>
      <c r="U852" s="52"/>
      <c r="V852" s="52"/>
      <c r="W852" s="52"/>
      <c r="X852" s="52"/>
      <c r="Y852" s="52"/>
      <c r="Z852" s="52"/>
    </row>
    <row r="853">
      <c r="A853" s="59"/>
      <c r="B853" s="34"/>
      <c r="C853" s="52"/>
      <c r="D853" s="52"/>
      <c r="E853" s="52"/>
      <c r="F853" s="52"/>
      <c r="G853" s="52"/>
      <c r="H853" s="52"/>
      <c r="I853" s="52"/>
      <c r="J853" s="52"/>
      <c r="K853" s="52"/>
      <c r="L853" s="52"/>
      <c r="M853" s="52"/>
      <c r="N853" s="52"/>
      <c r="O853" s="52"/>
      <c r="P853" s="52"/>
      <c r="Q853" s="52"/>
      <c r="R853" s="52"/>
      <c r="S853" s="52"/>
      <c r="T853" s="52"/>
      <c r="U853" s="52"/>
      <c r="V853" s="52"/>
      <c r="W853" s="52"/>
      <c r="X853" s="52"/>
      <c r="Y853" s="52"/>
      <c r="Z853" s="52"/>
    </row>
    <row r="854">
      <c r="A854" s="59"/>
      <c r="B854" s="34"/>
      <c r="C854" s="52"/>
      <c r="D854" s="52"/>
      <c r="E854" s="52"/>
      <c r="F854" s="52"/>
      <c r="G854" s="52"/>
      <c r="H854" s="52"/>
      <c r="I854" s="52"/>
      <c r="J854" s="52"/>
      <c r="K854" s="52"/>
      <c r="L854" s="52"/>
      <c r="M854" s="52"/>
      <c r="N854" s="52"/>
      <c r="O854" s="52"/>
      <c r="P854" s="52"/>
      <c r="Q854" s="52"/>
      <c r="R854" s="52"/>
      <c r="S854" s="52"/>
      <c r="T854" s="52"/>
      <c r="U854" s="52"/>
      <c r="V854" s="52"/>
      <c r="W854" s="52"/>
      <c r="X854" s="52"/>
      <c r="Y854" s="52"/>
      <c r="Z854" s="52"/>
    </row>
    <row r="855">
      <c r="A855" s="59"/>
      <c r="B855" s="34"/>
      <c r="C855" s="52"/>
      <c r="D855" s="52"/>
      <c r="E855" s="52"/>
      <c r="F855" s="52"/>
      <c r="G855" s="52"/>
      <c r="H855" s="52"/>
      <c r="I855" s="52"/>
      <c r="J855" s="52"/>
      <c r="K855" s="52"/>
      <c r="L855" s="52"/>
      <c r="M855" s="52"/>
      <c r="N855" s="52"/>
      <c r="O855" s="52"/>
      <c r="P855" s="52"/>
      <c r="Q855" s="52"/>
      <c r="R855" s="52"/>
      <c r="S855" s="52"/>
      <c r="T855" s="52"/>
      <c r="U855" s="52"/>
      <c r="V855" s="52"/>
      <c r="W855" s="52"/>
      <c r="X855" s="52"/>
      <c r="Y855" s="52"/>
      <c r="Z855" s="52"/>
    </row>
    <row r="856">
      <c r="A856" s="59"/>
      <c r="B856" s="34"/>
      <c r="C856" s="52"/>
      <c r="D856" s="52"/>
      <c r="E856" s="52"/>
      <c r="F856" s="52"/>
      <c r="G856" s="52"/>
      <c r="H856" s="52"/>
      <c r="I856" s="52"/>
      <c r="J856" s="52"/>
      <c r="K856" s="52"/>
      <c r="L856" s="52"/>
      <c r="M856" s="52"/>
      <c r="N856" s="52"/>
      <c r="O856" s="52"/>
      <c r="P856" s="52"/>
      <c r="Q856" s="52"/>
      <c r="R856" s="52"/>
      <c r="S856" s="52"/>
      <c r="T856" s="52"/>
      <c r="U856" s="52"/>
      <c r="V856" s="52"/>
      <c r="W856" s="52"/>
      <c r="X856" s="52"/>
      <c r="Y856" s="52"/>
      <c r="Z856" s="52"/>
    </row>
    <row r="857">
      <c r="A857" s="59"/>
      <c r="B857" s="34"/>
      <c r="C857" s="52"/>
      <c r="D857" s="52"/>
      <c r="E857" s="52"/>
      <c r="F857" s="52"/>
      <c r="G857" s="52"/>
      <c r="H857" s="52"/>
      <c r="I857" s="52"/>
      <c r="J857" s="52"/>
      <c r="K857" s="52"/>
      <c r="L857" s="52"/>
      <c r="M857" s="52"/>
      <c r="N857" s="52"/>
      <c r="O857" s="52"/>
      <c r="P857" s="52"/>
      <c r="Q857" s="52"/>
      <c r="R857" s="52"/>
      <c r="S857" s="52"/>
      <c r="T857" s="52"/>
      <c r="U857" s="52"/>
      <c r="V857" s="52"/>
      <c r="W857" s="52"/>
      <c r="X857" s="52"/>
      <c r="Y857" s="52"/>
      <c r="Z857" s="52"/>
    </row>
    <row r="858">
      <c r="A858" s="59"/>
      <c r="B858" s="34"/>
      <c r="C858" s="52"/>
      <c r="D858" s="52"/>
      <c r="E858" s="52"/>
      <c r="F858" s="52"/>
      <c r="G858" s="52"/>
      <c r="H858" s="52"/>
      <c r="I858" s="52"/>
      <c r="J858" s="52"/>
      <c r="K858" s="52"/>
      <c r="L858" s="52"/>
      <c r="M858" s="52"/>
      <c r="N858" s="52"/>
      <c r="O858" s="52"/>
      <c r="P858" s="52"/>
      <c r="Q858" s="52"/>
      <c r="R858" s="52"/>
      <c r="S858" s="52"/>
      <c r="T858" s="52"/>
      <c r="U858" s="52"/>
      <c r="V858" s="52"/>
      <c r="W858" s="52"/>
      <c r="X858" s="52"/>
      <c r="Y858" s="52"/>
      <c r="Z858" s="52"/>
    </row>
    <row r="859">
      <c r="A859" s="59"/>
      <c r="B859" s="34"/>
      <c r="C859" s="52"/>
      <c r="D859" s="52"/>
      <c r="E859" s="52"/>
      <c r="F859" s="52"/>
      <c r="G859" s="52"/>
      <c r="H859" s="52"/>
      <c r="I859" s="52"/>
      <c r="J859" s="52"/>
      <c r="K859" s="52"/>
      <c r="L859" s="52"/>
      <c r="M859" s="52"/>
      <c r="N859" s="52"/>
      <c r="O859" s="52"/>
      <c r="P859" s="52"/>
      <c r="Q859" s="52"/>
      <c r="R859" s="52"/>
      <c r="S859" s="52"/>
      <c r="T859" s="52"/>
      <c r="U859" s="52"/>
      <c r="V859" s="52"/>
      <c r="W859" s="52"/>
      <c r="X859" s="52"/>
      <c r="Y859" s="52"/>
      <c r="Z859" s="52"/>
    </row>
    <row r="860">
      <c r="A860" s="59"/>
      <c r="B860" s="34"/>
      <c r="C860" s="52"/>
      <c r="D860" s="52"/>
      <c r="E860" s="52"/>
      <c r="F860" s="52"/>
      <c r="G860" s="52"/>
      <c r="H860" s="52"/>
      <c r="I860" s="52"/>
      <c r="J860" s="52"/>
      <c r="K860" s="52"/>
      <c r="L860" s="52"/>
      <c r="M860" s="52"/>
      <c r="N860" s="52"/>
      <c r="O860" s="52"/>
      <c r="P860" s="52"/>
      <c r="Q860" s="52"/>
      <c r="R860" s="52"/>
      <c r="S860" s="52"/>
      <c r="T860" s="52"/>
      <c r="U860" s="52"/>
      <c r="V860" s="52"/>
      <c r="W860" s="52"/>
      <c r="X860" s="52"/>
      <c r="Y860" s="52"/>
      <c r="Z860" s="52"/>
    </row>
    <row r="861">
      <c r="A861" s="59"/>
      <c r="B861" s="34"/>
      <c r="C861" s="52"/>
      <c r="D861" s="52"/>
      <c r="E861" s="52"/>
      <c r="F861" s="52"/>
      <c r="G861" s="52"/>
      <c r="H861" s="52"/>
      <c r="I861" s="52"/>
      <c r="J861" s="52"/>
      <c r="K861" s="52"/>
      <c r="L861" s="52"/>
      <c r="M861" s="52"/>
      <c r="N861" s="52"/>
      <c r="O861" s="52"/>
      <c r="P861" s="52"/>
      <c r="Q861" s="52"/>
      <c r="R861" s="52"/>
      <c r="S861" s="52"/>
      <c r="T861" s="52"/>
      <c r="U861" s="52"/>
      <c r="V861" s="52"/>
      <c r="W861" s="52"/>
      <c r="X861" s="52"/>
      <c r="Y861" s="52"/>
      <c r="Z861" s="52"/>
    </row>
    <row r="862">
      <c r="A862" s="59"/>
      <c r="B862" s="34"/>
      <c r="C862" s="52"/>
      <c r="D862" s="52"/>
      <c r="E862" s="52"/>
      <c r="F862" s="52"/>
      <c r="G862" s="52"/>
      <c r="H862" s="52"/>
      <c r="I862" s="52"/>
      <c r="J862" s="52"/>
      <c r="K862" s="52"/>
      <c r="L862" s="52"/>
      <c r="M862" s="52"/>
      <c r="N862" s="52"/>
      <c r="O862" s="52"/>
      <c r="P862" s="52"/>
      <c r="Q862" s="52"/>
      <c r="R862" s="52"/>
      <c r="S862" s="52"/>
      <c r="T862" s="52"/>
      <c r="U862" s="52"/>
      <c r="V862" s="52"/>
      <c r="W862" s="52"/>
      <c r="X862" s="52"/>
      <c r="Y862" s="52"/>
      <c r="Z862" s="52"/>
    </row>
    <row r="863">
      <c r="A863" s="59"/>
      <c r="B863" s="34"/>
      <c r="C863" s="52"/>
      <c r="D863" s="52"/>
      <c r="E863" s="52"/>
      <c r="F863" s="52"/>
      <c r="G863" s="52"/>
      <c r="H863" s="52"/>
      <c r="I863" s="52"/>
      <c r="J863" s="52"/>
      <c r="K863" s="52"/>
      <c r="L863" s="52"/>
      <c r="M863" s="52"/>
      <c r="N863" s="52"/>
      <c r="O863" s="52"/>
      <c r="P863" s="52"/>
      <c r="Q863" s="52"/>
      <c r="R863" s="52"/>
      <c r="S863" s="52"/>
      <c r="T863" s="52"/>
      <c r="U863" s="52"/>
      <c r="V863" s="52"/>
      <c r="W863" s="52"/>
      <c r="X863" s="52"/>
      <c r="Y863" s="52"/>
      <c r="Z863" s="52"/>
    </row>
    <row r="864">
      <c r="A864" s="59"/>
      <c r="B864" s="34"/>
      <c r="C864" s="52"/>
      <c r="D864" s="52"/>
      <c r="E864" s="52"/>
      <c r="F864" s="52"/>
      <c r="G864" s="52"/>
      <c r="H864" s="52"/>
      <c r="I864" s="52"/>
      <c r="J864" s="52"/>
      <c r="K864" s="52"/>
      <c r="L864" s="52"/>
      <c r="M864" s="52"/>
      <c r="N864" s="52"/>
      <c r="O864" s="52"/>
      <c r="P864" s="52"/>
      <c r="Q864" s="52"/>
      <c r="R864" s="52"/>
      <c r="S864" s="52"/>
      <c r="T864" s="52"/>
      <c r="U864" s="52"/>
      <c r="V864" s="52"/>
      <c r="W864" s="52"/>
      <c r="X864" s="52"/>
      <c r="Y864" s="52"/>
      <c r="Z864" s="52"/>
    </row>
    <row r="865">
      <c r="A865" s="59"/>
      <c r="B865" s="34"/>
      <c r="C865" s="52"/>
      <c r="D865" s="52"/>
      <c r="E865" s="52"/>
      <c r="F865" s="52"/>
      <c r="G865" s="52"/>
      <c r="H865" s="52"/>
      <c r="I865" s="52"/>
      <c r="J865" s="52"/>
      <c r="K865" s="52"/>
      <c r="L865" s="52"/>
      <c r="M865" s="52"/>
      <c r="N865" s="52"/>
      <c r="O865" s="52"/>
      <c r="P865" s="52"/>
      <c r="Q865" s="52"/>
      <c r="R865" s="52"/>
      <c r="S865" s="52"/>
      <c r="T865" s="52"/>
      <c r="U865" s="52"/>
      <c r="V865" s="52"/>
      <c r="W865" s="52"/>
      <c r="X865" s="52"/>
      <c r="Y865" s="52"/>
      <c r="Z865" s="52"/>
    </row>
    <row r="866">
      <c r="A866" s="59"/>
      <c r="B866" s="34"/>
      <c r="C866" s="52"/>
      <c r="D866" s="52"/>
      <c r="E866" s="52"/>
      <c r="F866" s="52"/>
      <c r="G866" s="52"/>
      <c r="H866" s="52"/>
      <c r="I866" s="52"/>
      <c r="J866" s="52"/>
      <c r="K866" s="52"/>
      <c r="L866" s="52"/>
      <c r="M866" s="52"/>
      <c r="N866" s="52"/>
      <c r="O866" s="52"/>
      <c r="P866" s="52"/>
      <c r="Q866" s="52"/>
      <c r="R866" s="52"/>
      <c r="S866" s="52"/>
      <c r="T866" s="52"/>
      <c r="U866" s="52"/>
      <c r="V866" s="52"/>
      <c r="W866" s="52"/>
      <c r="X866" s="52"/>
      <c r="Y866" s="52"/>
      <c r="Z866" s="52"/>
    </row>
    <row r="867">
      <c r="A867" s="59"/>
      <c r="B867" s="34"/>
      <c r="C867" s="52"/>
      <c r="D867" s="52"/>
      <c r="E867" s="52"/>
      <c r="F867" s="52"/>
      <c r="G867" s="52"/>
      <c r="H867" s="52"/>
      <c r="I867" s="52"/>
      <c r="J867" s="52"/>
      <c r="K867" s="52"/>
      <c r="L867" s="52"/>
      <c r="M867" s="52"/>
      <c r="N867" s="52"/>
      <c r="O867" s="52"/>
      <c r="P867" s="52"/>
      <c r="Q867" s="52"/>
      <c r="R867" s="52"/>
      <c r="S867" s="52"/>
      <c r="T867" s="52"/>
      <c r="U867" s="52"/>
      <c r="V867" s="52"/>
      <c r="W867" s="52"/>
      <c r="X867" s="52"/>
      <c r="Y867" s="52"/>
      <c r="Z867" s="52"/>
    </row>
    <row r="868">
      <c r="A868" s="59"/>
      <c r="B868" s="34"/>
      <c r="C868" s="52"/>
      <c r="D868" s="52"/>
      <c r="E868" s="52"/>
      <c r="F868" s="52"/>
      <c r="G868" s="52"/>
      <c r="H868" s="52"/>
      <c r="I868" s="52"/>
      <c r="J868" s="52"/>
      <c r="K868" s="52"/>
      <c r="L868" s="52"/>
      <c r="M868" s="52"/>
      <c r="N868" s="52"/>
      <c r="O868" s="52"/>
      <c r="P868" s="52"/>
      <c r="Q868" s="52"/>
      <c r="R868" s="52"/>
      <c r="S868" s="52"/>
      <c r="T868" s="52"/>
      <c r="U868" s="52"/>
      <c r="V868" s="52"/>
      <c r="W868" s="52"/>
      <c r="X868" s="52"/>
      <c r="Y868" s="52"/>
      <c r="Z868" s="52"/>
    </row>
    <row r="869">
      <c r="A869" s="59"/>
      <c r="B869" s="34"/>
      <c r="C869" s="52"/>
      <c r="D869" s="52"/>
      <c r="E869" s="52"/>
      <c r="F869" s="52"/>
      <c r="G869" s="52"/>
      <c r="H869" s="52"/>
      <c r="I869" s="52"/>
      <c r="J869" s="52"/>
      <c r="K869" s="52"/>
      <c r="L869" s="52"/>
      <c r="M869" s="52"/>
      <c r="N869" s="52"/>
      <c r="O869" s="52"/>
      <c r="P869" s="52"/>
      <c r="Q869" s="52"/>
      <c r="R869" s="52"/>
      <c r="S869" s="52"/>
      <c r="T869" s="52"/>
      <c r="U869" s="52"/>
      <c r="V869" s="52"/>
      <c r="W869" s="52"/>
      <c r="X869" s="52"/>
      <c r="Y869" s="52"/>
      <c r="Z869" s="52"/>
    </row>
    <row r="870">
      <c r="A870" s="59"/>
      <c r="B870" s="34"/>
      <c r="C870" s="52"/>
      <c r="D870" s="52"/>
      <c r="E870" s="52"/>
      <c r="F870" s="52"/>
      <c r="G870" s="52"/>
      <c r="H870" s="52"/>
      <c r="I870" s="52"/>
      <c r="J870" s="52"/>
      <c r="K870" s="52"/>
      <c r="L870" s="52"/>
      <c r="M870" s="52"/>
      <c r="N870" s="52"/>
      <c r="O870" s="52"/>
      <c r="P870" s="52"/>
      <c r="Q870" s="52"/>
      <c r="R870" s="52"/>
      <c r="S870" s="52"/>
      <c r="T870" s="52"/>
      <c r="U870" s="52"/>
      <c r="V870" s="52"/>
      <c r="W870" s="52"/>
      <c r="X870" s="52"/>
      <c r="Y870" s="52"/>
      <c r="Z870" s="52"/>
    </row>
    <row r="871">
      <c r="A871" s="59"/>
      <c r="B871" s="34"/>
      <c r="C871" s="52"/>
      <c r="D871" s="52"/>
      <c r="E871" s="52"/>
      <c r="F871" s="52"/>
      <c r="G871" s="52"/>
      <c r="H871" s="52"/>
      <c r="I871" s="52"/>
      <c r="J871" s="52"/>
      <c r="K871" s="52"/>
      <c r="L871" s="52"/>
      <c r="M871" s="52"/>
      <c r="N871" s="52"/>
      <c r="O871" s="52"/>
      <c r="P871" s="52"/>
      <c r="Q871" s="52"/>
      <c r="R871" s="52"/>
      <c r="S871" s="52"/>
      <c r="T871" s="52"/>
      <c r="U871" s="52"/>
      <c r="V871" s="52"/>
      <c r="W871" s="52"/>
      <c r="X871" s="52"/>
      <c r="Y871" s="52"/>
      <c r="Z871" s="52"/>
    </row>
    <row r="872">
      <c r="A872" s="59"/>
      <c r="B872" s="34"/>
      <c r="C872" s="52"/>
      <c r="D872" s="52"/>
      <c r="E872" s="52"/>
      <c r="F872" s="52"/>
      <c r="G872" s="52"/>
      <c r="H872" s="52"/>
      <c r="I872" s="52"/>
      <c r="J872" s="52"/>
      <c r="K872" s="52"/>
      <c r="L872" s="52"/>
      <c r="M872" s="52"/>
      <c r="N872" s="52"/>
      <c r="O872" s="52"/>
      <c r="P872" s="52"/>
      <c r="Q872" s="52"/>
      <c r="R872" s="52"/>
      <c r="S872" s="52"/>
      <c r="T872" s="52"/>
      <c r="U872" s="52"/>
      <c r="V872" s="52"/>
      <c r="W872" s="52"/>
      <c r="X872" s="52"/>
      <c r="Y872" s="52"/>
      <c r="Z872" s="52"/>
    </row>
    <row r="873">
      <c r="A873" s="59"/>
      <c r="B873" s="34"/>
      <c r="C873" s="52"/>
      <c r="D873" s="52"/>
      <c r="E873" s="52"/>
      <c r="F873" s="52"/>
      <c r="G873" s="52"/>
      <c r="H873" s="52"/>
      <c r="I873" s="52"/>
      <c r="J873" s="52"/>
      <c r="K873" s="52"/>
      <c r="L873" s="52"/>
      <c r="M873" s="52"/>
      <c r="N873" s="52"/>
      <c r="O873" s="52"/>
      <c r="P873" s="52"/>
      <c r="Q873" s="52"/>
      <c r="R873" s="52"/>
      <c r="S873" s="52"/>
      <c r="T873" s="52"/>
      <c r="U873" s="52"/>
      <c r="V873" s="52"/>
      <c r="W873" s="52"/>
      <c r="X873" s="52"/>
      <c r="Y873" s="52"/>
      <c r="Z873" s="52"/>
    </row>
    <row r="874">
      <c r="A874" s="59"/>
      <c r="B874" s="34"/>
      <c r="C874" s="52"/>
      <c r="D874" s="52"/>
      <c r="E874" s="52"/>
      <c r="F874" s="52"/>
      <c r="G874" s="52"/>
      <c r="H874" s="52"/>
      <c r="I874" s="52"/>
      <c r="J874" s="52"/>
      <c r="K874" s="52"/>
      <c r="L874" s="52"/>
      <c r="M874" s="52"/>
      <c r="N874" s="52"/>
      <c r="O874" s="52"/>
      <c r="P874" s="52"/>
      <c r="Q874" s="52"/>
      <c r="R874" s="52"/>
      <c r="S874" s="52"/>
      <c r="T874" s="52"/>
      <c r="U874" s="52"/>
      <c r="V874" s="52"/>
      <c r="W874" s="52"/>
      <c r="X874" s="52"/>
      <c r="Y874" s="52"/>
      <c r="Z874" s="52"/>
    </row>
    <row r="875">
      <c r="A875" s="59"/>
      <c r="B875" s="34"/>
      <c r="C875" s="52"/>
      <c r="D875" s="52"/>
      <c r="E875" s="52"/>
      <c r="F875" s="52"/>
      <c r="G875" s="52"/>
      <c r="H875" s="52"/>
      <c r="I875" s="52"/>
      <c r="J875" s="52"/>
      <c r="K875" s="52"/>
      <c r="L875" s="52"/>
      <c r="M875" s="52"/>
      <c r="N875" s="52"/>
      <c r="O875" s="52"/>
      <c r="P875" s="52"/>
      <c r="Q875" s="52"/>
      <c r="R875" s="52"/>
      <c r="S875" s="52"/>
      <c r="T875" s="52"/>
      <c r="U875" s="52"/>
      <c r="V875" s="52"/>
      <c r="W875" s="52"/>
      <c r="X875" s="52"/>
      <c r="Y875" s="52"/>
      <c r="Z875" s="52"/>
    </row>
    <row r="876">
      <c r="A876" s="59"/>
      <c r="B876" s="34"/>
      <c r="C876" s="52"/>
      <c r="D876" s="52"/>
      <c r="E876" s="52"/>
      <c r="F876" s="52"/>
      <c r="G876" s="52"/>
      <c r="H876" s="52"/>
      <c r="I876" s="52"/>
      <c r="J876" s="52"/>
      <c r="K876" s="52"/>
      <c r="L876" s="52"/>
      <c r="M876" s="52"/>
      <c r="N876" s="52"/>
      <c r="O876" s="52"/>
      <c r="P876" s="52"/>
      <c r="Q876" s="52"/>
      <c r="R876" s="52"/>
      <c r="S876" s="52"/>
      <c r="T876" s="52"/>
      <c r="U876" s="52"/>
      <c r="V876" s="52"/>
      <c r="W876" s="52"/>
      <c r="X876" s="52"/>
      <c r="Y876" s="52"/>
      <c r="Z876" s="52"/>
    </row>
    <row r="877">
      <c r="A877" s="59"/>
      <c r="B877" s="34"/>
      <c r="C877" s="52"/>
      <c r="D877" s="52"/>
      <c r="E877" s="52"/>
      <c r="F877" s="52"/>
      <c r="G877" s="52"/>
      <c r="H877" s="52"/>
      <c r="I877" s="52"/>
      <c r="J877" s="52"/>
      <c r="K877" s="52"/>
      <c r="L877" s="52"/>
      <c r="M877" s="52"/>
      <c r="N877" s="52"/>
      <c r="O877" s="52"/>
      <c r="P877" s="52"/>
      <c r="Q877" s="52"/>
      <c r="R877" s="52"/>
      <c r="S877" s="52"/>
      <c r="T877" s="52"/>
      <c r="U877" s="52"/>
      <c r="V877" s="52"/>
      <c r="W877" s="52"/>
      <c r="X877" s="52"/>
      <c r="Y877" s="52"/>
      <c r="Z877" s="52"/>
    </row>
    <row r="878">
      <c r="A878" s="59"/>
      <c r="B878" s="34"/>
      <c r="C878" s="52"/>
      <c r="D878" s="52"/>
      <c r="E878" s="52"/>
      <c r="F878" s="52"/>
      <c r="G878" s="52"/>
      <c r="H878" s="52"/>
      <c r="I878" s="52"/>
      <c r="J878" s="52"/>
      <c r="K878" s="52"/>
      <c r="L878" s="52"/>
      <c r="M878" s="52"/>
      <c r="N878" s="52"/>
      <c r="O878" s="52"/>
      <c r="P878" s="52"/>
      <c r="Q878" s="52"/>
      <c r="R878" s="52"/>
      <c r="S878" s="52"/>
      <c r="T878" s="52"/>
      <c r="U878" s="52"/>
      <c r="V878" s="52"/>
      <c r="W878" s="52"/>
      <c r="X878" s="52"/>
      <c r="Y878" s="52"/>
      <c r="Z878" s="52"/>
    </row>
    <row r="879">
      <c r="A879" s="59"/>
      <c r="B879" s="34"/>
      <c r="C879" s="52"/>
      <c r="D879" s="52"/>
      <c r="E879" s="52"/>
      <c r="F879" s="52"/>
      <c r="G879" s="52"/>
      <c r="H879" s="52"/>
      <c r="I879" s="52"/>
      <c r="J879" s="52"/>
      <c r="K879" s="52"/>
      <c r="L879" s="52"/>
      <c r="M879" s="52"/>
      <c r="N879" s="52"/>
      <c r="O879" s="52"/>
      <c r="P879" s="52"/>
      <c r="Q879" s="52"/>
      <c r="R879" s="52"/>
      <c r="S879" s="52"/>
      <c r="T879" s="52"/>
      <c r="U879" s="52"/>
      <c r="V879" s="52"/>
      <c r="W879" s="52"/>
      <c r="X879" s="52"/>
      <c r="Y879" s="52"/>
      <c r="Z879" s="52"/>
    </row>
    <row r="880">
      <c r="A880" s="59"/>
      <c r="B880" s="34"/>
      <c r="C880" s="52"/>
      <c r="D880" s="52"/>
      <c r="E880" s="52"/>
      <c r="F880" s="52"/>
      <c r="G880" s="52"/>
      <c r="H880" s="52"/>
      <c r="I880" s="52"/>
      <c r="J880" s="52"/>
      <c r="K880" s="52"/>
      <c r="L880" s="52"/>
      <c r="M880" s="52"/>
      <c r="N880" s="52"/>
      <c r="O880" s="52"/>
      <c r="P880" s="52"/>
      <c r="Q880" s="52"/>
      <c r="R880" s="52"/>
      <c r="S880" s="52"/>
      <c r="T880" s="52"/>
      <c r="U880" s="52"/>
      <c r="V880" s="52"/>
      <c r="W880" s="52"/>
      <c r="X880" s="52"/>
      <c r="Y880" s="52"/>
      <c r="Z880" s="52"/>
    </row>
    <row r="881">
      <c r="A881" s="59"/>
      <c r="B881" s="34"/>
      <c r="C881" s="52"/>
      <c r="D881" s="52"/>
      <c r="E881" s="52"/>
      <c r="F881" s="52"/>
      <c r="G881" s="52"/>
      <c r="H881" s="52"/>
      <c r="I881" s="52"/>
      <c r="J881" s="52"/>
      <c r="K881" s="52"/>
      <c r="L881" s="52"/>
      <c r="M881" s="52"/>
      <c r="N881" s="52"/>
      <c r="O881" s="52"/>
      <c r="P881" s="52"/>
      <c r="Q881" s="52"/>
      <c r="R881" s="52"/>
      <c r="S881" s="52"/>
      <c r="T881" s="52"/>
      <c r="U881" s="52"/>
      <c r="V881" s="52"/>
      <c r="W881" s="52"/>
      <c r="X881" s="52"/>
      <c r="Y881" s="52"/>
      <c r="Z881" s="52"/>
    </row>
    <row r="882">
      <c r="A882" s="59"/>
      <c r="B882" s="34"/>
      <c r="C882" s="52"/>
      <c r="D882" s="52"/>
      <c r="E882" s="52"/>
      <c r="F882" s="52"/>
      <c r="G882" s="52"/>
      <c r="H882" s="52"/>
      <c r="I882" s="52"/>
      <c r="J882" s="52"/>
      <c r="K882" s="52"/>
      <c r="L882" s="52"/>
      <c r="M882" s="52"/>
      <c r="N882" s="52"/>
      <c r="O882" s="52"/>
      <c r="P882" s="52"/>
      <c r="Q882" s="52"/>
      <c r="R882" s="52"/>
      <c r="S882" s="52"/>
      <c r="T882" s="52"/>
      <c r="U882" s="52"/>
      <c r="V882" s="52"/>
      <c r="W882" s="52"/>
      <c r="X882" s="52"/>
      <c r="Y882" s="52"/>
      <c r="Z882" s="52"/>
    </row>
    <row r="883">
      <c r="A883" s="59"/>
      <c r="B883" s="34"/>
      <c r="C883" s="52"/>
      <c r="D883" s="52"/>
      <c r="E883" s="52"/>
      <c r="F883" s="52"/>
      <c r="G883" s="52"/>
      <c r="H883" s="52"/>
      <c r="I883" s="52"/>
      <c r="J883" s="52"/>
      <c r="K883" s="52"/>
      <c r="L883" s="52"/>
      <c r="M883" s="52"/>
      <c r="N883" s="52"/>
      <c r="O883" s="52"/>
      <c r="P883" s="52"/>
      <c r="Q883" s="52"/>
      <c r="R883" s="52"/>
      <c r="S883" s="52"/>
      <c r="T883" s="52"/>
      <c r="U883" s="52"/>
      <c r="V883" s="52"/>
      <c r="W883" s="52"/>
      <c r="X883" s="52"/>
      <c r="Y883" s="52"/>
      <c r="Z883" s="52"/>
    </row>
    <row r="884">
      <c r="A884" s="59"/>
      <c r="B884" s="34"/>
      <c r="C884" s="52"/>
      <c r="D884" s="52"/>
      <c r="E884" s="52"/>
      <c r="F884" s="52"/>
      <c r="G884" s="52"/>
      <c r="H884" s="52"/>
      <c r="I884" s="52"/>
      <c r="J884" s="52"/>
      <c r="K884" s="52"/>
      <c r="L884" s="52"/>
      <c r="M884" s="52"/>
      <c r="N884" s="52"/>
      <c r="O884" s="52"/>
      <c r="P884" s="52"/>
      <c r="Q884" s="52"/>
      <c r="R884" s="52"/>
      <c r="S884" s="52"/>
      <c r="T884" s="52"/>
      <c r="U884" s="52"/>
      <c r="V884" s="52"/>
      <c r="W884" s="52"/>
      <c r="X884" s="52"/>
      <c r="Y884" s="52"/>
      <c r="Z884" s="52"/>
    </row>
    <row r="885">
      <c r="A885" s="59"/>
      <c r="B885" s="34"/>
      <c r="C885" s="52"/>
      <c r="D885" s="52"/>
      <c r="E885" s="52"/>
      <c r="F885" s="52"/>
      <c r="G885" s="52"/>
      <c r="H885" s="52"/>
      <c r="I885" s="52"/>
      <c r="J885" s="52"/>
      <c r="K885" s="52"/>
      <c r="L885" s="52"/>
      <c r="M885" s="52"/>
      <c r="N885" s="52"/>
      <c r="O885" s="52"/>
      <c r="P885" s="52"/>
      <c r="Q885" s="52"/>
      <c r="R885" s="52"/>
      <c r="S885" s="52"/>
      <c r="T885" s="52"/>
      <c r="U885" s="52"/>
      <c r="V885" s="52"/>
      <c r="W885" s="52"/>
      <c r="X885" s="52"/>
      <c r="Y885" s="52"/>
      <c r="Z885" s="52"/>
    </row>
    <row r="886">
      <c r="A886" s="59"/>
      <c r="B886" s="34"/>
      <c r="C886" s="52"/>
      <c r="D886" s="52"/>
      <c r="E886" s="52"/>
      <c r="F886" s="52"/>
      <c r="G886" s="52"/>
      <c r="H886" s="52"/>
      <c r="I886" s="52"/>
      <c r="J886" s="52"/>
      <c r="K886" s="52"/>
      <c r="L886" s="52"/>
      <c r="M886" s="52"/>
      <c r="N886" s="52"/>
      <c r="O886" s="52"/>
      <c r="P886" s="52"/>
      <c r="Q886" s="52"/>
      <c r="R886" s="52"/>
      <c r="S886" s="52"/>
      <c r="T886" s="52"/>
      <c r="U886" s="52"/>
      <c r="V886" s="52"/>
      <c r="W886" s="52"/>
      <c r="X886" s="52"/>
      <c r="Y886" s="52"/>
      <c r="Z886" s="52"/>
    </row>
    <row r="887">
      <c r="A887" s="59"/>
      <c r="B887" s="34"/>
      <c r="C887" s="52"/>
      <c r="D887" s="52"/>
      <c r="E887" s="52"/>
      <c r="F887" s="52"/>
      <c r="G887" s="52"/>
      <c r="H887" s="52"/>
      <c r="I887" s="52"/>
      <c r="J887" s="52"/>
      <c r="K887" s="52"/>
      <c r="L887" s="52"/>
      <c r="M887" s="52"/>
      <c r="N887" s="52"/>
      <c r="O887" s="52"/>
      <c r="P887" s="52"/>
      <c r="Q887" s="52"/>
      <c r="R887" s="52"/>
      <c r="S887" s="52"/>
      <c r="T887" s="52"/>
      <c r="U887" s="52"/>
      <c r="V887" s="52"/>
      <c r="W887" s="52"/>
      <c r="X887" s="52"/>
      <c r="Y887" s="52"/>
      <c r="Z887" s="52"/>
    </row>
    <row r="888">
      <c r="A888" s="59"/>
      <c r="B888" s="34"/>
      <c r="C888" s="52"/>
      <c r="D888" s="52"/>
      <c r="E888" s="52"/>
      <c r="F888" s="52"/>
      <c r="G888" s="52"/>
      <c r="H888" s="52"/>
      <c r="I888" s="52"/>
      <c r="J888" s="52"/>
      <c r="K888" s="52"/>
      <c r="L888" s="52"/>
      <c r="M888" s="52"/>
      <c r="N888" s="52"/>
      <c r="O888" s="52"/>
      <c r="P888" s="52"/>
      <c r="Q888" s="52"/>
      <c r="R888" s="52"/>
      <c r="S888" s="52"/>
      <c r="T888" s="52"/>
      <c r="U888" s="52"/>
      <c r="V888" s="52"/>
      <c r="W888" s="52"/>
      <c r="X888" s="52"/>
      <c r="Y888" s="52"/>
      <c r="Z888" s="52"/>
    </row>
    <row r="889">
      <c r="A889" s="59"/>
      <c r="B889" s="34"/>
      <c r="C889" s="52"/>
      <c r="D889" s="52"/>
      <c r="E889" s="52"/>
      <c r="F889" s="52"/>
      <c r="G889" s="52"/>
      <c r="H889" s="52"/>
      <c r="I889" s="52"/>
      <c r="J889" s="52"/>
      <c r="K889" s="52"/>
      <c r="L889" s="52"/>
      <c r="M889" s="52"/>
      <c r="N889" s="52"/>
      <c r="O889" s="52"/>
      <c r="P889" s="52"/>
      <c r="Q889" s="52"/>
      <c r="R889" s="52"/>
      <c r="S889" s="52"/>
      <c r="T889" s="52"/>
      <c r="U889" s="52"/>
      <c r="V889" s="52"/>
      <c r="W889" s="52"/>
      <c r="X889" s="52"/>
      <c r="Y889" s="52"/>
      <c r="Z889" s="52"/>
    </row>
    <row r="890">
      <c r="A890" s="59"/>
      <c r="B890" s="34"/>
      <c r="C890" s="52"/>
      <c r="D890" s="52"/>
      <c r="E890" s="52"/>
      <c r="F890" s="52"/>
      <c r="G890" s="52"/>
      <c r="H890" s="52"/>
      <c r="I890" s="52"/>
      <c r="J890" s="52"/>
      <c r="K890" s="52"/>
      <c r="L890" s="52"/>
      <c r="M890" s="52"/>
      <c r="N890" s="52"/>
      <c r="O890" s="52"/>
      <c r="P890" s="52"/>
      <c r="Q890" s="52"/>
      <c r="R890" s="52"/>
      <c r="S890" s="52"/>
      <c r="T890" s="52"/>
      <c r="U890" s="52"/>
      <c r="V890" s="52"/>
      <c r="W890" s="52"/>
      <c r="X890" s="52"/>
      <c r="Y890" s="52"/>
      <c r="Z890" s="52"/>
    </row>
    <row r="891">
      <c r="A891" s="59"/>
      <c r="B891" s="34"/>
      <c r="C891" s="52"/>
      <c r="D891" s="52"/>
      <c r="E891" s="52"/>
      <c r="F891" s="52"/>
      <c r="G891" s="52"/>
      <c r="H891" s="52"/>
      <c r="I891" s="52"/>
      <c r="J891" s="52"/>
      <c r="K891" s="52"/>
      <c r="L891" s="52"/>
      <c r="M891" s="52"/>
      <c r="N891" s="52"/>
      <c r="O891" s="52"/>
      <c r="P891" s="52"/>
      <c r="Q891" s="52"/>
      <c r="R891" s="52"/>
      <c r="S891" s="52"/>
      <c r="T891" s="52"/>
      <c r="U891" s="52"/>
      <c r="V891" s="52"/>
      <c r="W891" s="52"/>
      <c r="X891" s="52"/>
      <c r="Y891" s="52"/>
      <c r="Z891" s="52"/>
    </row>
    <row r="892">
      <c r="A892" s="59"/>
      <c r="B892" s="34"/>
      <c r="C892" s="52"/>
      <c r="D892" s="52"/>
      <c r="E892" s="52"/>
      <c r="F892" s="52"/>
      <c r="G892" s="52"/>
      <c r="H892" s="52"/>
      <c r="I892" s="52"/>
      <c r="J892" s="52"/>
      <c r="K892" s="52"/>
      <c r="L892" s="52"/>
      <c r="M892" s="52"/>
      <c r="N892" s="52"/>
      <c r="O892" s="52"/>
      <c r="P892" s="52"/>
      <c r="Q892" s="52"/>
      <c r="R892" s="52"/>
      <c r="S892" s="52"/>
      <c r="T892" s="52"/>
      <c r="U892" s="52"/>
      <c r="V892" s="52"/>
      <c r="W892" s="52"/>
      <c r="X892" s="52"/>
      <c r="Y892" s="52"/>
      <c r="Z892" s="52"/>
    </row>
    <row r="893">
      <c r="A893" s="59"/>
      <c r="B893" s="34"/>
      <c r="C893" s="52"/>
      <c r="D893" s="52"/>
      <c r="E893" s="52"/>
      <c r="F893" s="52"/>
      <c r="G893" s="52"/>
      <c r="H893" s="52"/>
      <c r="I893" s="52"/>
      <c r="J893" s="52"/>
      <c r="K893" s="52"/>
      <c r="L893" s="52"/>
      <c r="M893" s="52"/>
      <c r="N893" s="52"/>
      <c r="O893" s="52"/>
      <c r="P893" s="52"/>
      <c r="Q893" s="52"/>
      <c r="R893" s="52"/>
      <c r="S893" s="52"/>
      <c r="T893" s="52"/>
      <c r="U893" s="52"/>
      <c r="V893" s="52"/>
      <c r="W893" s="52"/>
      <c r="X893" s="52"/>
      <c r="Y893" s="52"/>
      <c r="Z893" s="52"/>
    </row>
    <row r="894">
      <c r="A894" s="59"/>
      <c r="B894" s="34"/>
      <c r="C894" s="52"/>
      <c r="D894" s="52"/>
      <c r="E894" s="52"/>
      <c r="F894" s="52"/>
      <c r="G894" s="52"/>
      <c r="H894" s="52"/>
      <c r="I894" s="52"/>
      <c r="J894" s="52"/>
      <c r="K894" s="52"/>
      <c r="L894" s="52"/>
      <c r="M894" s="52"/>
      <c r="N894" s="52"/>
      <c r="O894" s="52"/>
      <c r="P894" s="52"/>
      <c r="Q894" s="52"/>
      <c r="R894" s="52"/>
      <c r="S894" s="52"/>
      <c r="T894" s="52"/>
      <c r="U894" s="52"/>
      <c r="V894" s="52"/>
      <c r="W894" s="52"/>
      <c r="X894" s="52"/>
      <c r="Y894" s="52"/>
      <c r="Z894" s="52"/>
    </row>
    <row r="895">
      <c r="A895" s="59"/>
      <c r="B895" s="34"/>
      <c r="C895" s="52"/>
      <c r="D895" s="52"/>
      <c r="E895" s="52"/>
      <c r="F895" s="52"/>
      <c r="G895" s="52"/>
      <c r="H895" s="52"/>
      <c r="I895" s="52"/>
      <c r="J895" s="52"/>
      <c r="K895" s="52"/>
      <c r="L895" s="52"/>
      <c r="M895" s="52"/>
      <c r="N895" s="52"/>
      <c r="O895" s="52"/>
      <c r="P895" s="52"/>
      <c r="Q895" s="52"/>
      <c r="R895" s="52"/>
      <c r="S895" s="52"/>
      <c r="T895" s="52"/>
      <c r="U895" s="52"/>
      <c r="V895" s="52"/>
      <c r="W895" s="52"/>
      <c r="X895" s="52"/>
      <c r="Y895" s="52"/>
      <c r="Z895" s="52"/>
    </row>
    <row r="896">
      <c r="A896" s="59"/>
      <c r="B896" s="34"/>
      <c r="C896" s="52"/>
      <c r="D896" s="52"/>
      <c r="E896" s="52"/>
      <c r="F896" s="52"/>
      <c r="G896" s="52"/>
      <c r="H896" s="52"/>
      <c r="I896" s="52"/>
      <c r="J896" s="52"/>
      <c r="K896" s="52"/>
      <c r="L896" s="52"/>
      <c r="M896" s="52"/>
      <c r="N896" s="52"/>
      <c r="O896" s="52"/>
      <c r="P896" s="52"/>
      <c r="Q896" s="52"/>
      <c r="R896" s="52"/>
      <c r="S896" s="52"/>
      <c r="T896" s="52"/>
      <c r="U896" s="52"/>
      <c r="V896" s="52"/>
      <c r="W896" s="52"/>
      <c r="X896" s="52"/>
      <c r="Y896" s="52"/>
      <c r="Z896" s="52"/>
    </row>
    <row r="897">
      <c r="A897" s="59"/>
      <c r="B897" s="34"/>
      <c r="C897" s="52"/>
      <c r="D897" s="52"/>
      <c r="E897" s="52"/>
      <c r="F897" s="52"/>
      <c r="G897" s="52"/>
      <c r="H897" s="52"/>
      <c r="I897" s="52"/>
      <c r="J897" s="52"/>
      <c r="K897" s="52"/>
      <c r="L897" s="52"/>
      <c r="M897" s="52"/>
      <c r="N897" s="52"/>
      <c r="O897" s="52"/>
      <c r="P897" s="52"/>
      <c r="Q897" s="52"/>
      <c r="R897" s="52"/>
      <c r="S897" s="52"/>
      <c r="T897" s="52"/>
      <c r="U897" s="52"/>
      <c r="V897" s="52"/>
      <c r="W897" s="52"/>
      <c r="X897" s="52"/>
      <c r="Y897" s="52"/>
      <c r="Z897" s="52"/>
    </row>
    <row r="898">
      <c r="A898" s="59"/>
      <c r="B898" s="34"/>
      <c r="C898" s="52"/>
      <c r="D898" s="52"/>
      <c r="E898" s="52"/>
      <c r="F898" s="52"/>
      <c r="G898" s="52"/>
      <c r="H898" s="52"/>
      <c r="I898" s="52"/>
      <c r="J898" s="52"/>
      <c r="K898" s="52"/>
      <c r="L898" s="52"/>
      <c r="M898" s="52"/>
      <c r="N898" s="52"/>
      <c r="O898" s="52"/>
      <c r="P898" s="52"/>
      <c r="Q898" s="52"/>
      <c r="R898" s="52"/>
      <c r="S898" s="52"/>
      <c r="T898" s="52"/>
      <c r="U898" s="52"/>
      <c r="V898" s="52"/>
      <c r="W898" s="52"/>
      <c r="X898" s="52"/>
      <c r="Y898" s="52"/>
      <c r="Z898" s="52"/>
    </row>
    <row r="899">
      <c r="A899" s="59"/>
      <c r="B899" s="34"/>
      <c r="C899" s="52"/>
      <c r="D899" s="52"/>
      <c r="E899" s="52"/>
      <c r="F899" s="52"/>
      <c r="G899" s="52"/>
      <c r="H899" s="52"/>
      <c r="I899" s="52"/>
      <c r="J899" s="52"/>
      <c r="K899" s="52"/>
      <c r="L899" s="52"/>
      <c r="M899" s="52"/>
      <c r="N899" s="52"/>
      <c r="O899" s="52"/>
      <c r="P899" s="52"/>
      <c r="Q899" s="52"/>
      <c r="R899" s="52"/>
      <c r="S899" s="52"/>
      <c r="T899" s="52"/>
      <c r="U899" s="52"/>
      <c r="V899" s="52"/>
      <c r="W899" s="52"/>
      <c r="X899" s="52"/>
      <c r="Y899" s="52"/>
      <c r="Z899" s="52"/>
    </row>
    <row r="900">
      <c r="A900" s="59"/>
      <c r="B900" s="34"/>
      <c r="C900" s="52"/>
      <c r="D900" s="52"/>
      <c r="E900" s="52"/>
      <c r="F900" s="52"/>
      <c r="G900" s="52"/>
      <c r="H900" s="52"/>
      <c r="I900" s="52"/>
      <c r="J900" s="52"/>
      <c r="K900" s="52"/>
      <c r="L900" s="52"/>
      <c r="M900" s="52"/>
      <c r="N900" s="52"/>
      <c r="O900" s="52"/>
      <c r="P900" s="52"/>
      <c r="Q900" s="52"/>
      <c r="R900" s="52"/>
      <c r="S900" s="52"/>
      <c r="T900" s="52"/>
      <c r="U900" s="52"/>
      <c r="V900" s="52"/>
      <c r="W900" s="52"/>
      <c r="X900" s="52"/>
      <c r="Y900" s="52"/>
      <c r="Z900" s="52"/>
    </row>
    <row r="901">
      <c r="A901" s="59"/>
      <c r="B901" s="34"/>
      <c r="C901" s="52"/>
      <c r="D901" s="52"/>
      <c r="E901" s="52"/>
      <c r="F901" s="52"/>
      <c r="G901" s="52"/>
      <c r="H901" s="52"/>
      <c r="I901" s="52"/>
      <c r="J901" s="52"/>
      <c r="K901" s="52"/>
      <c r="L901" s="52"/>
      <c r="M901" s="52"/>
      <c r="N901" s="52"/>
      <c r="O901" s="52"/>
      <c r="P901" s="52"/>
      <c r="Q901" s="52"/>
      <c r="R901" s="52"/>
      <c r="S901" s="52"/>
      <c r="T901" s="52"/>
      <c r="U901" s="52"/>
      <c r="V901" s="52"/>
      <c r="W901" s="52"/>
      <c r="X901" s="52"/>
      <c r="Y901" s="52"/>
      <c r="Z901" s="52"/>
    </row>
    <row r="902">
      <c r="A902" s="59"/>
      <c r="B902" s="34"/>
      <c r="C902" s="52"/>
      <c r="D902" s="52"/>
      <c r="E902" s="52"/>
      <c r="F902" s="52"/>
      <c r="G902" s="52"/>
      <c r="H902" s="52"/>
      <c r="I902" s="52"/>
      <c r="J902" s="52"/>
      <c r="K902" s="52"/>
      <c r="L902" s="52"/>
      <c r="M902" s="52"/>
      <c r="N902" s="52"/>
      <c r="O902" s="52"/>
      <c r="P902" s="52"/>
      <c r="Q902" s="52"/>
      <c r="R902" s="52"/>
      <c r="S902" s="52"/>
      <c r="T902" s="52"/>
      <c r="U902" s="52"/>
      <c r="V902" s="52"/>
      <c r="W902" s="52"/>
      <c r="X902" s="52"/>
      <c r="Y902" s="52"/>
      <c r="Z902" s="52"/>
    </row>
    <row r="903">
      <c r="A903" s="59"/>
      <c r="B903" s="34"/>
      <c r="C903" s="52"/>
      <c r="D903" s="52"/>
      <c r="E903" s="52"/>
      <c r="F903" s="52"/>
      <c r="G903" s="52"/>
      <c r="H903" s="52"/>
      <c r="I903" s="52"/>
      <c r="J903" s="52"/>
      <c r="K903" s="52"/>
      <c r="L903" s="52"/>
      <c r="M903" s="52"/>
      <c r="N903" s="52"/>
      <c r="O903" s="52"/>
      <c r="P903" s="52"/>
      <c r="Q903" s="52"/>
      <c r="R903" s="52"/>
      <c r="S903" s="52"/>
      <c r="T903" s="52"/>
      <c r="U903" s="52"/>
      <c r="V903" s="52"/>
      <c r="W903" s="52"/>
      <c r="X903" s="52"/>
      <c r="Y903" s="52"/>
      <c r="Z903" s="52"/>
    </row>
    <row r="904">
      <c r="A904" s="59"/>
      <c r="B904" s="34"/>
      <c r="C904" s="52"/>
      <c r="D904" s="52"/>
      <c r="E904" s="52"/>
      <c r="F904" s="52"/>
      <c r="G904" s="52"/>
      <c r="H904" s="52"/>
      <c r="I904" s="52"/>
      <c r="J904" s="52"/>
      <c r="K904" s="52"/>
      <c r="L904" s="52"/>
      <c r="M904" s="52"/>
      <c r="N904" s="52"/>
      <c r="O904" s="52"/>
      <c r="P904" s="52"/>
      <c r="Q904" s="52"/>
      <c r="R904" s="52"/>
      <c r="S904" s="52"/>
      <c r="T904" s="52"/>
      <c r="U904" s="52"/>
      <c r="V904" s="52"/>
      <c r="W904" s="52"/>
      <c r="X904" s="52"/>
      <c r="Y904" s="52"/>
      <c r="Z904" s="52"/>
    </row>
    <row r="905">
      <c r="A905" s="59"/>
      <c r="B905" s="34"/>
      <c r="C905" s="52"/>
      <c r="D905" s="52"/>
      <c r="E905" s="52"/>
      <c r="F905" s="52"/>
      <c r="G905" s="52"/>
      <c r="H905" s="52"/>
      <c r="I905" s="52"/>
      <c r="J905" s="52"/>
      <c r="K905" s="52"/>
      <c r="L905" s="52"/>
      <c r="M905" s="52"/>
      <c r="N905" s="52"/>
      <c r="O905" s="52"/>
      <c r="P905" s="52"/>
      <c r="Q905" s="52"/>
      <c r="R905" s="52"/>
      <c r="S905" s="52"/>
      <c r="T905" s="52"/>
      <c r="U905" s="52"/>
      <c r="V905" s="52"/>
      <c r="W905" s="52"/>
      <c r="X905" s="52"/>
      <c r="Y905" s="52"/>
      <c r="Z905" s="52"/>
    </row>
    <row r="906">
      <c r="A906" s="59"/>
      <c r="B906" s="34"/>
      <c r="C906" s="52"/>
      <c r="D906" s="52"/>
      <c r="E906" s="52"/>
      <c r="F906" s="52"/>
      <c r="G906" s="52"/>
      <c r="H906" s="52"/>
      <c r="I906" s="52"/>
      <c r="J906" s="52"/>
      <c r="K906" s="52"/>
      <c r="L906" s="52"/>
      <c r="M906" s="52"/>
      <c r="N906" s="52"/>
      <c r="O906" s="52"/>
      <c r="P906" s="52"/>
      <c r="Q906" s="52"/>
      <c r="R906" s="52"/>
      <c r="S906" s="52"/>
      <c r="T906" s="52"/>
      <c r="U906" s="52"/>
      <c r="V906" s="52"/>
      <c r="W906" s="52"/>
      <c r="X906" s="52"/>
      <c r="Y906" s="52"/>
      <c r="Z906" s="52"/>
    </row>
    <row r="907">
      <c r="A907" s="59"/>
      <c r="B907" s="34"/>
      <c r="C907" s="52"/>
      <c r="D907" s="52"/>
      <c r="E907" s="52"/>
      <c r="F907" s="52"/>
      <c r="G907" s="52"/>
      <c r="H907" s="52"/>
      <c r="I907" s="52"/>
      <c r="J907" s="52"/>
      <c r="K907" s="52"/>
      <c r="L907" s="52"/>
      <c r="M907" s="52"/>
      <c r="N907" s="52"/>
      <c r="O907" s="52"/>
      <c r="P907" s="52"/>
      <c r="Q907" s="52"/>
      <c r="R907" s="52"/>
      <c r="S907" s="52"/>
      <c r="T907" s="52"/>
      <c r="U907" s="52"/>
      <c r="V907" s="52"/>
      <c r="W907" s="52"/>
      <c r="X907" s="52"/>
      <c r="Y907" s="52"/>
      <c r="Z907" s="52"/>
    </row>
    <row r="908">
      <c r="A908" s="59"/>
      <c r="B908" s="34"/>
      <c r="C908" s="52"/>
      <c r="D908" s="52"/>
      <c r="E908" s="52"/>
      <c r="F908" s="52"/>
      <c r="G908" s="52"/>
      <c r="H908" s="52"/>
      <c r="I908" s="52"/>
      <c r="J908" s="52"/>
      <c r="K908" s="52"/>
      <c r="L908" s="52"/>
      <c r="M908" s="52"/>
      <c r="N908" s="52"/>
      <c r="O908" s="52"/>
      <c r="P908" s="52"/>
      <c r="Q908" s="52"/>
      <c r="R908" s="52"/>
      <c r="S908" s="52"/>
      <c r="T908" s="52"/>
      <c r="U908" s="52"/>
      <c r="V908" s="52"/>
      <c r="W908" s="52"/>
      <c r="X908" s="52"/>
      <c r="Y908" s="52"/>
      <c r="Z908" s="52"/>
    </row>
    <row r="909">
      <c r="A909" s="59"/>
      <c r="B909" s="34"/>
      <c r="C909" s="52"/>
      <c r="D909" s="52"/>
      <c r="E909" s="52"/>
      <c r="F909" s="52"/>
      <c r="G909" s="52"/>
      <c r="H909" s="52"/>
      <c r="I909" s="52"/>
      <c r="J909" s="52"/>
      <c r="K909" s="52"/>
      <c r="L909" s="52"/>
      <c r="M909" s="52"/>
      <c r="N909" s="52"/>
      <c r="O909" s="52"/>
      <c r="P909" s="52"/>
      <c r="Q909" s="52"/>
      <c r="R909" s="52"/>
      <c r="S909" s="52"/>
      <c r="T909" s="52"/>
      <c r="U909" s="52"/>
      <c r="V909" s="52"/>
      <c r="W909" s="52"/>
      <c r="X909" s="52"/>
      <c r="Y909" s="52"/>
      <c r="Z909" s="52"/>
    </row>
    <row r="910">
      <c r="A910" s="59"/>
      <c r="B910" s="34"/>
      <c r="C910" s="52"/>
      <c r="D910" s="52"/>
      <c r="E910" s="52"/>
      <c r="F910" s="52"/>
      <c r="G910" s="52"/>
      <c r="H910" s="52"/>
      <c r="I910" s="52"/>
      <c r="J910" s="52"/>
      <c r="K910" s="52"/>
      <c r="L910" s="52"/>
      <c r="M910" s="52"/>
      <c r="N910" s="52"/>
      <c r="O910" s="52"/>
      <c r="P910" s="52"/>
      <c r="Q910" s="52"/>
      <c r="R910" s="52"/>
      <c r="S910" s="52"/>
      <c r="T910" s="52"/>
      <c r="U910" s="52"/>
      <c r="V910" s="52"/>
      <c r="W910" s="52"/>
      <c r="X910" s="52"/>
      <c r="Y910" s="52"/>
      <c r="Z910" s="52"/>
    </row>
    <row r="911">
      <c r="A911" s="59"/>
      <c r="B911" s="34"/>
      <c r="C911" s="52"/>
      <c r="D911" s="52"/>
      <c r="E911" s="52"/>
      <c r="F911" s="52"/>
      <c r="G911" s="52"/>
      <c r="H911" s="52"/>
      <c r="I911" s="52"/>
      <c r="J911" s="52"/>
      <c r="K911" s="52"/>
      <c r="L911" s="52"/>
      <c r="M911" s="52"/>
      <c r="N911" s="52"/>
      <c r="O911" s="52"/>
      <c r="P911" s="52"/>
      <c r="Q911" s="52"/>
      <c r="R911" s="52"/>
      <c r="S911" s="52"/>
      <c r="T911" s="52"/>
      <c r="U911" s="52"/>
      <c r="V911" s="52"/>
      <c r="W911" s="52"/>
      <c r="X911" s="52"/>
      <c r="Y911" s="52"/>
      <c r="Z911" s="52"/>
    </row>
    <row r="912">
      <c r="A912" s="59"/>
      <c r="B912" s="34"/>
      <c r="C912" s="52"/>
      <c r="D912" s="52"/>
      <c r="E912" s="52"/>
      <c r="F912" s="52"/>
      <c r="G912" s="52"/>
      <c r="H912" s="52"/>
      <c r="I912" s="52"/>
      <c r="J912" s="52"/>
      <c r="K912" s="52"/>
      <c r="L912" s="52"/>
      <c r="M912" s="52"/>
      <c r="N912" s="52"/>
      <c r="O912" s="52"/>
      <c r="P912" s="52"/>
      <c r="Q912" s="52"/>
      <c r="R912" s="52"/>
      <c r="S912" s="52"/>
      <c r="T912" s="52"/>
      <c r="U912" s="52"/>
      <c r="V912" s="52"/>
      <c r="W912" s="52"/>
      <c r="X912" s="52"/>
      <c r="Y912" s="52"/>
      <c r="Z912" s="52"/>
    </row>
    <row r="913">
      <c r="A913" s="59"/>
      <c r="B913" s="34"/>
      <c r="C913" s="52"/>
      <c r="D913" s="52"/>
      <c r="E913" s="52"/>
      <c r="F913" s="52"/>
      <c r="G913" s="52"/>
      <c r="H913" s="52"/>
      <c r="I913" s="52"/>
      <c r="J913" s="52"/>
      <c r="K913" s="52"/>
      <c r="L913" s="52"/>
      <c r="M913" s="52"/>
      <c r="N913" s="52"/>
      <c r="O913" s="52"/>
      <c r="P913" s="52"/>
      <c r="Q913" s="52"/>
      <c r="R913" s="52"/>
      <c r="S913" s="52"/>
      <c r="T913" s="52"/>
      <c r="U913" s="52"/>
      <c r="V913" s="52"/>
      <c r="W913" s="52"/>
      <c r="X913" s="52"/>
      <c r="Y913" s="52"/>
      <c r="Z913" s="52"/>
    </row>
    <row r="914">
      <c r="A914" s="59"/>
      <c r="B914" s="34"/>
      <c r="C914" s="52"/>
      <c r="D914" s="52"/>
      <c r="E914" s="52"/>
      <c r="F914" s="52"/>
      <c r="G914" s="52"/>
      <c r="H914" s="52"/>
      <c r="I914" s="52"/>
      <c r="J914" s="52"/>
      <c r="K914" s="52"/>
      <c r="L914" s="52"/>
      <c r="M914" s="52"/>
      <c r="N914" s="52"/>
      <c r="O914" s="52"/>
      <c r="P914" s="52"/>
      <c r="Q914" s="52"/>
      <c r="R914" s="52"/>
      <c r="S914" s="52"/>
      <c r="T914" s="52"/>
      <c r="U914" s="52"/>
      <c r="V914" s="52"/>
      <c r="W914" s="52"/>
      <c r="X914" s="52"/>
      <c r="Y914" s="52"/>
      <c r="Z914" s="52"/>
    </row>
    <row r="915">
      <c r="A915" s="59"/>
      <c r="B915" s="34"/>
      <c r="C915" s="52"/>
      <c r="D915" s="52"/>
      <c r="E915" s="52"/>
      <c r="F915" s="52"/>
      <c r="G915" s="52"/>
      <c r="H915" s="52"/>
      <c r="I915" s="52"/>
      <c r="J915" s="52"/>
      <c r="K915" s="52"/>
      <c r="L915" s="52"/>
      <c r="M915" s="52"/>
      <c r="N915" s="52"/>
      <c r="O915" s="52"/>
      <c r="P915" s="52"/>
      <c r="Q915" s="52"/>
      <c r="R915" s="52"/>
      <c r="S915" s="52"/>
      <c r="T915" s="52"/>
      <c r="U915" s="52"/>
      <c r="V915" s="52"/>
      <c r="W915" s="52"/>
      <c r="X915" s="52"/>
      <c r="Y915" s="52"/>
      <c r="Z915" s="52"/>
    </row>
    <row r="916">
      <c r="A916" s="59"/>
      <c r="B916" s="34"/>
      <c r="C916" s="52"/>
      <c r="D916" s="52"/>
      <c r="E916" s="52"/>
      <c r="F916" s="52"/>
      <c r="G916" s="52"/>
      <c r="H916" s="52"/>
      <c r="I916" s="52"/>
      <c r="J916" s="52"/>
      <c r="K916" s="52"/>
      <c r="L916" s="52"/>
      <c r="M916" s="52"/>
      <c r="N916" s="52"/>
      <c r="O916" s="52"/>
      <c r="P916" s="52"/>
      <c r="Q916" s="52"/>
      <c r="R916" s="52"/>
      <c r="S916" s="52"/>
      <c r="T916" s="52"/>
      <c r="U916" s="52"/>
      <c r="V916" s="52"/>
      <c r="W916" s="52"/>
      <c r="X916" s="52"/>
      <c r="Y916" s="52"/>
      <c r="Z916" s="52"/>
    </row>
    <row r="917">
      <c r="A917" s="59"/>
      <c r="B917" s="34"/>
      <c r="C917" s="52"/>
      <c r="D917" s="52"/>
      <c r="E917" s="52"/>
      <c r="F917" s="52"/>
      <c r="G917" s="52"/>
      <c r="H917" s="52"/>
      <c r="I917" s="52"/>
      <c r="J917" s="52"/>
      <c r="K917" s="52"/>
      <c r="L917" s="52"/>
      <c r="M917" s="52"/>
      <c r="N917" s="52"/>
      <c r="O917" s="52"/>
      <c r="P917" s="52"/>
      <c r="Q917" s="52"/>
      <c r="R917" s="52"/>
      <c r="S917" s="52"/>
      <c r="T917" s="52"/>
      <c r="U917" s="52"/>
      <c r="V917" s="52"/>
      <c r="W917" s="52"/>
      <c r="X917" s="52"/>
      <c r="Y917" s="52"/>
      <c r="Z917" s="52"/>
    </row>
    <row r="918">
      <c r="A918" s="59"/>
      <c r="B918" s="34"/>
      <c r="C918" s="52"/>
      <c r="D918" s="52"/>
      <c r="E918" s="52"/>
      <c r="F918" s="52"/>
      <c r="G918" s="52"/>
      <c r="H918" s="52"/>
      <c r="I918" s="52"/>
      <c r="J918" s="52"/>
      <c r="K918" s="52"/>
      <c r="L918" s="52"/>
      <c r="M918" s="52"/>
      <c r="N918" s="52"/>
      <c r="O918" s="52"/>
      <c r="P918" s="52"/>
      <c r="Q918" s="52"/>
      <c r="R918" s="52"/>
      <c r="S918" s="52"/>
      <c r="T918" s="52"/>
      <c r="U918" s="52"/>
      <c r="V918" s="52"/>
      <c r="W918" s="52"/>
      <c r="X918" s="52"/>
      <c r="Y918" s="52"/>
      <c r="Z918" s="52"/>
    </row>
    <row r="919">
      <c r="A919" s="59"/>
      <c r="B919" s="34"/>
      <c r="C919" s="52"/>
      <c r="D919" s="52"/>
      <c r="E919" s="52"/>
      <c r="F919" s="52"/>
      <c r="G919" s="52"/>
      <c r="H919" s="52"/>
      <c r="I919" s="52"/>
      <c r="J919" s="52"/>
      <c r="K919" s="52"/>
      <c r="L919" s="52"/>
      <c r="M919" s="52"/>
      <c r="N919" s="52"/>
      <c r="O919" s="52"/>
      <c r="P919" s="52"/>
      <c r="Q919" s="52"/>
      <c r="R919" s="52"/>
      <c r="S919" s="52"/>
      <c r="T919" s="52"/>
      <c r="U919" s="52"/>
      <c r="V919" s="52"/>
      <c r="W919" s="52"/>
      <c r="X919" s="52"/>
      <c r="Y919" s="52"/>
      <c r="Z919" s="52"/>
    </row>
    <row r="920">
      <c r="A920" s="59"/>
      <c r="B920" s="34"/>
      <c r="C920" s="52"/>
      <c r="D920" s="52"/>
      <c r="E920" s="52"/>
      <c r="F920" s="52"/>
      <c r="G920" s="52"/>
      <c r="H920" s="52"/>
      <c r="I920" s="52"/>
      <c r="J920" s="52"/>
      <c r="K920" s="52"/>
      <c r="L920" s="52"/>
      <c r="M920" s="52"/>
      <c r="N920" s="52"/>
      <c r="O920" s="52"/>
      <c r="P920" s="52"/>
      <c r="Q920" s="52"/>
      <c r="R920" s="52"/>
      <c r="S920" s="52"/>
      <c r="T920" s="52"/>
      <c r="U920" s="52"/>
      <c r="V920" s="52"/>
      <c r="W920" s="52"/>
      <c r="X920" s="52"/>
      <c r="Y920" s="52"/>
      <c r="Z920" s="52"/>
    </row>
    <row r="921">
      <c r="A921" s="59"/>
      <c r="B921" s="34"/>
      <c r="C921" s="52"/>
      <c r="D921" s="52"/>
      <c r="E921" s="52"/>
      <c r="F921" s="52"/>
      <c r="G921" s="52"/>
      <c r="H921" s="52"/>
      <c r="I921" s="52"/>
      <c r="J921" s="52"/>
      <c r="K921" s="52"/>
      <c r="L921" s="52"/>
      <c r="M921" s="52"/>
      <c r="N921" s="52"/>
      <c r="O921" s="52"/>
      <c r="P921" s="52"/>
      <c r="Q921" s="52"/>
      <c r="R921" s="52"/>
      <c r="S921" s="52"/>
      <c r="T921" s="52"/>
      <c r="U921" s="52"/>
      <c r="V921" s="52"/>
      <c r="W921" s="52"/>
      <c r="X921" s="52"/>
      <c r="Y921" s="52"/>
      <c r="Z921" s="52"/>
    </row>
    <row r="922">
      <c r="A922" s="59"/>
      <c r="B922" s="34"/>
      <c r="C922" s="52"/>
      <c r="D922" s="52"/>
      <c r="E922" s="52"/>
      <c r="F922" s="52"/>
      <c r="G922" s="52"/>
      <c r="H922" s="52"/>
      <c r="I922" s="52"/>
      <c r="J922" s="52"/>
      <c r="K922" s="52"/>
      <c r="L922" s="52"/>
      <c r="M922" s="52"/>
      <c r="N922" s="52"/>
      <c r="O922" s="52"/>
      <c r="P922" s="52"/>
      <c r="Q922" s="52"/>
      <c r="R922" s="52"/>
      <c r="S922" s="52"/>
      <c r="T922" s="52"/>
      <c r="U922" s="52"/>
      <c r="V922" s="52"/>
      <c r="W922" s="52"/>
      <c r="X922" s="52"/>
      <c r="Y922" s="52"/>
      <c r="Z922" s="52"/>
    </row>
    <row r="923">
      <c r="A923" s="59"/>
      <c r="B923" s="34"/>
      <c r="C923" s="52"/>
      <c r="D923" s="52"/>
      <c r="E923" s="52"/>
      <c r="F923" s="52"/>
      <c r="G923" s="52"/>
      <c r="H923" s="52"/>
      <c r="I923" s="52"/>
      <c r="J923" s="52"/>
      <c r="K923" s="52"/>
      <c r="L923" s="52"/>
      <c r="M923" s="52"/>
      <c r="N923" s="52"/>
      <c r="O923" s="52"/>
      <c r="P923" s="52"/>
      <c r="Q923" s="52"/>
      <c r="R923" s="52"/>
      <c r="S923" s="52"/>
      <c r="T923" s="52"/>
      <c r="U923" s="52"/>
      <c r="V923" s="52"/>
      <c r="W923" s="52"/>
      <c r="X923" s="52"/>
      <c r="Y923" s="52"/>
      <c r="Z923" s="52"/>
    </row>
    <row r="924">
      <c r="A924" s="59"/>
      <c r="B924" s="34"/>
      <c r="C924" s="52"/>
      <c r="D924" s="52"/>
      <c r="E924" s="52"/>
      <c r="F924" s="52"/>
      <c r="G924" s="52"/>
      <c r="H924" s="52"/>
      <c r="I924" s="52"/>
      <c r="J924" s="52"/>
      <c r="K924" s="52"/>
      <c r="L924" s="52"/>
      <c r="M924" s="52"/>
      <c r="N924" s="52"/>
      <c r="O924" s="52"/>
      <c r="P924" s="52"/>
      <c r="Q924" s="52"/>
      <c r="R924" s="52"/>
      <c r="S924" s="52"/>
      <c r="T924" s="52"/>
      <c r="U924" s="52"/>
      <c r="V924" s="52"/>
      <c r="W924" s="52"/>
      <c r="X924" s="52"/>
      <c r="Y924" s="52"/>
      <c r="Z924" s="52"/>
    </row>
    <row r="925">
      <c r="A925" s="59"/>
      <c r="B925" s="34"/>
      <c r="C925" s="52"/>
      <c r="D925" s="52"/>
      <c r="E925" s="52"/>
      <c r="F925" s="52"/>
      <c r="G925" s="52"/>
      <c r="H925" s="52"/>
      <c r="I925" s="52"/>
      <c r="J925" s="52"/>
      <c r="K925" s="52"/>
      <c r="L925" s="52"/>
      <c r="M925" s="52"/>
      <c r="N925" s="52"/>
      <c r="O925" s="52"/>
      <c r="P925" s="52"/>
      <c r="Q925" s="52"/>
      <c r="R925" s="52"/>
      <c r="S925" s="52"/>
      <c r="T925" s="52"/>
      <c r="U925" s="52"/>
      <c r="V925" s="52"/>
      <c r="W925" s="52"/>
      <c r="X925" s="52"/>
      <c r="Y925" s="52"/>
      <c r="Z925" s="52"/>
    </row>
    <row r="926">
      <c r="A926" s="59"/>
      <c r="B926" s="34"/>
      <c r="C926" s="52"/>
      <c r="D926" s="52"/>
      <c r="E926" s="52"/>
      <c r="F926" s="52"/>
      <c r="G926" s="52"/>
      <c r="H926" s="52"/>
      <c r="I926" s="52"/>
      <c r="J926" s="52"/>
      <c r="K926" s="52"/>
      <c r="L926" s="52"/>
      <c r="M926" s="52"/>
      <c r="N926" s="52"/>
      <c r="O926" s="52"/>
      <c r="P926" s="52"/>
      <c r="Q926" s="52"/>
      <c r="R926" s="52"/>
      <c r="S926" s="52"/>
      <c r="T926" s="52"/>
      <c r="U926" s="52"/>
      <c r="V926" s="52"/>
      <c r="W926" s="52"/>
      <c r="X926" s="52"/>
      <c r="Y926" s="52"/>
      <c r="Z926" s="52"/>
    </row>
    <row r="927">
      <c r="A927" s="59"/>
      <c r="B927" s="34"/>
      <c r="C927" s="52"/>
      <c r="D927" s="52"/>
      <c r="E927" s="52"/>
      <c r="F927" s="52"/>
      <c r="G927" s="52"/>
      <c r="H927" s="52"/>
      <c r="I927" s="52"/>
      <c r="J927" s="52"/>
      <c r="K927" s="52"/>
      <c r="L927" s="52"/>
      <c r="M927" s="52"/>
      <c r="N927" s="52"/>
      <c r="O927" s="52"/>
      <c r="P927" s="52"/>
      <c r="Q927" s="52"/>
      <c r="R927" s="52"/>
      <c r="S927" s="52"/>
      <c r="T927" s="52"/>
      <c r="U927" s="52"/>
      <c r="V927" s="52"/>
      <c r="W927" s="52"/>
      <c r="X927" s="52"/>
      <c r="Y927" s="52"/>
      <c r="Z927" s="52"/>
    </row>
    <row r="928">
      <c r="A928" s="59"/>
      <c r="B928" s="34"/>
      <c r="C928" s="52"/>
      <c r="D928" s="52"/>
      <c r="E928" s="52"/>
      <c r="F928" s="52"/>
      <c r="G928" s="52"/>
      <c r="H928" s="52"/>
      <c r="I928" s="52"/>
      <c r="J928" s="52"/>
      <c r="K928" s="52"/>
      <c r="L928" s="52"/>
      <c r="M928" s="52"/>
      <c r="N928" s="52"/>
      <c r="O928" s="52"/>
      <c r="P928" s="52"/>
      <c r="Q928" s="52"/>
      <c r="R928" s="52"/>
      <c r="S928" s="52"/>
      <c r="T928" s="52"/>
      <c r="U928" s="52"/>
      <c r="V928" s="52"/>
      <c r="W928" s="52"/>
      <c r="X928" s="52"/>
      <c r="Y928" s="52"/>
      <c r="Z928" s="52"/>
    </row>
    <row r="929">
      <c r="A929" s="59"/>
      <c r="B929" s="34"/>
      <c r="C929" s="52"/>
      <c r="D929" s="52"/>
      <c r="E929" s="52"/>
      <c r="F929" s="52"/>
      <c r="G929" s="52"/>
      <c r="H929" s="52"/>
      <c r="I929" s="52"/>
      <c r="J929" s="52"/>
      <c r="K929" s="52"/>
      <c r="L929" s="52"/>
      <c r="M929" s="52"/>
      <c r="N929" s="52"/>
      <c r="O929" s="52"/>
      <c r="P929" s="52"/>
      <c r="Q929" s="52"/>
      <c r="R929" s="52"/>
      <c r="S929" s="52"/>
      <c r="T929" s="52"/>
      <c r="U929" s="52"/>
      <c r="V929" s="52"/>
      <c r="W929" s="52"/>
      <c r="X929" s="52"/>
      <c r="Y929" s="52"/>
      <c r="Z929" s="52"/>
    </row>
    <row r="930">
      <c r="A930" s="59"/>
      <c r="B930" s="34"/>
      <c r="C930" s="52"/>
      <c r="D930" s="52"/>
      <c r="E930" s="52"/>
      <c r="F930" s="52"/>
      <c r="G930" s="52"/>
      <c r="H930" s="52"/>
      <c r="I930" s="52"/>
      <c r="J930" s="52"/>
      <c r="K930" s="52"/>
      <c r="L930" s="52"/>
      <c r="M930" s="52"/>
      <c r="N930" s="52"/>
      <c r="O930" s="52"/>
      <c r="P930" s="52"/>
      <c r="Q930" s="52"/>
      <c r="R930" s="52"/>
      <c r="S930" s="52"/>
      <c r="T930" s="52"/>
      <c r="U930" s="52"/>
      <c r="V930" s="52"/>
      <c r="W930" s="52"/>
      <c r="X930" s="52"/>
      <c r="Y930" s="52"/>
      <c r="Z930" s="52"/>
    </row>
    <row r="931">
      <c r="A931" s="59"/>
      <c r="B931" s="34"/>
      <c r="C931" s="52"/>
      <c r="D931" s="52"/>
      <c r="E931" s="52"/>
      <c r="F931" s="52"/>
      <c r="G931" s="52"/>
      <c r="H931" s="52"/>
      <c r="I931" s="52"/>
      <c r="J931" s="52"/>
      <c r="K931" s="52"/>
      <c r="L931" s="52"/>
      <c r="M931" s="52"/>
      <c r="N931" s="52"/>
      <c r="O931" s="52"/>
      <c r="P931" s="52"/>
      <c r="Q931" s="52"/>
      <c r="R931" s="52"/>
      <c r="S931" s="52"/>
      <c r="T931" s="52"/>
      <c r="U931" s="52"/>
      <c r="V931" s="52"/>
      <c r="W931" s="52"/>
      <c r="X931" s="52"/>
      <c r="Y931" s="52"/>
      <c r="Z931" s="52"/>
    </row>
    <row r="932">
      <c r="A932" s="59"/>
      <c r="B932" s="34"/>
      <c r="C932" s="52"/>
      <c r="D932" s="52"/>
      <c r="E932" s="52"/>
      <c r="F932" s="52"/>
      <c r="G932" s="52"/>
      <c r="H932" s="52"/>
      <c r="I932" s="52"/>
      <c r="J932" s="52"/>
      <c r="K932" s="52"/>
      <c r="L932" s="52"/>
      <c r="M932" s="52"/>
      <c r="N932" s="52"/>
      <c r="O932" s="52"/>
      <c r="P932" s="52"/>
      <c r="Q932" s="52"/>
      <c r="R932" s="52"/>
      <c r="S932" s="52"/>
      <c r="T932" s="52"/>
      <c r="U932" s="52"/>
      <c r="V932" s="52"/>
      <c r="W932" s="52"/>
      <c r="X932" s="52"/>
      <c r="Y932" s="52"/>
      <c r="Z932" s="52"/>
    </row>
    <row r="933">
      <c r="A933" s="59"/>
      <c r="B933" s="34"/>
      <c r="C933" s="52"/>
      <c r="D933" s="52"/>
      <c r="E933" s="52"/>
      <c r="F933" s="52"/>
      <c r="G933" s="52"/>
      <c r="H933" s="52"/>
      <c r="I933" s="52"/>
      <c r="J933" s="52"/>
      <c r="K933" s="52"/>
      <c r="L933" s="52"/>
      <c r="M933" s="52"/>
      <c r="N933" s="52"/>
      <c r="O933" s="52"/>
      <c r="P933" s="52"/>
      <c r="Q933" s="52"/>
      <c r="R933" s="52"/>
      <c r="S933" s="52"/>
      <c r="T933" s="52"/>
      <c r="U933" s="52"/>
      <c r="V933" s="52"/>
      <c r="W933" s="52"/>
      <c r="X933" s="52"/>
      <c r="Y933" s="52"/>
      <c r="Z933" s="52"/>
    </row>
    <row r="934">
      <c r="A934" s="59"/>
      <c r="B934" s="34"/>
      <c r="C934" s="52"/>
      <c r="D934" s="52"/>
      <c r="E934" s="52"/>
      <c r="F934" s="52"/>
      <c r="G934" s="52"/>
      <c r="H934" s="52"/>
      <c r="I934" s="52"/>
      <c r="J934" s="52"/>
      <c r="K934" s="52"/>
      <c r="L934" s="52"/>
      <c r="M934" s="52"/>
      <c r="N934" s="52"/>
      <c r="O934" s="52"/>
      <c r="P934" s="52"/>
      <c r="Q934" s="52"/>
      <c r="R934" s="52"/>
      <c r="S934" s="52"/>
      <c r="T934" s="52"/>
      <c r="U934" s="52"/>
      <c r="V934" s="52"/>
      <c r="W934" s="52"/>
      <c r="X934" s="52"/>
      <c r="Y934" s="52"/>
      <c r="Z934" s="52"/>
    </row>
    <row r="935">
      <c r="A935" s="59"/>
      <c r="B935" s="34"/>
      <c r="C935" s="52"/>
      <c r="D935" s="52"/>
      <c r="E935" s="52"/>
      <c r="F935" s="52"/>
      <c r="G935" s="52"/>
      <c r="H935" s="52"/>
      <c r="I935" s="52"/>
      <c r="J935" s="52"/>
      <c r="K935" s="52"/>
      <c r="L935" s="52"/>
      <c r="M935" s="52"/>
      <c r="N935" s="52"/>
      <c r="O935" s="52"/>
      <c r="P935" s="52"/>
      <c r="Q935" s="52"/>
      <c r="R935" s="52"/>
      <c r="S935" s="52"/>
      <c r="T935" s="52"/>
      <c r="U935" s="52"/>
      <c r="V935" s="52"/>
      <c r="W935" s="52"/>
      <c r="X935" s="52"/>
      <c r="Y935" s="52"/>
      <c r="Z935" s="52"/>
    </row>
    <row r="936">
      <c r="A936" s="59"/>
      <c r="B936" s="34"/>
      <c r="C936" s="52"/>
      <c r="D936" s="52"/>
      <c r="E936" s="52"/>
      <c r="F936" s="52"/>
      <c r="G936" s="52"/>
      <c r="H936" s="52"/>
      <c r="I936" s="52"/>
      <c r="J936" s="52"/>
      <c r="K936" s="52"/>
      <c r="L936" s="52"/>
      <c r="M936" s="52"/>
      <c r="N936" s="52"/>
      <c r="O936" s="52"/>
      <c r="P936" s="52"/>
      <c r="Q936" s="52"/>
      <c r="R936" s="52"/>
      <c r="S936" s="52"/>
      <c r="T936" s="52"/>
      <c r="U936" s="52"/>
      <c r="V936" s="52"/>
      <c r="W936" s="52"/>
      <c r="X936" s="52"/>
      <c r="Y936" s="52"/>
      <c r="Z936" s="52"/>
    </row>
    <row r="937">
      <c r="A937" s="59"/>
      <c r="B937" s="34"/>
      <c r="C937" s="52"/>
      <c r="D937" s="52"/>
      <c r="E937" s="52"/>
      <c r="F937" s="52"/>
      <c r="G937" s="52"/>
      <c r="H937" s="52"/>
      <c r="I937" s="52"/>
      <c r="J937" s="52"/>
      <c r="K937" s="52"/>
      <c r="L937" s="52"/>
      <c r="M937" s="52"/>
      <c r="N937" s="52"/>
      <c r="O937" s="52"/>
      <c r="P937" s="52"/>
      <c r="Q937" s="52"/>
      <c r="R937" s="52"/>
      <c r="S937" s="52"/>
      <c r="T937" s="52"/>
      <c r="U937" s="52"/>
      <c r="V937" s="52"/>
      <c r="W937" s="52"/>
      <c r="X937" s="52"/>
      <c r="Y937" s="52"/>
      <c r="Z937" s="52"/>
    </row>
    <row r="938">
      <c r="A938" s="59"/>
      <c r="B938" s="34"/>
      <c r="C938" s="52"/>
      <c r="D938" s="52"/>
      <c r="E938" s="52"/>
      <c r="F938" s="52"/>
      <c r="G938" s="52"/>
      <c r="H938" s="52"/>
      <c r="I938" s="52"/>
      <c r="J938" s="52"/>
      <c r="K938" s="52"/>
      <c r="L938" s="52"/>
      <c r="M938" s="52"/>
      <c r="N938" s="52"/>
      <c r="O938" s="52"/>
      <c r="P938" s="52"/>
      <c r="Q938" s="52"/>
      <c r="R938" s="52"/>
      <c r="S938" s="52"/>
      <c r="T938" s="52"/>
      <c r="U938" s="52"/>
      <c r="V938" s="52"/>
      <c r="W938" s="52"/>
      <c r="X938" s="52"/>
      <c r="Y938" s="52"/>
      <c r="Z938" s="52"/>
    </row>
    <row r="939">
      <c r="A939" s="59"/>
      <c r="B939" s="34"/>
      <c r="C939" s="52"/>
      <c r="D939" s="52"/>
      <c r="E939" s="52"/>
      <c r="F939" s="52"/>
      <c r="G939" s="52"/>
      <c r="H939" s="52"/>
      <c r="I939" s="52"/>
      <c r="J939" s="52"/>
      <c r="K939" s="52"/>
      <c r="L939" s="52"/>
      <c r="M939" s="52"/>
      <c r="N939" s="52"/>
      <c r="O939" s="52"/>
      <c r="P939" s="52"/>
      <c r="Q939" s="52"/>
      <c r="R939" s="52"/>
      <c r="S939" s="52"/>
      <c r="T939" s="52"/>
      <c r="U939" s="52"/>
      <c r="V939" s="52"/>
      <c r="W939" s="52"/>
      <c r="X939" s="52"/>
      <c r="Y939" s="52"/>
      <c r="Z939" s="52"/>
    </row>
    <row r="940">
      <c r="A940" s="59"/>
      <c r="B940" s="34"/>
      <c r="C940" s="52"/>
      <c r="D940" s="52"/>
      <c r="E940" s="52"/>
      <c r="F940" s="52"/>
      <c r="G940" s="52"/>
      <c r="H940" s="52"/>
      <c r="I940" s="52"/>
      <c r="J940" s="52"/>
      <c r="K940" s="52"/>
      <c r="L940" s="52"/>
      <c r="M940" s="52"/>
      <c r="N940" s="52"/>
      <c r="O940" s="52"/>
      <c r="P940" s="52"/>
      <c r="Q940" s="52"/>
      <c r="R940" s="52"/>
      <c r="S940" s="52"/>
      <c r="T940" s="52"/>
      <c r="U940" s="52"/>
      <c r="V940" s="52"/>
      <c r="W940" s="52"/>
      <c r="X940" s="52"/>
      <c r="Y940" s="52"/>
      <c r="Z940" s="52"/>
    </row>
    <row r="941">
      <c r="A941" s="59"/>
      <c r="B941" s="34"/>
      <c r="C941" s="52"/>
      <c r="D941" s="52"/>
      <c r="E941" s="52"/>
      <c r="F941" s="52"/>
      <c r="G941" s="52"/>
      <c r="H941" s="52"/>
      <c r="I941" s="52"/>
      <c r="J941" s="52"/>
      <c r="K941" s="52"/>
      <c r="L941" s="52"/>
      <c r="M941" s="52"/>
      <c r="N941" s="52"/>
      <c r="O941" s="52"/>
      <c r="P941" s="52"/>
      <c r="Q941" s="52"/>
      <c r="R941" s="52"/>
      <c r="S941" s="52"/>
      <c r="T941" s="52"/>
      <c r="U941" s="52"/>
      <c r="V941" s="52"/>
      <c r="W941" s="52"/>
      <c r="X941" s="52"/>
      <c r="Y941" s="52"/>
      <c r="Z941" s="52"/>
    </row>
    <row r="942">
      <c r="A942" s="59"/>
      <c r="B942" s="34"/>
      <c r="C942" s="52"/>
      <c r="D942" s="52"/>
      <c r="E942" s="52"/>
      <c r="F942" s="52"/>
      <c r="G942" s="52"/>
      <c r="H942" s="52"/>
      <c r="I942" s="52"/>
      <c r="J942" s="52"/>
      <c r="K942" s="52"/>
      <c r="L942" s="52"/>
      <c r="M942" s="52"/>
      <c r="N942" s="52"/>
      <c r="O942" s="52"/>
      <c r="P942" s="52"/>
      <c r="Q942" s="52"/>
      <c r="R942" s="52"/>
      <c r="S942" s="52"/>
      <c r="T942" s="52"/>
      <c r="U942" s="52"/>
      <c r="V942" s="52"/>
      <c r="W942" s="52"/>
      <c r="X942" s="52"/>
      <c r="Y942" s="52"/>
      <c r="Z942" s="52"/>
    </row>
    <row r="943">
      <c r="A943" s="59"/>
      <c r="B943" s="34"/>
      <c r="C943" s="52"/>
      <c r="D943" s="52"/>
      <c r="E943" s="52"/>
      <c r="F943" s="52"/>
      <c r="G943" s="52"/>
      <c r="H943" s="52"/>
      <c r="I943" s="52"/>
      <c r="J943" s="52"/>
      <c r="K943" s="52"/>
      <c r="L943" s="52"/>
      <c r="M943" s="52"/>
      <c r="N943" s="52"/>
      <c r="O943" s="52"/>
      <c r="P943" s="52"/>
      <c r="Q943" s="52"/>
      <c r="R943" s="52"/>
      <c r="S943" s="52"/>
      <c r="T943" s="52"/>
      <c r="U943" s="52"/>
      <c r="V943" s="52"/>
      <c r="W943" s="52"/>
      <c r="X943" s="52"/>
      <c r="Y943" s="52"/>
      <c r="Z943" s="52"/>
    </row>
    <row r="944">
      <c r="A944" s="59"/>
      <c r="B944" s="34"/>
      <c r="C944" s="52"/>
      <c r="D944" s="52"/>
      <c r="E944" s="52"/>
      <c r="F944" s="52"/>
      <c r="G944" s="52"/>
      <c r="H944" s="52"/>
      <c r="I944" s="52"/>
      <c r="J944" s="52"/>
      <c r="K944" s="52"/>
      <c r="L944" s="52"/>
      <c r="M944" s="52"/>
      <c r="N944" s="52"/>
      <c r="O944" s="52"/>
      <c r="P944" s="52"/>
      <c r="Q944" s="52"/>
      <c r="R944" s="52"/>
      <c r="S944" s="52"/>
      <c r="T944" s="52"/>
      <c r="U944" s="52"/>
      <c r="V944" s="52"/>
      <c r="W944" s="52"/>
      <c r="X944" s="52"/>
      <c r="Y944" s="52"/>
      <c r="Z944" s="52"/>
    </row>
    <row r="945">
      <c r="A945" s="59"/>
      <c r="B945" s="34"/>
      <c r="C945" s="52"/>
      <c r="D945" s="52"/>
      <c r="E945" s="52"/>
      <c r="F945" s="52"/>
      <c r="G945" s="52"/>
      <c r="H945" s="52"/>
      <c r="I945" s="52"/>
      <c r="J945" s="52"/>
      <c r="K945" s="52"/>
      <c r="L945" s="52"/>
      <c r="M945" s="52"/>
      <c r="N945" s="52"/>
      <c r="O945" s="52"/>
      <c r="P945" s="52"/>
      <c r="Q945" s="52"/>
      <c r="R945" s="52"/>
      <c r="S945" s="52"/>
      <c r="T945" s="52"/>
      <c r="U945" s="52"/>
      <c r="V945" s="52"/>
      <c r="W945" s="52"/>
      <c r="X945" s="52"/>
      <c r="Y945" s="52"/>
      <c r="Z945" s="52"/>
    </row>
    <row r="946">
      <c r="A946" s="59"/>
      <c r="B946" s="34"/>
      <c r="C946" s="52"/>
      <c r="D946" s="52"/>
      <c r="E946" s="52"/>
      <c r="F946" s="52"/>
      <c r="G946" s="52"/>
      <c r="H946" s="52"/>
      <c r="I946" s="52"/>
      <c r="J946" s="52"/>
      <c r="K946" s="52"/>
      <c r="L946" s="52"/>
      <c r="M946" s="52"/>
      <c r="N946" s="52"/>
      <c r="O946" s="52"/>
      <c r="P946" s="52"/>
      <c r="Q946" s="52"/>
      <c r="R946" s="52"/>
      <c r="S946" s="52"/>
      <c r="T946" s="52"/>
      <c r="U946" s="52"/>
      <c r="V946" s="52"/>
      <c r="W946" s="52"/>
      <c r="X946" s="52"/>
      <c r="Y946" s="52"/>
      <c r="Z946" s="52"/>
    </row>
    <row r="947">
      <c r="A947" s="59"/>
      <c r="B947" s="34"/>
      <c r="C947" s="52"/>
      <c r="D947" s="52"/>
      <c r="E947" s="52"/>
      <c r="F947" s="52"/>
      <c r="G947" s="52"/>
      <c r="H947" s="52"/>
      <c r="I947" s="52"/>
      <c r="J947" s="52"/>
      <c r="K947" s="52"/>
      <c r="L947" s="52"/>
      <c r="M947" s="52"/>
      <c r="N947" s="52"/>
      <c r="O947" s="52"/>
      <c r="P947" s="52"/>
      <c r="Q947" s="52"/>
      <c r="R947" s="52"/>
      <c r="S947" s="52"/>
      <c r="T947" s="52"/>
      <c r="U947" s="52"/>
      <c r="V947" s="52"/>
      <c r="W947" s="52"/>
      <c r="X947" s="52"/>
      <c r="Y947" s="52"/>
      <c r="Z947" s="52"/>
    </row>
    <row r="948">
      <c r="A948" s="59"/>
      <c r="B948" s="34"/>
      <c r="C948" s="52"/>
      <c r="D948" s="52"/>
      <c r="E948" s="52"/>
      <c r="F948" s="52"/>
      <c r="G948" s="52"/>
      <c r="H948" s="52"/>
      <c r="I948" s="52"/>
      <c r="J948" s="52"/>
      <c r="K948" s="52"/>
      <c r="L948" s="52"/>
      <c r="M948" s="52"/>
      <c r="N948" s="52"/>
      <c r="O948" s="52"/>
      <c r="P948" s="52"/>
      <c r="Q948" s="52"/>
      <c r="R948" s="52"/>
      <c r="S948" s="52"/>
      <c r="T948" s="52"/>
      <c r="U948" s="52"/>
      <c r="V948" s="52"/>
      <c r="W948" s="52"/>
      <c r="X948" s="52"/>
      <c r="Y948" s="52"/>
      <c r="Z948" s="52"/>
    </row>
    <row r="949">
      <c r="A949" s="59"/>
      <c r="B949" s="34"/>
      <c r="C949" s="52"/>
      <c r="D949" s="52"/>
      <c r="E949" s="52"/>
      <c r="F949" s="52"/>
      <c r="G949" s="52"/>
      <c r="H949" s="52"/>
      <c r="I949" s="52"/>
      <c r="J949" s="52"/>
      <c r="K949" s="52"/>
      <c r="L949" s="52"/>
      <c r="M949" s="52"/>
      <c r="N949" s="52"/>
      <c r="O949" s="52"/>
      <c r="P949" s="52"/>
      <c r="Q949" s="52"/>
      <c r="R949" s="52"/>
      <c r="S949" s="52"/>
      <c r="T949" s="52"/>
      <c r="U949" s="52"/>
      <c r="V949" s="52"/>
      <c r="W949" s="52"/>
      <c r="X949" s="52"/>
      <c r="Y949" s="52"/>
      <c r="Z949" s="52"/>
    </row>
    <row r="950">
      <c r="A950" s="59"/>
      <c r="B950" s="34"/>
      <c r="C950" s="52"/>
      <c r="D950" s="52"/>
      <c r="E950" s="52"/>
      <c r="F950" s="52"/>
      <c r="G950" s="52"/>
      <c r="H950" s="52"/>
      <c r="I950" s="52"/>
      <c r="J950" s="52"/>
      <c r="K950" s="52"/>
      <c r="L950" s="52"/>
      <c r="M950" s="52"/>
      <c r="N950" s="52"/>
      <c r="O950" s="52"/>
      <c r="P950" s="52"/>
      <c r="Q950" s="52"/>
      <c r="R950" s="52"/>
      <c r="S950" s="52"/>
      <c r="T950" s="52"/>
      <c r="U950" s="52"/>
      <c r="V950" s="52"/>
      <c r="W950" s="52"/>
      <c r="X950" s="52"/>
      <c r="Y950" s="52"/>
      <c r="Z950" s="52"/>
    </row>
    <row r="951">
      <c r="A951" s="59"/>
      <c r="B951" s="34"/>
      <c r="C951" s="52"/>
      <c r="D951" s="52"/>
      <c r="E951" s="52"/>
      <c r="F951" s="52"/>
      <c r="G951" s="52"/>
      <c r="H951" s="52"/>
      <c r="I951" s="52"/>
      <c r="J951" s="52"/>
      <c r="K951" s="52"/>
      <c r="L951" s="52"/>
      <c r="M951" s="52"/>
      <c r="N951" s="52"/>
      <c r="O951" s="52"/>
      <c r="P951" s="52"/>
      <c r="Q951" s="52"/>
      <c r="R951" s="52"/>
      <c r="S951" s="52"/>
      <c r="T951" s="52"/>
      <c r="U951" s="52"/>
      <c r="V951" s="52"/>
      <c r="W951" s="52"/>
      <c r="X951" s="52"/>
      <c r="Y951" s="52"/>
      <c r="Z951" s="52"/>
    </row>
    <row r="952">
      <c r="A952" s="59"/>
      <c r="B952" s="34"/>
      <c r="C952" s="52"/>
      <c r="D952" s="52"/>
      <c r="E952" s="52"/>
      <c r="F952" s="52"/>
      <c r="G952" s="52"/>
      <c r="H952" s="52"/>
      <c r="I952" s="52"/>
      <c r="J952" s="52"/>
      <c r="K952" s="52"/>
      <c r="L952" s="52"/>
      <c r="M952" s="52"/>
      <c r="N952" s="52"/>
      <c r="O952" s="52"/>
      <c r="P952" s="52"/>
      <c r="Q952" s="52"/>
      <c r="R952" s="52"/>
      <c r="S952" s="52"/>
      <c r="T952" s="52"/>
      <c r="U952" s="52"/>
      <c r="V952" s="52"/>
      <c r="W952" s="52"/>
      <c r="X952" s="52"/>
      <c r="Y952" s="52"/>
      <c r="Z952" s="52"/>
    </row>
    <row r="953">
      <c r="A953" s="59"/>
      <c r="B953" s="34"/>
      <c r="C953" s="52"/>
      <c r="D953" s="52"/>
      <c r="E953" s="52"/>
      <c r="F953" s="52"/>
      <c r="G953" s="52"/>
      <c r="H953" s="52"/>
      <c r="I953" s="52"/>
      <c r="J953" s="52"/>
      <c r="K953" s="52"/>
      <c r="L953" s="52"/>
      <c r="M953" s="52"/>
      <c r="N953" s="52"/>
      <c r="O953" s="52"/>
      <c r="P953" s="52"/>
      <c r="Q953" s="52"/>
      <c r="R953" s="52"/>
      <c r="S953" s="52"/>
      <c r="T953" s="52"/>
      <c r="U953" s="52"/>
      <c r="V953" s="52"/>
      <c r="W953" s="52"/>
      <c r="X953" s="52"/>
      <c r="Y953" s="52"/>
      <c r="Z953" s="52"/>
    </row>
    <row r="954">
      <c r="A954" s="59"/>
      <c r="B954" s="34"/>
      <c r="C954" s="52"/>
      <c r="D954" s="52"/>
      <c r="E954" s="52"/>
      <c r="F954" s="52"/>
      <c r="G954" s="52"/>
      <c r="H954" s="52"/>
      <c r="I954" s="52"/>
      <c r="J954" s="52"/>
      <c r="K954" s="52"/>
      <c r="L954" s="52"/>
      <c r="M954" s="52"/>
      <c r="N954" s="52"/>
      <c r="O954" s="52"/>
      <c r="P954" s="52"/>
      <c r="Q954" s="52"/>
      <c r="R954" s="52"/>
      <c r="S954" s="52"/>
      <c r="T954" s="52"/>
      <c r="U954" s="52"/>
      <c r="V954" s="52"/>
      <c r="W954" s="52"/>
      <c r="X954" s="52"/>
      <c r="Y954" s="52"/>
      <c r="Z954" s="52"/>
    </row>
    <row r="955">
      <c r="A955" s="59"/>
      <c r="B955" s="34"/>
      <c r="C955" s="52"/>
      <c r="D955" s="52"/>
      <c r="E955" s="52"/>
      <c r="F955" s="52"/>
      <c r="G955" s="52"/>
      <c r="H955" s="52"/>
      <c r="I955" s="52"/>
      <c r="J955" s="52"/>
      <c r="K955" s="52"/>
      <c r="L955" s="52"/>
      <c r="M955" s="52"/>
      <c r="N955" s="52"/>
      <c r="O955" s="52"/>
      <c r="P955" s="52"/>
      <c r="Q955" s="52"/>
      <c r="R955" s="52"/>
      <c r="S955" s="52"/>
      <c r="T955" s="52"/>
      <c r="U955" s="52"/>
      <c r="V955" s="52"/>
      <c r="W955" s="52"/>
      <c r="X955" s="52"/>
      <c r="Y955" s="52"/>
      <c r="Z955" s="52"/>
    </row>
    <row r="956">
      <c r="A956" s="59"/>
      <c r="B956" s="34"/>
      <c r="C956" s="52"/>
      <c r="D956" s="52"/>
      <c r="E956" s="52"/>
      <c r="F956" s="52"/>
      <c r="G956" s="52"/>
      <c r="H956" s="52"/>
      <c r="I956" s="52"/>
      <c r="J956" s="52"/>
      <c r="K956" s="52"/>
      <c r="L956" s="52"/>
      <c r="M956" s="52"/>
      <c r="N956" s="52"/>
      <c r="O956" s="52"/>
      <c r="P956" s="52"/>
      <c r="Q956" s="52"/>
      <c r="R956" s="52"/>
      <c r="S956" s="52"/>
      <c r="T956" s="52"/>
      <c r="U956" s="52"/>
      <c r="V956" s="52"/>
      <c r="W956" s="52"/>
      <c r="X956" s="52"/>
      <c r="Y956" s="52"/>
      <c r="Z956" s="52"/>
    </row>
    <row r="957">
      <c r="A957" s="59"/>
      <c r="B957" s="34"/>
      <c r="C957" s="52"/>
      <c r="D957" s="52"/>
      <c r="E957" s="52"/>
      <c r="F957" s="52"/>
      <c r="G957" s="52"/>
      <c r="H957" s="52"/>
      <c r="I957" s="52"/>
      <c r="J957" s="52"/>
      <c r="K957" s="52"/>
      <c r="L957" s="52"/>
      <c r="M957" s="52"/>
      <c r="N957" s="52"/>
      <c r="O957" s="52"/>
      <c r="P957" s="52"/>
      <c r="Q957" s="52"/>
      <c r="R957" s="52"/>
      <c r="S957" s="52"/>
      <c r="T957" s="52"/>
      <c r="U957" s="52"/>
      <c r="V957" s="52"/>
      <c r="W957" s="52"/>
      <c r="X957" s="52"/>
      <c r="Y957" s="52"/>
      <c r="Z957" s="52"/>
    </row>
    <row r="958">
      <c r="A958" s="59"/>
      <c r="B958" s="34"/>
      <c r="C958" s="52"/>
      <c r="D958" s="52"/>
      <c r="E958" s="52"/>
      <c r="F958" s="52"/>
      <c r="G958" s="52"/>
      <c r="H958" s="52"/>
      <c r="I958" s="52"/>
      <c r="J958" s="52"/>
      <c r="K958" s="52"/>
      <c r="L958" s="52"/>
      <c r="M958" s="52"/>
      <c r="N958" s="52"/>
      <c r="O958" s="52"/>
      <c r="P958" s="52"/>
      <c r="Q958" s="52"/>
      <c r="R958" s="52"/>
      <c r="S958" s="52"/>
      <c r="T958" s="52"/>
      <c r="U958" s="52"/>
      <c r="V958" s="52"/>
      <c r="W958" s="52"/>
      <c r="X958" s="52"/>
      <c r="Y958" s="52"/>
      <c r="Z958" s="52"/>
    </row>
    <row r="959">
      <c r="A959" s="59"/>
      <c r="B959" s="34"/>
      <c r="C959" s="52"/>
      <c r="D959" s="52"/>
      <c r="E959" s="52"/>
      <c r="F959" s="52"/>
      <c r="G959" s="52"/>
      <c r="H959" s="52"/>
      <c r="I959" s="52"/>
      <c r="J959" s="52"/>
      <c r="K959" s="52"/>
      <c r="L959" s="52"/>
      <c r="M959" s="52"/>
      <c r="N959" s="52"/>
      <c r="O959" s="52"/>
      <c r="P959" s="52"/>
      <c r="Q959" s="52"/>
      <c r="R959" s="52"/>
      <c r="S959" s="52"/>
      <c r="T959" s="52"/>
      <c r="U959" s="52"/>
      <c r="V959" s="52"/>
      <c r="W959" s="52"/>
      <c r="X959" s="52"/>
      <c r="Y959" s="52"/>
      <c r="Z959" s="52"/>
    </row>
    <row r="960">
      <c r="A960" s="59"/>
      <c r="B960" s="34"/>
      <c r="C960" s="52"/>
      <c r="D960" s="52"/>
      <c r="E960" s="52"/>
      <c r="F960" s="52"/>
      <c r="G960" s="52"/>
      <c r="H960" s="52"/>
      <c r="I960" s="52"/>
      <c r="J960" s="52"/>
      <c r="K960" s="52"/>
      <c r="L960" s="52"/>
      <c r="M960" s="52"/>
      <c r="N960" s="52"/>
      <c r="O960" s="52"/>
      <c r="P960" s="52"/>
      <c r="Q960" s="52"/>
      <c r="R960" s="52"/>
      <c r="S960" s="52"/>
      <c r="T960" s="52"/>
      <c r="U960" s="52"/>
      <c r="V960" s="52"/>
      <c r="W960" s="52"/>
      <c r="X960" s="52"/>
      <c r="Y960" s="52"/>
      <c r="Z960" s="52"/>
    </row>
    <row r="961">
      <c r="A961" s="59"/>
      <c r="B961" s="34"/>
      <c r="C961" s="52"/>
      <c r="D961" s="52"/>
      <c r="E961" s="52"/>
      <c r="F961" s="52"/>
      <c r="G961" s="52"/>
      <c r="H961" s="52"/>
      <c r="I961" s="52"/>
      <c r="J961" s="52"/>
      <c r="K961" s="52"/>
      <c r="L961" s="52"/>
      <c r="M961" s="52"/>
      <c r="N961" s="52"/>
      <c r="O961" s="52"/>
      <c r="P961" s="52"/>
      <c r="Q961" s="52"/>
      <c r="R961" s="52"/>
      <c r="S961" s="52"/>
      <c r="T961" s="52"/>
      <c r="U961" s="52"/>
      <c r="V961" s="52"/>
      <c r="W961" s="52"/>
      <c r="X961" s="52"/>
      <c r="Y961" s="52"/>
      <c r="Z961" s="52"/>
    </row>
    <row r="962">
      <c r="A962" s="59"/>
      <c r="B962" s="34"/>
      <c r="C962" s="52"/>
      <c r="D962" s="52"/>
      <c r="E962" s="52"/>
      <c r="F962" s="52"/>
      <c r="G962" s="52"/>
      <c r="H962" s="52"/>
      <c r="I962" s="52"/>
      <c r="J962" s="52"/>
      <c r="K962" s="52"/>
      <c r="L962" s="52"/>
      <c r="M962" s="52"/>
      <c r="N962" s="52"/>
      <c r="O962" s="52"/>
      <c r="P962" s="52"/>
      <c r="Q962" s="52"/>
      <c r="R962" s="52"/>
      <c r="S962" s="52"/>
      <c r="T962" s="52"/>
      <c r="U962" s="52"/>
      <c r="V962" s="52"/>
      <c r="W962" s="52"/>
      <c r="X962" s="52"/>
      <c r="Y962" s="52"/>
      <c r="Z962" s="52"/>
    </row>
    <row r="963">
      <c r="A963" s="59"/>
      <c r="B963" s="34"/>
      <c r="C963" s="52"/>
      <c r="D963" s="52"/>
      <c r="E963" s="52"/>
      <c r="F963" s="52"/>
      <c r="G963" s="52"/>
      <c r="H963" s="52"/>
      <c r="I963" s="52"/>
      <c r="J963" s="52"/>
      <c r="K963" s="52"/>
      <c r="L963" s="52"/>
      <c r="M963" s="52"/>
      <c r="N963" s="52"/>
      <c r="O963" s="52"/>
      <c r="P963" s="52"/>
      <c r="Q963" s="52"/>
      <c r="R963" s="52"/>
      <c r="S963" s="52"/>
      <c r="T963" s="52"/>
      <c r="U963" s="52"/>
      <c r="V963" s="52"/>
      <c r="W963" s="52"/>
      <c r="X963" s="52"/>
      <c r="Y963" s="52"/>
      <c r="Z963" s="52"/>
    </row>
    <row r="964">
      <c r="A964" s="59"/>
      <c r="B964" s="34"/>
      <c r="C964" s="52"/>
      <c r="D964" s="52"/>
      <c r="E964" s="52"/>
      <c r="F964" s="52"/>
      <c r="G964" s="52"/>
      <c r="H964" s="52"/>
      <c r="I964" s="52"/>
      <c r="J964" s="52"/>
      <c r="K964" s="52"/>
      <c r="L964" s="52"/>
      <c r="M964" s="52"/>
      <c r="N964" s="52"/>
      <c r="O964" s="52"/>
      <c r="P964" s="52"/>
      <c r="Q964" s="52"/>
      <c r="R964" s="52"/>
      <c r="S964" s="52"/>
      <c r="T964" s="52"/>
      <c r="U964" s="52"/>
      <c r="V964" s="52"/>
      <c r="W964" s="52"/>
      <c r="X964" s="52"/>
      <c r="Y964" s="52"/>
      <c r="Z964" s="52"/>
    </row>
    <row r="965">
      <c r="A965" s="59"/>
      <c r="B965" s="34"/>
      <c r="C965" s="52"/>
      <c r="D965" s="52"/>
      <c r="E965" s="52"/>
      <c r="F965" s="52"/>
      <c r="G965" s="52"/>
      <c r="H965" s="52"/>
      <c r="I965" s="52"/>
      <c r="J965" s="52"/>
      <c r="K965" s="52"/>
      <c r="L965" s="52"/>
      <c r="M965" s="52"/>
      <c r="N965" s="52"/>
      <c r="O965" s="52"/>
      <c r="P965" s="52"/>
      <c r="Q965" s="52"/>
      <c r="R965" s="52"/>
      <c r="S965" s="52"/>
      <c r="T965" s="52"/>
      <c r="U965" s="52"/>
      <c r="V965" s="52"/>
      <c r="W965" s="52"/>
      <c r="X965" s="52"/>
      <c r="Y965" s="52"/>
      <c r="Z965" s="52"/>
    </row>
    <row r="966">
      <c r="A966" s="59"/>
      <c r="B966" s="34"/>
      <c r="C966" s="52"/>
      <c r="D966" s="52"/>
      <c r="E966" s="52"/>
      <c r="F966" s="52"/>
      <c r="G966" s="52"/>
      <c r="H966" s="52"/>
      <c r="I966" s="52"/>
      <c r="J966" s="52"/>
      <c r="K966" s="52"/>
      <c r="L966" s="52"/>
      <c r="M966" s="52"/>
      <c r="N966" s="52"/>
      <c r="O966" s="52"/>
      <c r="P966" s="52"/>
      <c r="Q966" s="52"/>
      <c r="R966" s="52"/>
      <c r="S966" s="52"/>
      <c r="T966" s="52"/>
      <c r="U966" s="52"/>
      <c r="V966" s="52"/>
      <c r="W966" s="52"/>
      <c r="X966" s="52"/>
      <c r="Y966" s="52"/>
      <c r="Z966" s="52"/>
    </row>
    <row r="967">
      <c r="A967" s="59"/>
      <c r="B967" s="34"/>
      <c r="C967" s="52"/>
      <c r="D967" s="52"/>
      <c r="E967" s="52"/>
      <c r="F967" s="52"/>
      <c r="G967" s="52"/>
      <c r="H967" s="52"/>
      <c r="I967" s="52"/>
      <c r="J967" s="52"/>
      <c r="K967" s="52"/>
      <c r="L967" s="52"/>
      <c r="M967" s="52"/>
      <c r="N967" s="52"/>
      <c r="O967" s="52"/>
      <c r="P967" s="52"/>
      <c r="Q967" s="52"/>
      <c r="R967" s="52"/>
      <c r="S967" s="52"/>
      <c r="T967" s="52"/>
      <c r="U967" s="52"/>
      <c r="V967" s="52"/>
      <c r="W967" s="52"/>
      <c r="X967" s="52"/>
      <c r="Y967" s="52"/>
      <c r="Z967" s="52"/>
    </row>
    <row r="968">
      <c r="A968" s="59"/>
      <c r="B968" s="34"/>
      <c r="C968" s="52"/>
      <c r="D968" s="52"/>
      <c r="E968" s="52"/>
      <c r="F968" s="52"/>
      <c r="G968" s="52"/>
      <c r="H968" s="52"/>
      <c r="I968" s="52"/>
      <c r="J968" s="52"/>
      <c r="K968" s="52"/>
      <c r="L968" s="52"/>
      <c r="M968" s="52"/>
      <c r="N968" s="52"/>
      <c r="O968" s="52"/>
      <c r="P968" s="52"/>
      <c r="Q968" s="52"/>
      <c r="R968" s="52"/>
      <c r="S968" s="52"/>
      <c r="T968" s="52"/>
      <c r="U968" s="52"/>
      <c r="V968" s="52"/>
      <c r="W968" s="52"/>
      <c r="X968" s="52"/>
      <c r="Y968" s="52"/>
      <c r="Z968" s="52"/>
    </row>
    <row r="969">
      <c r="A969" s="59"/>
      <c r="B969" s="34"/>
      <c r="C969" s="52"/>
      <c r="D969" s="52"/>
      <c r="E969" s="52"/>
      <c r="F969" s="52"/>
      <c r="G969" s="52"/>
      <c r="H969" s="52"/>
      <c r="I969" s="52"/>
      <c r="J969" s="52"/>
      <c r="K969" s="52"/>
      <c r="L969" s="52"/>
      <c r="M969" s="52"/>
      <c r="N969" s="52"/>
      <c r="O969" s="52"/>
      <c r="P969" s="52"/>
      <c r="Q969" s="52"/>
      <c r="R969" s="52"/>
      <c r="S969" s="52"/>
      <c r="T969" s="52"/>
      <c r="U969" s="52"/>
      <c r="V969" s="52"/>
      <c r="W969" s="52"/>
      <c r="X969" s="52"/>
      <c r="Y969" s="52"/>
      <c r="Z969" s="52"/>
    </row>
    <row r="970">
      <c r="A970" s="59"/>
      <c r="B970" s="34"/>
      <c r="C970" s="52"/>
      <c r="D970" s="52"/>
      <c r="E970" s="52"/>
      <c r="F970" s="52"/>
      <c r="G970" s="52"/>
      <c r="H970" s="52"/>
      <c r="I970" s="52"/>
      <c r="J970" s="52"/>
      <c r="K970" s="52"/>
      <c r="L970" s="52"/>
      <c r="M970" s="52"/>
      <c r="N970" s="52"/>
      <c r="O970" s="52"/>
      <c r="P970" s="52"/>
      <c r="Q970" s="52"/>
      <c r="R970" s="52"/>
      <c r="S970" s="52"/>
      <c r="T970" s="52"/>
      <c r="U970" s="52"/>
      <c r="V970" s="52"/>
      <c r="W970" s="52"/>
      <c r="X970" s="52"/>
      <c r="Y970" s="52"/>
      <c r="Z970" s="52"/>
    </row>
    <row r="971">
      <c r="A971" s="59"/>
      <c r="B971" s="34"/>
      <c r="C971" s="52"/>
      <c r="D971" s="52"/>
      <c r="E971" s="52"/>
      <c r="F971" s="52"/>
      <c r="G971" s="52"/>
      <c r="H971" s="52"/>
      <c r="I971" s="52"/>
      <c r="J971" s="52"/>
      <c r="K971" s="52"/>
      <c r="L971" s="52"/>
      <c r="M971" s="52"/>
      <c r="N971" s="52"/>
      <c r="O971" s="52"/>
      <c r="P971" s="52"/>
      <c r="Q971" s="52"/>
      <c r="R971" s="52"/>
      <c r="S971" s="52"/>
      <c r="T971" s="52"/>
      <c r="U971" s="52"/>
      <c r="V971" s="52"/>
      <c r="W971" s="52"/>
      <c r="X971" s="52"/>
      <c r="Y971" s="52"/>
      <c r="Z971" s="52"/>
    </row>
    <row r="972">
      <c r="A972" s="59"/>
      <c r="B972" s="34"/>
      <c r="C972" s="52"/>
      <c r="D972" s="52"/>
      <c r="E972" s="52"/>
      <c r="F972" s="52"/>
      <c r="G972" s="52"/>
      <c r="H972" s="52"/>
      <c r="I972" s="52"/>
      <c r="J972" s="52"/>
      <c r="K972" s="52"/>
      <c r="L972" s="52"/>
      <c r="M972" s="52"/>
      <c r="N972" s="52"/>
      <c r="O972" s="52"/>
      <c r="P972" s="52"/>
      <c r="Q972" s="52"/>
      <c r="R972" s="52"/>
      <c r="S972" s="52"/>
      <c r="T972" s="52"/>
      <c r="U972" s="52"/>
      <c r="V972" s="52"/>
      <c r="W972" s="52"/>
      <c r="X972" s="52"/>
      <c r="Y972" s="52"/>
      <c r="Z972" s="52"/>
    </row>
    <row r="973">
      <c r="A973" s="59"/>
      <c r="B973" s="34"/>
      <c r="C973" s="52"/>
      <c r="D973" s="52"/>
      <c r="E973" s="52"/>
      <c r="F973" s="52"/>
      <c r="G973" s="52"/>
      <c r="H973" s="52"/>
      <c r="I973" s="52"/>
      <c r="J973" s="52"/>
      <c r="K973" s="52"/>
      <c r="L973" s="52"/>
      <c r="M973" s="52"/>
      <c r="N973" s="52"/>
      <c r="O973" s="52"/>
      <c r="P973" s="52"/>
      <c r="Q973" s="52"/>
      <c r="R973" s="52"/>
      <c r="S973" s="52"/>
      <c r="T973" s="52"/>
      <c r="U973" s="52"/>
      <c r="V973" s="52"/>
      <c r="W973" s="52"/>
      <c r="X973" s="52"/>
      <c r="Y973" s="52"/>
      <c r="Z973" s="52"/>
    </row>
    <row r="974">
      <c r="A974" s="59"/>
      <c r="B974" s="34"/>
      <c r="C974" s="52"/>
      <c r="D974" s="52"/>
      <c r="E974" s="52"/>
      <c r="F974" s="52"/>
      <c r="G974" s="52"/>
      <c r="H974" s="52"/>
      <c r="I974" s="52"/>
      <c r="J974" s="52"/>
      <c r="K974" s="52"/>
      <c r="L974" s="52"/>
      <c r="M974" s="52"/>
      <c r="N974" s="52"/>
      <c r="O974" s="52"/>
      <c r="P974" s="52"/>
      <c r="Q974" s="52"/>
      <c r="R974" s="52"/>
      <c r="S974" s="52"/>
      <c r="T974" s="52"/>
      <c r="U974" s="52"/>
      <c r="V974" s="52"/>
      <c r="W974" s="52"/>
      <c r="X974" s="52"/>
      <c r="Y974" s="52"/>
      <c r="Z974" s="52"/>
    </row>
    <row r="975">
      <c r="A975" s="59"/>
      <c r="B975" s="34"/>
      <c r="C975" s="52"/>
      <c r="D975" s="52"/>
      <c r="E975" s="52"/>
      <c r="F975" s="52"/>
      <c r="G975" s="52"/>
      <c r="H975" s="52"/>
      <c r="I975" s="52"/>
      <c r="J975" s="52"/>
      <c r="K975" s="52"/>
      <c r="L975" s="52"/>
      <c r="M975" s="52"/>
      <c r="N975" s="52"/>
      <c r="O975" s="52"/>
      <c r="P975" s="52"/>
      <c r="Q975" s="52"/>
      <c r="R975" s="52"/>
      <c r="S975" s="52"/>
      <c r="T975" s="52"/>
      <c r="U975" s="52"/>
      <c r="V975" s="52"/>
      <c r="W975" s="52"/>
      <c r="X975" s="52"/>
      <c r="Y975" s="52"/>
      <c r="Z975" s="52"/>
    </row>
    <row r="976">
      <c r="A976" s="59"/>
      <c r="B976" s="34"/>
      <c r="C976" s="52"/>
      <c r="D976" s="52"/>
      <c r="E976" s="52"/>
      <c r="F976" s="52"/>
      <c r="G976" s="52"/>
      <c r="H976" s="52"/>
      <c r="I976" s="52"/>
      <c r="J976" s="52"/>
      <c r="K976" s="52"/>
      <c r="L976" s="52"/>
      <c r="M976" s="52"/>
      <c r="N976" s="52"/>
      <c r="O976" s="52"/>
      <c r="P976" s="52"/>
      <c r="Q976" s="52"/>
      <c r="R976" s="52"/>
      <c r="S976" s="52"/>
      <c r="T976" s="52"/>
      <c r="U976" s="52"/>
      <c r="V976" s="52"/>
      <c r="W976" s="52"/>
      <c r="X976" s="52"/>
      <c r="Y976" s="52"/>
      <c r="Z976" s="52"/>
    </row>
    <row r="977">
      <c r="A977" s="59"/>
      <c r="B977" s="34"/>
      <c r="C977" s="52"/>
      <c r="D977" s="52"/>
      <c r="E977" s="52"/>
      <c r="F977" s="52"/>
      <c r="G977" s="52"/>
      <c r="H977" s="52"/>
      <c r="I977" s="52"/>
      <c r="J977" s="52"/>
      <c r="K977" s="52"/>
      <c r="L977" s="52"/>
      <c r="M977" s="52"/>
      <c r="N977" s="52"/>
      <c r="O977" s="52"/>
      <c r="P977" s="52"/>
      <c r="Q977" s="52"/>
      <c r="R977" s="52"/>
      <c r="S977" s="52"/>
      <c r="T977" s="52"/>
      <c r="U977" s="52"/>
      <c r="V977" s="52"/>
      <c r="W977" s="52"/>
      <c r="X977" s="52"/>
      <c r="Y977" s="52"/>
      <c r="Z977" s="52"/>
    </row>
    <row r="978">
      <c r="A978" s="59"/>
      <c r="B978" s="34"/>
      <c r="C978" s="52"/>
      <c r="D978" s="52"/>
      <c r="E978" s="52"/>
      <c r="F978" s="52"/>
      <c r="G978" s="52"/>
      <c r="H978" s="52"/>
      <c r="I978" s="52"/>
      <c r="J978" s="52"/>
      <c r="K978" s="52"/>
      <c r="L978" s="52"/>
      <c r="M978" s="52"/>
      <c r="N978" s="52"/>
      <c r="O978" s="52"/>
      <c r="P978" s="52"/>
      <c r="Q978" s="52"/>
      <c r="R978" s="52"/>
      <c r="S978" s="52"/>
      <c r="T978" s="52"/>
      <c r="U978" s="52"/>
      <c r="V978" s="52"/>
      <c r="W978" s="52"/>
      <c r="X978" s="52"/>
      <c r="Y978" s="52"/>
      <c r="Z978" s="52"/>
    </row>
    <row r="979">
      <c r="A979" s="59"/>
      <c r="B979" s="34"/>
      <c r="C979" s="52"/>
      <c r="D979" s="52"/>
      <c r="E979" s="52"/>
      <c r="F979" s="52"/>
      <c r="G979" s="52"/>
      <c r="H979" s="52"/>
      <c r="I979" s="52"/>
      <c r="J979" s="52"/>
      <c r="K979" s="52"/>
      <c r="L979" s="52"/>
      <c r="M979" s="52"/>
      <c r="N979" s="52"/>
      <c r="O979" s="52"/>
      <c r="P979" s="52"/>
      <c r="Q979" s="52"/>
      <c r="R979" s="52"/>
      <c r="S979" s="52"/>
      <c r="T979" s="52"/>
      <c r="U979" s="52"/>
      <c r="V979" s="52"/>
      <c r="W979" s="52"/>
      <c r="X979" s="52"/>
      <c r="Y979" s="52"/>
      <c r="Z979" s="52"/>
    </row>
    <row r="980">
      <c r="A980" s="59"/>
      <c r="B980" s="34"/>
      <c r="C980" s="52"/>
      <c r="D980" s="52"/>
      <c r="E980" s="52"/>
      <c r="F980" s="52"/>
      <c r="G980" s="52"/>
      <c r="H980" s="52"/>
      <c r="I980" s="52"/>
      <c r="J980" s="52"/>
      <c r="K980" s="52"/>
      <c r="L980" s="52"/>
      <c r="M980" s="52"/>
      <c r="N980" s="52"/>
      <c r="O980" s="52"/>
      <c r="P980" s="52"/>
      <c r="Q980" s="52"/>
      <c r="R980" s="52"/>
      <c r="S980" s="52"/>
      <c r="T980" s="52"/>
      <c r="U980" s="52"/>
      <c r="V980" s="52"/>
      <c r="W980" s="52"/>
      <c r="X980" s="52"/>
      <c r="Y980" s="52"/>
      <c r="Z980" s="52"/>
    </row>
    <row r="981">
      <c r="A981" s="59"/>
      <c r="B981" s="34"/>
      <c r="C981" s="52"/>
      <c r="D981" s="52"/>
      <c r="E981" s="52"/>
      <c r="F981" s="52"/>
      <c r="G981" s="52"/>
      <c r="H981" s="52"/>
      <c r="I981" s="52"/>
      <c r="J981" s="52"/>
      <c r="K981" s="52"/>
      <c r="L981" s="52"/>
      <c r="M981" s="52"/>
      <c r="N981" s="52"/>
      <c r="O981" s="52"/>
      <c r="P981" s="52"/>
      <c r="Q981" s="52"/>
      <c r="R981" s="52"/>
      <c r="S981" s="52"/>
      <c r="T981" s="52"/>
      <c r="U981" s="52"/>
      <c r="V981" s="52"/>
      <c r="W981" s="52"/>
      <c r="X981" s="52"/>
      <c r="Y981" s="52"/>
      <c r="Z981" s="52"/>
    </row>
    <row r="982">
      <c r="A982" s="59"/>
      <c r="B982" s="34"/>
      <c r="C982" s="52"/>
      <c r="D982" s="52"/>
      <c r="E982" s="52"/>
      <c r="F982" s="52"/>
      <c r="G982" s="52"/>
      <c r="H982" s="52"/>
      <c r="I982" s="52"/>
      <c r="J982" s="52"/>
      <c r="K982" s="52"/>
      <c r="L982" s="52"/>
      <c r="M982" s="52"/>
      <c r="N982" s="52"/>
      <c r="O982" s="52"/>
      <c r="P982" s="52"/>
      <c r="Q982" s="52"/>
      <c r="R982" s="52"/>
      <c r="S982" s="52"/>
      <c r="T982" s="52"/>
      <c r="U982" s="52"/>
      <c r="V982" s="52"/>
      <c r="W982" s="52"/>
      <c r="X982" s="52"/>
      <c r="Y982" s="52"/>
      <c r="Z982" s="52"/>
    </row>
    <row r="983">
      <c r="A983" s="59"/>
      <c r="B983" s="34"/>
      <c r="C983" s="52"/>
      <c r="D983" s="52"/>
      <c r="E983" s="52"/>
      <c r="F983" s="52"/>
      <c r="G983" s="52"/>
      <c r="H983" s="52"/>
      <c r="I983" s="52"/>
      <c r="J983" s="52"/>
      <c r="K983" s="52"/>
      <c r="L983" s="52"/>
      <c r="M983" s="52"/>
      <c r="N983" s="52"/>
      <c r="O983" s="52"/>
      <c r="P983" s="52"/>
      <c r="Q983" s="52"/>
      <c r="R983" s="52"/>
      <c r="S983" s="52"/>
      <c r="T983" s="52"/>
      <c r="U983" s="52"/>
      <c r="V983" s="52"/>
      <c r="W983" s="52"/>
      <c r="X983" s="52"/>
      <c r="Y983" s="52"/>
      <c r="Z983" s="52"/>
    </row>
    <row r="984">
      <c r="A984" s="59"/>
      <c r="B984" s="34"/>
      <c r="C984" s="52"/>
      <c r="D984" s="52"/>
      <c r="E984" s="52"/>
      <c r="F984" s="52"/>
      <c r="G984" s="52"/>
      <c r="H984" s="52"/>
      <c r="I984" s="52"/>
      <c r="J984" s="52"/>
      <c r="K984" s="52"/>
      <c r="L984" s="52"/>
      <c r="M984" s="52"/>
      <c r="N984" s="52"/>
      <c r="O984" s="52"/>
      <c r="P984" s="52"/>
      <c r="Q984" s="52"/>
      <c r="R984" s="52"/>
      <c r="S984" s="52"/>
      <c r="T984" s="52"/>
      <c r="U984" s="52"/>
      <c r="V984" s="52"/>
      <c r="W984" s="52"/>
      <c r="X984" s="52"/>
      <c r="Y984" s="52"/>
      <c r="Z984" s="52"/>
    </row>
    <row r="985">
      <c r="A985" s="59"/>
      <c r="B985" s="34"/>
      <c r="C985" s="52"/>
      <c r="D985" s="52"/>
      <c r="E985" s="52"/>
      <c r="F985" s="52"/>
      <c r="G985" s="52"/>
      <c r="H985" s="52"/>
      <c r="I985" s="52"/>
      <c r="J985" s="52"/>
      <c r="K985" s="52"/>
      <c r="L985" s="52"/>
      <c r="M985" s="52"/>
      <c r="N985" s="52"/>
      <c r="O985" s="52"/>
      <c r="P985" s="52"/>
      <c r="Q985" s="52"/>
      <c r="R985" s="52"/>
      <c r="S985" s="52"/>
      <c r="T985" s="52"/>
      <c r="U985" s="52"/>
      <c r="V985" s="52"/>
      <c r="W985" s="52"/>
      <c r="X985" s="52"/>
      <c r="Y985" s="52"/>
      <c r="Z985" s="52"/>
    </row>
    <row r="986">
      <c r="A986" s="59"/>
      <c r="B986" s="34"/>
      <c r="C986" s="52"/>
      <c r="D986" s="52"/>
      <c r="E986" s="52"/>
      <c r="F986" s="52"/>
      <c r="G986" s="52"/>
      <c r="H986" s="52"/>
      <c r="I986" s="52"/>
      <c r="J986" s="52"/>
      <c r="K986" s="52"/>
      <c r="L986" s="52"/>
      <c r="M986" s="52"/>
      <c r="N986" s="52"/>
      <c r="O986" s="52"/>
      <c r="P986" s="52"/>
      <c r="Q986" s="52"/>
      <c r="R986" s="52"/>
      <c r="S986" s="52"/>
      <c r="T986" s="52"/>
      <c r="U986" s="52"/>
      <c r="V986" s="52"/>
      <c r="W986" s="52"/>
      <c r="X986" s="52"/>
      <c r="Y986" s="52"/>
      <c r="Z986" s="52"/>
    </row>
    <row r="987">
      <c r="A987" s="59"/>
      <c r="B987" s="34"/>
      <c r="C987" s="52"/>
      <c r="D987" s="52"/>
      <c r="E987" s="52"/>
      <c r="F987" s="52"/>
      <c r="G987" s="52"/>
      <c r="H987" s="52"/>
      <c r="I987" s="52"/>
      <c r="J987" s="52"/>
      <c r="K987" s="52"/>
      <c r="L987" s="52"/>
      <c r="M987" s="52"/>
      <c r="N987" s="52"/>
      <c r="O987" s="52"/>
      <c r="P987" s="52"/>
      <c r="Q987" s="52"/>
      <c r="R987" s="52"/>
      <c r="S987" s="52"/>
      <c r="T987" s="52"/>
      <c r="U987" s="52"/>
      <c r="V987" s="52"/>
      <c r="W987" s="52"/>
      <c r="X987" s="52"/>
      <c r="Y987" s="52"/>
      <c r="Z987" s="52"/>
    </row>
    <row r="988">
      <c r="A988" s="59"/>
      <c r="B988" s="34"/>
      <c r="C988" s="52"/>
      <c r="D988" s="52"/>
      <c r="E988" s="52"/>
      <c r="F988" s="52"/>
      <c r="G988" s="52"/>
      <c r="H988" s="52"/>
      <c r="I988" s="52"/>
      <c r="J988" s="52"/>
      <c r="K988" s="52"/>
      <c r="L988" s="52"/>
      <c r="M988" s="52"/>
      <c r="N988" s="52"/>
      <c r="O988" s="52"/>
      <c r="P988" s="52"/>
      <c r="Q988" s="52"/>
      <c r="R988" s="52"/>
      <c r="S988" s="52"/>
      <c r="T988" s="52"/>
      <c r="U988" s="52"/>
      <c r="V988" s="52"/>
      <c r="W988" s="52"/>
      <c r="X988" s="52"/>
      <c r="Y988" s="52"/>
      <c r="Z988" s="52"/>
    </row>
    <row r="989">
      <c r="A989" s="59"/>
      <c r="B989" s="34"/>
      <c r="C989" s="52"/>
      <c r="D989" s="52"/>
      <c r="E989" s="52"/>
      <c r="F989" s="52"/>
      <c r="G989" s="52"/>
      <c r="H989" s="52"/>
      <c r="I989" s="52"/>
      <c r="J989" s="52"/>
      <c r="K989" s="52"/>
      <c r="L989" s="52"/>
      <c r="M989" s="52"/>
      <c r="N989" s="52"/>
      <c r="O989" s="52"/>
      <c r="P989" s="52"/>
      <c r="Q989" s="52"/>
      <c r="R989" s="52"/>
      <c r="S989" s="52"/>
      <c r="T989" s="52"/>
      <c r="U989" s="52"/>
      <c r="V989" s="52"/>
      <c r="W989" s="52"/>
      <c r="X989" s="52"/>
      <c r="Y989" s="52"/>
      <c r="Z989" s="52"/>
    </row>
    <row r="990">
      <c r="A990" s="59"/>
      <c r="B990" s="34"/>
      <c r="C990" s="52"/>
      <c r="D990" s="52"/>
      <c r="E990" s="52"/>
      <c r="F990" s="52"/>
      <c r="G990" s="52"/>
      <c r="H990" s="52"/>
      <c r="I990" s="52"/>
      <c r="J990" s="52"/>
      <c r="K990" s="52"/>
      <c r="L990" s="52"/>
      <c r="M990" s="52"/>
      <c r="N990" s="52"/>
      <c r="O990" s="52"/>
      <c r="P990" s="52"/>
      <c r="Q990" s="52"/>
      <c r="R990" s="52"/>
      <c r="S990" s="52"/>
      <c r="T990" s="52"/>
      <c r="U990" s="52"/>
      <c r="V990" s="52"/>
      <c r="W990" s="52"/>
      <c r="X990" s="52"/>
      <c r="Y990" s="52"/>
      <c r="Z990" s="52"/>
    </row>
    <row r="991">
      <c r="A991" s="59"/>
      <c r="B991" s="34"/>
      <c r="C991" s="52"/>
      <c r="D991" s="52"/>
      <c r="E991" s="52"/>
      <c r="F991" s="52"/>
      <c r="G991" s="52"/>
      <c r="H991" s="52"/>
      <c r="I991" s="52"/>
      <c r="J991" s="52"/>
      <c r="K991" s="52"/>
      <c r="L991" s="52"/>
      <c r="M991" s="52"/>
      <c r="N991" s="52"/>
      <c r="O991" s="52"/>
      <c r="P991" s="52"/>
      <c r="Q991" s="52"/>
      <c r="R991" s="52"/>
      <c r="S991" s="52"/>
      <c r="T991" s="52"/>
      <c r="U991" s="52"/>
      <c r="V991" s="52"/>
      <c r="W991" s="52"/>
      <c r="X991" s="52"/>
      <c r="Y991" s="52"/>
      <c r="Z991" s="52"/>
    </row>
    <row r="992">
      <c r="A992" s="59"/>
      <c r="B992" s="34"/>
      <c r="C992" s="52"/>
      <c r="D992" s="52"/>
      <c r="E992" s="52"/>
      <c r="F992" s="52"/>
      <c r="G992" s="52"/>
      <c r="H992" s="52"/>
      <c r="I992" s="52"/>
      <c r="J992" s="52"/>
      <c r="K992" s="52"/>
      <c r="L992" s="52"/>
      <c r="M992" s="52"/>
      <c r="N992" s="52"/>
      <c r="O992" s="52"/>
      <c r="P992" s="52"/>
      <c r="Q992" s="52"/>
      <c r="R992" s="52"/>
      <c r="S992" s="52"/>
      <c r="T992" s="52"/>
      <c r="U992" s="52"/>
      <c r="V992" s="52"/>
      <c r="W992" s="52"/>
      <c r="X992" s="52"/>
      <c r="Y992" s="52"/>
      <c r="Z992" s="52"/>
    </row>
    <row r="993">
      <c r="A993" s="59"/>
      <c r="B993" s="34"/>
      <c r="C993" s="52"/>
      <c r="D993" s="52"/>
      <c r="E993" s="52"/>
      <c r="F993" s="52"/>
      <c r="G993" s="52"/>
      <c r="H993" s="52"/>
      <c r="I993" s="52"/>
      <c r="J993" s="52"/>
      <c r="K993" s="52"/>
      <c r="L993" s="52"/>
      <c r="M993" s="52"/>
      <c r="N993" s="52"/>
      <c r="O993" s="52"/>
      <c r="P993" s="52"/>
      <c r="Q993" s="52"/>
      <c r="R993" s="52"/>
      <c r="S993" s="52"/>
      <c r="T993" s="52"/>
      <c r="U993" s="52"/>
      <c r="V993" s="52"/>
      <c r="W993" s="52"/>
      <c r="X993" s="52"/>
      <c r="Y993" s="52"/>
      <c r="Z993" s="52"/>
    </row>
    <row r="994">
      <c r="A994" s="59"/>
      <c r="B994" s="34"/>
      <c r="C994" s="52"/>
      <c r="D994" s="52"/>
      <c r="E994" s="52"/>
      <c r="F994" s="52"/>
      <c r="G994" s="52"/>
      <c r="H994" s="52"/>
      <c r="I994" s="52"/>
      <c r="J994" s="52"/>
      <c r="K994" s="52"/>
      <c r="L994" s="52"/>
      <c r="M994" s="52"/>
      <c r="N994" s="52"/>
      <c r="O994" s="52"/>
      <c r="P994" s="52"/>
      <c r="Q994" s="52"/>
      <c r="R994" s="52"/>
      <c r="S994" s="52"/>
      <c r="T994" s="52"/>
      <c r="U994" s="52"/>
      <c r="V994" s="52"/>
      <c r="W994" s="52"/>
      <c r="X994" s="52"/>
      <c r="Y994" s="52"/>
      <c r="Z994" s="52"/>
    </row>
    <row r="995">
      <c r="A995" s="59"/>
      <c r="B995" s="34"/>
      <c r="C995" s="52"/>
      <c r="D995" s="52"/>
      <c r="E995" s="52"/>
      <c r="F995" s="52"/>
      <c r="G995" s="52"/>
      <c r="H995" s="52"/>
      <c r="I995" s="52"/>
      <c r="J995" s="52"/>
      <c r="K995" s="52"/>
      <c r="L995" s="52"/>
      <c r="M995" s="52"/>
      <c r="N995" s="52"/>
      <c r="O995" s="52"/>
      <c r="P995" s="52"/>
      <c r="Q995" s="52"/>
      <c r="R995" s="52"/>
      <c r="S995" s="52"/>
      <c r="T995" s="52"/>
      <c r="U995" s="52"/>
      <c r="V995" s="52"/>
      <c r="W995" s="52"/>
      <c r="X995" s="52"/>
      <c r="Y995" s="52"/>
      <c r="Z995" s="52"/>
    </row>
    <row r="996">
      <c r="A996" s="59"/>
      <c r="B996" s="34"/>
      <c r="C996" s="52"/>
      <c r="D996" s="52"/>
      <c r="E996" s="52"/>
      <c r="F996" s="52"/>
      <c r="G996" s="52"/>
      <c r="H996" s="52"/>
      <c r="I996" s="52"/>
      <c r="J996" s="52"/>
      <c r="K996" s="52"/>
      <c r="L996" s="52"/>
      <c r="M996" s="52"/>
      <c r="N996" s="52"/>
      <c r="O996" s="52"/>
      <c r="P996" s="52"/>
      <c r="Q996" s="52"/>
      <c r="R996" s="52"/>
      <c r="S996" s="52"/>
      <c r="T996" s="52"/>
      <c r="U996" s="52"/>
      <c r="V996" s="52"/>
      <c r="W996" s="52"/>
      <c r="X996" s="52"/>
      <c r="Y996" s="52"/>
      <c r="Z996" s="52"/>
    </row>
    <row r="997">
      <c r="A997" s="59"/>
      <c r="B997" s="34"/>
      <c r="C997" s="52"/>
      <c r="D997" s="52"/>
      <c r="E997" s="52"/>
      <c r="F997" s="52"/>
      <c r="G997" s="52"/>
      <c r="H997" s="52"/>
      <c r="I997" s="52"/>
      <c r="J997" s="52"/>
      <c r="K997" s="52"/>
      <c r="L997" s="52"/>
      <c r="M997" s="52"/>
      <c r="N997" s="52"/>
      <c r="O997" s="52"/>
      <c r="P997" s="52"/>
      <c r="Q997" s="52"/>
      <c r="R997" s="52"/>
      <c r="S997" s="52"/>
      <c r="T997" s="52"/>
      <c r="U997" s="52"/>
      <c r="V997" s="52"/>
      <c r="W997" s="52"/>
      <c r="X997" s="52"/>
      <c r="Y997" s="52"/>
      <c r="Z997" s="52"/>
    </row>
    <row r="998">
      <c r="A998" s="59"/>
      <c r="B998" s="34"/>
      <c r="C998" s="52"/>
      <c r="D998" s="52"/>
      <c r="E998" s="52"/>
      <c r="F998" s="52"/>
      <c r="G998" s="52"/>
      <c r="H998" s="52"/>
      <c r="I998" s="52"/>
      <c r="J998" s="52"/>
      <c r="K998" s="52"/>
      <c r="L998" s="52"/>
      <c r="M998" s="52"/>
      <c r="N998" s="52"/>
      <c r="O998" s="52"/>
      <c r="P998" s="52"/>
      <c r="Q998" s="52"/>
      <c r="R998" s="52"/>
      <c r="S998" s="52"/>
      <c r="T998" s="52"/>
      <c r="U998" s="52"/>
      <c r="V998" s="52"/>
      <c r="W998" s="52"/>
      <c r="X998" s="52"/>
      <c r="Y998" s="52"/>
      <c r="Z998" s="52"/>
    </row>
    <row r="999">
      <c r="A999" s="59"/>
      <c r="B999" s="34"/>
      <c r="C999" s="52"/>
      <c r="D999" s="52"/>
      <c r="E999" s="52"/>
      <c r="F999" s="52"/>
      <c r="G999" s="52"/>
      <c r="H999" s="52"/>
      <c r="I999" s="52"/>
      <c r="J999" s="52"/>
      <c r="K999" s="52"/>
      <c r="L999" s="52"/>
      <c r="M999" s="52"/>
      <c r="N999" s="52"/>
      <c r="O999" s="52"/>
      <c r="P999" s="52"/>
      <c r="Q999" s="52"/>
      <c r="R999" s="52"/>
      <c r="S999" s="52"/>
      <c r="T999" s="52"/>
      <c r="U999" s="52"/>
      <c r="V999" s="52"/>
      <c r="W999" s="52"/>
      <c r="X999" s="52"/>
      <c r="Y999" s="52"/>
      <c r="Z999" s="52"/>
    </row>
    <row r="1000">
      <c r="A1000" s="59"/>
      <c r="B1000" s="34"/>
      <c r="C1000" s="52"/>
      <c r="D1000" s="52"/>
      <c r="E1000" s="52"/>
      <c r="F1000" s="52"/>
      <c r="G1000" s="52"/>
      <c r="H1000" s="52"/>
      <c r="I1000" s="52"/>
      <c r="J1000" s="52"/>
      <c r="K1000" s="52"/>
      <c r="L1000" s="52"/>
      <c r="M1000" s="52"/>
      <c r="N1000" s="52"/>
      <c r="O1000" s="52"/>
      <c r="P1000" s="52"/>
      <c r="Q1000" s="52"/>
      <c r="R1000" s="52"/>
      <c r="S1000" s="52"/>
      <c r="T1000" s="52"/>
      <c r="U1000" s="52"/>
      <c r="V1000" s="52"/>
      <c r="W1000" s="52"/>
      <c r="X1000" s="52"/>
      <c r="Y1000" s="52"/>
      <c r="Z1000" s="5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22.75"/>
  </cols>
  <sheetData>
    <row r="1">
      <c r="A1" s="59" t="s">
        <v>264</v>
      </c>
      <c r="B1" s="26" t="s">
        <v>277</v>
      </c>
    </row>
    <row r="2">
      <c r="A2" s="52">
        <f>if(B2="","",0)</f>
        <v>0</v>
      </c>
      <c r="B2" s="60" t="s">
        <v>26</v>
      </c>
    </row>
    <row r="3">
      <c r="A3" s="58">
        <f t="shared" ref="A3:A12" si="1">if(B3="","",A2+1)</f>
        <v>1</v>
      </c>
      <c r="B3" s="60" t="s">
        <v>60</v>
      </c>
    </row>
    <row r="4">
      <c r="A4" s="58">
        <f t="shared" si="1"/>
        <v>2</v>
      </c>
      <c r="B4" s="60" t="s">
        <v>33</v>
      </c>
    </row>
    <row r="5">
      <c r="A5" s="58">
        <f t="shared" si="1"/>
        <v>3</v>
      </c>
      <c r="B5" s="60" t="s">
        <v>278</v>
      </c>
    </row>
    <row r="6">
      <c r="A6" s="58">
        <f t="shared" si="1"/>
        <v>4</v>
      </c>
      <c r="B6" s="60" t="s">
        <v>279</v>
      </c>
    </row>
    <row r="7">
      <c r="A7" s="58">
        <f t="shared" si="1"/>
        <v>5</v>
      </c>
      <c r="B7" s="60" t="s">
        <v>280</v>
      </c>
    </row>
    <row r="8">
      <c r="A8" s="58">
        <f t="shared" si="1"/>
        <v>6</v>
      </c>
      <c r="B8" s="60" t="s">
        <v>281</v>
      </c>
    </row>
    <row r="9">
      <c r="A9" s="58">
        <f t="shared" si="1"/>
        <v>7</v>
      </c>
      <c r="B9" s="60" t="s">
        <v>48</v>
      </c>
    </row>
    <row r="10">
      <c r="A10" s="58" t="str">
        <f t="shared" si="1"/>
        <v/>
      </c>
      <c r="B10" s="27"/>
    </row>
    <row r="11">
      <c r="A11" s="58" t="str">
        <f t="shared" si="1"/>
        <v/>
      </c>
      <c r="B11" s="27"/>
    </row>
    <row r="12">
      <c r="A12" s="58" t="str">
        <f t="shared" si="1"/>
        <v/>
      </c>
      <c r="B12" s="34"/>
    </row>
  </sheetData>
  <drawing r:id="rId1"/>
</worksheet>
</file>