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ilp\OneDrive\Documents\DATA DT 2024\LAPORAN\"/>
    </mc:Choice>
  </mc:AlternateContent>
  <xr:revisionPtr revIDLastSave="0" documentId="13_ncr:1_{F48CE28A-D955-487A-9434-EF6C18EA11FE}" xr6:coauthVersionLast="47" xr6:coauthVersionMax="47" xr10:uidLastSave="{00000000-0000-0000-0000-000000000000}"/>
  <bookViews>
    <workbookView xWindow="-110" yWindow="-110" windowWidth="19420" windowHeight="10300" firstSheet="2" activeTab="19" xr2:uid="{0492C718-BD94-486E-83A0-09B0C94939F1}"/>
  </bookViews>
  <sheets>
    <sheet name="9" sheetId="2" r:id="rId1"/>
    <sheet name="10" sheetId="3" r:id="rId2"/>
    <sheet name="12" sheetId="4" r:id="rId3"/>
    <sheet name="13" sheetId="5" r:id="rId4"/>
    <sheet name="15" sheetId="6" r:id="rId5"/>
    <sheet name="16" sheetId="7" r:id="rId6"/>
    <sheet name="17" sheetId="8" r:id="rId7"/>
    <sheet name="18" sheetId="9" r:id="rId8"/>
    <sheet name="19" sheetId="10" r:id="rId9"/>
    <sheet name="20" sheetId="11" r:id="rId10"/>
    <sheet name="22" sheetId="12" r:id="rId11"/>
    <sheet name="23" sheetId="13" r:id="rId12"/>
    <sheet name="24" sheetId="14" r:id="rId13"/>
    <sheet name="25" sheetId="15" r:id="rId14"/>
    <sheet name="26" sheetId="16" r:id="rId15"/>
    <sheet name="27" sheetId="17" r:id="rId16"/>
    <sheet name="28" sheetId="18" r:id="rId17"/>
    <sheet name="29" sheetId="19" r:id="rId18"/>
    <sheet name="30" sheetId="20" r:id="rId19"/>
    <sheet name="31" sheetId="21" r:id="rId20"/>
  </sheets>
  <definedNames>
    <definedName name="_xlnm.Print_Area" localSheetId="11">'23'!$A$1:$AU$37</definedName>
    <definedName name="_xlnm.Print_Area" localSheetId="12">'24'!$A$1:$AU$36</definedName>
    <definedName name="_xlnm.Print_Area" localSheetId="13">'25'!$A$1:$AV$38</definedName>
    <definedName name="_xlnm.Print_Area" localSheetId="14">'26'!$A$1:$AV$37</definedName>
    <definedName name="_xlnm.Print_Area" localSheetId="15">'27'!$A$1:$AV$38</definedName>
    <definedName name="_xlnm.Print_Area" localSheetId="16">'28'!$A$1:$AV$38</definedName>
    <definedName name="_xlnm.Print_Area" localSheetId="17">'29'!$A$1:$AV$38</definedName>
    <definedName name="_xlnm.Print_Area" localSheetId="18">'30'!$A$1:$AV$34</definedName>
    <definedName name="_xlnm.Print_Area" localSheetId="19">'31'!$A$1:$AV$36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21" l="1"/>
  <c r="S13" i="21"/>
  <c r="S14" i="21"/>
  <c r="S15" i="21"/>
  <c r="S7" i="21"/>
  <c r="S16" i="21"/>
  <c r="S17" i="21"/>
  <c r="S18" i="21"/>
  <c r="S8" i="21"/>
  <c r="S9" i="21"/>
  <c r="S19" i="21"/>
  <c r="S20" i="21"/>
  <c r="AJ11" i="21"/>
  <c r="S29" i="21"/>
  <c r="S30" i="21"/>
  <c r="S31" i="21"/>
  <c r="S11" i="21"/>
  <c r="S27" i="21"/>
  <c r="S10" i="21"/>
  <c r="S26" i="21"/>
  <c r="S28" i="21"/>
  <c r="X35" i="21" l="1"/>
  <c r="X31" i="21"/>
  <c r="X32" i="21" s="1"/>
  <c r="X34" i="21" s="1"/>
  <c r="F17" i="21"/>
  <c r="F27" i="21"/>
  <c r="AE22" i="21"/>
  <c r="F16" i="21"/>
  <c r="AE21" i="21"/>
  <c r="X25" i="21"/>
  <c r="F26" i="21"/>
  <c r="AE20" i="21"/>
  <c r="O24" i="21"/>
  <c r="F15" i="21"/>
  <c r="AE19" i="21"/>
  <c r="F25" i="21"/>
  <c r="AE18" i="21"/>
  <c r="F14" i="21"/>
  <c r="AE25" i="21"/>
  <c r="F24" i="21"/>
  <c r="AE6" i="21"/>
  <c r="F13" i="21"/>
  <c r="AE17" i="21"/>
  <c r="F23" i="21"/>
  <c r="AE24" i="21"/>
  <c r="F12" i="21"/>
  <c r="AE16" i="21"/>
  <c r="F22" i="21"/>
  <c r="AV15" i="21"/>
  <c r="AJ15" i="21"/>
  <c r="AE15" i="21"/>
  <c r="X15" i="21"/>
  <c r="K15" i="21"/>
  <c r="F21" i="21"/>
  <c r="AQ13" i="21"/>
  <c r="AE14" i="21"/>
  <c r="F20" i="21"/>
  <c r="AQ12" i="21"/>
  <c r="AE11" i="21"/>
  <c r="F11" i="21"/>
  <c r="AQ10" i="21"/>
  <c r="AE13" i="21"/>
  <c r="F19" i="21"/>
  <c r="AV11" i="21"/>
  <c r="AV12" i="21" s="1"/>
  <c r="AV14" i="21" s="1"/>
  <c r="AQ14" i="21"/>
  <c r="AJ12" i="21"/>
  <c r="AJ14" i="21" s="1"/>
  <c r="AE10" i="21"/>
  <c r="X11" i="21"/>
  <c r="X12" i="21" s="1"/>
  <c r="X14" i="21" s="1"/>
  <c r="K11" i="21"/>
  <c r="K12" i="21" s="1"/>
  <c r="K14" i="21" s="1"/>
  <c r="F10" i="21"/>
  <c r="AQ8" i="21"/>
  <c r="AE9" i="21"/>
  <c r="F18" i="21"/>
  <c r="AQ11" i="21"/>
  <c r="AE8" i="21"/>
  <c r="F9" i="21"/>
  <c r="AQ7" i="21"/>
  <c r="AE7" i="21"/>
  <c r="F8" i="21"/>
  <c r="AQ6" i="21"/>
  <c r="AE23" i="21"/>
  <c r="F6" i="21"/>
  <c r="AQ9" i="21"/>
  <c r="AE12" i="21"/>
  <c r="F7" i="21"/>
  <c r="AV5" i="21"/>
  <c r="AJ5" i="21"/>
  <c r="X5" i="21"/>
  <c r="K5" i="21"/>
  <c r="AM4" i="21"/>
  <c r="AA4" i="21"/>
  <c r="O4" i="21"/>
  <c r="K11" i="20" l="1"/>
  <c r="X30" i="20"/>
  <c r="S8" i="20"/>
  <c r="S30" i="20" l="1"/>
  <c r="S20" i="20"/>
  <c r="AE26" i="20"/>
  <c r="X15" i="20"/>
  <c r="X5" i="20"/>
  <c r="F16" i="20"/>
  <c r="F15" i="20"/>
  <c r="F6" i="20"/>
  <c r="AQ18" i="20"/>
  <c r="AQ11" i="20"/>
  <c r="AQ17" i="20"/>
  <c r="AM4" i="20"/>
  <c r="AA4" i="20"/>
  <c r="O23" i="20"/>
  <c r="O4" i="20"/>
  <c r="X34" i="20"/>
  <c r="X31" i="20"/>
  <c r="X33" i="20" s="1"/>
  <c r="S27" i="20"/>
  <c r="S26" i="20"/>
  <c r="S31" i="20"/>
  <c r="S29" i="20"/>
  <c r="AE9" i="20"/>
  <c r="S25" i="20"/>
  <c r="AE25" i="20"/>
  <c r="AE24" i="20"/>
  <c r="X24" i="20"/>
  <c r="S28" i="20"/>
  <c r="F27" i="20"/>
  <c r="AE8" i="20"/>
  <c r="F14" i="20"/>
  <c r="AE23" i="20"/>
  <c r="F13" i="20"/>
  <c r="AE22" i="20"/>
  <c r="F26" i="20"/>
  <c r="AE21" i="20"/>
  <c r="F25" i="20"/>
  <c r="AE20" i="20"/>
  <c r="F12" i="20"/>
  <c r="AE19" i="20"/>
  <c r="S16" i="20"/>
  <c r="F24" i="20"/>
  <c r="AE11" i="20"/>
  <c r="S19" i="20"/>
  <c r="F23" i="20"/>
  <c r="AE6" i="20"/>
  <c r="S15" i="20"/>
  <c r="F22" i="20"/>
  <c r="AV15" i="20"/>
  <c r="AQ10" i="20"/>
  <c r="AJ15" i="20"/>
  <c r="AE18" i="20"/>
  <c r="S14" i="20"/>
  <c r="K15" i="20"/>
  <c r="F21" i="20"/>
  <c r="AQ9" i="20"/>
  <c r="AE17" i="20"/>
  <c r="S13" i="20"/>
  <c r="F20" i="20"/>
  <c r="AQ7" i="20"/>
  <c r="AE7" i="20"/>
  <c r="S7" i="20"/>
  <c r="F19" i="20"/>
  <c r="AQ6" i="20"/>
  <c r="AE16" i="20"/>
  <c r="S12" i="20"/>
  <c r="F11" i="20"/>
  <c r="AV11" i="20"/>
  <c r="AV12" i="20" s="1"/>
  <c r="AV14" i="20" s="1"/>
  <c r="AQ16" i="20"/>
  <c r="AJ11" i="20"/>
  <c r="AJ12" i="20" s="1"/>
  <c r="AJ14" i="20" s="1"/>
  <c r="AE10" i="20"/>
  <c r="X11" i="20"/>
  <c r="X12" i="20" s="1"/>
  <c r="X14" i="20" s="1"/>
  <c r="S11" i="20"/>
  <c r="K12" i="20"/>
  <c r="K14" i="20" s="1"/>
  <c r="F10" i="20"/>
  <c r="AQ8" i="20"/>
  <c r="S18" i="20"/>
  <c r="F18" i="20"/>
  <c r="AQ15" i="20"/>
  <c r="AE15" i="20"/>
  <c r="S6" i="20"/>
  <c r="F9" i="20"/>
  <c r="AQ14" i="20"/>
  <c r="AE14" i="20"/>
  <c r="S17" i="20"/>
  <c r="F8" i="20"/>
  <c r="AQ13" i="20"/>
  <c r="AE13" i="20"/>
  <c r="S10" i="20"/>
  <c r="F17" i="20"/>
  <c r="AQ12" i="20"/>
  <c r="AE12" i="20"/>
  <c r="S9" i="20"/>
  <c r="F7" i="20"/>
  <c r="AV5" i="20"/>
  <c r="AJ5" i="20"/>
  <c r="K5" i="20"/>
  <c r="X11" i="18" l="1"/>
  <c r="X28" i="18"/>
  <c r="X24" i="19"/>
  <c r="AJ11" i="19"/>
  <c r="AJ12" i="19" s="1"/>
  <c r="AJ14" i="19" s="1"/>
  <c r="AV11" i="19"/>
  <c r="AV12" i="19" s="1"/>
  <c r="AV14" i="19" s="1"/>
  <c r="X30" i="19"/>
  <c r="X31" i="19" s="1"/>
  <c r="X33" i="19" s="1"/>
  <c r="X11" i="19"/>
  <c r="X12" i="19" s="1"/>
  <c r="X14" i="19" s="1"/>
  <c r="S31" i="19"/>
  <c r="S30" i="19"/>
  <c r="S29" i="19"/>
  <c r="S18" i="19"/>
  <c r="X5" i="19"/>
  <c r="F7" i="19"/>
  <c r="F21" i="19"/>
  <c r="F22" i="19"/>
  <c r="AQ10" i="19"/>
  <c r="AQ7" i="19"/>
  <c r="AQ11" i="19"/>
  <c r="AQ8" i="19"/>
  <c r="AQ12" i="19"/>
  <c r="AQ6" i="19"/>
  <c r="AQ13" i="19"/>
  <c r="AQ14" i="19"/>
  <c r="AQ15" i="19"/>
  <c r="AQ9" i="19"/>
  <c r="AE15" i="19"/>
  <c r="AE34" i="19"/>
  <c r="AE26" i="19"/>
  <c r="X34" i="19"/>
  <c r="AE33" i="19"/>
  <c r="AE32" i="19"/>
  <c r="AE31" i="19"/>
  <c r="AE25" i="19"/>
  <c r="AE30" i="19"/>
  <c r="AE24" i="19"/>
  <c r="S28" i="19"/>
  <c r="AE23" i="19"/>
  <c r="S27" i="19"/>
  <c r="AE14" i="19"/>
  <c r="S26" i="19"/>
  <c r="AE29" i="19"/>
  <c r="S25" i="19"/>
  <c r="AE28" i="19"/>
  <c r="S24" i="19"/>
  <c r="AE27" i="19"/>
  <c r="F20" i="19"/>
  <c r="AE7" i="19"/>
  <c r="F19" i="19"/>
  <c r="AE13" i="19"/>
  <c r="F24" i="19"/>
  <c r="AE12" i="19"/>
  <c r="F23" i="19"/>
  <c r="AE22" i="19"/>
  <c r="S17" i="19"/>
  <c r="F18" i="19"/>
  <c r="AE6" i="19"/>
  <c r="S10" i="19"/>
  <c r="F17" i="19"/>
  <c r="AV15" i="19"/>
  <c r="AJ15" i="19"/>
  <c r="AE21" i="19"/>
  <c r="X15" i="19"/>
  <c r="S16" i="19"/>
  <c r="K15" i="19"/>
  <c r="F16" i="19"/>
  <c r="AE11" i="19"/>
  <c r="S9" i="19"/>
  <c r="F15" i="19"/>
  <c r="AE20" i="19"/>
  <c r="S8" i="19"/>
  <c r="F14" i="19"/>
  <c r="AE19" i="19"/>
  <c r="S7" i="19"/>
  <c r="F13" i="19"/>
  <c r="AE18" i="19"/>
  <c r="S15" i="19"/>
  <c r="K11" i="19"/>
  <c r="K12" i="19" s="1"/>
  <c r="K14" i="19" s="1"/>
  <c r="F12" i="19"/>
  <c r="AE17" i="19"/>
  <c r="S14" i="19"/>
  <c r="F11" i="19"/>
  <c r="AE10" i="19"/>
  <c r="S13" i="19"/>
  <c r="F6" i="19"/>
  <c r="AE16" i="19"/>
  <c r="S12" i="19"/>
  <c r="F10" i="19"/>
  <c r="AE9" i="19"/>
  <c r="S6" i="19"/>
  <c r="F9" i="19"/>
  <c r="AE8" i="19"/>
  <c r="S11" i="19"/>
  <c r="F8" i="19"/>
  <c r="AV5" i="19"/>
  <c r="AJ5" i="19"/>
  <c r="K5" i="19"/>
  <c r="AM4" i="19"/>
  <c r="AA4" i="19"/>
  <c r="O4" i="19"/>
  <c r="AV5" i="18"/>
  <c r="AE15" i="18" l="1"/>
  <c r="AE30" i="18"/>
  <c r="AE29" i="18"/>
  <c r="AE28" i="18"/>
  <c r="X32" i="18"/>
  <c r="AE27" i="18"/>
  <c r="AE35" i="18"/>
  <c r="AE14" i="18"/>
  <c r="AE26" i="18"/>
  <c r="X29" i="18"/>
  <c r="X31" i="18" s="1"/>
  <c r="AE34" i="18"/>
  <c r="AE13" i="18"/>
  <c r="S26" i="18"/>
  <c r="AE25" i="18"/>
  <c r="S25" i="18"/>
  <c r="AE8" i="18"/>
  <c r="S24" i="18"/>
  <c r="AE24" i="18"/>
  <c r="S22" i="18"/>
  <c r="AE23" i="18"/>
  <c r="S23" i="18"/>
  <c r="AE12" i="18"/>
  <c r="F17" i="18"/>
  <c r="AE11" i="18"/>
  <c r="F21" i="18"/>
  <c r="AE33" i="18"/>
  <c r="F7" i="18"/>
  <c r="AQ12" i="18"/>
  <c r="AE22" i="18"/>
  <c r="F16" i="18"/>
  <c r="AQ18" i="18"/>
  <c r="AE10" i="18"/>
  <c r="S17" i="18"/>
  <c r="F15" i="18"/>
  <c r="AQ11" i="18"/>
  <c r="AE21" i="18"/>
  <c r="S16" i="18"/>
  <c r="F20" i="18"/>
  <c r="AV15" i="18"/>
  <c r="AQ7" i="18"/>
  <c r="AJ15" i="18"/>
  <c r="AE9" i="18"/>
  <c r="X15" i="18"/>
  <c r="S15" i="18"/>
  <c r="K15" i="18"/>
  <c r="F14" i="18"/>
  <c r="AQ6" i="18"/>
  <c r="AE32" i="18"/>
  <c r="S14" i="18"/>
  <c r="F13" i="18"/>
  <c r="AQ17" i="18"/>
  <c r="AE20" i="18"/>
  <c r="S13" i="18"/>
  <c r="F19" i="18"/>
  <c r="AQ16" i="18"/>
  <c r="AE31" i="18"/>
  <c r="S12" i="18"/>
  <c r="F12" i="18"/>
  <c r="AV11" i="18"/>
  <c r="AV12" i="18" s="1"/>
  <c r="AV14" i="18" s="1"/>
  <c r="AQ10" i="18"/>
  <c r="AJ11" i="18"/>
  <c r="AJ12" i="18" s="1"/>
  <c r="AJ14" i="18" s="1"/>
  <c r="AE19" i="18"/>
  <c r="X12" i="18"/>
  <c r="X14" i="18" s="1"/>
  <c r="S11" i="18"/>
  <c r="K11" i="18"/>
  <c r="K12" i="18" s="1"/>
  <c r="K14" i="18" s="1"/>
  <c r="F11" i="18"/>
  <c r="AQ14" i="18"/>
  <c r="AE18" i="18"/>
  <c r="S10" i="18"/>
  <c r="F10" i="18"/>
  <c r="AQ9" i="18"/>
  <c r="AE7" i="18"/>
  <c r="S7" i="18"/>
  <c r="F6" i="18"/>
  <c r="AQ8" i="18"/>
  <c r="AE17" i="18"/>
  <c r="S9" i="18"/>
  <c r="F9" i="18"/>
  <c r="AQ13" i="18"/>
  <c r="AE16" i="18"/>
  <c r="S8" i="18"/>
  <c r="F8" i="18"/>
  <c r="AQ15" i="18"/>
  <c r="AE6" i="18"/>
  <c r="S6" i="18"/>
  <c r="F18" i="18"/>
  <c r="AJ5" i="18"/>
  <c r="X5" i="18"/>
  <c r="K5" i="18"/>
  <c r="AM4" i="18"/>
  <c r="AA4" i="18"/>
  <c r="O4" i="18"/>
  <c r="F8" i="17"/>
  <c r="AJ11" i="17"/>
  <c r="AJ12" i="17" s="1"/>
  <c r="AJ14" i="17" s="1"/>
  <c r="K11" i="17"/>
  <c r="K12" i="17" s="1"/>
  <c r="K14" i="17" s="1"/>
  <c r="F6" i="17"/>
  <c r="F10" i="17"/>
  <c r="AJ5" i="17"/>
  <c r="S26" i="17"/>
  <c r="S11" i="17"/>
  <c r="F12" i="17"/>
  <c r="F17" i="17"/>
  <c r="F18" i="17"/>
  <c r="F19" i="17"/>
  <c r="AQ18" i="17"/>
  <c r="AQ13" i="17"/>
  <c r="AQ17" i="17"/>
  <c r="AE18" i="17"/>
  <c r="AE37" i="17"/>
  <c r="AE36" i="17"/>
  <c r="AE35" i="17"/>
  <c r="AE34" i="17"/>
  <c r="AE33" i="17"/>
  <c r="AE32" i="17"/>
  <c r="X32" i="17"/>
  <c r="AE31" i="17"/>
  <c r="AE30" i="17"/>
  <c r="AE29" i="17"/>
  <c r="S25" i="17"/>
  <c r="AE28" i="17"/>
  <c r="X28" i="17"/>
  <c r="X29" i="17" s="1"/>
  <c r="X31" i="17" s="1"/>
  <c r="S24" i="17"/>
  <c r="AE27" i="17"/>
  <c r="S28" i="17"/>
  <c r="AE26" i="17"/>
  <c r="S23" i="17"/>
  <c r="AE25" i="17"/>
  <c r="S22" i="17"/>
  <c r="AE24" i="17"/>
  <c r="S27" i="17"/>
  <c r="AE23" i="17"/>
  <c r="AE22" i="17"/>
  <c r="AE21" i="17"/>
  <c r="F16" i="17"/>
  <c r="AE20" i="17"/>
  <c r="F15" i="17"/>
  <c r="AE19" i="17"/>
  <c r="F14" i="17"/>
  <c r="F13" i="17"/>
  <c r="AE17" i="17"/>
  <c r="S10" i="17"/>
  <c r="F23" i="17"/>
  <c r="AE16" i="17"/>
  <c r="S9" i="17"/>
  <c r="F22" i="17"/>
  <c r="AV15" i="17"/>
  <c r="AQ6" i="17"/>
  <c r="AJ15" i="17"/>
  <c r="AE15" i="17"/>
  <c r="X15" i="17"/>
  <c r="S8" i="17"/>
  <c r="K15" i="17"/>
  <c r="AQ9" i="17"/>
  <c r="AE14" i="17"/>
  <c r="S7" i="17"/>
  <c r="F11" i="17"/>
  <c r="AQ16" i="17"/>
  <c r="AE13" i="17"/>
  <c r="S17" i="17"/>
  <c r="F21" i="17"/>
  <c r="AQ15" i="17"/>
  <c r="AE12" i="17"/>
  <c r="S6" i="17"/>
  <c r="F20" i="17"/>
  <c r="AV11" i="17"/>
  <c r="AV12" i="17" s="1"/>
  <c r="AV14" i="17" s="1"/>
  <c r="AQ12" i="17"/>
  <c r="AE11" i="17"/>
  <c r="X11" i="17"/>
  <c r="X12" i="17" s="1"/>
  <c r="X14" i="17" s="1"/>
  <c r="S13" i="17"/>
  <c r="AQ11" i="17"/>
  <c r="AE10" i="17"/>
  <c r="S16" i="17"/>
  <c r="AQ8" i="17"/>
  <c r="AE9" i="17"/>
  <c r="S15" i="17"/>
  <c r="F9" i="17"/>
  <c r="AQ10" i="17"/>
  <c r="AE8" i="17"/>
  <c r="S12" i="17"/>
  <c r="AQ14" i="17"/>
  <c r="AE7" i="17"/>
  <c r="S14" i="17"/>
  <c r="F7" i="17"/>
  <c r="AQ7" i="17"/>
  <c r="AE6" i="17"/>
  <c r="AV5" i="17"/>
  <c r="X5" i="17"/>
  <c r="K5" i="17"/>
  <c r="AM4" i="17"/>
  <c r="AA4" i="17"/>
  <c r="O4" i="17"/>
  <c r="S25" i="16" l="1"/>
  <c r="F17" i="16"/>
  <c r="F16" i="16"/>
  <c r="F15" i="16"/>
  <c r="F14" i="16"/>
  <c r="F13" i="16"/>
  <c r="F21" i="16"/>
  <c r="AQ12" i="16"/>
  <c r="F10" i="16"/>
  <c r="F12" i="16"/>
  <c r="F18" i="16"/>
  <c r="F7" i="16"/>
  <c r="F8" i="16"/>
  <c r="F19" i="16"/>
  <c r="F9" i="16"/>
  <c r="F20" i="16"/>
  <c r="AM4" i="16"/>
  <c r="AA4" i="16"/>
  <c r="O4" i="16"/>
  <c r="AE28" i="16"/>
  <c r="AE35" i="16"/>
  <c r="AE16" i="16"/>
  <c r="AE27" i="16"/>
  <c r="AE12" i="16"/>
  <c r="X32" i="16"/>
  <c r="AE34" i="16"/>
  <c r="AE26" i="16"/>
  <c r="AE25" i="16"/>
  <c r="AE33" i="16"/>
  <c r="X28" i="16"/>
  <c r="X29" i="16" s="1"/>
  <c r="X31" i="16" s="1"/>
  <c r="AE24" i="16"/>
  <c r="S29" i="16"/>
  <c r="AE15" i="16"/>
  <c r="S28" i="16"/>
  <c r="AE11" i="16"/>
  <c r="S27" i="16"/>
  <c r="AE23" i="16"/>
  <c r="S26" i="16"/>
  <c r="AE14" i="16"/>
  <c r="S24" i="16"/>
  <c r="AE22" i="16"/>
  <c r="AE7" i="16"/>
  <c r="AE32" i="16"/>
  <c r="AE10" i="16"/>
  <c r="AE13" i="16"/>
  <c r="S19" i="16"/>
  <c r="AE6" i="16"/>
  <c r="S16" i="16"/>
  <c r="AE21" i="16"/>
  <c r="S18" i="16"/>
  <c r="AV15" i="16"/>
  <c r="AQ6" i="16"/>
  <c r="AJ15" i="16"/>
  <c r="AE36" i="16"/>
  <c r="X15" i="16"/>
  <c r="S17" i="16"/>
  <c r="K15" i="16"/>
  <c r="AQ9" i="16"/>
  <c r="AE20" i="16"/>
  <c r="S15" i="16"/>
  <c r="AQ7" i="16"/>
  <c r="AE19" i="16"/>
  <c r="S10" i="16"/>
  <c r="AQ15" i="16"/>
  <c r="AE9" i="16"/>
  <c r="S9" i="16"/>
  <c r="AV11" i="16"/>
  <c r="AV12" i="16" s="1"/>
  <c r="AV14" i="16" s="1"/>
  <c r="AQ14" i="16"/>
  <c r="AJ11" i="16"/>
  <c r="AJ12" i="16" s="1"/>
  <c r="AJ14" i="16" s="1"/>
  <c r="AE31" i="16"/>
  <c r="X11" i="16"/>
  <c r="X12" i="16" s="1"/>
  <c r="X14" i="16" s="1"/>
  <c r="S8" i="16"/>
  <c r="K11" i="16"/>
  <c r="K12" i="16" s="1"/>
  <c r="K14" i="16" s="1"/>
  <c r="AQ11" i="16"/>
  <c r="S14" i="16"/>
  <c r="AQ8" i="16"/>
  <c r="AE30" i="16"/>
  <c r="S13" i="16"/>
  <c r="AQ10" i="16"/>
  <c r="AE8" i="16"/>
  <c r="S7" i="16"/>
  <c r="AQ13" i="16"/>
  <c r="AE17" i="16"/>
  <c r="S12" i="16"/>
  <c r="AE29" i="16"/>
  <c r="S11" i="16"/>
  <c r="AV5" i="16"/>
  <c r="AJ5" i="16"/>
  <c r="X5" i="16"/>
  <c r="K5" i="16"/>
  <c r="X5" i="15"/>
  <c r="X28" i="15"/>
  <c r="X29" i="15" s="1"/>
  <c r="X31" i="15" s="1"/>
  <c r="X32" i="15"/>
  <c r="S28" i="15"/>
  <c r="S25" i="15"/>
  <c r="S26" i="15"/>
  <c r="S24" i="15"/>
  <c r="S27" i="15"/>
  <c r="S23" i="15"/>
  <c r="AV11" i="15"/>
  <c r="AJ11" i="15"/>
  <c r="AJ12" i="15" s="1"/>
  <c r="X11" i="15"/>
  <c r="X12" i="15" s="1"/>
  <c r="X14" i="15" s="1"/>
  <c r="K11" i="15"/>
  <c r="S15" i="15"/>
  <c r="S16" i="15"/>
  <c r="S17" i="15"/>
  <c r="S18" i="15"/>
  <c r="S6" i="15"/>
  <c r="S7" i="15"/>
  <c r="S8" i="15"/>
  <c r="S9" i="15"/>
  <c r="S10" i="15"/>
  <c r="S11" i="15"/>
  <c r="S12" i="15"/>
  <c r="S13" i="15"/>
  <c r="S14" i="15"/>
  <c r="F21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AQ14" i="15" l="1"/>
  <c r="AE18" i="15"/>
  <c r="AE36" i="15"/>
  <c r="AE17" i="15"/>
  <c r="AE20" i="15"/>
  <c r="AE19" i="15"/>
  <c r="AE37" i="15"/>
  <c r="AE9" i="15"/>
  <c r="AE16" i="15"/>
  <c r="AE35" i="15"/>
  <c r="AE34" i="15"/>
  <c r="AE38" i="15"/>
  <c r="AE33" i="15"/>
  <c r="AE32" i="15"/>
  <c r="AE31" i="15"/>
  <c r="AE30" i="15"/>
  <c r="AE29" i="15"/>
  <c r="AE28" i="15"/>
  <c r="AE15" i="15"/>
  <c r="AE27" i="15"/>
  <c r="AE26" i="15"/>
  <c r="AE25" i="15"/>
  <c r="AE14" i="15"/>
  <c r="AQ13" i="15"/>
  <c r="AE13" i="15"/>
  <c r="AV15" i="15"/>
  <c r="AQ9" i="15"/>
  <c r="AJ15" i="15"/>
  <c r="AE8" i="15"/>
  <c r="X15" i="15"/>
  <c r="K15" i="15"/>
  <c r="AQ12" i="15"/>
  <c r="AE24" i="15"/>
  <c r="AQ17" i="15"/>
  <c r="AE12" i="15"/>
  <c r="AQ11" i="15"/>
  <c r="AE23" i="15"/>
  <c r="AV12" i="15"/>
  <c r="AV14" i="15" s="1"/>
  <c r="AQ7" i="15"/>
  <c r="AJ14" i="15"/>
  <c r="AE11" i="15"/>
  <c r="K12" i="15"/>
  <c r="K14" i="15" s="1"/>
  <c r="AQ10" i="15"/>
  <c r="AE7" i="15"/>
  <c r="AQ16" i="15"/>
  <c r="AE22" i="15"/>
  <c r="AQ8" i="15"/>
  <c r="AE6" i="15"/>
  <c r="AQ6" i="15"/>
  <c r="AE21" i="15"/>
  <c r="AQ15" i="15"/>
  <c r="AE10" i="15"/>
  <c r="AV5" i="15"/>
  <c r="AJ5" i="15"/>
  <c r="K5" i="15"/>
  <c r="W11" i="13" l="1"/>
  <c r="AU11" i="14"/>
  <c r="AU12" i="14" s="1"/>
  <c r="AU14" i="14" s="1"/>
  <c r="AI11" i="14"/>
  <c r="AI12" i="14" s="1"/>
  <c r="AI14" i="14" s="1"/>
  <c r="AD6" i="14"/>
  <c r="W5" i="13"/>
  <c r="R15" i="14"/>
  <c r="R9" i="14"/>
  <c r="R16" i="14"/>
  <c r="R7" i="14"/>
  <c r="R17" i="14"/>
  <c r="R18" i="14"/>
  <c r="R10" i="14"/>
  <c r="R19" i="14"/>
  <c r="R20" i="14"/>
  <c r="R11" i="14"/>
  <c r="R12" i="14"/>
  <c r="R13" i="14"/>
  <c r="R8" i="14"/>
  <c r="R21" i="14"/>
  <c r="R14" i="14"/>
  <c r="R22" i="14"/>
  <c r="F14" i="14"/>
  <c r="F15" i="14"/>
  <c r="F16" i="14"/>
  <c r="F17" i="14"/>
  <c r="F18" i="14"/>
  <c r="F7" i="14"/>
  <c r="F19" i="14"/>
  <c r="F20" i="14"/>
  <c r="F21" i="14"/>
  <c r="F22" i="14"/>
  <c r="F8" i="14"/>
  <c r="F10" i="14"/>
  <c r="F23" i="14"/>
  <c r="F11" i="14"/>
  <c r="F12" i="14"/>
  <c r="F24" i="14"/>
  <c r="F25" i="14"/>
  <c r="F13" i="14"/>
  <c r="F6" i="14"/>
  <c r="AD8" i="14"/>
  <c r="AD11" i="14"/>
  <c r="AD18" i="14"/>
  <c r="AD19" i="14"/>
  <c r="AD12" i="14"/>
  <c r="AD20" i="14"/>
  <c r="AD17" i="14"/>
  <c r="AD13" i="14"/>
  <c r="AD21" i="14"/>
  <c r="AD22" i="14"/>
  <c r="AD23" i="14"/>
  <c r="AD7" i="14"/>
  <c r="AD24" i="14"/>
  <c r="AD25" i="14"/>
  <c r="AD26" i="14"/>
  <c r="AD32" i="14"/>
  <c r="AD27" i="14"/>
  <c r="AD9" i="14"/>
  <c r="AD28" i="14"/>
  <c r="AD29" i="14"/>
  <c r="AD14" i="14"/>
  <c r="AD30" i="14"/>
  <c r="AD31" i="14"/>
  <c r="AD15" i="14"/>
  <c r="AD33" i="14"/>
  <c r="AD34" i="14"/>
  <c r="AD35" i="14"/>
  <c r="AD16" i="14"/>
  <c r="AD10" i="14"/>
  <c r="AP11" i="14"/>
  <c r="AP14" i="14"/>
  <c r="AP12" i="14"/>
  <c r="AP8" i="14"/>
  <c r="AP15" i="14"/>
  <c r="AP7" i="14"/>
  <c r="AP6" i="14"/>
  <c r="AP9" i="14"/>
  <c r="AP16" i="14"/>
  <c r="AP13" i="14"/>
  <c r="AP10" i="14"/>
  <c r="AU15" i="14"/>
  <c r="AI15" i="14"/>
  <c r="W15" i="14"/>
  <c r="K15" i="14"/>
  <c r="W11" i="14"/>
  <c r="W12" i="14" s="1"/>
  <c r="W14" i="14" s="1"/>
  <c r="K11" i="14"/>
  <c r="K12" i="14" s="1"/>
  <c r="K14" i="14" s="1"/>
  <c r="AU5" i="14"/>
  <c r="AI5" i="14"/>
  <c r="W5" i="14"/>
  <c r="K5" i="14"/>
  <c r="F9" i="13"/>
  <c r="R20" i="13"/>
  <c r="R27" i="13"/>
  <c r="R26" i="13"/>
  <c r="R25" i="13"/>
  <c r="R9" i="13"/>
  <c r="R8" i="13"/>
  <c r="R19" i="13"/>
  <c r="R18" i="13"/>
  <c r="R7" i="13"/>
  <c r="R17" i="13"/>
  <c r="R10" i="13"/>
  <c r="R11" i="13"/>
  <c r="R28" i="13"/>
  <c r="R12" i="13"/>
  <c r="R13" i="13"/>
  <c r="R14" i="13"/>
  <c r="R6" i="13"/>
  <c r="R21" i="13"/>
  <c r="R15" i="13"/>
  <c r="R22" i="13"/>
  <c r="R23" i="13"/>
  <c r="R16" i="13"/>
  <c r="R24" i="13"/>
  <c r="F18" i="13"/>
  <c r="F23" i="13"/>
  <c r="F17" i="13"/>
  <c r="F7" i="13"/>
  <c r="F6" i="13"/>
  <c r="F22" i="13"/>
  <c r="F16" i="13"/>
  <c r="F15" i="13"/>
  <c r="F14" i="13"/>
  <c r="F21" i="13"/>
  <c r="F13" i="13"/>
  <c r="F12" i="13"/>
  <c r="F20" i="13"/>
  <c r="F11" i="13"/>
  <c r="F10" i="13"/>
  <c r="F19" i="13"/>
  <c r="AI11" i="13" l="1"/>
  <c r="AI12" i="13" s="1"/>
  <c r="AI14" i="13" s="1"/>
  <c r="AU11" i="13"/>
  <c r="AU12" i="13" s="1"/>
  <c r="AU14" i="13" s="1"/>
  <c r="K11" i="13"/>
  <c r="K12" i="13" s="1"/>
  <c r="K14" i="13" s="1"/>
  <c r="W12" i="13"/>
  <c r="W14" i="13" s="1"/>
  <c r="AU15" i="13"/>
  <c r="W15" i="13"/>
  <c r="AU5" i="13"/>
  <c r="AI15" i="13"/>
  <c r="K15" i="13"/>
  <c r="AI5" i="13"/>
  <c r="K5" i="13"/>
  <c r="H45" i="12"/>
  <c r="R45" i="12"/>
  <c r="R11" i="12"/>
  <c r="H11" i="12"/>
  <c r="H15" i="12"/>
  <c r="B38" i="12"/>
  <c r="B4" i="12" l="1"/>
  <c r="H46" i="12"/>
  <c r="H48" i="12" s="1"/>
  <c r="L4" i="12"/>
  <c r="L38" i="12"/>
  <c r="R49" i="12"/>
  <c r="H49" i="12"/>
  <c r="R46" i="12"/>
  <c r="R48" i="12" s="1"/>
  <c r="R39" i="12"/>
  <c r="H39" i="12"/>
  <c r="R15" i="12"/>
  <c r="R12" i="12"/>
  <c r="R14" i="12" s="1"/>
  <c r="H12" i="12"/>
  <c r="H14" i="12" s="1"/>
  <c r="R5" i="12"/>
  <c r="H5" i="12"/>
  <c r="R46" i="11" l="1"/>
  <c r="R11" i="11"/>
  <c r="H11" i="11"/>
  <c r="R50" i="11" l="1"/>
  <c r="R47" i="11"/>
  <c r="R49" i="11" s="1"/>
  <c r="R40" i="11"/>
  <c r="L39" i="11"/>
  <c r="H50" i="11" l="1"/>
  <c r="H46" i="11"/>
  <c r="H47" i="11" s="1"/>
  <c r="H49" i="11" s="1"/>
  <c r="H40" i="11"/>
  <c r="B39" i="11"/>
  <c r="L4" i="11"/>
  <c r="R15" i="11"/>
  <c r="R12" i="11"/>
  <c r="R14" i="11" s="1"/>
  <c r="R5" i="11"/>
  <c r="H15" i="11" l="1"/>
  <c r="H12" i="11"/>
  <c r="H14" i="11" s="1"/>
  <c r="H5" i="11"/>
  <c r="B4" i="11"/>
  <c r="B3" i="10" l="1"/>
  <c r="H14" i="10"/>
  <c r="H10" i="10"/>
  <c r="H11" i="10" l="1"/>
  <c r="H13" i="10" s="1"/>
  <c r="H4" i="10"/>
  <c r="H10" i="9" l="1"/>
  <c r="H11" i="9" l="1"/>
  <c r="H13" i="9" s="1"/>
  <c r="H14" i="9"/>
  <c r="H4" i="9"/>
  <c r="H4" i="8" l="1"/>
  <c r="H10" i="8"/>
  <c r="H14" i="8" l="1"/>
  <c r="H11" i="8"/>
  <c r="H13" i="8" s="1"/>
  <c r="H14" i="7" l="1"/>
  <c r="H11" i="7"/>
  <c r="H13" i="7" s="1"/>
  <c r="H4" i="7"/>
  <c r="H14" i="6" l="1"/>
  <c r="H11" i="6"/>
  <c r="H13" i="6" s="1"/>
  <c r="H4" i="6"/>
  <c r="H14" i="5" l="1"/>
  <c r="H11" i="5"/>
  <c r="H13" i="5" s="1"/>
  <c r="H4" i="5"/>
  <c r="H14" i="4" l="1"/>
  <c r="H11" i="4"/>
  <c r="H13" i="4" s="1"/>
  <c r="H4" i="4"/>
  <c r="H14" i="3" l="1"/>
  <c r="H11" i="3" l="1"/>
  <c r="H13" i="3" s="1"/>
  <c r="H4" i="3"/>
  <c r="H11" i="2" l="1"/>
  <c r="H13" i="2" l="1"/>
  <c r="H4" i="2"/>
</calcChain>
</file>

<file path=xl/sharedStrings.xml><?xml version="1.0" encoding="utf-8"?>
<sst xmlns="http://schemas.openxmlformats.org/spreadsheetml/2006/main" count="3252" uniqueCount="641">
  <si>
    <t>No</t>
  </si>
  <si>
    <t>Id unit</t>
  </si>
  <si>
    <t>Retase</t>
  </si>
  <si>
    <t>Keterangan</t>
  </si>
  <si>
    <t>Accident</t>
  </si>
  <si>
    <t>Breakdown</t>
  </si>
  <si>
    <t>Standby</t>
  </si>
  <si>
    <t>Rata-rata retase per unit</t>
  </si>
  <si>
    <t>Total retase</t>
  </si>
  <si>
    <t>Unit aktif</t>
  </si>
  <si>
    <t>Alokasi unit</t>
  </si>
  <si>
    <t>Target retase per unit</t>
  </si>
  <si>
    <t>Achievment</t>
  </si>
  <si>
    <r>
      <t xml:space="preserve">Unit  </t>
    </r>
    <r>
      <rPr>
        <b/>
        <sz val="14"/>
        <color theme="5" tint="0.39997558519241921"/>
        <rFont val="Calibri"/>
        <family val="2"/>
        <scheme val="minor"/>
      </rPr>
      <t>KONTRAK BLOK 8</t>
    </r>
    <r>
      <rPr>
        <b/>
        <sz val="14"/>
        <color theme="0"/>
        <rFont val="Calibri"/>
        <family val="2"/>
        <scheme val="minor"/>
      </rPr>
      <t xml:space="preserve"> yang tidak mencapai target retase 09 Maret 2024</t>
    </r>
  </si>
  <si>
    <r>
      <t xml:space="preserve">Data Retase </t>
    </r>
    <r>
      <rPr>
        <b/>
        <sz val="12"/>
        <color theme="5" tint="0.39997558519241921"/>
        <rFont val="Calibri"/>
        <family val="2"/>
        <scheme val="minor"/>
      </rPr>
      <t>KONTRAK BLOK 8</t>
    </r>
    <r>
      <rPr>
        <b/>
        <sz val="12"/>
        <color theme="0"/>
        <rFont val="Calibri"/>
        <family val="2"/>
        <scheme val="minor"/>
      </rPr>
      <t>, 09 Maret 2024</t>
    </r>
  </si>
  <si>
    <t>C 287</t>
  </si>
  <si>
    <t>C 294</t>
  </si>
  <si>
    <t>C 296</t>
  </si>
  <si>
    <t>C 301</t>
  </si>
  <si>
    <t>C 302</t>
  </si>
  <si>
    <t>C 330</t>
  </si>
  <si>
    <t>C 347</t>
  </si>
  <si>
    <t>C 365</t>
  </si>
  <si>
    <t>C 378</t>
  </si>
  <si>
    <t>C 384</t>
  </si>
  <si>
    <t>C 393</t>
  </si>
  <si>
    <t>C 395</t>
  </si>
  <si>
    <t>C 396</t>
  </si>
  <si>
    <t>C 397</t>
  </si>
  <si>
    <t>C 398</t>
  </si>
  <si>
    <t>C 399</t>
  </si>
  <si>
    <t>C 516</t>
  </si>
  <si>
    <t>C 308</t>
  </si>
  <si>
    <t>C 382</t>
  </si>
  <si>
    <t>PECAH VLEG NO. 6;</t>
  </si>
  <si>
    <t>MACET LOADING POINT</t>
  </si>
  <si>
    <t xml:space="preserve">LAMP UTAMA KIRI KANAN MATI; STEL REM </t>
  </si>
  <si>
    <t>BOCOR BAN NO. 9 (PIT SINTA);</t>
  </si>
  <si>
    <t>LAS TAILGATE MANUAL;</t>
  </si>
  <si>
    <t>KOPLENG BERMASALAH;</t>
  </si>
  <si>
    <t>TAMBAH OLI HUB NO. 3.4;
STEL REM GENERAL;
TAMBAH AIR RADIATOR;</t>
  </si>
  <si>
    <t>BOCOR FILTER SOLAR ATAS; LAS PIPA SOLAR</t>
  </si>
  <si>
    <t>LOW POWER;
INDIKATOR ENGINE (KERUSAKAN BERULANG);</t>
  </si>
  <si>
    <t>BOCOR BAN NO. 6 (BLOK 8);</t>
  </si>
  <si>
    <t>LAMP UTAMA KANAN MATI;
STAND SARINGAN UDARA LONGGAR;</t>
  </si>
  <si>
    <t>SERVICE KM;
TAMBAH OLI RETARDER;\
LONGGAR BAUT TORQUE ROD;</t>
  </si>
  <si>
    <t>ADJUST REM GENERAL;
CEK KAMPAS REM GENERAL;</t>
  </si>
  <si>
    <t>Target</t>
  </si>
  <si>
    <t xml:space="preserve">Unit terdaftar </t>
  </si>
  <si>
    <r>
      <t xml:space="preserve">Unit  </t>
    </r>
    <r>
      <rPr>
        <b/>
        <sz val="14"/>
        <color theme="5" tint="0.39997558519241921"/>
        <rFont val="Calibri"/>
        <family val="2"/>
        <scheme val="minor"/>
      </rPr>
      <t>KONTRAK BLOK 8</t>
    </r>
    <r>
      <rPr>
        <b/>
        <sz val="14"/>
        <color theme="0"/>
        <rFont val="Calibri"/>
        <family val="2"/>
        <scheme val="minor"/>
      </rPr>
      <t xml:space="preserve"> yang tidak mencapai target retase </t>
    </r>
  </si>
  <si>
    <r>
      <t xml:space="preserve">Data Retase &amp; Operasinoal </t>
    </r>
    <r>
      <rPr>
        <b/>
        <sz val="12"/>
        <color theme="5" tint="0.39997558519241921"/>
        <rFont val="Calibri"/>
        <family val="2"/>
        <scheme val="minor"/>
      </rPr>
      <t>KONTRAK BLOK 8</t>
    </r>
  </si>
  <si>
    <t>Achievment Rata-Rata Retase</t>
  </si>
  <si>
    <t>Achievment Unit aktif</t>
  </si>
  <si>
    <t>C 297</t>
  </si>
  <si>
    <t>TARGET</t>
  </si>
  <si>
    <t>GANTI KAMPAS NO.1.2,4;</t>
  </si>
  <si>
    <t>READY JAM 10:11</t>
  </si>
  <si>
    <t>GANTI KARET STABLIZERE;
PERBAIKAN SPAKBAORD KIRI;</t>
  </si>
  <si>
    <t>GANTI TORQUE ROD ATAS;
CEK KAMPAS GENERAL;
STEL REM GENERAL;</t>
  </si>
  <si>
    <t>INDIKATOR ANGIN BERMASALAH KIRI;</t>
  </si>
  <si>
    <t>BOCOR SELANG ANGIN;</t>
  </si>
  <si>
    <t>BOCOR RADIATOR (KM 2);</t>
  </si>
  <si>
    <t>LOW POWER;
MATI LAMPU UTAMA KANAN;
LONGGAR BAUT SOK KABIN;</t>
  </si>
  <si>
    <t>GANTI KAMPAS REM NO,. 3,,7;</t>
  </si>
  <si>
    <t>PATAH BAUT RODA TROMOL NO. 9; BOCOR BAN</t>
  </si>
  <si>
    <t>TAMBAH OLI RETARDER;
STEL REM GENERAL;</t>
  </si>
  <si>
    <t>INDKATOR DUMO MENYALA;
BAR FUEL BERMASALAH;</t>
  </si>
  <si>
    <t xml:space="preserve">PATAH BAUT RODA TROMOL NO. 8;
</t>
  </si>
  <si>
    <t>PERBAIKAN TAEL GATE OTOMATIS</t>
  </si>
  <si>
    <t>SERVCIE KM; BOCOR BAN</t>
  </si>
  <si>
    <t>10 MARET 2024</t>
  </si>
  <si>
    <t>12  MARET 2024</t>
  </si>
  <si>
    <t>C 293</t>
  </si>
  <si>
    <t>C 295</t>
  </si>
  <si>
    <t>SIEL HUB BOCOR;
STEL REM GENERAL;</t>
  </si>
  <si>
    <t>BOCOR BAN NO. 9;</t>
  </si>
  <si>
    <t>KAMPAS REM NO. 4 GANTI;
STEL REM NO. 3;</t>
  </si>
  <si>
    <t>PATAH BAUT RODA TROMOL NO.8;</t>
  </si>
  <si>
    <t>REM TROMOL NO. 2 BERMASALAH;
CEK REM GENERAL;
STEL REM GENERAL;</t>
  </si>
  <si>
    <t>MACET PABRIK</t>
  </si>
  <si>
    <t>LAS VESEL;</t>
  </si>
  <si>
    <t>TAMBAH OLI REATRDER;</t>
  </si>
  <si>
    <t>BOCOR BAN NO. 8.12;</t>
  </si>
  <si>
    <t>BOCOR BAN NO. 11,12</t>
  </si>
  <si>
    <t>13  MARET 2024</t>
  </si>
  <si>
    <t>MACET LAODING POINT</t>
  </si>
  <si>
    <t>PERBAIKAN PINTU VESEL;</t>
  </si>
  <si>
    <t>KEBOCORAN SELANG ANGIN BELAKANG;</t>
  </si>
  <si>
    <t>PATAH BAUT RODA TROMOL NO. 5.8;
GANTI KARET STOPER  KIRI KANA;
STEL REM GENERAL;</t>
  </si>
  <si>
    <t>PATAH BAUT RODA TROMOL NO. 7;</t>
  </si>
  <si>
    <t>LOW POWER;</t>
  </si>
  <si>
    <t>BOCOR BAN NO. 5 (CBB 1);</t>
  </si>
  <si>
    <t>15  MARET 2024</t>
  </si>
  <si>
    <t>RAPIKAN SPRING DEPAN KANAN</t>
  </si>
  <si>
    <t>UNIT READY SIANG</t>
  </si>
  <si>
    <t>BOCOR BAN NO. 2;</t>
  </si>
  <si>
    <t>STEL REM GENERAL</t>
  </si>
  <si>
    <t>GANTI KARET TORQUE ROD BAWAH KANAN;</t>
  </si>
  <si>
    <t xml:space="preserve">MENETES OLI D GARDAN BELAKANG;
GANTI KARET  STOPER TENGAH SEBELAH KANAN;
</t>
  </si>
  <si>
    <t>TAMBAH OLI RETARDER;
LAMP UTAMA KIRI MATI;
STEL REM GENERAL;
CEK KAMPAS GENERAL;</t>
  </si>
  <si>
    <t>16  MARET 2024</t>
  </si>
  <si>
    <t>GANTI KARET TORQROAD GENERAL
GANTI BAUT RODA TROMOL NOMOR NO 4</t>
  </si>
  <si>
    <t>GANTI KAMPAS REM NO. 1;
CEK ADJUSTER NO. 3;
GANTI KARET SHOCKBREKER DEPAN KANAN;</t>
  </si>
  <si>
    <t xml:space="preserve">GANTI KAMPAS REM NO 8;
REM TROMOL NO 6 BERMASALA;
</t>
  </si>
  <si>
    <t>PATAH DRAIN COOK TABUNG ANGIN;
CEK KAMPAS REM GENERAL;
STEL REM GENERAL;
CENTER BOLT BELAKANG KIRI PATAH;</t>
  </si>
  <si>
    <t>BOCOR BAN NO. 5 (KM 20)</t>
  </si>
  <si>
    <t>TAMBAH OLI RETARDER;
REM PARKIR TIDAK NORMAL</t>
  </si>
  <si>
    <t>BOCOR BAN NO. 4</t>
  </si>
  <si>
    <t>BOCOR BAN NO. 2.11</t>
  </si>
  <si>
    <t>SELANG ANGIN PUTUS(MES MEMEI);</t>
  </si>
  <si>
    <t>17  MARET 2024</t>
  </si>
  <si>
    <t>PATAH SPRING
DINAMO KABIN LEPAS</t>
  </si>
  <si>
    <t>PECAH VLEG NO. 5; PATAH BAUT RODA TROMOL NO.5;</t>
  </si>
  <si>
    <t>LAS KNALPOT BONGKAR PASANG MUFLER</t>
  </si>
  <si>
    <t>BOCOR BAN NO 12</t>
  </si>
  <si>
    <t>DRIVER SAKIT (KECELAKAAN KERJA)</t>
  </si>
  <si>
    <t>GANTI KAMPAS NO. 6; SIL HUB KANAN BOCOR; (UNIT READY PAGI)</t>
  </si>
  <si>
    <t>GANTI BAN NO 9 &amp; 10 PATAH BAUT TROMOL NO 7 (2 PCS) GREASE PELUMASAN</t>
  </si>
  <si>
    <t>KAMPAS REM TROMOL NO 7 LENGKET</t>
  </si>
  <si>
    <t>GANTI BAN NO 12</t>
  </si>
  <si>
    <t>SOLAR TIDAK CUKUP</t>
  </si>
  <si>
    <t>18  MARET 2024</t>
  </si>
  <si>
    <t xml:space="preserve"> C 301</t>
  </si>
  <si>
    <t xml:space="preserve"> C 330</t>
  </si>
  <si>
    <t>PATAH SPRING DEPAN NO. 4;
SHOCKBREKER PATAH KANAN DEPAN;
REM NO. 3.5 BERMASALAH;
KARET TORQUE ROD ATAS;
ADA KEBOCORAN HOSE ANGIN;</t>
  </si>
  <si>
    <t xml:space="preserve">BOCOR HOSE ANGIN;
</t>
  </si>
  <si>
    <t>PATAH BAUT RODA TROMOL NO 4 ( 3 PCS);
TAMBAH OLI POWER STEARING;
REM TROMOL NO 1, DAN 2 KURANG MENAHAN;
STEL REM TROMOL NO 3,4,5 DAN 6;
CEK BUSHING TORQUEROD ALL</t>
  </si>
  <si>
    <t>U BOLT SPRING BELANG KIRI PUTUS
CEK CENTER SPRING BELANG KIRI</t>
  </si>
  <si>
    <t>PECAH VLEG NO, 5;</t>
  </si>
  <si>
    <t>PATAH BAUT RODA TROMOL NO. 7; TAMBAH FREON</t>
  </si>
  <si>
    <t>SEAL HUB BOCOR</t>
  </si>
  <si>
    <t>GANTI TORQUE ROD ATAS;</t>
  </si>
  <si>
    <t>GANTI VLEG NO. 6; BOCOR BAN NO. 6;</t>
  </si>
  <si>
    <t>CEK KAMPAS GENERAL;
STEL REM GENERAL
BERSIHKAN AIR CLINER;
TAMBAH OLI RETARDER;</t>
  </si>
  <si>
    <t>GANTI BAN NO. 9 DAN 10; BOCOR BAN NO 9, CEK VELG CRACK</t>
  </si>
  <si>
    <t>RAPIKAN SPRING DEPAN KANAN;</t>
  </si>
  <si>
    <t>PATAH BAUT RODA TROMOL NO. 7 (2 PCS);</t>
  </si>
  <si>
    <t>BOCOR BAN NO. 8;</t>
  </si>
  <si>
    <t>BOCOR BAN NO 3</t>
  </si>
  <si>
    <t>LAMPU UTAMA KANAN;
KLAKSON MATI;</t>
  </si>
  <si>
    <t>PATAH BAUT RODA TROMOL  NO 8
SETEL REM GENERAL
CEK KAMPAS NO 1 DAN 3</t>
  </si>
  <si>
    <t>LAS SPAKBOARD</t>
  </si>
  <si>
    <t>MACET/ANTRI LOADING POINT</t>
  </si>
  <si>
    <r>
      <t>Unit</t>
    </r>
    <r>
      <rPr>
        <b/>
        <sz val="14"/>
        <color theme="7" tint="0.39997558519241921"/>
        <rFont val="Calibri"/>
        <family val="2"/>
        <scheme val="minor"/>
      </rPr>
      <t xml:space="preserve"> KBM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</si>
  <si>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r>
      <t xml:space="preserve">Data Retase &amp; Operasional </t>
    </r>
    <r>
      <rPr>
        <b/>
        <sz val="12"/>
        <color theme="7" tint="0.39997558519241921"/>
        <rFont val="Calibri"/>
        <family val="2"/>
        <scheme val="minor"/>
      </rPr>
      <t>KBM</t>
    </r>
  </si>
  <si>
    <t>G 507</t>
  </si>
  <si>
    <t>G 389</t>
  </si>
  <si>
    <t>G 392</t>
  </si>
  <si>
    <t>G 501</t>
  </si>
  <si>
    <t>G 505</t>
  </si>
  <si>
    <t>G 514</t>
  </si>
  <si>
    <t>Achievment Unit Aktif</t>
  </si>
  <si>
    <t>G 394</t>
  </si>
  <si>
    <t>G 509</t>
  </si>
  <si>
    <t>G 511</t>
  </si>
  <si>
    <t>G 513</t>
  </si>
  <si>
    <t>G 387</t>
  </si>
  <si>
    <t>G 510</t>
  </si>
  <si>
    <t>KBM</t>
  </si>
  <si>
    <r>
      <t xml:space="preserve">Unit </t>
    </r>
    <r>
      <rPr>
        <b/>
        <sz val="14"/>
        <color theme="5" tint="0.39997558519241921"/>
        <rFont val="Calibri"/>
        <family val="2"/>
        <scheme val="minor"/>
      </rPr>
      <t>RENTAL BLOK 8</t>
    </r>
    <r>
      <rPr>
        <b/>
        <sz val="14"/>
        <color theme="0"/>
        <rFont val="Calibri"/>
        <family val="2"/>
        <scheme val="minor"/>
      </rPr>
      <t xml:space="preserve"> yang tidak mencapai target retase </t>
    </r>
  </si>
  <si>
    <r>
      <t xml:space="preserve">Data Retase &amp; Operasinoal </t>
    </r>
    <r>
      <rPr>
        <b/>
        <sz val="12"/>
        <color theme="5" tint="0.39997558519241921"/>
        <rFont val="Calibri"/>
        <family val="2"/>
        <scheme val="minor"/>
      </rPr>
      <t>RENTAL BLOK 8</t>
    </r>
  </si>
  <si>
    <t>Unit terdaftar</t>
  </si>
  <si>
    <t>C 343</t>
  </si>
  <si>
    <t>C 346</t>
  </si>
  <si>
    <t>C 337</t>
  </si>
  <si>
    <t>C 344</t>
  </si>
  <si>
    <t>Tekor solar</t>
  </si>
  <si>
    <t>C 348</t>
  </si>
  <si>
    <t>C 349</t>
  </si>
  <si>
    <t>C 334</t>
  </si>
  <si>
    <t>C 335</t>
  </si>
  <si>
    <t>C 336</t>
  </si>
  <si>
    <t>C 339</t>
  </si>
  <si>
    <t>C 340</t>
  </si>
  <si>
    <t>C 342</t>
  </si>
  <si>
    <t>C 352</t>
  </si>
  <si>
    <t>C 353</t>
  </si>
  <si>
    <t>C 355</t>
  </si>
  <si>
    <t>C 326</t>
  </si>
  <si>
    <r>
      <t>Unit</t>
    </r>
    <r>
      <rPr>
        <b/>
        <sz val="14"/>
        <color theme="5" tint="0.39997558519241921"/>
        <rFont val="Calibri"/>
        <family val="2"/>
        <scheme val="minor"/>
      </rPr>
      <t xml:space="preserve"> FEEDING</t>
    </r>
    <r>
      <rPr>
        <b/>
        <sz val="14"/>
        <color theme="0"/>
        <rFont val="Calibri"/>
        <family val="2"/>
        <scheme val="minor"/>
      </rPr>
      <t xml:space="preserve"> yang tidak mencapai target retase </t>
    </r>
  </si>
  <si>
    <r>
      <t>Data Retase &amp; Operasional</t>
    </r>
    <r>
      <rPr>
        <b/>
        <sz val="12"/>
        <color theme="5" tint="0.39997558519241921"/>
        <rFont val="Calibri"/>
        <family val="2"/>
        <scheme val="minor"/>
      </rPr>
      <t xml:space="preserve"> FEEDING</t>
    </r>
    <r>
      <rPr>
        <b/>
        <sz val="12"/>
        <color theme="0"/>
        <rFont val="Calibri"/>
        <family val="2"/>
        <scheme val="minor"/>
      </rPr>
      <t xml:space="preserve"> </t>
    </r>
  </si>
  <si>
    <t>C 370</t>
  </si>
  <si>
    <t>C 358</t>
  </si>
  <si>
    <t>C 366</t>
  </si>
  <si>
    <t>C 368</t>
  </si>
  <si>
    <t>C 373</t>
  </si>
  <si>
    <t>C 357</t>
  </si>
  <si>
    <t>C 359</t>
  </si>
  <si>
    <t>C 361</t>
  </si>
  <si>
    <t>C 362</t>
  </si>
  <si>
    <t>C 369</t>
  </si>
  <si>
    <t>C 371</t>
  </si>
  <si>
    <t>C 375</t>
  </si>
  <si>
    <t>C 363</t>
  </si>
  <si>
    <t>KONTRAK BLOK 8</t>
  </si>
  <si>
    <t>RENTAL BLOK 8</t>
  </si>
  <si>
    <t>FEEDING</t>
  </si>
  <si>
    <t xml:space="preserve"> C 293</t>
  </si>
  <si>
    <t>G 383</t>
  </si>
  <si>
    <t>G 385</t>
  </si>
  <si>
    <t>G 391</t>
  </si>
  <si>
    <t>G 390</t>
  </si>
  <si>
    <t>G 388</t>
  </si>
  <si>
    <t>G 500</t>
  </si>
  <si>
    <t>G 502</t>
  </si>
  <si>
    <t>G 504</t>
  </si>
  <si>
    <t xml:space="preserve"> G 506</t>
  </si>
  <si>
    <t xml:space="preserve"> G 508</t>
  </si>
  <si>
    <t>G 528</t>
  </si>
  <si>
    <t>G 529</t>
  </si>
  <si>
    <t>G 530</t>
  </si>
  <si>
    <t>G 534</t>
  </si>
  <si>
    <t>G 531</t>
  </si>
  <si>
    <t xml:space="preserve"> C 367</t>
  </si>
  <si>
    <t xml:space="preserve"> C 374</t>
  </si>
  <si>
    <t>C 262</t>
  </si>
  <si>
    <t>C 333</t>
  </si>
  <si>
    <t>CENTER SPRING KIRI BELAKANG PATAH;
BAUT STABILIZER BELAKANG KIRI PATAH;
BAUT RODA TROMOL NO 3 DOL;
LAMPU UTAMA KIRI MATI;
TAMBAH OLI HUB;
REM TROMOL NO 5 TIDAK MENAHAN</t>
  </si>
  <si>
    <t>RAPIHKAN SPRING DEPAN KIRI; STEL REM GENERAL, LAMPU UTAMA KANAN MATI</t>
  </si>
  <si>
    <t xml:space="preserve">LAMPU UTAMA KIRI DAN KANAN MATI;
</t>
  </si>
  <si>
    <t>BOCOR BAN NO 11</t>
  </si>
  <si>
    <t>BAUT SEAT SPRING KIRI BELAKANG JATUH</t>
  </si>
  <si>
    <t>GANTI BAN NO 3</t>
  </si>
  <si>
    <t>COVER HUB NO 1 BOCOR;
PATAH BAUT RODA TROMOL NO 6;
STOPLAMP KIRI DAN KANAN MATI</t>
  </si>
  <si>
    <t>TAMBAH OLI RETARDER; STEL REM GENERAL; BOCOR BAN NO 5 (PABRIK)</t>
  </si>
  <si>
    <t>BOCOR BAN NO. 5 (JALAN COR CORAN);</t>
  </si>
  <si>
    <t>BOCOR BAN NO 9 DA 10 (LINE 19)</t>
  </si>
  <si>
    <t xml:space="preserve">ANTRI/MACET DI PABRIK </t>
  </si>
  <si>
    <t>CEK KAMPAS REM GENERAL;
TAMBAH OLI RETARDER;
CEK BAUT TORQUEROD ATAS DAN BAWAH;</t>
  </si>
  <si>
    <t>PATAH SPRING DINAMO KABIN LEPAS</t>
  </si>
  <si>
    <t>PATAH BAUT RODA TROMOL NO 6;
LAMPU UTAMA KANAN MATI</t>
  </si>
  <si>
    <t>TAMBAH MINYAK KOPLENG;</t>
  </si>
  <si>
    <t>CLIP SPRING RR2 RH &amp; LH;
CEK TROMOL ALL;
STEL REM GENERAL</t>
  </si>
  <si>
    <t>SETEL REM SPAKBOAR KIRI RUSAK TOKRUT KANAN,BAWAH,BELAKANG CEK LAMPU REM CEK LAMPU WESER KIRI KANAN DAN BELAKANG</t>
  </si>
  <si>
    <t>PATAH BAUT RODA TROMOL NO. 7;
SEMPROT SARINGAN UDARA</t>
  </si>
  <si>
    <t>REM DEPAN BERMASALAH;
TAMBAH OLI RETARDER</t>
  </si>
  <si>
    <t>BOCOR BAN NO. 3 (KBM);</t>
  </si>
  <si>
    <t>LOW POWER;
TAMBAH OLI RETARDER;
STEL REM GENERAL</t>
  </si>
  <si>
    <t>PATAH BAUT RODA TROMOL NO 5</t>
  </si>
  <si>
    <t>BERSIHKAN SARINGAN UDARA;
STEL REM GENERAL</t>
  </si>
  <si>
    <t>PATAH BAUT RODA TROMOL NOMOR 7</t>
  </si>
  <si>
    <t>BOCOR BAN NO 9</t>
  </si>
  <si>
    <t>TEST UNIT (GROUND TEST)</t>
  </si>
  <si>
    <t>DRIVER KECAPEAN (TIDAK CUKUP WAKTU UNTUK DIGANTI)</t>
  </si>
  <si>
    <t>G 517</t>
  </si>
  <si>
    <t>G 518</t>
  </si>
  <si>
    <t>G 519</t>
  </si>
  <si>
    <t>G 520</t>
  </si>
  <si>
    <t>G 522</t>
  </si>
  <si>
    <t>G 525</t>
  </si>
  <si>
    <t>G 526</t>
  </si>
  <si>
    <t>G 532</t>
  </si>
  <si>
    <t>C 374</t>
  </si>
  <si>
    <t>C 367</t>
  </si>
  <si>
    <t>G 506</t>
  </si>
  <si>
    <t>G 508</t>
  </si>
  <si>
    <t>BOLT HUB BERMASALAH (KM 2)</t>
  </si>
  <si>
    <t>BOCOR BAN NO11 (LOADINGPOINT KBM)</t>
  </si>
  <si>
    <t>RAPIKAN SPRING DEPAN KANAN;
STEL REM GENERAL;
TAMBAH OLI HUB;</t>
  </si>
  <si>
    <t>LAS PINTU VESEL;</t>
  </si>
  <si>
    <t>BOCOR BAN NO, 11 (PEMBUANGAN LIMBAH FID)</t>
  </si>
  <si>
    <t>GANTI KAMPAS REM NO 5;</t>
  </si>
  <si>
    <t>GANTI BAN NO. 7</t>
  </si>
  <si>
    <t>SUSPENSI KABIN KANAN BOCOR;</t>
  </si>
  <si>
    <t>PATAH SPING NO. 4 DEPAN KANAN;
PAKING BREAKE TIDAK MENAHAN;</t>
  </si>
  <si>
    <t>PATAH SPRING NO 2 BELAKANG KIRI</t>
  </si>
  <si>
    <t>BOCOR BAN NO. 7 (JALAN BARU);</t>
  </si>
  <si>
    <t>BOCOR PIPA SOLAR BAGIAN BAWAH CABIN (SEBELEUM MES CHINA)</t>
  </si>
  <si>
    <t>PATAH CENTER BOLT KIRI BELAKANG</t>
  </si>
  <si>
    <t>TEKOR ANGIN; BOCOR SELANG ANGIN; (KM 2);</t>
  </si>
  <si>
    <t>HANDLE GEAR LEPAS (POS 2);</t>
  </si>
  <si>
    <t>BOCOR BAN NO, 10;</t>
  </si>
  <si>
    <t>LAMPU UTAMA KIRI MATI</t>
  </si>
  <si>
    <t>CEK TAILGATE MANUAL</t>
  </si>
  <si>
    <t>ISTIRAHAT SHOLAT JUMAT (SAMPLE TIMBANGAN TUTUP JAM 11:00 BUKA JAM 13:00)</t>
  </si>
  <si>
    <t xml:space="preserve"> </t>
  </si>
  <si>
    <t>G 319</t>
  </si>
  <si>
    <t>G 320</t>
  </si>
  <si>
    <t>G 379</t>
  </si>
  <si>
    <t>G 381</t>
  </si>
  <si>
    <t>G 524</t>
  </si>
  <si>
    <t>G 533</t>
  </si>
  <si>
    <t>G 535</t>
  </si>
  <si>
    <t>G 357</t>
  </si>
  <si>
    <t>G 358</t>
  </si>
  <si>
    <t>G 359</t>
  </si>
  <si>
    <t>G 361</t>
  </si>
  <si>
    <t>G 367</t>
  </si>
  <si>
    <t>G 368</t>
  </si>
  <si>
    <t>G 369</t>
  </si>
  <si>
    <t>G 370</t>
  </si>
  <si>
    <t>G 371</t>
  </si>
  <si>
    <t>G 373</t>
  </si>
  <si>
    <t>G 374</t>
  </si>
  <si>
    <t>G 375</t>
  </si>
  <si>
    <t>C 318</t>
  </si>
  <si>
    <t>C 324</t>
  </si>
  <si>
    <t>C 327</t>
  </si>
  <si>
    <t>C 328</t>
  </si>
  <si>
    <t>C 331</t>
  </si>
  <si>
    <t>C 338</t>
  </si>
  <si>
    <t>C 360</t>
  </si>
  <si>
    <t>C 376</t>
  </si>
  <si>
    <r>
      <t>Unit</t>
    </r>
    <r>
      <rPr>
        <b/>
        <sz val="14"/>
        <color rgb="FFFFC000"/>
        <rFont val="Calibri"/>
        <family val="2"/>
        <scheme val="minor"/>
      </rPr>
      <t xml:space="preserve"> RENTAL BLOK 8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</si>
  <si>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t>BOCOR BAN NO, 5 (KM 17); BOCOR BAN NO 8</t>
  </si>
  <si>
    <t>KENCANGKAN BAUT TANKI;
KENCANGKAN BAUT CHASIS;</t>
  </si>
  <si>
    <t>BAUT U BOLT SPRING DEPAN JATUH (BLOK 5 DEKAT PENGISIAN FUEL)</t>
  </si>
  <si>
    <t>BOCOR BAN NO. 5;</t>
  </si>
  <si>
    <t>TAMBAH OLI HUB;
KAMPAS TROMOL NO. 4 BERMASALAH;
STEL REM GENERAL;</t>
  </si>
  <si>
    <t>GREASE PELUMASAN, KLAKSON MATI; RADIO BERMASALAH;</t>
  </si>
  <si>
    <t>GANTI BAN NO. 5,6;</t>
  </si>
  <si>
    <t>BOCOR BAN NO, 12 (BLOK 5);</t>
  </si>
  <si>
    <t>PATAH BAUT RODA TROMOL NO 7;
LAMPU UTAMA KANAN MATI;
STEL REM GENERAL</t>
  </si>
  <si>
    <t>PATAH BAUT TROMOLNO. 8;
STEL REM GENERAL;</t>
  </si>
  <si>
    <t>RETARDER KURANG MENAHAN;
LOW POWER</t>
  </si>
  <si>
    <t>LOW POWER;
RETARDER KURANG MENAHAN;
DIFFLOCK BERMASALAH (DOUBLE BERAT TIDAK BERFUNGSI;
SHOCK DEPAN KIRI BERMASALAH;
STEL REM GENERAL</t>
  </si>
  <si>
    <t>PERBAIKAN SPAKBOAR KANAN DEPAN;
BAUNG ANGIN KOPLENG;</t>
  </si>
  <si>
    <t>LAS SPAKBOARD KIRI KANAN;</t>
  </si>
  <si>
    <t>STEL REM GENERAL;</t>
  </si>
  <si>
    <t>PATAH SPRING KIRI BELAKANG (PABRIK KE ARAH QMB)</t>
  </si>
  <si>
    <t>WIPER BERMASALAH;
LAMPU UTAMA KANAN BURAM;</t>
  </si>
  <si>
    <t>BOCOR BAN NO. 6; STEL REM GENERAL;</t>
  </si>
  <si>
    <t>RETAL VLEG NO. 12;</t>
  </si>
  <si>
    <t>PATAH TORQUEROD TENGAH (KBM C)</t>
  </si>
  <si>
    <t>MELEDAK BAN NO, 6;</t>
  </si>
  <si>
    <t>TROMOL NO 5 BERMASALAH
TAMBAH OLI RETARDER
TAMBAH OLI POWER STEERING</t>
  </si>
  <si>
    <t>BOCOR BAN NO 10</t>
  </si>
  <si>
    <t>CEK UNIT COMMISIONING; PATAH BOLT HUB</t>
  </si>
  <si>
    <t>PATAH BAUT RODA TROMOL NO 6, GANTI BAN NO 11 DAN 12</t>
  </si>
  <si>
    <t>BOCOR TABUNG ANGIN (LINE 7);
PER NO,.1 PATAH RODA NO. 3;
CEK KAMPAS REM GENERA;
STEL REM GENERAL;
TAMBAH OLI RETARDER;</t>
  </si>
  <si>
    <t>PATAH BAUT RODA TROMOL NO 5,6 DAN 7;
GANTI KARET STOPPER;
BERSIHKAN AIR CLEANER</t>
  </si>
  <si>
    <t>PATAH SPRING NO 8 BELAKANG KANAN;
STEL REM GENERAL</t>
  </si>
  <si>
    <t>RAPIKAN SPRING TENGAH KIRI, REPAIR MUZZFLER</t>
  </si>
  <si>
    <t>ELECTRIC ENGINE BERMASALAH (KERUSAKAN BERULANG)</t>
  </si>
  <si>
    <t>HUJAN JALAN LICIN</t>
  </si>
  <si>
    <t>CEK VESSEL DAN TAILGATE</t>
  </si>
  <si>
    <t>JAM KELUAR</t>
  </si>
  <si>
    <t>JAM MASUK</t>
  </si>
  <si>
    <t>TOTAL JAM KERJA</t>
  </si>
  <si>
    <t>UNIT RUSAK DIJALAN</t>
  </si>
  <si>
    <t>G 362</t>
  </si>
  <si>
    <t>G 521</t>
  </si>
  <si>
    <t>BREAKDOWN DIJALAN</t>
  </si>
  <si>
    <t>UNIT BREAKDOWN DIJALAN</t>
  </si>
  <si>
    <t>LOW POWER;
TAMBAH OLI RETARDER;
CEK KAMPAS REM GENERAL;</t>
  </si>
  <si>
    <t>BOCOR BAN NO,.4 (DEKAT PENCUCIAN);</t>
  </si>
  <si>
    <t>BOCOR BAN NO, 6 (KM 21);</t>
  </si>
  <si>
    <t>CEK KAMPAS REM GENERAL;
SERVICE KM 5.0000;
TAMBAH OLI RETARDER</t>
  </si>
  <si>
    <t>PATAH BAUT RODA TROMOL NO,. 5;
CEK RODA TROMOL NO. 7;
STEL REM GENERAL;;</t>
  </si>
  <si>
    <t>PTO BERMASALAH
TAMBA OIL HUB NI 1,2,3</t>
  </si>
  <si>
    <t>BOCOR HOSE RETARDER (KONTEIBNER 4);</t>
  </si>
  <si>
    <t>PERBAIKAN TAILGATE MANUAL;</t>
  </si>
  <si>
    <t>TAMBAH OLI RETARDER;
EXHAUTS BRAKE BOCOR;
GANTI NIPLE PER;</t>
  </si>
  <si>
    <t>BOCOR BAN NO 11 (PERTIGAAN KBMC LAMA)</t>
  </si>
  <si>
    <t>PECAH BEARING DEPAN (QMB)</t>
  </si>
  <si>
    <t>BOCOR BAN NO.3 (STOCKPILE  KM 8);</t>
  </si>
  <si>
    <t>BOCOR BAN NO. 11 (QMB);</t>
  </si>
  <si>
    <t>LAS TAILGATE OTOMATIS;</t>
  </si>
  <si>
    <t>PATAH TRUNION (KM 19)</t>
  </si>
  <si>
    <t>TABUNG ANGIN BOCOR</t>
  </si>
  <si>
    <t>PATAH PER NO, 7 KIRI BELAKANG;
SENSOR ANGIN BERMASALAH;
TAMBAH AIR RADIATOR;
TAMBAH OLI HUB;</t>
  </si>
  <si>
    <t>KAMPAS REM NO. 7 LEPAS;</t>
  </si>
  <si>
    <t>BOCOR BAN NO 9 10</t>
  </si>
  <si>
    <t xml:space="preserve">GANTI V-BELT;
CEK ENGINE;
</t>
  </si>
  <si>
    <t>PERBAIKAN TAILGATE MANUAL &amp; OTOMATIS;</t>
  </si>
  <si>
    <t>PATAH CENTER PEN KIRI BELAKANG;
GANTI KAARET STOPER TENGAH BELAKANG;
KEBOCORAN AIR RADIATOR KE TRANSMISI;
BOCOR HUB NO,1,2,3;</t>
  </si>
  <si>
    <t>LAMPU BELAKANG KANAN MATI;
TAMBAH AIR RADIATOR;
ANGIN TEKKOR;</t>
  </si>
  <si>
    <t>FILTER OLI RETARDER BOCOR; BOCO HOSE ANGIN;</t>
  </si>
  <si>
    <t>WIPER BERMASALAH</t>
  </si>
  <si>
    <t>ANTRI/MACET DI PABRIK</t>
  </si>
  <si>
    <t>CEK BATU DI SELA BAN</t>
  </si>
  <si>
    <t>UNIT BREAKDOWN DIJALAN TGL 23, DAN READY TANGGAL 24  (SIANG)</t>
  </si>
  <si>
    <t>G 386</t>
  </si>
  <si>
    <t>C 310</t>
  </si>
  <si>
    <t>PATAH BAUT RODA TROMOL NO. 5;</t>
  </si>
  <si>
    <t>BOCOR BAN NO 4 (KM 10), GANTI BAN NO. 7.8;</t>
  </si>
  <si>
    <t>BOCOR BAN NO,10;
CEK BAN NO. 5.6;</t>
  </si>
  <si>
    <t>BOCOR SELANG TABUNG ANGIN; GANTI BAN NO 5</t>
  </si>
  <si>
    <t>PATAH BAUT RODA TROMOL NO. 8; BOCOR BAN NO, 12;</t>
  </si>
  <si>
    <t>GANTI KAMPAS REM NO. 3;</t>
  </si>
  <si>
    <t>TAMBAH FREON,  TAMBAH OLI ENGINE;</t>
  </si>
  <si>
    <t xml:space="preserve">STEL REM GENERAL;
</t>
  </si>
  <si>
    <t>BAUT SEAT SPRING BELAKANG KITI PATAH;</t>
  </si>
  <si>
    <t>PATAH SPRING NO. 1 BELAKANG KIRI;
STEL REM  GENERAL;</t>
  </si>
  <si>
    <t xml:space="preserve">- LAMPU UTAMA KANAN MATI
- RAPIKAN SPRING TENGAH KANAN
- BAUT SET SPRING BELAKANG KIRI PATAH
- PEMASANGAN KARET STOPER GARDAN KIRI
</t>
  </si>
  <si>
    <t>BAUT SEAT SPRING KANAN DEPAN BELAKANG;
GANTI MUFFLER;</t>
  </si>
  <si>
    <t>CEK ADJUSTER 3.4.5.6;
STEL REM  GENERAL;</t>
  </si>
  <si>
    <t xml:space="preserve">PATAH PER DEPAN KIRI NO. 3;
PATAH PER NO. 6 KANAN;
ANGIN TEKKOR;
TAMBAH OLI HUB TROMOL NO. 3.4;
STEL REM 1,2,3,4;
</t>
  </si>
  <si>
    <t>PATAH PER NO. 4.8 BELAKANG KANAN;</t>
  </si>
  <si>
    <t>BOCOR BAN NO, 4 (LOADING POINT BLOK 8)</t>
  </si>
  <si>
    <t>LAS PINTU VESSEL (PATAH)</t>
  </si>
  <si>
    <t>GANTI KAMPAS REM TROMOL NO 6 &amp; 7
MINTA AIR COOLANT</t>
  </si>
  <si>
    <t>PATAH BAUT RODA TROMOL NO 6</t>
  </si>
  <si>
    <t>BAUT RODA TROMOL NO 7 RUSAK, BOCOR BAN NO. 9 (KM 2);</t>
  </si>
  <si>
    <t>BOCOR BAN NO 8 &amp; 10</t>
  </si>
  <si>
    <t>ANTRI/MACET LOADING POINT</t>
  </si>
  <si>
    <t xml:space="preserve">SOLAR TIDAK CUKUP
</t>
  </si>
  <si>
    <t>TAMBAH OLI HYDRAULIK PTO,</t>
  </si>
  <si>
    <t>KLAKSON BERMASALAH</t>
  </si>
  <si>
    <r>
      <t>Unit</t>
    </r>
    <r>
      <rPr>
        <b/>
        <sz val="14"/>
        <color rgb="FFFFC000"/>
        <rFont val="Calibri"/>
        <family val="2"/>
        <scheme val="minor"/>
      </rPr>
      <t xml:space="preserve"> RENTAL BLOK 8 (Stockpile)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</si>
  <si>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r>
      <t>Unit</t>
    </r>
    <r>
      <rPr>
        <b/>
        <sz val="14"/>
        <color rgb="FFFFC000"/>
        <rFont val="Calibri"/>
        <family val="2"/>
        <scheme val="minor"/>
      </rPr>
      <t xml:space="preserve"> RENTAL BLOK 8 (Pabrik HYNC)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</si>
  <si>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t>GANTI KAMPAS NO. 7.8;
CEK ADJUSTER 7,8;
STEL REM GENERAL;</t>
  </si>
  <si>
    <t>MACET/ANTRI STOCKPILE</t>
  </si>
  <si>
    <t>G501</t>
  </si>
  <si>
    <t>BOCOR BAN NO,9 (km 8);</t>
  </si>
  <si>
    <t>BOCOR BAN NO. 4; KLAKSON MATI; REM TROMOL NO.2 BERMASLAAH;</t>
  </si>
  <si>
    <t>PATAH BAUT RODA TROMOL NO.. 7</t>
  </si>
  <si>
    <t>BOCOR BAN NO 6</t>
  </si>
  <si>
    <t>BOCOR BAN NO 6, PATAH BAUT RODA TROMOL NO 7</t>
  </si>
  <si>
    <t>BOCOR BAN NO.3.5 (KM 5);</t>
  </si>
  <si>
    <t>BOCOR BAN NO 4, AIR WIPER TIDAK JALAN KLAKSON MATI</t>
  </si>
  <si>
    <t>PATAH BAUT RODA TROMOL NO.8; BOCOR BAN NO,.12;RAPIKAN SPRING KANAN TENGAH;</t>
  </si>
  <si>
    <t>JALAN LICIN ANTRI/MACET DI ARJUNA KM 26</t>
  </si>
  <si>
    <t>REPAIR MUFFLER;
LAMPU UTAMA KIRI MATI;
GANTI KAMPAS REM TROMOL NO.5;
CEK KAMPASNO.1.2.3.4;</t>
  </si>
  <si>
    <t xml:space="preserve">PATAH BAUT RODA TROMOL NO.5;
REPAIR MUFFLER;
KARET STOPER KANAN BELAKANG;
PINTU KANAN BERMASALAH;
GANTI SEN &amp; LAMP BELAKANGKANAN;
</t>
  </si>
  <si>
    <t>INDIKATOR ANGIN SEBELAH KIRI BERMASALAH</t>
  </si>
  <si>
    <t>GANTI BAN NO.1.2;</t>
  </si>
  <si>
    <t>BOCOR BAN NO.9 (POS 2);</t>
  </si>
  <si>
    <t>PATAH PER  DEPAN KANAN NO.3;
OLI HUB MEREMBES NO.1.2.3.4;
KARET STOPER BELAKANG KIRI KANAN;
STELREM GENERAL;</t>
  </si>
  <si>
    <t>BOCOR BAN NO.9.11;</t>
  </si>
  <si>
    <r>
      <t>Unit</t>
    </r>
    <r>
      <rPr>
        <b/>
        <sz val="14"/>
        <color rgb="FFFFC000"/>
        <rFont val="Calibri"/>
        <family val="2"/>
        <scheme val="minor"/>
      </rPr>
      <t xml:space="preserve"> RENTAL BLOK 8 (Pabrik )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</si>
  <si>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t>GANTI BAN NO. 5.6; BOCOR HALUS NO,7(BLOK 8)</t>
  </si>
  <si>
    <t>PICAH VLEG NO. 12 (LINE 17);</t>
  </si>
  <si>
    <t>PATAH SPRING NO 5 BELAKANG KIRI</t>
  </si>
  <si>
    <t>PATAH BAUT RODA TROMOL NO. 6;
INDIKATOR ANGIN NO. 1 HILANG";
STOPER BUMPER NO. 3</t>
  </si>
  <si>
    <t>LAMP STOP MATI;
LAMP SEN BELAKANG KIRI KANAN MATI;
TAMBAH OLI HUB;</t>
  </si>
  <si>
    <t>BOCOR BAN NO. 10 (KBM); PATAH BAUT RODA TROMOL NO.7; TAMBAH OLI RETARDER; CEK KAMPAS REM GENERAL; DOBLE BERAT BERMASALAH;</t>
  </si>
  <si>
    <t>TAMBAH OLI RETARDER;
KENCANGKAN CLEM SELANG RADIATOR;
TAMBAH OLI ENGINE;;
KENCANGKAN RANTAI TAILGATE;</t>
  </si>
  <si>
    <t>BOCOR BAN NO. 9; LOW POWER;</t>
  </si>
  <si>
    <t>BERSIHKAN SARINGAN UDARA;
TAMBAH OLI RETARDER</t>
  </si>
  <si>
    <t>UNIT PENGGANTI</t>
  </si>
  <si>
    <t>BOCOR BAN NO. 5 (KBMC); GANTI BAN NO 5 DAN 6; PASANG BAN NO 8</t>
  </si>
  <si>
    <t>SWITCH SARINGAN SOLAR BERMASALAH; TUAS TRANSMISI KERAS; CEK KAMPAS REM GENERAL;</t>
  </si>
  <si>
    <t>ANTRI/MACET PEMBONGKARAN QMB</t>
  </si>
  <si>
    <t xml:space="preserve">PATAH KONEKTOR TABUNG ANGINA;
BOUT SEAT SPRIN KANAN BELAKANG PATAH;
</t>
  </si>
  <si>
    <t>LAMPU UTAMA KANAN MATI</t>
  </si>
  <si>
    <t>PATAH BAUT RODA TROMOL NO 6;
LAMPU DEPAN KIRI MATI</t>
  </si>
  <si>
    <t>BOCOR BAN NO.8(KM 3); BOCOR BAN NO. 9 (KM 2);</t>
  </si>
  <si>
    <t>PINTU VESSEL BERMASALAH</t>
  </si>
  <si>
    <t>G 322</t>
  </si>
  <si>
    <t>G 323</t>
  </si>
  <si>
    <t>C 354</t>
  </si>
  <si>
    <t>PATAH SPRING NO, 4,5 DEPAN F2;</t>
  </si>
  <si>
    <t>PATAH BAUT RODA TROMOL NO.7 (KM 17) UNIT RUSAK TGL 26-READY TGL 27</t>
  </si>
  <si>
    <t>REM BERMASALAH;
BERSIHKAN AIR CLINER;
CEK KAMPAS GENERAL;</t>
  </si>
  <si>
    <t>BOCOR BAN NO.8;</t>
  </si>
  <si>
    <t>GANTI TROMOL NO 2</t>
  </si>
  <si>
    <t>BOCOR BAN NO.10 (KBM);</t>
  </si>
  <si>
    <t>BOCOR GARDAN TENGAH;
TEKOR ANGIN;</t>
  </si>
  <si>
    <t>RETARDER TIDAK BERFUNGSI (STOKPILEKM8);
PERSENELAN NO.1.5 KERAS;</t>
  </si>
  <si>
    <t>LEPAS TIE ROD (AUREL);</t>
  </si>
  <si>
    <t>SETEL REM GENERAL</t>
  </si>
  <si>
    <t>PATAH SPRING DEPAN TENGAH KANAN NO 4;
PATAH SPRING NO 3 BELAKANG KIRI</t>
  </si>
  <si>
    <t>GANTI BAN NO 4</t>
  </si>
  <si>
    <t>SPRING  NO 11 KIRI BELAKANG;
SPRING KIRI TENGAH NO 12;
PERBAIKAN TUTUP KAP DEPAN;
TAMBAH AIR COOLER;
STEL  REM GENERAL;
CEK OLI HUB;
STOPLAMP KIRI DAN KANAN MATI</t>
  </si>
  <si>
    <t xml:space="preserve">PATAH CENTER BOLT KIRI BELAKANG (KERUSAKAN BELAKANG);
CEK TRUNNION KIRI DAN KANAN;
AC BERMASALAH (CEK KEBOCORAN PIPA AC);
GANTI KARET STOPPER BELAKANG;
STEL REM GENERAL
</t>
  </si>
  <si>
    <t>GANTI KAMPAS REM NO 4;
STEL REM GENERAL</t>
  </si>
  <si>
    <t>GANTI KAMPAS REM TROMOL NO.5.6.7;
TAMBAH AIR RADIATOR;
BAUT GANTUNGAN KANDALPOT PATAH;
CEK VALET ANGIN ATAS:</t>
  </si>
  <si>
    <t>REPAIR MUFFLER</t>
  </si>
  <si>
    <t>NAIK PANAS;</t>
  </si>
  <si>
    <t>KOPLING BERMASALAH</t>
  </si>
  <si>
    <t>BOCOR BAN NO.5(BELAKANG HMSI);</t>
  </si>
  <si>
    <t>PERBAIKAN KLAKSON;</t>
  </si>
  <si>
    <t>BOCOR BAN NO.9;  PERBAIAKN KLAKSON BESAR;</t>
  </si>
  <si>
    <t>BAUT RODA TROMOL NO 8;
LAMPU STOP KIRI DAN KANAN MATI</t>
  </si>
  <si>
    <t>TAMBAH OLI RETARDER</t>
  </si>
  <si>
    <t>TAMBAH OLI RETARDER;
STEL REM GENERAL;
DOBLE BERAT TIDAK BERFUNGSI;</t>
  </si>
  <si>
    <t>BOCOR BAN NO.11;</t>
  </si>
  <si>
    <t>PATAH CENTER BOLT BELAKANG KIRI; ADA KEBOCORAN DI TABUNG ANGIN; PEMASANGAN KARET STOPPER GARDAN BELAKANG KIR</t>
  </si>
  <si>
    <t>GANTI BAN NO. 9,10; SERVICE KM</t>
  </si>
  <si>
    <t>UNIT PENGGANTI, CEK INTARDER</t>
  </si>
  <si>
    <t>GANTI BAN NO.5.6;GANTI BAUT RODA TROMOL NO.5;</t>
  </si>
  <si>
    <t>C 322</t>
  </si>
  <si>
    <t>C 500</t>
  </si>
  <si>
    <t>C 502</t>
  </si>
  <si>
    <t>C 503</t>
  </si>
  <si>
    <t>C 504</t>
  </si>
  <si>
    <t>C 506</t>
  </si>
  <si>
    <t>C 508</t>
  </si>
  <si>
    <t>C 509</t>
  </si>
  <si>
    <t>C 510</t>
  </si>
  <si>
    <t>C 511</t>
  </si>
  <si>
    <t>C 513</t>
  </si>
  <si>
    <t>C 514</t>
  </si>
  <si>
    <t>C 517</t>
  </si>
  <si>
    <t>C 518</t>
  </si>
  <si>
    <t>C 519</t>
  </si>
  <si>
    <t>C 520</t>
  </si>
  <si>
    <t>C 521</t>
  </si>
  <si>
    <t>C 522</t>
  </si>
  <si>
    <t>C 523</t>
  </si>
  <si>
    <t>C 524</t>
  </si>
  <si>
    <t>C 525</t>
  </si>
  <si>
    <t>C 526</t>
  </si>
  <si>
    <t>C 528</t>
  </si>
  <si>
    <t>C 529</t>
  </si>
  <si>
    <t>C 530</t>
  </si>
  <si>
    <t>C 531</t>
  </si>
  <si>
    <t>C 532</t>
  </si>
  <si>
    <t>C 533</t>
  </si>
  <si>
    <t>C 534</t>
  </si>
  <si>
    <t>C 535</t>
  </si>
  <si>
    <t>C 388</t>
  </si>
  <si>
    <t>C 292</t>
  </si>
  <si>
    <t>INDIKATOR ANGIN BERMASALAH (KBM)</t>
  </si>
  <si>
    <t>DUMP BERMASALAH  (LINE 6)</t>
  </si>
  <si>
    <t>U BOLT KIRI DAN KANAN JATUH</t>
  </si>
  <si>
    <t>GANTI BAN NO.7.8.9.10; TAMBAH OLI RETARDER; STEL REM GENERAL;</t>
  </si>
  <si>
    <t>PERBAIKAN TAIL GATE MANUAL, STEL REM GENERAL</t>
  </si>
  <si>
    <t>CEK BAN NO 11 DAN 12</t>
  </si>
  <si>
    <t>GANTI BAN NO,6;</t>
  </si>
  <si>
    <t>PERSENELAN KERAS;
STEL REM GENERAL;</t>
  </si>
  <si>
    <t>DUMP TIDAK BISA NAIK (LINE 6)</t>
  </si>
  <si>
    <t>UNIR PENGGANTI</t>
  </si>
  <si>
    <t>TEKOR ANGIN;
CEK ENGINE MOUNTING;</t>
  </si>
  <si>
    <t>PATAH BAUT RODA TROMOL NO.5;</t>
  </si>
  <si>
    <t>HEADLAMP KANAN MATI</t>
  </si>
  <si>
    <t>SERVICE HM 7000;
LOW POWER;
BERSIHKAN AIR CLEANER;
GANTI PENUTUP TANKI;
TAMBAH OLI HUB</t>
  </si>
  <si>
    <t>PATAH BAUT RODA TROMOL NO.6;
GANTI KAMPAS REM NO,.8;
LAMP RETING SEBELAH KIRI BELAKANG;</t>
  </si>
  <si>
    <t>HUJAN JALAN LICIN &amp; KEGIATAN HAULING TAMBANG TUTUP JAM 15:00</t>
  </si>
  <si>
    <t>KEGIATAN HAULING TAMBANG TUTUP JAM 15:00</t>
  </si>
  <si>
    <t>REPAIR MUFFLER;
DUMP LAMBAT TURUN</t>
  </si>
  <si>
    <t>PUTUS RANTAI TAILGATE;</t>
  </si>
  <si>
    <t>GANTI VELG NO 9</t>
  </si>
  <si>
    <t>RAPIKAN SPRING</t>
  </si>
  <si>
    <t>MUFFLER BERMASALAH (PATAH);
SAFETY MUFFLER;
TAMBAH OLI HUB NO 2 DAN 4;</t>
  </si>
  <si>
    <t>BOCOR BAN NO 1 (HYNC)</t>
  </si>
  <si>
    <t>BOCOR BAN NO.5(KM5);</t>
  </si>
  <si>
    <t>KEGIATAN HAULING TAMBANG TUTUP JAM 15:00, ANTRI SOLAR</t>
  </si>
  <si>
    <t>G 503</t>
  </si>
  <si>
    <t>G 523</t>
  </si>
  <si>
    <t>C 390</t>
  </si>
  <si>
    <t>C 385</t>
  </si>
  <si>
    <t>C 386</t>
  </si>
  <si>
    <t>C 387</t>
  </si>
  <si>
    <t>C 389</t>
  </si>
  <si>
    <t>C 391</t>
  </si>
  <si>
    <t>C 392</t>
  </si>
  <si>
    <t>C 394</t>
  </si>
  <si>
    <t>TORQUEROD ATAS;
STOPPER BUMPER</t>
  </si>
  <si>
    <t>LAS PINTU VESEL</t>
  </si>
  <si>
    <t>EXHAUST BRAKE BERMASALAH;
REM BERMASALAH</t>
  </si>
  <si>
    <t>GANTI BAN NO. 3; BOCOR BAN NO 3</t>
  </si>
  <si>
    <t>BOCOR BAN NO 11 (KBM)</t>
  </si>
  <si>
    <t>BOCOR BAN NO. 12; TAMBAH OLI RETARDER</t>
  </si>
  <si>
    <t>TAMBAH OLI RETARDER;
CEK REM GENERAL;
STEL REM GENERAL;</t>
  </si>
  <si>
    <t>BOCOR BAN NO. 3 (BLOK 8); PECAH TROMOL NO 2
MEREMBES OLI TRANSMISI
CEK TROMOL GENERAL
SETEL REM GENERAL</t>
  </si>
  <si>
    <t>STEL REM GENERAL;
KLAKSON MATI;
TAMBAH OLI HUB</t>
  </si>
  <si>
    <t>PATAH SPRING NO, 3 KANAN;
STEL REM GENERAL;
CEK ADJUSTER NO. 8;</t>
  </si>
  <si>
    <t>ISI FREON</t>
  </si>
  <si>
    <t>GANTI BAN NO. 4;</t>
  </si>
  <si>
    <t>LAMPU SEIN BELAKANG KANAN MATI;
TEKOR ANGIN;
STEL REM GENERAL;
SENSOR ANGIN BERMASALAH;</t>
  </si>
  <si>
    <t>TAMBAH FREON</t>
  </si>
  <si>
    <t>STEL REM GENERAL;
POWERSTRING BERMASALAH;
BLENDING KOPLENG;
STEL REM GENERAL;</t>
  </si>
  <si>
    <t>BOCOR RADIATOR (JALAN COR CORAN);</t>
  </si>
  <si>
    <t>PATAH SPRING TROMOL NO. 3.4; TAMBAH FREON</t>
  </si>
  <si>
    <t>TAILGATE OTOMATIS BERMASALAH</t>
  </si>
  <si>
    <t>GANTI KANVAS REM NO. 4.7,8;
PATAH BAUT RODA TROMOL NO. 6;</t>
  </si>
  <si>
    <t>GANTI KAMAPAS NO 7;
REM TROMOL NO 8 TIDAK MENAHAN;
TAMBAH OLI HUP
GANTI SWITS CABIN
STEL REM GENERAL;
SERVICE HM 7500</t>
  </si>
  <si>
    <t>AKI RUSAK( AKI MELEDAK);</t>
  </si>
  <si>
    <t>BOCOR BAN NO, 10 (KM10);</t>
  </si>
  <si>
    <t>KAMPAS REM NO 3, DAN 5;
CENTER BOLT RR LH;
STOPPER BUMPER RR</t>
  </si>
  <si>
    <t>PATAH U BOLT DEPAN (BELAKANG WS HINO);</t>
  </si>
  <si>
    <t>ANTRI LOADING POINT (MUAT JAM 08:00), ISTIRAHAT SHOLAT JUMAT (SAMPLE TIMBANGAN TUTUP JAM 11:00 BUKA JAM 13:00)</t>
  </si>
  <si>
    <t>DRIVER SAKIT</t>
  </si>
  <si>
    <t>ANTRI LOADING POINT (MUAT JAM 08:00), CEK TAILGATE MANUAL</t>
  </si>
  <si>
    <t xml:space="preserve">CEK TAILGATE </t>
  </si>
  <si>
    <t>PERBAIKAN LAMPU SEIN;</t>
  </si>
  <si>
    <t>RADIATOR BERMASALAH</t>
  </si>
  <si>
    <t>TAILGATE MANUAL GANTI;
LAS SAFETY TABUNG</t>
  </si>
  <si>
    <t>LAMPU UTAMA KIRI KANAN MATI;
REM NO. 5.6.7.8 TIDAK MENAHAN;
TAMBAH OLI HUB;
PER BAIKAN SPAKBOARD KIRI DEPAN;
SELANG ANGIN BOCOR;
SEAT SPRING PATAH NO. 6;
ENGINE MOUNTING KIRI;</t>
  </si>
  <si>
    <t>PATAH U BOLT KANAN DEPAN;
GANTI KAMPAS TROMOL NO. 7;</t>
  </si>
  <si>
    <t>LAMP SEN KANAN BELAKANG MATI;
LAMPU PARKIR MATI;</t>
  </si>
  <si>
    <t>BOCOR BAN NO 3 (KM 12)</t>
  </si>
  <si>
    <t>LOW PQWOR;</t>
  </si>
  <si>
    <t>BOCOR TANKI SOLAR;</t>
  </si>
  <si>
    <t>PATAH BAUT RODA TROMOL NO, 7;</t>
  </si>
  <si>
    <t>STEL REM GENERAL;
TAMBAH OLI RETARDER;
CEK BAUT TORQUE ROD GENERAL;</t>
  </si>
  <si>
    <t>14:25</t>
  </si>
  <si>
    <t>BOCOR BAN NO. 8 (KBM D); PATAH BAUT RODA TROMOL NO 6
TAMBAH OLI RETARDER
CEK DAN SETEL REM GENERAL
TAMBAH AIR RADIATOR</t>
  </si>
  <si>
    <t xml:space="preserve">GANTI KAMPAS REM NO 2 &amp; 4
</t>
  </si>
  <si>
    <t>BAUT CHASSIS KIRI LONGGAR SEMUA;
TAMBAH OLI RETARDER;
HOSE RADIATOR BAGIAN ATAS BOCOR;
STEL REM GENERAL;
CEK KAMPAS REM GENERAL;
PASANG SAFETY CLATER;
EXHAUST BRAKE BERMASALAH</t>
  </si>
  <si>
    <t>BOCOR BAN NO 3 (KM 3)</t>
  </si>
  <si>
    <t>STEL REM GENERAL;
POWER WINDOW KANAN;
TIDAK BISA START</t>
  </si>
  <si>
    <t>GANTI BAN NO. 7;</t>
  </si>
  <si>
    <t>PATAH SPRING NO 1 KANAN BELAKANG;
CEK RADIATOR;
STOPLAMP KIRI DAN KANAN MATI;
TAMBAH OLI HUB</t>
  </si>
  <si>
    <t>LAS PINTU VESSEL</t>
  </si>
  <si>
    <t>PATAH BAUT RODA TROMOL NO 6, DAN 8;
CEK BAUT RODA NO 7;
CEK OLI HUB NO 1,2,3, DAN 4</t>
  </si>
  <si>
    <t>PATAH BAUT RODA TROMOL NO 7;
STEL REM GENERAL</t>
  </si>
  <si>
    <t>PATAH SPRING NO. 7 BELAKANG KIRI;
TAMBAH OLI HUB TRMOL NO. 1,.3;</t>
  </si>
  <si>
    <t>LAMPU SEIN KIRI DEPAN BERMASALAH</t>
  </si>
  <si>
    <t>TANKI BOCOR;</t>
  </si>
  <si>
    <t>PATAH REGULATOR ANGIN (PERTIGAAN KONTRAK)</t>
  </si>
  <si>
    <t>TAMBAH OLI RETARDER;</t>
  </si>
  <si>
    <t xml:space="preserve">PATAH TORQUEROD KM 2;
CEK TORQUE ROD;
</t>
  </si>
  <si>
    <t>BOCOR BAN NO 7, INTARDER TIDAK MENAHAN;</t>
  </si>
  <si>
    <t>PATAH SPRING NO 6  KANAN BELAKANG;
CEK RADIATOR</t>
  </si>
  <si>
    <t>BOCOR HOSE ANGIN;</t>
  </si>
  <si>
    <t>BOCOR BAN NO 5</t>
  </si>
  <si>
    <t>BOCOR BAN NO 12 (KM 8), SERVICE COVER HUB DEPAN;
LAMPU UTAMA KIRI MATI;
CEK KAMPAS REM GENERAL</t>
  </si>
  <si>
    <t>PATAH SPRING NO. 3.4 BELAKANG KIRI;</t>
  </si>
  <si>
    <t>BOCOR BAN NO. 10 (KM 18); PATAH BAUT RODA TROMOL NO. 7;</t>
  </si>
  <si>
    <t>CEK CENTER PEN;
LOW POWER;</t>
  </si>
  <si>
    <t>MELEDAK BAN NO, 11 (JEMBATAN KUNING);</t>
  </si>
  <si>
    <t>GANTI ADJUSTER NO 1,3, DAN 4 DEPAN;
GANTI ADJUSTER BELAKANG;
STEL REM GENERAL;
CEK OLI HUB</t>
  </si>
  <si>
    <t>PATAH BAUT RODA TROMOL NO 7;
REM TROMOL NO 8 KURANG MENAHAN;
SENSOR ANGIN BERMASALAH</t>
  </si>
  <si>
    <t>BOCOR BAN NO 10, 11 (BLOK 8 SIMPANG NAKULA)</t>
  </si>
  <si>
    <t>DRIVER ASLI SAKIT DIGANTI DRIVER PENGGANTI</t>
  </si>
  <si>
    <t>LAS PINTU VESSEL;
TAILGATE OTOMATIS BERMASALAH</t>
  </si>
  <si>
    <t>AC BERMASALAH; LAS TAILGATE MANUAL;
PERBAIKAN PINTU VESEL;</t>
  </si>
  <si>
    <t>BOCOR BAN NO. 12 (km 2);</t>
  </si>
  <si>
    <t>GANTI KAMPAS NO. 7;</t>
  </si>
  <si>
    <t>CEK PINTU VESSEL (BANCIAN)</t>
  </si>
  <si>
    <t>PATAH BAUT RODA TROMOL NO. 8; GANTI FINAL DRIVE</t>
  </si>
  <si>
    <t>BOCOR BAN NO. 9 (KBMD);</t>
  </si>
  <si>
    <t>CEK KAMPAS REM GENERAL;
STEL REM GENERAL;
TAMBAH OLI RETARDER;
GANTI LABRAN PERSNELAN</t>
  </si>
  <si>
    <t>PATAH SPRING BELAKANG KANAN NO 8, DAN 9;
TAMBAH OLI RETARDER;
GANTI NIPPLE  SPRING NO 3</t>
  </si>
  <si>
    <t>TAMBAH OLI RETARDER;
STEL REM GENERAL;
CEK KAMPAS REM GENERAL;
BERSIHKAN ARI CLEANER;
PERNELIN KERAS</t>
  </si>
  <si>
    <t>CEK TAILGATE MANUAL;</t>
  </si>
  <si>
    <t>LAMPU UTAMA KANAN MATI; 
STOPLAMP MATI KIRI DAN KANAN;
STEL REM GENERAL;
CEK KEBOCORAN ANGIN</t>
  </si>
  <si>
    <t>GANTI BAN NO. 9.10;</t>
  </si>
  <si>
    <t>CEK ADJUSTER TROMOL NO 6;
CEK KAMPAS REM GENERAL;
STEL REM GENERAL
TAMBAH OLI POWER STEERING</t>
  </si>
  <si>
    <t>CEK KAMPAS REM NO 2;
LAMPU STOP KANAN MATI;
STEL REM GENERAL</t>
  </si>
  <si>
    <t>KAMPAS REM NO 6</t>
  </si>
  <si>
    <t>BAR FUEL EROR;
SAFETY TANKI LONGGAR;</t>
  </si>
  <si>
    <t>PATAH BAUT RODA TROMOL NO 7</t>
  </si>
  <si>
    <t>BOCOR BAN NO. 3;</t>
  </si>
  <si>
    <t>DRIVER ASLI IBADAH DIGANTI DRIVER SPARE</t>
  </si>
  <si>
    <t>LOW POWER;
KOPLENG BERMASALAH (BLOK 8 NAKULA);</t>
  </si>
  <si>
    <t>MEREMBES OLI GARDAN TENGAH
SETEL REM GENERAL
CEK LAMPU STOP
GANTI KARET STOPPER KIRI KANAN BELAKANG</t>
  </si>
  <si>
    <t>BOCOR BAN NO. 6 (KM 10);</t>
  </si>
  <si>
    <t>PATAH SPRING 9 8 KIRI TENGAH</t>
  </si>
  <si>
    <t>GANTI KAMPAS REM TROMOL NO 5;
REM TROMOL NO 7 TIDAK BERFUNGSI</t>
  </si>
  <si>
    <t>SERVICE HM;
STOPER KANAN BELAKANG;
STEL REM GENERAL;
PINTU KIRI BERMASALAH;
CEK SOCKBREKER KABIN;
CEK V-BELT;</t>
  </si>
  <si>
    <t>PATAH PER NO. 8 BELAKANG KIRI;</t>
  </si>
  <si>
    <t xml:space="preserve">RAPIHKAN SPRING TENGAH KANAN;
</t>
  </si>
  <si>
    <t>TAMBAH OLI ENGINE</t>
  </si>
  <si>
    <t>BOCOR BAN NO. 8 (KM 2);</t>
  </si>
  <si>
    <t>PATAH SPRING KIRI DEPAN F2 NO 3;
PATAH BAUT RODA TROMOL NO 6</t>
  </si>
  <si>
    <t>GANTI BAN NO. 5.7.10;</t>
  </si>
  <si>
    <t>BUAT RODA TROMOL NO 7 BERMASALAH (DOL)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</si>
</sst>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1]dd\ mmmm\ yyyy;@"/>
    <numFmt numFmtId="165" formatCode="hh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5" tint="0.39997558519241921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2" borderId="7" xfId="0" applyFont="1" applyFill="1" applyBorder="1"/>
    <xf numFmtId="2" fontId="4" fillId="2" borderId="8" xfId="0" applyNumberFormat="1" applyFont="1" applyFill="1" applyBorder="1" applyAlignment="1">
      <alignment horizontal="center"/>
    </xf>
    <xf numFmtId="0" fontId="4" fillId="2" borderId="4" xfId="0" applyFont="1" applyFill="1" applyBorder="1"/>
    <xf numFmtId="2" fontId="4" fillId="2" borderId="3" xfId="0" applyNumberFormat="1" applyFont="1" applyFill="1" applyBorder="1" applyAlignment="1">
      <alignment horizontal="center"/>
    </xf>
    <xf numFmtId="0" fontId="4" fillId="2" borderId="5" xfId="0" applyFont="1" applyFill="1" applyBorder="1"/>
    <xf numFmtId="2" fontId="4" fillId="2" borderId="6" xfId="0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/>
    <xf numFmtId="10" fontId="4" fillId="0" borderId="0" xfId="0" applyNumberFormat="1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5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21" fontId="0" fillId="3" borderId="1" xfId="0" applyNumberFormat="1" applyFill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3" borderId="11" xfId="0" applyFill="1" applyBorder="1" applyAlignment="1">
      <alignment horizontal="center"/>
    </xf>
    <xf numFmtId="21" fontId="0" fillId="3" borderId="10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43" fontId="3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489"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FC9FCE-FD0E-46DC-B72A-4F5CEFA4BBCA}" name="Table13" displayName="Table13" ref="B4:E23" totalsRowShown="0" headerRowDxfId="488" dataDxfId="487">
  <tableColumns count="4">
    <tableColumn id="1" xr3:uid="{B1B3E938-F115-467A-AA41-A2D47F0DB9A7}" name="No" dataDxfId="486"/>
    <tableColumn id="2" xr3:uid="{9447F4BE-5C35-426B-B1C7-0322BF005BD9}" name="Id unit" dataDxfId="485"/>
    <tableColumn id="3" xr3:uid="{238B3707-E6E2-455A-B88E-26482E904B6D}" name="Retase" dataDxfId="484"/>
    <tableColumn id="4" xr3:uid="{62510AE9-1ED8-4F8D-8F4F-ABFE7BB19348}" name="Keterangan" dataDxfId="48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8FCCF0-A313-40C2-AAAC-52149E014A60}" name="Table1324567891011" displayName="Table1324567891011" ref="B5:E25" totalsRowShown="0" headerRowDxfId="434" dataDxfId="433">
  <autoFilter ref="B5:E25" xr:uid="{B9ABE090-A7D1-4C32-83AF-14F7024EA175}"/>
  <sortState xmlns:xlrd2="http://schemas.microsoft.com/office/spreadsheetml/2017/richdata2" ref="B6:E25">
    <sortCondition ref="D5:D25"/>
  </sortState>
  <tableColumns count="4">
    <tableColumn id="1" xr3:uid="{08469E80-5B82-4C3A-9E0A-9DD78E25DF8C}" name="No" dataDxfId="432"/>
    <tableColumn id="2" xr3:uid="{4408C21B-0FF4-47C4-810D-A81CBF9BA982}" name="Id unit" dataDxfId="431"/>
    <tableColumn id="3" xr3:uid="{9701823F-2299-4E12-9AD8-0F41DC86FA48}" name="Retase" dataDxfId="430"/>
    <tableColumn id="4" xr3:uid="{2CB9672E-B8EE-4A50-9833-83E0730F965B}" name="Keterangan" dataDxfId="42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3AB2CB-0D5C-4234-A2A9-D62966271D1A}" name="Table1324567891012" displayName="Table1324567891012" ref="L5:O32" totalsRowShown="0" headerRowDxfId="428" dataDxfId="427">
  <autoFilter ref="L5:O32" xr:uid="{D9297E2E-3E3E-48AD-913A-FF101A01532F}"/>
  <sortState xmlns:xlrd2="http://schemas.microsoft.com/office/spreadsheetml/2017/richdata2" ref="L6:O32">
    <sortCondition ref="N5:N32"/>
  </sortState>
  <tableColumns count="4">
    <tableColumn id="1" xr3:uid="{F5A1986A-A023-4792-AB6C-DE690FD6461C}" name="No" dataDxfId="426"/>
    <tableColumn id="2" xr3:uid="{CF11CCAA-7BF8-4058-B236-616184F12948}" name="Id unit" dataDxfId="425"/>
    <tableColumn id="3" xr3:uid="{8BC13925-73D3-457B-91E7-2B7A575B2285}" name="Retase" dataDxfId="424"/>
    <tableColumn id="4" xr3:uid="{379B7877-A609-4E5F-93DC-9B771AD11244}" name="Keterangan" dataDxfId="42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53EA60-B482-433C-98B4-C369BDFF2738}" name="Table134567891011" displayName="Table134567891011" ref="B40:E58" totalsRowShown="0" headerRowDxfId="422" dataDxfId="421">
  <autoFilter ref="B40:E58" xr:uid="{913DA601-D705-4926-AB5D-13C5C55E5198}"/>
  <sortState xmlns:xlrd2="http://schemas.microsoft.com/office/spreadsheetml/2017/richdata2" ref="B41:E58">
    <sortCondition ref="D40:D58"/>
  </sortState>
  <tableColumns count="4">
    <tableColumn id="1" xr3:uid="{692B8BAA-0818-45C9-840D-198BC527EB87}" name="No" dataDxfId="420"/>
    <tableColumn id="2" xr3:uid="{278A3AE2-4AE4-4A70-BC8D-B9A11CDD317C}" name="Id unit" dataDxfId="419"/>
    <tableColumn id="3" xr3:uid="{B000E624-DDB3-47DE-A51E-F464E1382FE3}" name="Retase" dataDxfId="418"/>
    <tableColumn id="4" xr3:uid="{BDF755C7-564D-49A8-8F73-B25717D5EB8D}" name="Keterangan" dataDxfId="417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6BE61E-D197-4598-AFE5-83E9E67FC2E3}" name="Table13456789101115" displayName="Table13456789101115" ref="L40:O55" totalsRowShown="0" headerRowDxfId="416" dataDxfId="415">
  <autoFilter ref="L40:O55" xr:uid="{D7E74646-277B-4974-8CB5-5FC4622C64EB}"/>
  <sortState xmlns:xlrd2="http://schemas.microsoft.com/office/spreadsheetml/2017/richdata2" ref="L41:O55">
    <sortCondition ref="N40:N55"/>
  </sortState>
  <tableColumns count="4">
    <tableColumn id="1" xr3:uid="{8FBCFEDE-223E-4582-B174-33DCDA488D82}" name="No" dataDxfId="414"/>
    <tableColumn id="2" xr3:uid="{C466AF98-74EE-48AC-82E8-90ED81406CBC}" name="Id unit" dataDxfId="413"/>
    <tableColumn id="3" xr3:uid="{DB82592D-F61C-41A3-A4C5-96632D482711}" name="Retase" dataDxfId="412"/>
    <tableColumn id="4" xr3:uid="{2B77404C-273C-42D6-8616-4AE4D99CB9E3}" name="Keterangan" dataDxfId="41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E8048D-77A3-44AC-A9CF-773FB6BD81E3}" name="Table1345678910111518" displayName="Table1345678910111518" ref="L39:O52" totalsRowShown="0" headerRowDxfId="410" dataDxfId="409">
  <autoFilter ref="L39:O52" xr:uid="{D7E74646-277B-4974-8CB5-5FC4622C64EB}"/>
  <sortState xmlns:xlrd2="http://schemas.microsoft.com/office/spreadsheetml/2017/richdata2" ref="L40:O52">
    <sortCondition ref="N39:N52"/>
  </sortState>
  <tableColumns count="4">
    <tableColumn id="1" xr3:uid="{C4F6FD20-1756-4C4C-B0C6-50FBEE8415EB}" name="No" dataDxfId="408"/>
    <tableColumn id="2" xr3:uid="{F1BDEE18-2D72-44C1-8CC8-052E067E68AB}" name="Id unit" dataDxfId="407"/>
    <tableColumn id="3" xr3:uid="{FC4E7858-D3E6-4DBA-87F6-FF227E6A6622}" name="Retase" dataDxfId="406"/>
    <tableColumn id="4" xr3:uid="{F92B210A-E210-41C7-9316-D010547C292E}" name="Keterangan" dataDxfId="405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FC5423-7467-4075-9E1C-7B74349C482D}" name="Table132456789101216" displayName="Table132456789101216" ref="L5:O31" totalsRowShown="0" headerRowDxfId="404" dataDxfId="403">
  <autoFilter ref="L5:O31" xr:uid="{D9297E2E-3E3E-48AD-913A-FF101A01532F}"/>
  <sortState xmlns:xlrd2="http://schemas.microsoft.com/office/spreadsheetml/2017/richdata2" ref="L6:O31">
    <sortCondition ref="N5:N31"/>
  </sortState>
  <tableColumns count="4">
    <tableColumn id="1" xr3:uid="{03F1EA21-9FE6-4A8E-8025-C170BA899D2E}" name="No" dataDxfId="402"/>
    <tableColumn id="2" xr3:uid="{BBBAC29F-22B7-4DDC-AC9E-A8BBD3A334B5}" name="Id unit" dataDxfId="401"/>
    <tableColumn id="3" xr3:uid="{5A80BFCF-838B-4080-A0A0-536EE293E430}" name="Retase" dataDxfId="400"/>
    <tableColumn id="4" xr3:uid="{1F5E474B-0AC6-483A-8572-1173F0926740}" name="Keterangan" dataDxfId="399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C3D659-4374-463A-92E9-1A272203BC08}" name="Table132456789101113" displayName="Table132456789101113" ref="B5:E23" totalsRowShown="0" headerRowDxfId="398" dataDxfId="397">
  <autoFilter ref="B5:E23" xr:uid="{B9ABE090-A7D1-4C32-83AF-14F7024EA175}"/>
  <sortState xmlns:xlrd2="http://schemas.microsoft.com/office/spreadsheetml/2017/richdata2" ref="B6:E23">
    <sortCondition ref="D5:D23"/>
  </sortState>
  <tableColumns count="4">
    <tableColumn id="1" xr3:uid="{60B10BDD-73EE-4A0B-AF36-ADF2738333C2}" name="No" dataDxfId="396"/>
    <tableColumn id="2" xr3:uid="{DD5D534C-71F0-40DE-B969-55458A5F60B6}" name="Id unit" dataDxfId="395"/>
    <tableColumn id="3" xr3:uid="{6EE9D645-3E0E-4FCA-AF29-EF11ADAD5887}" name="Retase" dataDxfId="394"/>
    <tableColumn id="4" xr3:uid="{28AD8C16-EAAC-4898-89A2-35B0E2AF639D}" name="Keterangan" dataDxfId="393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C8B8E68-3D4F-4830-A842-C67560B42972}" name="Table13456789101117" displayName="Table13456789101117" ref="B39:E53" totalsRowShown="0" headerRowDxfId="392" dataDxfId="391">
  <autoFilter ref="B39:E53" xr:uid="{913DA601-D705-4926-AB5D-13C5C55E5198}"/>
  <sortState xmlns:xlrd2="http://schemas.microsoft.com/office/spreadsheetml/2017/richdata2" ref="B40:E53">
    <sortCondition ref="D39:D53"/>
  </sortState>
  <tableColumns count="4">
    <tableColumn id="1" xr3:uid="{1308B649-5349-4E5A-91BC-F435803A5B79}" name="No" dataDxfId="390"/>
    <tableColumn id="2" xr3:uid="{CF04AC69-ED59-48E1-B2D1-1952C4EB115E}" name="Id unit" dataDxfId="389"/>
    <tableColumn id="3" xr3:uid="{3149EDDB-53A7-4054-8E77-38579B71B713}" name="Retase" dataDxfId="388"/>
    <tableColumn id="4" xr3:uid="{DD1C8345-1906-42D7-8288-81DE1DB7EF7F}" name="Keterangan" dataDxfId="387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5446E06-03E4-4DFD-9DCF-C88558962B2E}" name="Table134567891011151819" displayName="Table134567891011151819" ref="AL5:AR17" totalsRowShown="0" headerRowDxfId="386" dataDxfId="385">
  <autoFilter ref="AL5:AR17" xr:uid="{D7E74646-277B-4974-8CB5-5FC4622C64EB}"/>
  <sortState xmlns:xlrd2="http://schemas.microsoft.com/office/spreadsheetml/2017/richdata2" ref="AL6:AR17">
    <sortCondition ref="AQ5:AQ17"/>
  </sortState>
  <tableColumns count="7">
    <tableColumn id="1" xr3:uid="{4BA1E4A9-C386-4F91-AC4D-2953CBF75F27}" name="No" dataDxfId="384"/>
    <tableColumn id="2" xr3:uid="{B91A15A1-1FDF-42AA-8E48-DD8B81D2DC93}" name="Id unit" dataDxfId="383"/>
    <tableColumn id="7" xr3:uid="{E9ADC4DC-0D1E-4B94-AD50-41A682AD3A53}" name="JAM KELUAR" dataDxfId="382"/>
    <tableColumn id="6" xr3:uid="{3AADCFDF-8921-48AE-9518-0C319F69C1FA}" name="JAM MASUK" dataDxfId="381"/>
    <tableColumn id="5" xr3:uid="{8B641DD3-FA79-431E-98A2-5D1B4EA0B00B}" name="TOTAL JAM KERJA" dataDxfId="380"/>
    <tableColumn id="3" xr3:uid="{A2B7F265-6542-4BB0-A5FD-C0FE1C1679C6}" name="Retase" dataDxfId="379"/>
    <tableColumn id="4" xr3:uid="{106D9B98-F096-4785-A4F0-CD1ADBDC9C85}" name="Keterangan" dataDxfId="37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BFD9827-FFA0-4ABF-9FC8-0C6FF805396F}" name="Table13245678910121620" displayName="Table13245678910121620" ref="Z5:AF36" totalsRowShown="0" headerRowDxfId="377" dataDxfId="376">
  <autoFilter ref="Z5:AF36" xr:uid="{D9297E2E-3E3E-48AD-913A-FF101A01532F}"/>
  <sortState xmlns:xlrd2="http://schemas.microsoft.com/office/spreadsheetml/2017/richdata2" ref="Z6:AF36">
    <sortCondition ref="AE5:AE36"/>
  </sortState>
  <tableColumns count="7">
    <tableColumn id="1" xr3:uid="{254ADCCB-56F4-42B2-99BA-32581E21A7F6}" name="No" dataDxfId="375"/>
    <tableColumn id="2" xr3:uid="{A937D6EB-D43D-4083-B23F-00BDDBED18D1}" name="Id unit" dataDxfId="374"/>
    <tableColumn id="8" xr3:uid="{531B68C1-83AB-48EB-9265-4D8451C467EB}" name="JAM KELUAR" dataDxfId="373"/>
    <tableColumn id="7" xr3:uid="{EF8D995B-C4FE-4880-9116-72FF21811351}" name="JAM MASUK" dataDxfId="372"/>
    <tableColumn id="6" xr3:uid="{83AE78BB-C1BE-4D90-B93D-0B8BE23D2A5C}" name="TOTAL JAM KERJA" dataDxfId="371"/>
    <tableColumn id="3" xr3:uid="{280BF427-2AFF-447E-865C-1B6967CB5767}" name="Retase" dataDxfId="370"/>
    <tableColumn id="4" xr3:uid="{30DBBAD1-523D-45A5-9938-B27CC45270B4}" name="Keterangan" dataDxfId="3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DA5D8-4EE2-4158-A76B-4AE86E36739E}" name="Table132" displayName="Table132" ref="B4:E22" totalsRowShown="0" headerRowDxfId="482" dataDxfId="481">
  <tableColumns count="4">
    <tableColumn id="1" xr3:uid="{99A3FA3B-173D-41B4-86E1-518D23E238F9}" name="No" dataDxfId="480"/>
    <tableColumn id="2" xr3:uid="{9A0F8D26-0212-4E61-B575-7F6FB2A29BED}" name="Id unit" dataDxfId="479"/>
    <tableColumn id="3" xr3:uid="{AF585E8A-549C-44C5-8F35-5117A2FC4D30}" name="Retase" dataDxfId="478"/>
    <tableColumn id="4" xr3:uid="{6366F3CC-F2A9-4C55-8106-BC5F9924987D}" name="Keterangan" dataDxfId="47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7B5D20-FD02-4534-A4F4-E3E52DFC6C92}" name="Table13245678910111321" displayName="Table13245678910111321" ref="B5:H23" totalsRowShown="0" headerRowDxfId="368" dataDxfId="367">
  <autoFilter ref="B5:H23" xr:uid="{B9ABE090-A7D1-4C32-83AF-14F7024EA175}"/>
  <sortState xmlns:xlrd2="http://schemas.microsoft.com/office/spreadsheetml/2017/richdata2" ref="B6:H23">
    <sortCondition ref="G5:G23"/>
  </sortState>
  <tableColumns count="7">
    <tableColumn id="1" xr3:uid="{A670E949-B6BF-42F1-8674-A71774C0D581}" name="No" dataDxfId="366"/>
    <tableColumn id="2" xr3:uid="{1532EBCA-E1F8-4668-8701-0B7597DB76DA}" name="Id unit" dataDxfId="365"/>
    <tableColumn id="7" xr3:uid="{CD043B4C-8560-4E75-811B-9195F25715AF}" name="JAM KELUAR" dataDxfId="364"/>
    <tableColumn id="6" xr3:uid="{93DB46F8-70E3-4F17-9C51-C65E6837FF30}" name="JAM MASUK" dataDxfId="363"/>
    <tableColumn id="5" xr3:uid="{23DDE689-853A-42D6-8616-A053D36C83FC}" name="TOTAL JAM KERJA" dataDxfId="362">
      <calculatedColumnFormula>E6-D6</calculatedColumnFormula>
    </tableColumn>
    <tableColumn id="3" xr3:uid="{39309B15-F9B2-4309-BBC2-D92120E67BA4}" name="Retase" dataDxfId="361"/>
    <tableColumn id="4" xr3:uid="{B9AC3F35-FD67-4E04-A3B8-788575FE005F}" name="Keterangan" dataDxfId="36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66B16-CBA9-4D9A-845B-68999449F0A3}" name="Table1345678910111722" displayName="Table1345678910111722" ref="N5:T28" totalsRowShown="0" headerRowDxfId="359" dataDxfId="358">
  <autoFilter ref="N5:T28" xr:uid="{913DA601-D705-4926-AB5D-13C5C55E5198}"/>
  <sortState xmlns:xlrd2="http://schemas.microsoft.com/office/spreadsheetml/2017/richdata2" ref="N6:T28">
    <sortCondition ref="N5:N28"/>
  </sortState>
  <tableColumns count="7">
    <tableColumn id="1" xr3:uid="{760897C9-7B84-406B-B1B3-49FD37B50E8F}" name="No" dataDxfId="357"/>
    <tableColumn id="2" xr3:uid="{54345160-01C5-46EA-943C-C9CCBB29A0D5}" name="Id unit" dataDxfId="356"/>
    <tableColumn id="7" xr3:uid="{3163A402-4315-4389-8CD8-19D025C30AF7}" name="JAM KELUAR" dataDxfId="355"/>
    <tableColumn id="6" xr3:uid="{18EA15EC-12EC-4E8D-BCBA-C024C0700457}" name="JAM MASUK" dataDxfId="354"/>
    <tableColumn id="5" xr3:uid="{6FA844A6-5BA1-4254-9CDA-28119A3F2209}" name="TOTAL JAM KERJA" dataDxfId="353">
      <calculatedColumnFormula>Q6-P6</calculatedColumnFormula>
    </tableColumn>
    <tableColumn id="3" xr3:uid="{4064E177-F746-4F4A-A4BD-DC457158E0D8}" name="Retase" dataDxfId="352"/>
    <tableColumn id="4" xr3:uid="{D59A6664-846C-4C7F-9028-3D218053D8FE}" name="Keterangan" dataDxfId="351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566DC6D-0DBD-4BC0-8EC2-ED7FE84BCFAE}" name="Table13456789101115181923" displayName="Table13456789101115181923" ref="AL5:AR16" totalsRowShown="0" headerRowDxfId="350" dataDxfId="349">
  <autoFilter ref="AL5:AR16" xr:uid="{D7E74646-277B-4974-8CB5-5FC4622C64EB}"/>
  <sortState xmlns:xlrd2="http://schemas.microsoft.com/office/spreadsheetml/2017/richdata2" ref="AL6:AR16">
    <sortCondition ref="AQ5:AQ16"/>
  </sortState>
  <tableColumns count="7">
    <tableColumn id="1" xr3:uid="{71403C08-A05A-4465-9BEC-229CD862C33B}" name="No" dataDxfId="348"/>
    <tableColumn id="2" xr3:uid="{1FF3A687-45F3-400D-A511-42769355B47E}" name="Id unit" dataDxfId="347"/>
    <tableColumn id="7" xr3:uid="{F3D62B53-F0B9-44DE-95A9-CD7F277D5130}" name="JAM KELUAR" dataDxfId="346"/>
    <tableColumn id="6" xr3:uid="{744F786C-61E5-4326-8649-07862E29A39D}" name="JAM MASUK" dataDxfId="345"/>
    <tableColumn id="5" xr3:uid="{E4BEB1D0-9C57-44E9-8F70-AD1765A95A6F}" name="TOTAL JAM KERJA" dataDxfId="344">
      <calculatedColumnFormula>Table13456789101115181923[[#This Row],[JAM MASUK]]-Table13456789101115181923[[#This Row],[JAM KELUAR]]</calculatedColumnFormula>
    </tableColumn>
    <tableColumn id="3" xr3:uid="{7CCC3A02-76A3-4935-A8C7-092D8DCCECCE}" name="Retase" dataDxfId="343"/>
    <tableColumn id="4" xr3:uid="{A2D0E996-4682-4644-A8F3-4598DF510700}" name="Keterangan" dataDxfId="34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C319F29-E145-4A0D-B8C6-CA80672B5271}" name="Table1324567891012162024" displayName="Table1324567891012162024" ref="Z5:AF35" totalsRowShown="0" headerRowDxfId="341" dataDxfId="340">
  <autoFilter ref="Z5:AF35" xr:uid="{D9297E2E-3E3E-48AD-913A-FF101A01532F}"/>
  <sortState xmlns:xlrd2="http://schemas.microsoft.com/office/spreadsheetml/2017/richdata2" ref="Z6:AF35">
    <sortCondition ref="AE5:AE35"/>
  </sortState>
  <tableColumns count="7">
    <tableColumn id="1" xr3:uid="{A39E9F65-0708-40DC-A247-1156E945516F}" name="No" dataDxfId="339"/>
    <tableColumn id="2" xr3:uid="{59D95830-C117-430F-A27C-A7682C949277}" name="Id unit" dataDxfId="338"/>
    <tableColumn id="8" xr3:uid="{F5550402-33CA-42F8-827F-5F79B7D92E4D}" name="JAM KELUAR" dataDxfId="337"/>
    <tableColumn id="7" xr3:uid="{4F1BA9F4-D08A-4DC5-9D78-F3AC1BF969B7}" name="JAM MASUK" dataDxfId="336"/>
    <tableColumn id="6" xr3:uid="{F8E52E14-CC21-4E04-B237-434AB820608E}" name="TOTAL JAM KERJA" dataDxfId="335">
      <calculatedColumnFormula>Table1324567891012162024[[#This Row],[JAM MASUK]]-Table1324567891012162024[[#This Row],[JAM KELUAR]]</calculatedColumnFormula>
    </tableColumn>
    <tableColumn id="3" xr3:uid="{F611176B-D245-4DE8-B7BE-22B60616539E}" name="Retase" dataDxfId="334"/>
    <tableColumn id="4" xr3:uid="{3C34D87C-29A6-4F6D-8D3E-F84D89DC45ED}" name="Keterangan" dataDxfId="333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C508D87-1252-4205-8365-7DEDA94DAE24}" name="Table1324567891011132125" displayName="Table1324567891011132125" ref="B5:H25" totalsRowShown="0" headerRowDxfId="332" dataDxfId="331">
  <autoFilter ref="B5:H25" xr:uid="{B9ABE090-A7D1-4C32-83AF-14F7024EA175}"/>
  <sortState xmlns:xlrd2="http://schemas.microsoft.com/office/spreadsheetml/2017/richdata2" ref="B6:H25">
    <sortCondition ref="G5:G25"/>
  </sortState>
  <tableColumns count="7">
    <tableColumn id="1" xr3:uid="{7CA75E3D-1A30-428E-AD13-8534ED2C1F8E}" name="No" dataDxfId="330"/>
    <tableColumn id="2" xr3:uid="{F6DDCFFE-E757-49CF-B307-CAF13CD4476D}" name="Id unit" dataDxfId="329"/>
    <tableColumn id="7" xr3:uid="{57461859-49F0-4633-97AF-A4C2C758A2AC}" name="JAM KELUAR" dataDxfId="328"/>
    <tableColumn id="6" xr3:uid="{E1FE9DD2-3394-4B90-9D55-C4197C8B57BB}" name="JAM MASUK" dataDxfId="327"/>
    <tableColumn id="5" xr3:uid="{1DFD9FC7-16A4-4229-AF1B-E09E61D4165E}" name="TOTAL JAM KERJA" dataDxfId="326">
      <calculatedColumnFormula>Table1324567891011132125[[#This Row],[JAM MASUK]]-Table1324567891011132125[[#This Row],[JAM KELUAR]]</calculatedColumnFormula>
    </tableColumn>
    <tableColumn id="3" xr3:uid="{2F0BE02B-5B85-42B4-888F-75EA26AF4E5F}" name="Retase" dataDxfId="325"/>
    <tableColumn id="4" xr3:uid="{9CB7B239-213A-4065-8B70-A8521ACB796C}" name="Keterangan" dataDxfId="324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7867DB2-4047-4154-BE43-6615B47B8C57}" name="Table134567891011172226" displayName="Table134567891011172226" ref="N5:T22" totalsRowShown="0" headerRowDxfId="323" dataDxfId="322">
  <autoFilter ref="N5:T22" xr:uid="{913DA601-D705-4926-AB5D-13C5C55E5198}"/>
  <sortState xmlns:xlrd2="http://schemas.microsoft.com/office/spreadsheetml/2017/richdata2" ref="N6:T22">
    <sortCondition ref="S5:S22"/>
  </sortState>
  <tableColumns count="7">
    <tableColumn id="1" xr3:uid="{4ACFB6AD-201B-4E3E-98FB-7B9A632C2188}" name="No" dataDxfId="321"/>
    <tableColumn id="2" xr3:uid="{54D81F02-B3CC-4210-9DED-292CCA59AF12}" name="Id unit" dataDxfId="320"/>
    <tableColumn id="7" xr3:uid="{9E9BAA31-8071-4734-9CCA-8D3160CCA723}" name="JAM KELUAR" dataDxfId="319"/>
    <tableColumn id="6" xr3:uid="{E1135C75-17E7-4FFE-AFFE-A0C709B7E7A9}" name="JAM MASUK" dataDxfId="318"/>
    <tableColumn id="5" xr3:uid="{5879FB29-BD5A-4A3F-B361-8E1633C46476}" name="TOTAL JAM KERJA" dataDxfId="317">
      <calculatedColumnFormula>Table134567891011172226[[#This Row],[JAM MASUK]]-Table134567891011172226[[#This Row],[JAM KELUAR]]</calculatedColumnFormula>
    </tableColumn>
    <tableColumn id="3" xr3:uid="{5F933A30-9DA3-4C19-A8A0-40EE5D0D1114}" name="Retase" dataDxfId="316"/>
    <tableColumn id="4" xr3:uid="{237D1F66-5CFC-44A1-9C48-80A34E00536D}" name="Keterangan" dataDxfId="315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63B0E5C-D7A3-40A0-B32D-F740129C65D0}" name="Table1345678910111518192327" displayName="Table1345678910111518192327" ref="AM5:AS17" totalsRowShown="0" headerRowDxfId="314" dataDxfId="313">
  <autoFilter ref="AM5:AS17" xr:uid="{D7E74646-277B-4974-8CB5-5FC4622C64EB}"/>
  <sortState xmlns:xlrd2="http://schemas.microsoft.com/office/spreadsheetml/2017/richdata2" ref="AM6:AS17">
    <sortCondition ref="AR5:AR17"/>
  </sortState>
  <tableColumns count="7">
    <tableColumn id="1" xr3:uid="{1D11B13D-E233-456B-80B1-3859D8A3A19F}" name="No" dataDxfId="312"/>
    <tableColumn id="2" xr3:uid="{879CB682-CF88-4E95-8C57-CE6DDE2086C1}" name="Id unit" dataDxfId="311"/>
    <tableColumn id="7" xr3:uid="{9ED63D2A-3E0A-4F31-A981-1F925EEEF937}" name="JAM KELUAR" dataDxfId="310"/>
    <tableColumn id="6" xr3:uid="{046C699F-B3A8-492E-99DF-0279D07C43E0}" name="JAM MASUK" dataDxfId="309"/>
    <tableColumn id="5" xr3:uid="{DC1A3522-9E79-44DB-81E4-1457C8B3AA54}" name="TOTAL JAM KERJA" dataDxfId="308">
      <calculatedColumnFormula>Table1345678910111518192327[[#This Row],[JAM MASUK]]-Table1345678910111518192327[[#This Row],[JAM KELUAR]]</calculatedColumnFormula>
    </tableColumn>
    <tableColumn id="3" xr3:uid="{9BC25AF3-514E-4168-8ADD-A4380838762A}" name="Retase" dataDxfId="307"/>
    <tableColumn id="4" xr3:uid="{23EB3DBE-0E8C-4841-AB70-6C896898FB96}" name="Keterangan" dataDxfId="30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CC3D32-56D9-49D7-B6A3-E347C9313B01}" name="Table132456789101216202428" displayName="Table132456789101216202428" ref="AA5:AG38" totalsRowShown="0" headerRowDxfId="305" dataDxfId="304">
  <autoFilter ref="AA5:AG38" xr:uid="{D9297E2E-3E3E-48AD-913A-FF101A01532F}"/>
  <sortState xmlns:xlrd2="http://schemas.microsoft.com/office/spreadsheetml/2017/richdata2" ref="AA6:AG38">
    <sortCondition ref="AF5:AF38"/>
  </sortState>
  <tableColumns count="7">
    <tableColumn id="1" xr3:uid="{3E073EC7-F6C1-4471-B5DE-2BA85BF52508}" name="No" dataDxfId="303"/>
    <tableColumn id="2" xr3:uid="{56592447-75F5-463B-B0A8-A7EE63D23A61}" name="Id unit" dataDxfId="302"/>
    <tableColumn id="8" xr3:uid="{E736EE02-B9B7-420B-A743-A04C4C684E4F}" name="JAM KELUAR" dataDxfId="301"/>
    <tableColumn id="7" xr3:uid="{EA35BB98-060C-49F5-A82E-CC5A177D5CD4}" name="JAM MASUK" dataDxfId="300"/>
    <tableColumn id="6" xr3:uid="{D2060E35-E434-49D8-9177-98F9B684F08B}" name="TOTAL JAM KERJA" dataDxfId="299">
      <calculatedColumnFormula>Table132456789101216202428[[#This Row],[JAM MASUK]]-Table132456789101216202428[[#This Row],[JAM KELUAR]]</calculatedColumnFormula>
    </tableColumn>
    <tableColumn id="3" xr3:uid="{D9204D1C-8DEF-4AAF-8A05-ED373EAA45EF}" name="Retase" dataDxfId="298"/>
    <tableColumn id="4" xr3:uid="{D3B6CA79-4830-400A-ACDD-A8B8DE2F4327}" name="Keterangan" dataDxfId="297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932E19F-C387-4FE1-BA87-945E5AAD02F8}" name="Table132456789101113212529" displayName="Table132456789101113212529" ref="B5:H21" totalsRowShown="0" headerRowDxfId="296" dataDxfId="295">
  <autoFilter ref="B5:H21" xr:uid="{B9ABE090-A7D1-4C32-83AF-14F7024EA175}"/>
  <sortState xmlns:xlrd2="http://schemas.microsoft.com/office/spreadsheetml/2017/richdata2" ref="B6:H21">
    <sortCondition ref="G5:G21"/>
  </sortState>
  <tableColumns count="7">
    <tableColumn id="1" xr3:uid="{557C0D12-8C58-4237-A33A-CE1C91A7B71E}" name="No" dataDxfId="294"/>
    <tableColumn id="2" xr3:uid="{417075BA-7478-4368-AE12-DB9808AA1836}" name="Id unit" dataDxfId="293"/>
    <tableColumn id="7" xr3:uid="{3A029249-F2D6-4BB7-9666-D4B096944EBB}" name="JAM KELUAR" dataDxfId="292"/>
    <tableColumn id="6" xr3:uid="{EF1BC176-0B72-4AC4-BE72-3FB653DEE03A}" name="JAM MASUK" dataDxfId="291"/>
    <tableColumn id="5" xr3:uid="{DE913FC1-ECEB-4871-822A-957CF8CA7488}" name="TOTAL JAM KERJA" dataDxfId="290">
      <calculatedColumnFormula>Table132456789101113212529[[#This Row],[JAM MASUK]]-Table132456789101113212529[[#This Row],[JAM KELUAR]]</calculatedColumnFormula>
    </tableColumn>
    <tableColumn id="3" xr3:uid="{0E0A297F-3943-4EB6-B4DA-1F4219D558D7}" name="Retase" dataDxfId="289"/>
    <tableColumn id="4" xr3:uid="{B1CCF656-549B-48E1-B8D7-A10BFE669E9B}" name="Keterangan" dataDxfId="28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0005121-1F63-4A45-9D6A-590F7A307A67}" name="Table13456789101117222630" displayName="Table13456789101117222630" ref="O5:U18" totalsRowShown="0" headerRowDxfId="287" dataDxfId="286">
  <autoFilter ref="O5:U18" xr:uid="{913DA601-D705-4926-AB5D-13C5C55E5198}"/>
  <sortState xmlns:xlrd2="http://schemas.microsoft.com/office/spreadsheetml/2017/richdata2" ref="O6:U18">
    <sortCondition ref="T5:T18"/>
  </sortState>
  <tableColumns count="7">
    <tableColumn id="1" xr3:uid="{C0FA34A2-9663-4ECA-9A22-78EB770BBCA6}" name="No" dataDxfId="285"/>
    <tableColumn id="2" xr3:uid="{1D845B6C-9649-4F1A-A560-8BDCD16B8551}" name="Id unit" dataDxfId="284"/>
    <tableColumn id="7" xr3:uid="{A13ACA89-D747-491E-88D7-F8C064E76DE1}" name="JAM KELUAR" dataDxfId="283"/>
    <tableColumn id="6" xr3:uid="{676688C6-6D67-4A83-A020-FD5F0AA3D96E}" name="JAM MASUK" dataDxfId="282"/>
    <tableColumn id="5" xr3:uid="{F42FA766-1E45-4064-B993-EADFDBC2E27A}" name="TOTAL JAM KERJA" dataDxfId="281">
      <calculatedColumnFormula>Table132456789101113212529[[#This Row],[JAM MASUK]]-Table132456789101113212529[[#This Row],[JAM KELUAR]]</calculatedColumnFormula>
    </tableColumn>
    <tableColumn id="3" xr3:uid="{004B81D9-8B2B-4171-A1C4-F5955814D91E}" name="Retase" dataDxfId="280"/>
    <tableColumn id="4" xr3:uid="{F4CE406C-9F20-4ACA-A117-51E91874B41D}" name="Keterangan" dataDxfId="27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8E309B-8B36-43D0-8BB8-9C7F4E837976}" name="Table1324" displayName="Table1324" ref="B4:E21" totalsRowShown="0" headerRowDxfId="476" dataDxfId="475">
  <tableColumns count="4">
    <tableColumn id="1" xr3:uid="{3B29BC75-2497-401E-8395-DDCE1CB59BCD}" name="No" dataDxfId="474"/>
    <tableColumn id="2" xr3:uid="{F0969EBC-FB31-434C-B496-571A44C3132E}" name="Id unit" dataDxfId="473"/>
    <tableColumn id="3" xr3:uid="{4A588254-491E-4681-80E6-9277C002EF97}" name="Retase" dataDxfId="472"/>
    <tableColumn id="4" xr3:uid="{2B34E92B-AA4F-4154-90C6-B31540244600}" name="Keterangan" dataDxfId="471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183E7DE-4616-45F9-AC6F-E29C0B38C832}" name="Table1345678910111722263032" displayName="Table1345678910111722263032" ref="O22:U28" totalsRowShown="0" headerRowDxfId="278" dataDxfId="277">
  <autoFilter ref="O22:U28" xr:uid="{4183E7DE-4616-45F9-AC6F-E29C0B38C832}"/>
  <sortState xmlns:xlrd2="http://schemas.microsoft.com/office/spreadsheetml/2017/richdata2" ref="O23:U28">
    <sortCondition ref="T22:T28"/>
  </sortState>
  <tableColumns count="7">
    <tableColumn id="1" xr3:uid="{91745BE9-943F-4F5B-9F0D-FEFA02B7E9C1}" name="No" dataDxfId="276"/>
    <tableColumn id="2" xr3:uid="{679B53B4-2F26-4723-AD8C-72319992C68E}" name="Id unit" dataDxfId="275"/>
    <tableColumn id="7" xr3:uid="{EBA2AF76-CCA6-451B-BCB3-13C2B9723269}" name="JAM KELUAR" dataDxfId="274"/>
    <tableColumn id="6" xr3:uid="{8499AB9F-8CC4-4E9D-817C-2F0787466171}" name="JAM MASUK" dataDxfId="273"/>
    <tableColumn id="5" xr3:uid="{84B6159F-7858-4DB8-941B-43B711CC9C5D}" name="TOTAL JAM KERJA" dataDxfId="272">
      <calculatedColumnFormula>Table1345678910111722263032[[#This Row],[JAM MASUK]]-Table1345678910111722263032[[#This Row],[JAM KELUAR]]</calculatedColumnFormula>
    </tableColumn>
    <tableColumn id="3" xr3:uid="{35C449D4-EA95-4E1F-98FE-9203E5595183}" name="Retase" dataDxfId="271"/>
    <tableColumn id="4" xr3:uid="{D716A92D-A578-47DF-BA73-F05282B666F0}" name="Keterangan" dataDxfId="270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9005CD9-900B-4D86-8085-E666700CC026}" name="Table134567891011151819232731" displayName="Table134567891011151819232731" ref="AM5:AS15" totalsRowShown="0" headerRowDxfId="269" dataDxfId="268">
  <autoFilter ref="AM5:AS15" xr:uid="{D7E74646-277B-4974-8CB5-5FC4622C64EB}"/>
  <sortState xmlns:xlrd2="http://schemas.microsoft.com/office/spreadsheetml/2017/richdata2" ref="AM6:AS15">
    <sortCondition ref="AR5:AR15"/>
  </sortState>
  <tableColumns count="7">
    <tableColumn id="1" xr3:uid="{BBE928E3-7037-4D97-B45C-480919B665E0}" name="No" dataDxfId="267"/>
    <tableColumn id="2" xr3:uid="{C4F4E73A-094F-4C7C-BF15-403F1F6B84DA}" name="Id unit" dataDxfId="266"/>
    <tableColumn id="7" xr3:uid="{187F4841-4D02-40CC-8F68-95E15B222511}" name="JAM KELUAR" dataDxfId="265"/>
    <tableColumn id="6" xr3:uid="{110D331C-A85C-4051-BDC3-2B679AC87E4F}" name="JAM MASUK" dataDxfId="264"/>
    <tableColumn id="5" xr3:uid="{E53F8148-750D-4A8C-A571-CD3E605B21B2}" name="TOTAL JAM KERJA" dataDxfId="263">
      <calculatedColumnFormula>Table134567891011151819232731[[#This Row],[JAM MASUK]]-Table134567891011151819232731[[#This Row],[JAM KELUAR]]</calculatedColumnFormula>
    </tableColumn>
    <tableColumn id="3" xr3:uid="{C9541C9A-0EE0-4EEB-9E62-5F55BCF9066C}" name="Retase" dataDxfId="262"/>
    <tableColumn id="4" xr3:uid="{406D3EBB-1296-4E7B-9981-3ECE31A57179}" name="Keterangan" dataDxfId="261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C3D713E-3D00-4C57-9574-EDBAD3E64C20}" name="Table13245678910121620242833" displayName="Table13245678910121620242833" ref="AA5:AG36" totalsRowShown="0" headerRowDxfId="260" dataDxfId="259">
  <autoFilter ref="AA5:AG36" xr:uid="{D9297E2E-3E3E-48AD-913A-FF101A01532F}"/>
  <sortState xmlns:xlrd2="http://schemas.microsoft.com/office/spreadsheetml/2017/richdata2" ref="AA6:AG36">
    <sortCondition ref="AF5:AF36"/>
  </sortState>
  <tableColumns count="7">
    <tableColumn id="1" xr3:uid="{B35B9AE2-FB3B-4739-8201-6E85380EB23A}" name="No" dataDxfId="258"/>
    <tableColumn id="2" xr3:uid="{41E1EED2-E6C2-467E-94E8-5F3DF843BCE1}" name="Id unit" dataDxfId="257"/>
    <tableColumn id="8" xr3:uid="{075C7205-120B-4311-8420-ED61EB927E2F}" name="JAM KELUAR" dataDxfId="256"/>
    <tableColumn id="7" xr3:uid="{F9812ABD-3EE5-4F93-9196-70A074843913}" name="JAM MASUK" dataDxfId="255"/>
    <tableColumn id="6" xr3:uid="{2846F1E0-6856-465A-8320-BB6EDFEDC00C}" name="TOTAL JAM KERJA" dataDxfId="254">
      <calculatedColumnFormula>Table13245678910121620242833[[#This Row],[JAM MASUK]]-Table13245678910121620242833[[#This Row],[JAM KELUAR]]</calculatedColumnFormula>
    </tableColumn>
    <tableColumn id="3" xr3:uid="{87EC8794-5FFA-4C42-9B76-CA05EA2C7675}" name="Retase" dataDxfId="253"/>
    <tableColumn id="4" xr3:uid="{DF7DFCBA-28C7-44E8-8C6C-49773757C2D9}" name="Keterangan" dataDxfId="252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7B56AF0-8783-4AE2-A394-E18CCAE480F9}" name="Table13245678910111321252934" displayName="Table13245678910111321252934" ref="B5:H21" totalsRowShown="0" headerRowDxfId="251" dataDxfId="250">
  <autoFilter ref="B5:H21" xr:uid="{B9ABE090-A7D1-4C32-83AF-14F7024EA175}"/>
  <sortState xmlns:xlrd2="http://schemas.microsoft.com/office/spreadsheetml/2017/richdata2" ref="B6:H21">
    <sortCondition ref="G5:G21"/>
  </sortState>
  <tableColumns count="7">
    <tableColumn id="1" xr3:uid="{9636F7CB-8028-4FB5-9079-C3B86981154C}" name="No" dataDxfId="249"/>
    <tableColumn id="2" xr3:uid="{5B041C47-0450-4155-955D-F780A1676816}" name="Id unit" dataDxfId="248"/>
    <tableColumn id="7" xr3:uid="{5A27442F-BB39-40FD-824D-87B6B636BD2A}" name="JAM KELUAR" dataDxfId="247"/>
    <tableColumn id="6" xr3:uid="{E25CD0D0-990D-4467-B905-76F63BE405F7}" name="JAM MASUK" dataDxfId="246"/>
    <tableColumn id="5" xr3:uid="{BCB25B6E-CEAC-467E-8F33-C458D811A40E}" name="TOTAL JAM KERJA" dataDxfId="245">
      <calculatedColumnFormula>Table13245678910111321252934[[#This Row],[JAM MASUK]]-Table13245678910111321252934[[#This Row],[JAM KELUAR]]</calculatedColumnFormula>
    </tableColumn>
    <tableColumn id="3" xr3:uid="{81D86EB7-1A44-4CF3-89A5-A722B3139D0B}" name="Retase" dataDxfId="244"/>
    <tableColumn id="4" xr3:uid="{972FC4E0-7C4C-4753-A00D-2D669C90A450}" name="Keterangan" dataDxfId="243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58CABBE-9AC9-4D49-AD47-28E7AB3382B0}" name="Table1345678910111722263035" displayName="Table1345678910111722263035" ref="O5:U20" totalsRowShown="0" headerRowDxfId="242" dataDxfId="241">
  <autoFilter ref="O5:U20" xr:uid="{913DA601-D705-4926-AB5D-13C5C55E5198}"/>
  <sortState xmlns:xlrd2="http://schemas.microsoft.com/office/spreadsheetml/2017/richdata2" ref="O6:U19">
    <sortCondition ref="T5:T19"/>
  </sortState>
  <tableColumns count="7">
    <tableColumn id="1" xr3:uid="{BA3E0699-2628-46D4-BE98-C2F6F26D0A2B}" name="No" dataDxfId="240"/>
    <tableColumn id="2" xr3:uid="{33776C80-4043-4FA8-BDE2-D30732B75089}" name="Id unit" dataDxfId="239"/>
    <tableColumn id="7" xr3:uid="{49DF5361-9BC3-44E4-888F-72ED0E03F662}" name="JAM KELUAR" dataDxfId="238"/>
    <tableColumn id="6" xr3:uid="{2BEC4EDB-B2B8-48BD-A2C2-CA73314C8612}" name="JAM MASUK" dataDxfId="237"/>
    <tableColumn id="5" xr3:uid="{30C4B835-CEE3-41D8-BAE0-93A1D6B5F035}" name="TOTAL JAM KERJA" dataDxfId="236">
      <calculatedColumnFormula>Table1345678910111722263035[[#This Row],[JAM MASUK]]-Table1345678910111722263035[[#This Row],[JAM KELUAR]]</calculatedColumnFormula>
    </tableColumn>
    <tableColumn id="3" xr3:uid="{F1BC8080-3481-4998-9F6F-D239B68F4B91}" name="Retase" dataDxfId="235"/>
    <tableColumn id="4" xr3:uid="{2C965208-8792-4E05-A56E-0F1360E4B060}" name="Keterangan" dataDxfId="234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3249F4B-48B4-4796-BB9E-AF8ECED558D1}" name="Table134567891011172226303236" displayName="Table134567891011172226303236" ref="O23:U29" totalsRowShown="0" headerRowDxfId="233" dataDxfId="232">
  <autoFilter ref="O23:U29" xr:uid="{4183E7DE-4616-45F9-AC6F-E29C0B38C832}"/>
  <sortState xmlns:xlrd2="http://schemas.microsoft.com/office/spreadsheetml/2017/richdata2" ref="O24:U29">
    <sortCondition ref="T23:T29"/>
  </sortState>
  <tableColumns count="7">
    <tableColumn id="1" xr3:uid="{0191D2A1-619D-453B-915D-914DC1B1534D}" name="No" dataDxfId="231"/>
    <tableColumn id="2" xr3:uid="{ACAFBC34-0B81-46BD-9E5E-CACF4E14E596}" name="Id unit" dataDxfId="230"/>
    <tableColumn id="7" xr3:uid="{535D4984-0D2F-4669-9F86-BCBCF286C613}" name="JAM KELUAR" dataDxfId="229"/>
    <tableColumn id="6" xr3:uid="{81F668D6-C037-43E4-9578-42DAE4FE7DAE}" name="JAM MASUK" dataDxfId="228"/>
    <tableColumn id="5" xr3:uid="{4435BF90-5C69-48B2-8140-BD0091F5D82E}" name="TOTAL JAM KERJA" dataDxfId="227">
      <calculatedColumnFormula>Table134567891011172226303236[[#This Row],[JAM MASUK]]-Table134567891011172226303236[[#This Row],[JAM KELUAR]]</calculatedColumnFormula>
    </tableColumn>
    <tableColumn id="3" xr3:uid="{3F509A56-9BF3-47D4-B263-E2FD8B537691}" name="Retase" dataDxfId="226"/>
    <tableColumn id="4" xr3:uid="{C9863EC7-0845-44DA-8AB0-CAAE6A766A06}" name="Keterangan" dataDxfId="225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F0D2C82-452B-499A-A0D8-28091283BCD1}" name="Table13456789101115181923273137" displayName="Table13456789101115181923273137" ref="AM5:AS18" totalsRowShown="0" headerRowDxfId="224" dataDxfId="223">
  <autoFilter ref="AM5:AS18" xr:uid="{D7E74646-277B-4974-8CB5-5FC4622C64EB}"/>
  <sortState xmlns:xlrd2="http://schemas.microsoft.com/office/spreadsheetml/2017/richdata2" ref="AM6:AS18">
    <sortCondition ref="AR5:AR18"/>
  </sortState>
  <tableColumns count="7">
    <tableColumn id="1" xr3:uid="{95F830B2-AFE3-4A78-8DAC-5C64012CA0ED}" name="No" dataDxfId="222"/>
    <tableColumn id="2" xr3:uid="{CE9C0C75-718B-4EA8-B6F7-D4831515663A}" name="Id unit" dataDxfId="221"/>
    <tableColumn id="7" xr3:uid="{59881306-7944-4661-9FDF-7D50DF513F43}" name="JAM KELUAR" dataDxfId="220"/>
    <tableColumn id="6" xr3:uid="{CFE73CE9-0610-457F-9CF5-E926AC6C3E9C}" name="JAM MASUK" dataDxfId="219"/>
    <tableColumn id="5" xr3:uid="{BCC08830-DB11-4825-8EED-D174A1E56DA4}" name="TOTAL JAM KERJA" dataDxfId="218">
      <calculatedColumnFormula>Table13456789101115181923273137[[#This Row],[JAM MASUK]]-Table13456789101115181923273137[[#This Row],[JAM KELUAR]]</calculatedColumnFormula>
    </tableColumn>
    <tableColumn id="3" xr3:uid="{934450CC-0721-42B9-903A-37DC3C3A2EF6}" name="Retase" dataDxfId="217"/>
    <tableColumn id="4" xr3:uid="{4AC3CFF1-4037-476B-9778-6354DDA326D4}" name="Keterangan" dataDxfId="21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7AEBCB5-20F8-475F-BE59-5F303DAEEF5D}" name="Table1324567891012162024283338" displayName="Table1324567891012162024283338" ref="AA5:AG37" totalsRowShown="0" headerRowDxfId="215" dataDxfId="214">
  <autoFilter ref="AA5:AG37" xr:uid="{D9297E2E-3E3E-48AD-913A-FF101A01532F}"/>
  <sortState xmlns:xlrd2="http://schemas.microsoft.com/office/spreadsheetml/2017/richdata2" ref="AA6:AG37">
    <sortCondition ref="AB5:AB37"/>
  </sortState>
  <tableColumns count="7">
    <tableColumn id="1" xr3:uid="{2C562702-096F-4EC3-AE8C-467F30F5A9B3}" name="No" dataDxfId="213"/>
    <tableColumn id="2" xr3:uid="{C808E97B-3156-4363-9BA0-E4583ABCE72D}" name="Id unit" dataDxfId="212"/>
    <tableColumn id="8" xr3:uid="{A2E69F63-9CC1-484A-959E-D3277F53E958}" name="JAM KELUAR" dataDxfId="211"/>
    <tableColumn id="7" xr3:uid="{7BEAABB4-2716-4B36-BC80-49E8A32B7CC8}" name="JAM MASUK" dataDxfId="210"/>
    <tableColumn id="6" xr3:uid="{1CBD2FE2-BAB8-4965-B1C2-01C81A20DA8D}" name="TOTAL JAM KERJA" dataDxfId="209">
      <calculatedColumnFormula>Table1324567891012162024283338[[#This Row],[JAM MASUK]]-Table1324567891012162024283338[[#This Row],[JAM KELUAR]]</calculatedColumnFormula>
    </tableColumn>
    <tableColumn id="3" xr3:uid="{BBB5C14B-A298-4BF7-A7B5-54EC6052AA7C}" name="Retase" dataDxfId="208"/>
    <tableColumn id="4" xr3:uid="{D700DA1D-5794-421C-976D-DE5A45E0E730}" name="Keterangan" dataDxfId="207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596A406-647D-4A1E-B98F-00A84B425098}" name="Table1324567891011132125293439" displayName="Table1324567891011132125293439" ref="B5:H23" totalsRowShown="0" headerRowDxfId="206" dataDxfId="205">
  <autoFilter ref="B5:H23" xr:uid="{B9ABE090-A7D1-4C32-83AF-14F7024EA175}"/>
  <sortState xmlns:xlrd2="http://schemas.microsoft.com/office/spreadsheetml/2017/richdata2" ref="B6:H23">
    <sortCondition ref="G5:G23"/>
  </sortState>
  <tableColumns count="7">
    <tableColumn id="1" xr3:uid="{ACCB5BAC-1543-44C0-AEF3-7696DC6405AA}" name="No" dataDxfId="204"/>
    <tableColumn id="2" xr3:uid="{1729DFF5-0C43-4434-A08F-C19A8A5F2DAE}" name="Id unit" dataDxfId="203"/>
    <tableColumn id="7" xr3:uid="{B56B52CF-FEC7-4F99-A1B4-EB40076664C6}" name="JAM KELUAR" dataDxfId="202"/>
    <tableColumn id="6" xr3:uid="{FCC19827-FD70-4B08-BBD8-34F7E13C8B1C}" name="JAM MASUK" dataDxfId="201"/>
    <tableColumn id="5" xr3:uid="{03047150-37D3-478C-A204-57821FED3F2E}" name="TOTAL JAM KERJA" dataDxfId="200">
      <calculatedColumnFormula>Table1324567891011132125293439[[#This Row],[JAM MASUK]]-Table1324567891011132125293439[[#This Row],[JAM KELUAR]]</calculatedColumnFormula>
    </tableColumn>
    <tableColumn id="3" xr3:uid="{328F08E0-015F-48F3-8AC3-46A5DAC43224}" name="Retase" dataDxfId="199"/>
    <tableColumn id="4" xr3:uid="{6B9B902E-88F0-4F0B-853E-3217870EB341}" name="Keterangan" dataDxfId="198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1E6798D-17C5-4EEA-8C07-E28581562D66}" name="Table134567891011172226303540" displayName="Table134567891011172226303540" ref="O5:U18" totalsRowShown="0" headerRowDxfId="197" dataDxfId="196">
  <autoFilter ref="O5:U18" xr:uid="{913DA601-D705-4926-AB5D-13C5C55E5198}"/>
  <sortState xmlns:xlrd2="http://schemas.microsoft.com/office/spreadsheetml/2017/richdata2" ref="O6:U18">
    <sortCondition ref="T5:T18"/>
  </sortState>
  <tableColumns count="7">
    <tableColumn id="1" xr3:uid="{28275101-0561-4E2A-9FAE-466B74F756C9}" name="No" dataDxfId="195"/>
    <tableColumn id="2" xr3:uid="{F09E58C4-2CAC-41AF-95CC-AF1F62912D04}" name="Id unit" dataDxfId="194"/>
    <tableColumn id="7" xr3:uid="{71E84981-FA31-4DA9-9D15-275D5776E9B7}" name="JAM KELUAR" dataDxfId="193"/>
    <tableColumn id="6" xr3:uid="{B3C78971-CF2C-4314-8995-B5852C14DC2D}" name="JAM MASUK" dataDxfId="192"/>
    <tableColumn id="5" xr3:uid="{AFCAFB1B-3F56-4BCC-93CF-5FA0E39F531D}" name="TOTAL JAM KERJA" dataDxfId="191">
      <calculatedColumnFormula>Table134567891011172226303540[[#This Row],[JAM MASUK]]-Table134567891011172226303540[[#This Row],[JAM KELUAR]]</calculatedColumnFormula>
    </tableColumn>
    <tableColumn id="3" xr3:uid="{58B8FCAC-BB34-46D0-AE99-ABD76C7D49B4}" name="Retase" dataDxfId="190"/>
    <tableColumn id="4" xr3:uid="{B4F320E6-2A77-4DF0-BA10-C8B36D65B00E}" name="Keterangan" dataDxfId="18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6A241-3FE8-40E5-98BC-3B3FF3B8FE53}" name="Table13245" displayName="Table13245" ref="B4:E22" totalsRowShown="0" headerRowDxfId="470" dataDxfId="469">
  <tableColumns count="4">
    <tableColumn id="1" xr3:uid="{00626962-5916-4AE3-86C1-F19EDE2A63C4}" name="No" dataDxfId="468"/>
    <tableColumn id="2" xr3:uid="{0B9F4900-A68B-4927-AF3C-3EC0555639D6}" name="Id unit" dataDxfId="467"/>
    <tableColumn id="3" xr3:uid="{8D70918C-73C5-4EDA-AFDF-1A17E357712B}" name="Retase" dataDxfId="466"/>
    <tableColumn id="4" xr3:uid="{5249870D-5202-44F2-9E1E-4F36670C01F1}" name="Keterangan" dataDxfId="46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D34C5A7-3591-47A2-B596-A33A249EB6BF}" name="Table13456789101117222630323641" displayName="Table13456789101117222630323641" ref="O21:U28" totalsRowShown="0" headerRowDxfId="188" dataDxfId="187">
  <autoFilter ref="O21:U28" xr:uid="{4183E7DE-4616-45F9-AC6F-E29C0B38C832}"/>
  <sortState xmlns:xlrd2="http://schemas.microsoft.com/office/spreadsheetml/2017/richdata2" ref="O22:U28">
    <sortCondition ref="T21:T28"/>
  </sortState>
  <tableColumns count="7">
    <tableColumn id="1" xr3:uid="{B9BA7C7A-6D25-44C0-8129-0650BDFAC631}" name="No" dataDxfId="186"/>
    <tableColumn id="2" xr3:uid="{57194BEF-415F-46B7-89FB-49958DFC88DB}" name="Id unit" dataDxfId="185"/>
    <tableColumn id="7" xr3:uid="{EB759B98-C0C8-41C1-AFB1-2FC17B159AC3}" name="JAM KELUAR" dataDxfId="184"/>
    <tableColumn id="6" xr3:uid="{8F3EF175-E7A6-43EF-928F-F2D4FE3A72D0}" name="JAM MASUK" dataDxfId="183"/>
    <tableColumn id="5" xr3:uid="{7D2D87BF-5D32-4C2C-A8B2-A9C5FDDFDAA4}" name="TOTAL JAM KERJA" dataDxfId="182">
      <calculatedColumnFormula>Table13456789101117222630323641[[#This Row],[JAM MASUK]]-Table13456789101117222630323641[[#This Row],[JAM KELUAR]]</calculatedColumnFormula>
    </tableColumn>
    <tableColumn id="3" xr3:uid="{94935766-0D9C-4738-9942-6F19F808C84A}" name="Retase" dataDxfId="181"/>
    <tableColumn id="4" xr3:uid="{5A0BA27A-1621-43C6-831D-D72AA1E72756}" name="Keterangan" dataDxfId="180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B617BFB-C718-4385-8A9D-5C29AB7B175D}" name="Table1345678910111518192327313742" displayName="Table1345678910111518192327313742" ref="AM5:AS18" totalsRowShown="0" headerRowDxfId="179" dataDxfId="178">
  <autoFilter ref="AM5:AS18" xr:uid="{D7E74646-277B-4974-8CB5-5FC4622C64EB}"/>
  <sortState xmlns:xlrd2="http://schemas.microsoft.com/office/spreadsheetml/2017/richdata2" ref="AM6:AS18">
    <sortCondition ref="AR5:AR18"/>
  </sortState>
  <tableColumns count="7">
    <tableColumn id="1" xr3:uid="{BDA5AC7A-4B8E-45A5-8D29-08112AEB6F67}" name="No" dataDxfId="177"/>
    <tableColumn id="2" xr3:uid="{64373614-8FA4-4016-ABE3-8FE20F2E9887}" name="Id unit" dataDxfId="176"/>
    <tableColumn id="7" xr3:uid="{6472477D-62BC-4CBA-A1E2-BBE06613CE2A}" name="JAM KELUAR" dataDxfId="175"/>
    <tableColumn id="6" xr3:uid="{21F3C323-5F45-4461-B04C-00A585DA6AC9}" name="JAM MASUK" dataDxfId="174"/>
    <tableColumn id="5" xr3:uid="{1A68AE3B-6635-455C-A5DA-687DBBC8E761}" name="TOTAL JAM KERJA" dataDxfId="173">
      <calculatedColumnFormula>Table1345678910111518192327313742[[#This Row],[JAM MASUK]]-Table1345678910111518192327313742[[#This Row],[JAM KELUAR]]</calculatedColumnFormula>
    </tableColumn>
    <tableColumn id="3" xr3:uid="{8CA2CC7E-F783-42F3-9C25-C779B93F25CF}" name="Retase" dataDxfId="172"/>
    <tableColumn id="4" xr3:uid="{6C26B148-A5F4-4D50-A80E-88EB2C7C7DE1}" name="Keterangan" dataDxfId="171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0B6B351-C16E-4629-8FDB-8A737E672625}" name="Table132456789101216202428333843" displayName="Table132456789101216202428333843" ref="AA5:AG35" totalsRowShown="0" headerRowDxfId="170" dataDxfId="169">
  <autoFilter ref="AA5:AG35" xr:uid="{D9297E2E-3E3E-48AD-913A-FF101A01532F}"/>
  <sortState xmlns:xlrd2="http://schemas.microsoft.com/office/spreadsheetml/2017/richdata2" ref="AA6:AG35">
    <sortCondition ref="AF5:AF35"/>
  </sortState>
  <tableColumns count="7">
    <tableColumn id="1" xr3:uid="{D8B25B85-1165-457A-BB5C-1ED138C97E03}" name="No" dataDxfId="168"/>
    <tableColumn id="2" xr3:uid="{B518CC24-E08F-4429-AB63-5ED88144BC77}" name="Id unit" dataDxfId="167"/>
    <tableColumn id="8" xr3:uid="{7CC6740C-4E3C-484A-84EE-75D4159E9574}" name="JAM KELUAR" dataDxfId="166"/>
    <tableColumn id="7" xr3:uid="{F59E01FA-1B9D-4E96-96E9-8A9C707618C9}" name="JAM MASUK" dataDxfId="165"/>
    <tableColumn id="6" xr3:uid="{A1B1D869-337A-4739-AC4B-8B5FFC2456A2}" name="TOTAL JAM KERJA" dataDxfId="164">
      <calculatedColumnFormula>Table132456789101216202428333843[[#This Row],[JAM MASUK]]-Table132456789101216202428333843[[#This Row],[JAM KELUAR]]</calculatedColumnFormula>
    </tableColumn>
    <tableColumn id="3" xr3:uid="{3612F6C7-87F3-44AC-AC6E-33DC61E419E9}" name="Retase" dataDxfId="163"/>
    <tableColumn id="4" xr3:uid="{9D6F7E51-99CF-41C5-BBCD-636B962F39D7}" name="Keterangan" dataDxfId="162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6DAF849-1284-4BE1-9923-25B9455EFC4E}" name="Table132456789101113212529343944" displayName="Table132456789101113212529343944" ref="B5:H21" totalsRowShown="0" headerRowDxfId="161" dataDxfId="160">
  <autoFilter ref="B5:H21" xr:uid="{B9ABE090-A7D1-4C32-83AF-14F7024EA175}"/>
  <sortState xmlns:xlrd2="http://schemas.microsoft.com/office/spreadsheetml/2017/richdata2" ref="B6:H21">
    <sortCondition ref="G5:G21"/>
  </sortState>
  <tableColumns count="7">
    <tableColumn id="1" xr3:uid="{41774495-16C7-4A33-A78D-14AC6D884C01}" name="No" dataDxfId="159"/>
    <tableColumn id="2" xr3:uid="{2E172A1B-B932-4CEB-A0A8-4ECC102B6B76}" name="Id unit" dataDxfId="158"/>
    <tableColumn id="7" xr3:uid="{C226D3BB-B3E0-4824-85D3-4DAAE3F8991C}" name="JAM KELUAR" dataDxfId="157"/>
    <tableColumn id="6" xr3:uid="{72FE5EAB-247C-4836-9662-4C88C3B8DE0E}" name="JAM MASUK" dataDxfId="156"/>
    <tableColumn id="5" xr3:uid="{7E8B98EE-945C-4393-B82F-AA00C8B35284}" name="TOTAL JAM KERJA" dataDxfId="155">
      <calculatedColumnFormula>Table132456789101113212529343944[[#This Row],[JAM MASUK]]-Table132456789101113212529343944[[#This Row],[JAM KELUAR]]</calculatedColumnFormula>
    </tableColumn>
    <tableColumn id="3" xr3:uid="{4336DA61-825A-4020-AF58-C6A96B420452}" name="Retase" dataDxfId="154"/>
    <tableColumn id="4" xr3:uid="{D66C609E-45CA-48B2-ADDB-7DB2FAE8CFB4}" name="Keterangan" dataDxfId="153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73C193B-BA1A-4925-93D2-476F2D051776}" name="Table13456789101117222630354045" displayName="Table13456789101117222630354045" ref="O5:U18" totalsRowShown="0" headerRowDxfId="152" dataDxfId="151">
  <autoFilter ref="O5:U18" xr:uid="{913DA601-D705-4926-AB5D-13C5C55E5198}"/>
  <sortState xmlns:xlrd2="http://schemas.microsoft.com/office/spreadsheetml/2017/richdata2" ref="O6:U18">
    <sortCondition ref="T5:T18"/>
  </sortState>
  <tableColumns count="7">
    <tableColumn id="1" xr3:uid="{B6AF0F87-F012-4EEA-9BDB-CF38027ABD96}" name="No" dataDxfId="150"/>
    <tableColumn id="2" xr3:uid="{380AF9F2-91A5-427D-B31F-2CB24A2B1568}" name="Id unit" dataDxfId="149"/>
    <tableColumn id="7" xr3:uid="{0E903310-8CF3-4CCB-BAEA-4CD583816AF8}" name="JAM KELUAR" dataDxfId="148"/>
    <tableColumn id="6" xr3:uid="{3106166E-8FE9-457B-BC69-484307AD5378}" name="JAM MASUK" dataDxfId="147"/>
    <tableColumn id="5" xr3:uid="{698DFE6F-A573-41DE-AC1D-C0F151AD9BAF}" name="TOTAL JAM KERJA" dataDxfId="146">
      <calculatedColumnFormula>Table13456789101117222630354045[[#This Row],[JAM MASUK]]-Table13456789101117222630354045[[#This Row],[JAM KELUAR]]</calculatedColumnFormula>
    </tableColumn>
    <tableColumn id="3" xr3:uid="{944FF4E1-B024-4234-886D-AACF39E5DC63}" name="Retase" dataDxfId="145"/>
    <tableColumn id="4" xr3:uid="{E6E34CCC-EE45-4860-A0E3-43E36B4D4BEE}" name="Keterangan" dataDxfId="144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4D8CF4D-DA5E-4134-BDB3-4D0FEA587C86}" name="Table1345678910111722263032364146" displayName="Table1345678910111722263032364146" ref="O21:U26" totalsRowShown="0" headerRowDxfId="143" dataDxfId="142">
  <autoFilter ref="O21:U26" xr:uid="{4183E7DE-4616-45F9-AC6F-E29C0B38C832}"/>
  <sortState xmlns:xlrd2="http://schemas.microsoft.com/office/spreadsheetml/2017/richdata2" ref="O22:U26">
    <sortCondition ref="T21:T26"/>
  </sortState>
  <tableColumns count="7">
    <tableColumn id="1" xr3:uid="{3265FC9F-5984-4BE8-AB14-27B96D793297}" name="No" dataDxfId="141"/>
    <tableColumn id="2" xr3:uid="{831BDA66-4B7E-4E0F-8DF4-E416B114B9B0}" name="Id unit" dataDxfId="140"/>
    <tableColumn id="7" xr3:uid="{89710ED1-10B0-4F1A-B6BC-D36F22372373}" name="JAM KELUAR" dataDxfId="139"/>
    <tableColumn id="6" xr3:uid="{EFFA3995-9967-4CF3-8886-BAC8DED3F332}" name="JAM MASUK" dataDxfId="138"/>
    <tableColumn id="5" xr3:uid="{8C9BFDCD-07D0-4145-B414-9EB8E4CEF1CA}" name="TOTAL JAM KERJA" dataDxfId="137">
      <calculatedColumnFormula>Table1345678910111722263032364146[[#This Row],[JAM MASUK]]-Table1345678910111722263032364146[[#This Row],[JAM KELUAR]]</calculatedColumnFormula>
    </tableColumn>
    <tableColumn id="3" xr3:uid="{EB399ADA-9D85-4232-B5EE-8ABE2E4F056A}" name="Retase" dataDxfId="136"/>
    <tableColumn id="4" xr3:uid="{98752967-9AA0-4D52-9797-6446AED39D5D}" name="Keterangan" dataDxfId="135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AAE105A-FBA8-435A-9994-29018F6D5127}" name="Table134567891011151819232731374247" displayName="Table134567891011151819232731374247" ref="AM5:AS15" totalsRowShown="0" headerRowDxfId="134" dataDxfId="133">
  <autoFilter ref="AM5:AS15" xr:uid="{D7E74646-277B-4974-8CB5-5FC4622C64EB}"/>
  <sortState xmlns:xlrd2="http://schemas.microsoft.com/office/spreadsheetml/2017/richdata2" ref="AM6:AS15">
    <sortCondition ref="AR5:AR15"/>
  </sortState>
  <tableColumns count="7">
    <tableColumn id="1" xr3:uid="{6C67B20A-09C4-44D9-838C-7E37EE4A1965}" name="No" dataDxfId="132"/>
    <tableColumn id="2" xr3:uid="{12BCF8C2-64EB-433F-AD83-AB01F77A09DC}" name="Id unit" dataDxfId="131"/>
    <tableColumn id="7" xr3:uid="{F6B43577-E16F-4975-A5D5-DA8507C46485}" name="JAM KELUAR" dataDxfId="130"/>
    <tableColumn id="6" xr3:uid="{3437C6BC-D042-4E7D-94B4-AD8E83D3F0CD}" name="JAM MASUK" dataDxfId="129"/>
    <tableColumn id="5" xr3:uid="{6B0EB77A-D6FC-4634-97BA-065822291ED5}" name="TOTAL JAM KERJA" dataDxfId="128">
      <calculatedColumnFormula>Table134567891011151819232731374247[[#This Row],[JAM MASUK]]-Table134567891011151819232731374247[[#This Row],[JAM KELUAR]]</calculatedColumnFormula>
    </tableColumn>
    <tableColumn id="3" xr3:uid="{935DD8C4-0B35-4B92-BBA6-431C87858631}" name="Retase" dataDxfId="127"/>
    <tableColumn id="4" xr3:uid="{3E65A398-48F8-43D2-AE10-D8524B5FD5C3}" name="Keterangan" dataDxfId="126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1A3DEBC-999C-490B-95D8-2CAB23D0AD30}" name="Table13245678910121620242833384348" displayName="Table13245678910121620242833384348" ref="AA5:AG34" totalsRowShown="0" headerRowDxfId="125" dataDxfId="124">
  <autoFilter ref="AA5:AG34" xr:uid="{D9297E2E-3E3E-48AD-913A-FF101A01532F}"/>
  <sortState xmlns:xlrd2="http://schemas.microsoft.com/office/spreadsheetml/2017/richdata2" ref="AA6:AG34">
    <sortCondition ref="AF5:AF34"/>
  </sortState>
  <tableColumns count="7">
    <tableColumn id="1" xr3:uid="{2F58413E-4A47-4F88-9ACF-5BEAF0089BD9}" name="No" dataDxfId="123"/>
    <tableColumn id="2" xr3:uid="{58D3D91C-C049-4DA7-A884-B1A7582E8146}" name="Id unit" dataDxfId="122"/>
    <tableColumn id="8" xr3:uid="{852F0849-49F6-4E43-8D21-3BF076E7760D}" name="JAM KELUAR" dataDxfId="121"/>
    <tableColumn id="7" xr3:uid="{9FCCE883-6A0B-4BB7-838C-28A9AFAF8C3C}" name="JAM MASUK" dataDxfId="120"/>
    <tableColumn id="6" xr3:uid="{0E4CE8A0-5079-4E98-8342-6F626F2B5FDA}" name="TOTAL JAM KERJA" dataDxfId="119">
      <calculatedColumnFormula>Table13245678910121620242833384348[[#This Row],[JAM MASUK]]-Table13245678910121620242833384348[[#This Row],[JAM KELUAR]]</calculatedColumnFormula>
    </tableColumn>
    <tableColumn id="3" xr3:uid="{0D8C2B27-0C6A-4C56-A31D-671AC66EABDA}" name="Retase" dataDxfId="118"/>
    <tableColumn id="4" xr3:uid="{E400CC05-426B-4386-B7B2-A2D60B78DB54}" name="Keterangan" dataDxfId="117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D840C13-1E03-41AF-9551-647F2DCC7523}" name="Table13245678910111321252934394449" displayName="Table13245678910111321252934394449" ref="B5:H24" totalsRowShown="0" headerRowDxfId="116" dataDxfId="115">
  <autoFilter ref="B5:H24" xr:uid="{B9ABE090-A7D1-4C32-83AF-14F7024EA175}"/>
  <sortState xmlns:xlrd2="http://schemas.microsoft.com/office/spreadsheetml/2017/richdata2" ref="B6:H24">
    <sortCondition ref="G5:G24"/>
  </sortState>
  <tableColumns count="7">
    <tableColumn id="1" xr3:uid="{116AC160-10FB-42FA-A951-80ECD127839F}" name="No" dataDxfId="114"/>
    <tableColumn id="2" xr3:uid="{DF43C36A-93A8-4F4B-94E8-AB11E86D8C9E}" name="Id unit" dataDxfId="113"/>
    <tableColumn id="7" xr3:uid="{891587BC-FEE6-4DEA-9FEF-749095AD2DB9}" name="JAM KELUAR" dataDxfId="112"/>
    <tableColumn id="6" xr3:uid="{B8AAB194-F731-42FE-A4B0-E168EB345E2C}" name="JAM MASUK" dataDxfId="111"/>
    <tableColumn id="5" xr3:uid="{B9C65B77-BF5A-4FEB-AB54-268AED870835}" name="TOTAL JAM KERJA" dataDxfId="110">
      <calculatedColumnFormula>Table13245678910111321252934394449[[#This Row],[JAM MASUK]]-Table13245678910111321252934394449[[#This Row],[JAM KELUAR]]</calculatedColumnFormula>
    </tableColumn>
    <tableColumn id="3" xr3:uid="{A0D1665E-51B3-4131-9410-C457B2948987}" name="Retase" dataDxfId="109"/>
    <tableColumn id="4" xr3:uid="{E224D081-AB7A-4D2B-94FD-C5F7836D3392}" name="Keterangan" dataDxfId="108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B4E0BC6E-AA64-49FE-8249-16775BE0E64B}" name="Table1345678910111722263035404550" displayName="Table1345678910111722263035404550" ref="O5:U18" totalsRowShown="0" headerRowDxfId="107" dataDxfId="106">
  <autoFilter ref="O5:U18" xr:uid="{913DA601-D705-4926-AB5D-13C5C55E5198}"/>
  <sortState xmlns:xlrd2="http://schemas.microsoft.com/office/spreadsheetml/2017/richdata2" ref="O6:U18">
    <sortCondition ref="T5:T18"/>
  </sortState>
  <tableColumns count="7">
    <tableColumn id="1" xr3:uid="{323238F4-C5D1-47BA-8CB1-22F9A6B8A3EB}" name="No" dataDxfId="105"/>
    <tableColumn id="2" xr3:uid="{337AEC4B-25A2-4A1D-A523-6DCA79C6080B}" name="Id unit" dataDxfId="104"/>
    <tableColumn id="7" xr3:uid="{5C37EF7F-F6C8-4918-B646-4385FD13EE22}" name="JAM KELUAR" dataDxfId="103"/>
    <tableColumn id="6" xr3:uid="{44EFCEB3-CE59-432A-A646-C7C4B1E57809}" name="JAM MASUK" dataDxfId="102"/>
    <tableColumn id="5" xr3:uid="{129CA823-D1D1-4D1B-ABBE-9B797A3AA6A9}" name="TOTAL JAM KERJA" dataDxfId="101">
      <calculatedColumnFormula>Table1345678910111722263035404550[[#This Row],[JAM MASUK]]-Table1345678910111722263035404550[[#This Row],[JAM KELUAR]]</calculatedColumnFormula>
    </tableColumn>
    <tableColumn id="3" xr3:uid="{FDFC43E7-0A90-485E-A6D5-3FC2FC572F92}" name="Retase" dataDxfId="100"/>
    <tableColumn id="4" xr3:uid="{CD43B556-7EE9-4CBD-B3F0-0E9571778D7A}" name="Keterangan" dataDxfId="9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FA983-EDE9-4D03-9E81-D76DC3FA58A1}" name="Table132456" displayName="Table132456" ref="B4:E25" totalsRowShown="0" headerRowDxfId="464" dataDxfId="463">
  <tableColumns count="4">
    <tableColumn id="1" xr3:uid="{90C96BC3-EB33-4545-998C-F780D1BB6958}" name="No" dataDxfId="462"/>
    <tableColumn id="2" xr3:uid="{72DD3DED-428E-4CC0-8215-D0D7B615F92B}" name="Id unit" dataDxfId="461"/>
    <tableColumn id="3" xr3:uid="{EF40E335-0672-4A55-B953-CFF2BACFC070}" name="Retase" dataDxfId="460"/>
    <tableColumn id="4" xr3:uid="{2B8CB4ED-296A-4CB2-B210-2CA1FE3FAEC1}" name="Keterangan" dataDxfId="459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CD48A80-B6C2-41FF-80AC-93A4CEADB4A7}" name="Table134567891011172226303236414651" displayName="Table134567891011172226303236414651" ref="O23:U31" totalsRowShown="0" headerRowDxfId="98" dataDxfId="97">
  <autoFilter ref="O23:U31" xr:uid="{4183E7DE-4616-45F9-AC6F-E29C0B38C832}"/>
  <sortState xmlns:xlrd2="http://schemas.microsoft.com/office/spreadsheetml/2017/richdata2" ref="O24:U31">
    <sortCondition ref="P23:P31"/>
  </sortState>
  <tableColumns count="7">
    <tableColumn id="1" xr3:uid="{0FF35E70-88AB-4E67-B5F0-46F6CE74EF5A}" name="No" dataDxfId="96"/>
    <tableColumn id="2" xr3:uid="{FC36F099-259A-4017-838F-CBAD63009D7B}" name="Id unit" dataDxfId="95"/>
    <tableColumn id="7" xr3:uid="{6B1A6C55-2744-4E4A-8112-3A2801ABFDDD}" name="JAM KELUAR" dataDxfId="94"/>
    <tableColumn id="6" xr3:uid="{DFFEE2C5-D28C-45AB-9A1A-939DFF80F976}" name="JAM MASUK" dataDxfId="93"/>
    <tableColumn id="5" xr3:uid="{01BD2E53-7814-4E20-A006-D1BD8EC98CD3}" name="TOTAL JAM KERJA" dataDxfId="92">
      <calculatedColumnFormula>Table134567891011172226303236414651[[#This Row],[JAM MASUK]]-Table134567891011172226303236414651[[#This Row],[JAM KELUAR]]</calculatedColumnFormula>
    </tableColumn>
    <tableColumn id="3" xr3:uid="{3B64C78C-E308-44DD-9D38-344EC5F5E336}" name="Retase" dataDxfId="91"/>
    <tableColumn id="4" xr3:uid="{5402AF83-EAF3-4521-884E-BF161552BF1C}" name="Keterangan" dataDxfId="90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4B0ECE3-D690-483E-A711-E56D968E50C0}" name="Table13456789101115181923273137424752" displayName="Table13456789101115181923273137424752" ref="AM5:AS18" totalsRowShown="0" headerRowDxfId="89" dataDxfId="88">
  <autoFilter ref="AM5:AS18" xr:uid="{D7E74646-277B-4974-8CB5-5FC4622C64EB}"/>
  <sortState xmlns:xlrd2="http://schemas.microsoft.com/office/spreadsheetml/2017/richdata2" ref="AM6:AS18">
    <sortCondition ref="AR5:AR18"/>
  </sortState>
  <tableColumns count="7">
    <tableColumn id="1" xr3:uid="{F8FA5A8B-F064-4C26-AB17-3BBD1E0E99EF}" name="No" dataDxfId="87"/>
    <tableColumn id="2" xr3:uid="{06F2BFE1-7A59-473A-91F0-A91E72EFBE98}" name="Id unit" dataDxfId="86"/>
    <tableColumn id="7" xr3:uid="{D2FADF8E-273F-4A9B-945E-29EE00ACEBB7}" name="JAM KELUAR" dataDxfId="85"/>
    <tableColumn id="6" xr3:uid="{EE86AE0F-07B1-4C1C-B629-D171E380275E}" name="JAM MASUK" dataDxfId="84"/>
    <tableColumn id="5" xr3:uid="{945E5257-95E6-428F-A5B7-005D47383533}" name="TOTAL JAM KERJA" dataDxfId="83">
      <calculatedColumnFormula>Table13456789101115181923273137424752[[#This Row],[JAM MASUK]]-Table13456789101115181923273137424752[[#This Row],[JAM KELUAR]]</calculatedColumnFormula>
    </tableColumn>
    <tableColumn id="3" xr3:uid="{47BBF40A-140F-4EA3-BCBA-FDA30D3F3C75}" name="Retase" dataDxfId="82"/>
    <tableColumn id="4" xr3:uid="{BF25391A-9722-4E4F-A5CE-0A066EB06452}" name="Keterangan" dataDxfId="81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06DF03A-0BF2-4328-8DB0-4711F9ADC532}" name="Table1324567891012162024283338434853" displayName="Table1324567891012162024283338434853" ref="AA5:AG26" totalsRowShown="0" headerRowDxfId="80" dataDxfId="79">
  <autoFilter ref="AA5:AG26" xr:uid="{D9297E2E-3E3E-48AD-913A-FF101A01532F}"/>
  <sortState xmlns:xlrd2="http://schemas.microsoft.com/office/spreadsheetml/2017/richdata2" ref="AA6:AG26">
    <sortCondition ref="AF5:AF26"/>
  </sortState>
  <tableColumns count="7">
    <tableColumn id="1" xr3:uid="{B92F5F8C-B45E-4C66-B0B3-39BD1E515938}" name="No" dataDxfId="78"/>
    <tableColumn id="2" xr3:uid="{757AC665-72F4-4BD3-8F15-22E52DB7F913}" name="Id unit" dataDxfId="77"/>
    <tableColumn id="8" xr3:uid="{21A305FB-B199-4369-A62A-CB713EB89B1D}" name="JAM KELUAR" dataDxfId="76"/>
    <tableColumn id="7" xr3:uid="{E2A059D5-DC8E-4E25-B3CF-64EFF81C1567}" name="JAM MASUK" dataDxfId="75"/>
    <tableColumn id="6" xr3:uid="{017AD740-AF15-4A88-A352-ACC0CE7EE9EF}" name="TOTAL JAM KERJA" dataDxfId="74">
      <calculatedColumnFormula>Table1324567891012162024283338434853[[#This Row],[JAM MASUK]]-Table1324567891012162024283338434853[[#This Row],[JAM KELUAR]]</calculatedColumnFormula>
    </tableColumn>
    <tableColumn id="3" xr3:uid="{93DA57B5-6904-4992-93BD-5501B8075745}" name="Retase" dataDxfId="73"/>
    <tableColumn id="4" xr3:uid="{11224A06-2BE5-4CDE-B1EE-BE46B32AA6B1}" name="Keterangan" dataDxfId="72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4C405B2-A492-4F59-9F15-6B6939F70B12}" name="Table1324567891011132125293439444954" displayName="Table1324567891011132125293439444954" ref="B5:H27" totalsRowShown="0" headerRowDxfId="71" dataDxfId="70">
  <autoFilter ref="B5:H27" xr:uid="{B9ABE090-A7D1-4C32-83AF-14F7024EA175}"/>
  <sortState xmlns:xlrd2="http://schemas.microsoft.com/office/spreadsheetml/2017/richdata2" ref="B6:H27">
    <sortCondition ref="G5:G27"/>
  </sortState>
  <tableColumns count="7">
    <tableColumn id="1" xr3:uid="{1E1B5DBB-9571-4586-9DE1-6480AFF1F18B}" name="No" dataDxfId="69"/>
    <tableColumn id="2" xr3:uid="{3593CBBD-041F-4934-876E-10FBE8B46969}" name="Id unit" dataDxfId="68"/>
    <tableColumn id="7" xr3:uid="{DC53C5F6-6D49-445D-BB6F-7A89D4C24F6C}" name="JAM KELUAR" dataDxfId="67"/>
    <tableColumn id="6" xr3:uid="{E6427B88-47C3-4381-87F0-F72A5FA9A3B6}" name="14:25" dataDxfId="66"/>
    <tableColumn id="5" xr3:uid="{568D3872-0022-4090-9EE3-6FC27DBB9FE7}" name="TOTAL JAM KERJA" dataDxfId="65">
      <calculatedColumnFormula>Table1324567891011132125293439444954[[#This Row],[14:25]]-Table1324567891011132125293439444954[[#This Row],[JAM KELUAR]]</calculatedColumnFormula>
    </tableColumn>
    <tableColumn id="3" xr3:uid="{196A5415-6665-44C4-AFF6-0DCC95A4E76C}" name="Retase" dataDxfId="64"/>
    <tableColumn id="4" xr3:uid="{F223F31F-DBEA-417E-BB1E-FB860B00EE85}" name="Keterangan" dataDxfId="63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2067C73-DB63-4C18-8B17-2226EBA7B799}" name="Table134567891011172226303540455055" displayName="Table134567891011172226303540455055" ref="O5:U20" totalsRowShown="0" headerRowDxfId="62" dataDxfId="61">
  <autoFilter ref="O5:U20" xr:uid="{913DA601-D705-4926-AB5D-13C5C55E5198}"/>
  <sortState xmlns:xlrd2="http://schemas.microsoft.com/office/spreadsheetml/2017/richdata2" ref="O6:U20">
    <sortCondition ref="T5:T20"/>
  </sortState>
  <tableColumns count="7">
    <tableColumn id="1" xr3:uid="{5D8D3405-70CA-44B1-B397-A741AC9499C3}" name="No" dataDxfId="60"/>
    <tableColumn id="2" xr3:uid="{BDFC3C01-AF74-41B1-A3EE-78EA67B41AC3}" name="Id unit" dataDxfId="59"/>
    <tableColumn id="7" xr3:uid="{4FFEAFC7-3471-45E5-A29A-264A3328A597}" name="JAM KELUAR" dataDxfId="58"/>
    <tableColumn id="6" xr3:uid="{52F2A836-0D50-4EFE-8CC8-75BDDE0D0BE3}" name="JAM MASUK" dataDxfId="57"/>
    <tableColumn id="5" xr3:uid="{ADC23DB7-6AB0-44CC-8411-8523C77967E3}" name="TOTAL JAM KERJA" dataDxfId="56">
      <calculatedColumnFormula>Table134567891011172226303540455055[[#This Row],[JAM MASUK]]-Table134567891011172226303540455055[[#This Row],[JAM KELUAR]]</calculatedColumnFormula>
    </tableColumn>
    <tableColumn id="3" xr3:uid="{DA7B10DC-B871-4725-B706-0F2108241AA8}" name="Retase" dataDxfId="55"/>
    <tableColumn id="4" xr3:uid="{B82B49B3-44C7-4830-81C6-F54567F9B4AB}" name="Keterangan" dataDxfId="54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8014EC4-FD1E-4C3C-9C24-F6946673A94D}" name="Table13456789101117222630323641465156" displayName="Table13456789101117222630323641465156" ref="O24:U31" totalsRowShown="0" headerRowDxfId="53" dataDxfId="52">
  <autoFilter ref="O24:U31" xr:uid="{4183E7DE-4616-45F9-AC6F-E29C0B38C832}"/>
  <sortState xmlns:xlrd2="http://schemas.microsoft.com/office/spreadsheetml/2017/richdata2" ref="O25:U31">
    <sortCondition ref="T24:T31"/>
  </sortState>
  <tableColumns count="7">
    <tableColumn id="1" xr3:uid="{1A391743-6E6D-435F-B354-9CC3C7CF0570}" name="No" dataDxfId="51"/>
    <tableColumn id="2" xr3:uid="{3B1DF342-C44D-48E7-847F-C0B27E1E148B}" name="Id unit" dataDxfId="50"/>
    <tableColumn id="7" xr3:uid="{5F14F134-4F86-4B21-A2AC-7D798285AE6B}" name="JAM KELUAR" dataDxfId="49"/>
    <tableColumn id="6" xr3:uid="{B9EF24EF-6852-4A1D-AF53-225DF7E8E208}" name="JAM MASUK" dataDxfId="48"/>
    <tableColumn id="5" xr3:uid="{0775D5F7-79FC-4E89-807D-461A3F6E4DA2}" name="TOTAL JAM KERJA" dataDxfId="47">
      <calculatedColumnFormula>Table13456789101117222630323641465156[[#This Row],[JAM MASUK]]-Table13456789101117222630323641465156[[#This Row],[JAM KELUAR]]</calculatedColumnFormula>
    </tableColumn>
    <tableColumn id="3" xr3:uid="{633F9A53-6E77-4B12-9870-82DBA4CEB336}" name="Retase" dataDxfId="46"/>
    <tableColumn id="4" xr3:uid="{D0D29CA2-61DF-400D-A357-73C944D05616}" name="Keterangan" dataDxfId="45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F04017A-F6E2-4A78-87B6-92329D5E87FD}" name="Table1345678910111518192327313742475259" displayName="Table1345678910111518192327313742475259" ref="AM5:AS14" totalsRowShown="0" headerRowDxfId="44" dataDxfId="43">
  <autoFilter ref="AM5:AS14" xr:uid="{D7E74646-277B-4974-8CB5-5FC4622C64EB}"/>
  <sortState xmlns:xlrd2="http://schemas.microsoft.com/office/spreadsheetml/2017/richdata2" ref="AM6:AS14">
    <sortCondition ref="AR5:AR14"/>
  </sortState>
  <tableColumns count="7">
    <tableColumn id="1" xr3:uid="{345FC5D3-C38F-480B-9AB9-61D26F43B0CE}" name="No" dataDxfId="42"/>
    <tableColumn id="2" xr3:uid="{5EDF51FD-9142-410A-B57A-BD6C590B2A7B}" name="Id unit" dataDxfId="41"/>
    <tableColumn id="7" xr3:uid="{61FF42AE-EE60-4E47-8F4C-9F9967568B3B}" name="JAM KELUAR" dataDxfId="40"/>
    <tableColumn id="6" xr3:uid="{3C0C6246-8A5F-45E4-9978-0AB67F5631E4}" name="JAM MASUK" dataDxfId="39"/>
    <tableColumn id="5" xr3:uid="{E859DFAA-205F-4AB2-92FC-C8A425708671}" name="TOTAL JAM KERJA" dataDxfId="38">
      <calculatedColumnFormula>Table1345678910111518192327313742475259[[#This Row],[JAM MASUK]]-Table1345678910111518192327313742475259[[#This Row],[JAM KELUAR]]</calculatedColumnFormula>
    </tableColumn>
    <tableColumn id="3" xr3:uid="{F428953F-68F4-473D-85FB-355A159AF35A}" name="Retase" dataDxfId="37"/>
    <tableColumn id="4" xr3:uid="{930E5754-1354-4F70-8B10-A7FA2FDB6CA6}" name="Keterangan" dataDxfId="36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3286E5D-2EF6-4235-B0D8-CF91DFB4CFF9}" name="Table132456789101216202428333843485360" displayName="Table132456789101216202428333843485360" ref="AA5:AG25" totalsRowShown="0" headerRowDxfId="35" dataDxfId="34">
  <autoFilter ref="AA5:AG25" xr:uid="{D9297E2E-3E3E-48AD-913A-FF101A01532F}"/>
  <sortState xmlns:xlrd2="http://schemas.microsoft.com/office/spreadsheetml/2017/richdata2" ref="AA6:AG25">
    <sortCondition ref="AF5:AF25"/>
  </sortState>
  <tableColumns count="7">
    <tableColumn id="1" xr3:uid="{4A4B00C3-D40F-4ECA-868A-0D5603D1C492}" name="No" dataDxfId="33"/>
    <tableColumn id="2" xr3:uid="{E9B1F5D1-E77C-43A7-8EF6-46E9864C2B36}" name="Id unit" dataDxfId="32"/>
    <tableColumn id="8" xr3:uid="{8EC9ED9C-7495-4C11-9CF5-D08C50AD7009}" name="JAM KELUAR" dataDxfId="31"/>
    <tableColumn id="7" xr3:uid="{6E4DCD00-49C7-4787-929F-F4B60A3E4A06}" name="JAM MASUK" dataDxfId="30"/>
    <tableColumn id="6" xr3:uid="{BDC9952B-A28F-40C1-9280-214870F15AF5}" name="TOTAL JAM KERJA" dataDxfId="29">
      <calculatedColumnFormula>Table132456789101216202428333843485360[[#This Row],[JAM MASUK]]-Table132456789101216202428333843485360[[#This Row],[JAM KELUAR]]</calculatedColumnFormula>
    </tableColumn>
    <tableColumn id="3" xr3:uid="{7DA66F12-9869-4737-A090-F4E62AD49350}" name="Retase" dataDxfId="28"/>
    <tableColumn id="4" xr3:uid="{2FB93812-2823-48DD-836A-16635B31D63C}" name="Keterangan" dataDxfId="27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F0FC29D-391D-4235-845B-E119E2B0B7B4}" name="Table132456789101113212529343944495461" displayName="Table132456789101113212529343944495461" ref="B5:H27" totalsRowShown="0" headerRowDxfId="26" dataDxfId="25">
  <autoFilter ref="B5:H27" xr:uid="{B9ABE090-A7D1-4C32-83AF-14F7024EA175}"/>
  <sortState xmlns:xlrd2="http://schemas.microsoft.com/office/spreadsheetml/2017/richdata2" ref="B6:H27">
    <sortCondition ref="G5:G27"/>
  </sortState>
  <tableColumns count="7">
    <tableColumn id="1" xr3:uid="{6FFE95FA-7B84-4F1B-87AE-E7A448D5E8F6}" name="No" dataDxfId="24"/>
    <tableColumn id="2" xr3:uid="{3C2984C8-E701-4D5D-B735-2C683E329E89}" name="Id unit" dataDxfId="23"/>
    <tableColumn id="7" xr3:uid="{AE59BD76-911E-4F18-8600-C335EB8EAF9C}" name="JAM KELUAR" dataDxfId="22"/>
    <tableColumn id="6" xr3:uid="{27FC0D78-7B36-4B64-A429-B46A64333B82}" name="14:25" dataDxfId="21"/>
    <tableColumn id="5" xr3:uid="{CF530403-647B-4DB9-81B8-8E58AE3D6574}" name="TOTAL JAM KERJA" dataDxfId="20">
      <calculatedColumnFormula>Table132456789101113212529343944495461[[#This Row],[14:25]]-Table132456789101113212529343944495461[[#This Row],[JAM KELUAR]]</calculatedColumnFormula>
    </tableColumn>
    <tableColumn id="3" xr3:uid="{308F506D-A9CE-46AB-B661-ACF09FE32856}" name="Retase" dataDxfId="19"/>
    <tableColumn id="4" xr3:uid="{1A016F2E-2C17-450E-AE54-60CE0F328C96}" name="Keterangan" dataDxfId="18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EE9E08F0-4153-4CAB-B94D-4751D0256842}" name="Table13456789101117222630354045505562" displayName="Table13456789101117222630354045505562" ref="O5:U20" totalsRowShown="0" headerRowDxfId="17" dataDxfId="16">
  <autoFilter ref="O5:U20" xr:uid="{913DA601-D705-4926-AB5D-13C5C55E5198}"/>
  <sortState xmlns:xlrd2="http://schemas.microsoft.com/office/spreadsheetml/2017/richdata2" ref="O6:U20">
    <sortCondition ref="T5:T20"/>
  </sortState>
  <tableColumns count="7">
    <tableColumn id="1" xr3:uid="{6657C4D3-97C4-4D4D-888D-671DD7A765ED}" name="No" dataDxfId="15"/>
    <tableColumn id="2" xr3:uid="{6FFA0572-DB4F-41FE-A6C3-510FC759E520}" name="Id unit" dataDxfId="14"/>
    <tableColumn id="7" xr3:uid="{D938463C-082C-4730-94C6-6B1031E6D73A}" name="JAM KELUAR" dataDxfId="13"/>
    <tableColumn id="6" xr3:uid="{5EA96D0A-23D0-4D55-988B-1FA5B01719C1}" name="JAM MASUK" dataDxfId="12"/>
    <tableColumn id="5" xr3:uid="{23FDDD3B-8525-40F0-9C1A-6853F30D6019}" name="TOTAL JAM KERJA" dataDxfId="11">
      <calculatedColumnFormula>R6-Q6</calculatedColumnFormula>
    </tableColumn>
    <tableColumn id="3" xr3:uid="{4D18DEF4-1D70-48A5-BA2B-AFE205A84D99}" name="Retase" dataDxfId="10"/>
    <tableColumn id="4" xr3:uid="{C0527CFB-2C14-412F-92A3-34F25734820F}" name="Keterangan" dataDxfId="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24CC3-D2BB-474A-95E0-9A41CEB3C726}" name="Table1324567" displayName="Table1324567" ref="B4:E25" totalsRowShown="0" headerRowDxfId="458" dataDxfId="457">
  <tableColumns count="4">
    <tableColumn id="1" xr3:uid="{1ED6C8A1-F733-4A1B-BD6F-A3EE88BDB765}" name="No" dataDxfId="456"/>
    <tableColumn id="2" xr3:uid="{56B4690B-2EE1-46E9-B2F4-AE4CF87DDD08}" name="Id unit" dataDxfId="455"/>
    <tableColumn id="3" xr3:uid="{4BA73329-E853-401D-B6C0-1386FA2C1B5F}" name="Retase" dataDxfId="454"/>
    <tableColumn id="4" xr3:uid="{315FFE1F-564A-471B-AA66-608D0D1B8A45}" name="Keterangan" dataDxfId="453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47B84973-492D-485B-823F-EFB1906EBB91}" name="Table1345678910111722263032364146515663" displayName="Table1345678910111722263032364146515663" ref="O25:U31" totalsRowShown="0" headerRowDxfId="8" dataDxfId="7">
  <autoFilter ref="O25:U31" xr:uid="{4183E7DE-4616-45F9-AC6F-E29C0B38C832}"/>
  <sortState xmlns:xlrd2="http://schemas.microsoft.com/office/spreadsheetml/2017/richdata2" ref="O26:U30">
    <sortCondition ref="T25:T30"/>
  </sortState>
  <tableColumns count="7">
    <tableColumn id="1" xr3:uid="{5EFF58D4-E4ED-4BF0-9CAC-996764CEBCC8}" name="No" dataDxfId="6"/>
    <tableColumn id="2" xr3:uid="{71EAD650-F199-4968-A76B-9FD2E77F25FA}" name="Id unit" dataDxfId="5"/>
    <tableColumn id="7" xr3:uid="{D0365940-00F2-4797-9480-5EA4BB450609}" name="JAM KELUAR" dataDxfId="4"/>
    <tableColumn id="6" xr3:uid="{99CB0E3E-9BE7-404A-9BA7-A3F5385C41D4}" name="JAM MASUK" dataDxfId="3"/>
    <tableColumn id="5" xr3:uid="{A81C5E61-5556-4795-AA53-C22709245476}" name="TOTAL JAM KERJA" dataDxfId="2">
      <calculatedColumnFormula>R26-Q26</calculatedColumnFormula>
    </tableColumn>
    <tableColumn id="3" xr3:uid="{403BE04D-4F62-4905-82A4-27A0BFA38CB9}" name="Retase" dataDxfId="1"/>
    <tableColumn id="4" xr3:uid="{2D452476-3BC2-4881-A5B9-3B7EA37FF2E5}" name="Keterangan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A3EB8D-68EE-4A42-BEAC-96D84E18A281}" name="Table13245678" displayName="Table13245678" ref="B4:E21" totalsRowShown="0" headerRowDxfId="452" dataDxfId="451">
  <autoFilter ref="B4:E21" xr:uid="{B9ABE090-A7D1-4C32-83AF-14F7024EA175}"/>
  <sortState xmlns:xlrd2="http://schemas.microsoft.com/office/spreadsheetml/2017/richdata2" ref="B5:E21">
    <sortCondition ref="D4:D21"/>
  </sortState>
  <tableColumns count="4">
    <tableColumn id="1" xr3:uid="{84D423EB-90D0-4DA4-BD88-5CF22F74B6D8}" name="No" dataDxfId="450"/>
    <tableColumn id="2" xr3:uid="{C9D407FD-0BC0-4761-B4E6-6C486CE1FD9F}" name="Id unit" dataDxfId="449"/>
    <tableColumn id="3" xr3:uid="{C1EE034E-2E29-47C1-B2A6-301FD0B0BA40}" name="Retase" dataDxfId="448"/>
    <tableColumn id="4" xr3:uid="{31AD37C0-D4F3-49D8-9E7B-A7E7E78A447F}" name="Keterangan" dataDxfId="44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04646E-7034-4842-B4A8-4F26760A1E6E}" name="Table132456789" displayName="Table132456789" ref="B4:E24" totalsRowShown="0" headerRowDxfId="446" dataDxfId="445">
  <autoFilter ref="B4:E24" xr:uid="{B9ABE090-A7D1-4C32-83AF-14F7024EA175}"/>
  <sortState xmlns:xlrd2="http://schemas.microsoft.com/office/spreadsheetml/2017/richdata2" ref="B5:E24">
    <sortCondition ref="D4:D24"/>
  </sortState>
  <tableColumns count="4">
    <tableColumn id="1" xr3:uid="{05418171-3811-415B-A4BC-2FB44B3BFFE2}" name="No" dataDxfId="444"/>
    <tableColumn id="2" xr3:uid="{4819B699-B3FE-44F2-BD53-6A13701FC5B8}" name="Id unit" dataDxfId="443"/>
    <tableColumn id="3" xr3:uid="{AAED9FFC-DB5C-4075-B6C4-13F9E6286CA1}" name="Retase" dataDxfId="442"/>
    <tableColumn id="4" xr3:uid="{9EECE65A-0FB6-4324-9FCF-74ABC6F94B1B}" name="Keterangan" dataDxfId="44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D82840-1220-4E78-B4D9-A30A502DB01D}" name="Table13245678910" displayName="Table13245678910" ref="B4:E22" totalsRowShown="0" headerRowDxfId="440" dataDxfId="439">
  <autoFilter ref="B4:E22" xr:uid="{B9ABE090-A7D1-4C32-83AF-14F7024EA175}"/>
  <sortState xmlns:xlrd2="http://schemas.microsoft.com/office/spreadsheetml/2017/richdata2" ref="B5:E22">
    <sortCondition ref="D4:D22"/>
  </sortState>
  <tableColumns count="4">
    <tableColumn id="1" xr3:uid="{549B0F8D-FDA5-400E-B718-6098EA12DBEC}" name="No" dataDxfId="438"/>
    <tableColumn id="2" xr3:uid="{0DA0F3A0-2219-4D85-9B8E-F228D1CB080D}" name="Id unit" dataDxfId="437"/>
    <tableColumn id="3" xr3:uid="{19296993-9299-455E-966C-12ED490142DF}" name="Retase" dataDxfId="436"/>
    <tableColumn id="4" xr3:uid="{4F52BFDF-D2ED-4121-9A23-022FB30754F9}" name="Keterangan" dataDxfId="4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3.bin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45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E35D-6346-4184-A6A1-4749EC67379B}">
  <sheetPr codeName="Sheet1">
    <tabColor theme="7" tint="0.39997558519241921"/>
  </sheetPr>
  <dimension ref="A2:H23"/>
  <sheetViews>
    <sheetView showGridLines="0" zoomScale="115" zoomScaleNormal="115" workbookViewId="0">
      <selection activeCell="B33" sqref="B33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2.81640625" customWidth="1"/>
    <col min="8" max="8" width="26.1796875" customWidth="1"/>
  </cols>
  <sheetData>
    <row r="2" spans="1:8" ht="18.5" x14ac:dyDescent="0.45">
      <c r="B2" s="64" t="s">
        <v>13</v>
      </c>
      <c r="C2" s="64"/>
      <c r="D2" s="64"/>
      <c r="E2" s="64"/>
      <c r="G2" s="65" t="s">
        <v>14</v>
      </c>
      <c r="H2" s="65"/>
    </row>
    <row r="3" spans="1:8" x14ac:dyDescent="0.35">
      <c r="B3" s="3"/>
      <c r="C3" s="3"/>
      <c r="D3" s="3"/>
      <c r="E3" s="3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15</v>
      </c>
      <c r="D5" s="16">
        <v>2</v>
      </c>
      <c r="E5" s="17" t="s">
        <v>34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16</v>
      </c>
      <c r="D6" s="16">
        <v>2</v>
      </c>
      <c r="E6" s="17" t="s">
        <v>35</v>
      </c>
      <c r="G6" s="5" t="s">
        <v>9</v>
      </c>
      <c r="H6" s="8">
        <v>19</v>
      </c>
    </row>
    <row r="7" spans="1:8" s="1" customFormat="1" x14ac:dyDescent="0.35">
      <c r="A7"/>
      <c r="B7" s="16">
        <v>3</v>
      </c>
      <c r="C7" s="16" t="s">
        <v>17</v>
      </c>
      <c r="D7" s="16">
        <v>1</v>
      </c>
      <c r="E7" s="17" t="s">
        <v>36</v>
      </c>
      <c r="G7" s="5" t="s">
        <v>4</v>
      </c>
      <c r="H7" s="8">
        <v>0</v>
      </c>
    </row>
    <row r="8" spans="1:8" s="1" customFormat="1" x14ac:dyDescent="0.35">
      <c r="A8"/>
      <c r="B8" s="16">
        <v>4</v>
      </c>
      <c r="C8" s="16" t="s">
        <v>18</v>
      </c>
      <c r="D8" s="16">
        <v>2</v>
      </c>
      <c r="E8" s="17" t="s">
        <v>37</v>
      </c>
      <c r="G8" s="5" t="s">
        <v>5</v>
      </c>
      <c r="H8" s="8">
        <v>5</v>
      </c>
    </row>
    <row r="9" spans="1:8" s="1" customFormat="1" x14ac:dyDescent="0.35">
      <c r="A9"/>
      <c r="B9" s="16">
        <v>5</v>
      </c>
      <c r="C9" s="16" t="s">
        <v>19</v>
      </c>
      <c r="D9" s="16">
        <v>1</v>
      </c>
      <c r="E9" s="17" t="s">
        <v>38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20</v>
      </c>
      <c r="D10" s="16">
        <v>1</v>
      </c>
      <c r="E10" s="17" t="s">
        <v>39</v>
      </c>
      <c r="G10" s="9" t="s">
        <v>8</v>
      </c>
      <c r="H10" s="10">
        <v>33</v>
      </c>
    </row>
    <row r="11" spans="1:8" s="1" customFormat="1" x14ac:dyDescent="0.35">
      <c r="A11"/>
      <c r="B11" s="16">
        <v>7</v>
      </c>
      <c r="C11" s="16" t="s">
        <v>21</v>
      </c>
      <c r="D11" s="16">
        <v>2</v>
      </c>
      <c r="E11" s="17" t="s">
        <v>35</v>
      </c>
      <c r="G11" s="11" t="s">
        <v>7</v>
      </c>
      <c r="H11" s="12">
        <f>H10/H6</f>
        <v>1.736842105263158</v>
      </c>
    </row>
    <row r="12" spans="1:8" s="1" customFormat="1" x14ac:dyDescent="0.35">
      <c r="A12"/>
      <c r="B12" s="16">
        <v>8</v>
      </c>
      <c r="C12" s="16" t="s">
        <v>22</v>
      </c>
      <c r="D12" s="16">
        <v>2</v>
      </c>
      <c r="E12" s="17" t="s">
        <v>35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23</v>
      </c>
      <c r="D13" s="16">
        <v>2</v>
      </c>
      <c r="E13" s="17" t="s">
        <v>40</v>
      </c>
      <c r="G13" s="13" t="s">
        <v>12</v>
      </c>
      <c r="H13" s="15">
        <f>H11/H12</f>
        <v>0.69473684210526321</v>
      </c>
    </row>
    <row r="14" spans="1:8" x14ac:dyDescent="0.35">
      <c r="B14" s="16">
        <v>10</v>
      </c>
      <c r="C14" s="16" t="s">
        <v>24</v>
      </c>
      <c r="D14" s="16">
        <v>1</v>
      </c>
      <c r="E14" s="17" t="s">
        <v>41</v>
      </c>
    </row>
    <row r="15" spans="1:8" x14ac:dyDescent="0.35">
      <c r="B15" s="16">
        <v>11</v>
      </c>
      <c r="C15" s="16" t="s">
        <v>25</v>
      </c>
      <c r="D15" s="16">
        <v>1</v>
      </c>
      <c r="E15" s="17" t="s">
        <v>42</v>
      </c>
    </row>
    <row r="16" spans="1:8" x14ac:dyDescent="0.35">
      <c r="B16" s="16">
        <v>12</v>
      </c>
      <c r="C16" s="16" t="s">
        <v>26</v>
      </c>
      <c r="D16" s="16">
        <v>2</v>
      </c>
      <c r="E16" s="17" t="s">
        <v>35</v>
      </c>
    </row>
    <row r="17" spans="2:5" x14ac:dyDescent="0.35">
      <c r="B17" s="16">
        <v>13</v>
      </c>
      <c r="C17" s="16" t="s">
        <v>27</v>
      </c>
      <c r="D17" s="16">
        <v>2</v>
      </c>
      <c r="E17" s="17" t="s">
        <v>43</v>
      </c>
    </row>
    <row r="18" spans="2:5" x14ac:dyDescent="0.35">
      <c r="B18" s="16">
        <v>14</v>
      </c>
      <c r="C18" s="16" t="s">
        <v>28</v>
      </c>
      <c r="D18" s="16">
        <v>1</v>
      </c>
      <c r="E18" s="17" t="s">
        <v>44</v>
      </c>
    </row>
    <row r="19" spans="2:5" x14ac:dyDescent="0.35">
      <c r="B19" s="16">
        <v>15</v>
      </c>
      <c r="C19" s="16" t="s">
        <v>29</v>
      </c>
      <c r="D19" s="16">
        <v>1</v>
      </c>
      <c r="E19" s="17" t="s">
        <v>45</v>
      </c>
    </row>
    <row r="20" spans="2:5" x14ac:dyDescent="0.35">
      <c r="B20" s="16">
        <v>16</v>
      </c>
      <c r="C20" s="16" t="s">
        <v>30</v>
      </c>
      <c r="D20" s="16">
        <v>2</v>
      </c>
      <c r="E20" s="17" t="s">
        <v>46</v>
      </c>
    </row>
    <row r="21" spans="2:5" x14ac:dyDescent="0.35">
      <c r="B21" s="16">
        <v>17</v>
      </c>
      <c r="C21" s="16" t="s">
        <v>31</v>
      </c>
      <c r="D21" s="16">
        <v>2</v>
      </c>
      <c r="E21" s="17" t="s">
        <v>35</v>
      </c>
    </row>
    <row r="22" spans="2:5" x14ac:dyDescent="0.35">
      <c r="B22" s="1">
        <v>18</v>
      </c>
      <c r="C22" s="1" t="s">
        <v>32</v>
      </c>
      <c r="D22" s="1">
        <v>3</v>
      </c>
      <c r="E22" s="1" t="s">
        <v>47</v>
      </c>
    </row>
    <row r="23" spans="2:5" x14ac:dyDescent="0.35">
      <c r="B23" s="1">
        <v>19</v>
      </c>
      <c r="C23" s="1" t="s">
        <v>33</v>
      </c>
      <c r="D23" s="1">
        <v>3</v>
      </c>
      <c r="E23" s="1" t="s">
        <v>47</v>
      </c>
    </row>
  </sheetData>
  <mergeCells count="2">
    <mergeCell ref="B2:E2"/>
    <mergeCell ref="G2:H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DB03-C8D1-4A37-8EFD-053AA8E7208F}">
  <sheetPr codeName="Sheet10">
    <tabColor theme="7" tint="0.39997558519241921"/>
  </sheetPr>
  <dimension ref="A1:R58"/>
  <sheetViews>
    <sheetView showGridLines="0" topLeftCell="A22" zoomScale="70" zoomScaleNormal="70" workbookViewId="0">
      <selection activeCell="J46" sqref="J46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  <col min="9" max="9" width="5.7265625" customWidth="1"/>
    <col min="10" max="10" width="0.7265625" style="23" customWidth="1"/>
    <col min="11" max="11" width="5.54296875" customWidth="1"/>
    <col min="12" max="12" width="8.81640625" bestFit="1" customWidth="1"/>
    <col min="13" max="13" width="11.7265625" bestFit="1" customWidth="1"/>
    <col min="14" max="14" width="12.26953125" bestFit="1" customWidth="1"/>
    <col min="15" max="15" width="62.54296875" customWidth="1"/>
    <col min="17" max="17" width="33.7265625" customWidth="1"/>
    <col min="18" max="18" width="11.7265625" customWidth="1"/>
  </cols>
  <sheetData>
    <row r="1" spans="1:18" ht="21" x14ac:dyDescent="0.5">
      <c r="B1" s="69" t="s">
        <v>194</v>
      </c>
      <c r="C1" s="69"/>
      <c r="D1" s="69"/>
      <c r="E1" s="69"/>
      <c r="F1" s="69"/>
      <c r="G1" s="69"/>
      <c r="H1" s="69"/>
      <c r="L1" s="69" t="s">
        <v>158</v>
      </c>
      <c r="M1" s="69"/>
      <c r="N1" s="69"/>
      <c r="O1" s="69"/>
      <c r="P1" s="69"/>
      <c r="Q1" s="69"/>
      <c r="R1" s="69"/>
    </row>
    <row r="3" spans="1:18" ht="18.5" x14ac:dyDescent="0.45">
      <c r="B3" s="67" t="s">
        <v>49</v>
      </c>
      <c r="C3" s="67"/>
      <c r="D3" s="67"/>
      <c r="E3" s="67"/>
      <c r="G3" s="65" t="s">
        <v>50</v>
      </c>
      <c r="H3" s="65"/>
      <c r="L3" s="67" t="s">
        <v>143</v>
      </c>
      <c r="M3" s="67"/>
      <c r="N3" s="67"/>
      <c r="O3" s="67"/>
      <c r="Q3" s="65" t="s">
        <v>144</v>
      </c>
      <c r="R3" s="65"/>
    </row>
    <row r="4" spans="1:18" x14ac:dyDescent="0.35">
      <c r="B4" s="68">
        <f ca="1">NOW()</f>
        <v>45383.917838657406</v>
      </c>
      <c r="C4" s="68"/>
      <c r="D4" s="68"/>
      <c r="E4" s="68"/>
      <c r="G4" s="66"/>
      <c r="H4" s="66"/>
      <c r="L4" s="68">
        <f ca="1">NOW()</f>
        <v>45383.917838657406</v>
      </c>
      <c r="M4" s="68"/>
      <c r="N4" s="68"/>
      <c r="O4" s="68"/>
      <c r="Q4" s="66"/>
      <c r="R4" s="66"/>
    </row>
    <row r="5" spans="1:18" s="1" customFormat="1" x14ac:dyDescent="0.35">
      <c r="A5"/>
      <c r="B5" s="2" t="s">
        <v>0</v>
      </c>
      <c r="C5" s="2" t="s">
        <v>1</v>
      </c>
      <c r="D5" s="2" t="s">
        <v>2</v>
      </c>
      <c r="E5" s="2" t="s">
        <v>3</v>
      </c>
      <c r="G5" s="4" t="s">
        <v>48</v>
      </c>
      <c r="H5" s="6">
        <f>SUM(H7:H10)</f>
        <v>24</v>
      </c>
      <c r="J5" s="24"/>
      <c r="L5" s="2" t="s">
        <v>0</v>
      </c>
      <c r="M5" s="2" t="s">
        <v>1</v>
      </c>
      <c r="N5" s="2" t="s">
        <v>2</v>
      </c>
      <c r="O5" s="2" t="s">
        <v>3</v>
      </c>
      <c r="Q5" s="4" t="s">
        <v>48</v>
      </c>
      <c r="R5" s="6">
        <f>SUM(R7:R10)</f>
        <v>59</v>
      </c>
    </row>
    <row r="6" spans="1:18" s="1" customFormat="1" x14ac:dyDescent="0.35">
      <c r="A6"/>
      <c r="B6" s="16">
        <v>1</v>
      </c>
      <c r="C6" s="16" t="s">
        <v>32</v>
      </c>
      <c r="D6" s="16">
        <v>1</v>
      </c>
      <c r="E6" s="19" t="s">
        <v>217</v>
      </c>
      <c r="G6" s="5" t="s">
        <v>10</v>
      </c>
      <c r="H6" s="7">
        <v>24</v>
      </c>
      <c r="J6" s="24"/>
      <c r="L6" s="16">
        <v>1</v>
      </c>
      <c r="M6" s="16" t="s">
        <v>203</v>
      </c>
      <c r="N6" s="16">
        <v>2</v>
      </c>
      <c r="O6" s="19" t="s">
        <v>234</v>
      </c>
      <c r="Q6" s="5" t="s">
        <v>10</v>
      </c>
      <c r="R6" s="7">
        <v>35</v>
      </c>
    </row>
    <row r="7" spans="1:18" s="1" customFormat="1" x14ac:dyDescent="0.35">
      <c r="A7"/>
      <c r="B7" s="16">
        <v>2</v>
      </c>
      <c r="C7" s="16" t="s">
        <v>197</v>
      </c>
      <c r="D7" s="16">
        <v>2</v>
      </c>
      <c r="E7" s="19" t="s">
        <v>218</v>
      </c>
      <c r="G7" s="5" t="s">
        <v>9</v>
      </c>
      <c r="H7" s="8">
        <v>18</v>
      </c>
      <c r="J7" s="24"/>
      <c r="L7" s="16">
        <v>2</v>
      </c>
      <c r="M7" s="16" t="s">
        <v>153</v>
      </c>
      <c r="N7" s="16">
        <v>2</v>
      </c>
      <c r="O7" s="19" t="s">
        <v>235</v>
      </c>
      <c r="Q7" s="5" t="s">
        <v>9</v>
      </c>
      <c r="R7" s="8">
        <v>27</v>
      </c>
    </row>
    <row r="8" spans="1:18" s="1" customFormat="1" x14ac:dyDescent="0.35">
      <c r="A8"/>
      <c r="B8" s="16">
        <v>3</v>
      </c>
      <c r="C8" s="16" t="s">
        <v>53</v>
      </c>
      <c r="D8" s="16">
        <v>2</v>
      </c>
      <c r="E8" s="17" t="s">
        <v>227</v>
      </c>
      <c r="G8" s="5" t="s">
        <v>4</v>
      </c>
      <c r="H8" s="8">
        <v>1</v>
      </c>
      <c r="J8" s="24"/>
      <c r="L8" s="16">
        <v>3</v>
      </c>
      <c r="M8" s="16" t="s">
        <v>198</v>
      </c>
      <c r="N8" s="16">
        <v>3</v>
      </c>
      <c r="O8" s="17" t="s">
        <v>243</v>
      </c>
      <c r="Q8" s="5" t="s">
        <v>4</v>
      </c>
      <c r="R8" s="8">
        <v>0</v>
      </c>
    </row>
    <row r="9" spans="1:18" s="1" customFormat="1" x14ac:dyDescent="0.35">
      <c r="A9"/>
      <c r="B9" s="16">
        <v>4</v>
      </c>
      <c r="C9" s="16" t="s">
        <v>18</v>
      </c>
      <c r="D9" s="16">
        <v>2</v>
      </c>
      <c r="E9" s="17" t="s">
        <v>219</v>
      </c>
      <c r="G9" s="5" t="s">
        <v>5</v>
      </c>
      <c r="H9" s="8">
        <v>5</v>
      </c>
      <c r="J9" s="24"/>
      <c r="L9" s="16">
        <v>4</v>
      </c>
      <c r="M9" s="16" t="s">
        <v>205</v>
      </c>
      <c r="N9" s="16">
        <v>3</v>
      </c>
      <c r="O9" s="19" t="s">
        <v>236</v>
      </c>
      <c r="Q9" s="5" t="s">
        <v>5</v>
      </c>
      <c r="R9" s="8">
        <v>1</v>
      </c>
    </row>
    <row r="10" spans="1:18" s="1" customFormat="1" x14ac:dyDescent="0.35">
      <c r="A10"/>
      <c r="B10" s="16">
        <v>5</v>
      </c>
      <c r="C10" s="16" t="s">
        <v>19</v>
      </c>
      <c r="D10" s="16">
        <v>2</v>
      </c>
      <c r="E10" s="17" t="s">
        <v>229</v>
      </c>
      <c r="G10" s="5" t="s">
        <v>6</v>
      </c>
      <c r="H10" s="8">
        <v>0</v>
      </c>
      <c r="J10" s="24"/>
      <c r="L10" s="16">
        <v>5</v>
      </c>
      <c r="M10" s="16" t="s">
        <v>145</v>
      </c>
      <c r="N10" s="16">
        <v>3</v>
      </c>
      <c r="O10" s="19" t="s">
        <v>242</v>
      </c>
      <c r="Q10" s="5" t="s">
        <v>6</v>
      </c>
      <c r="R10" s="8">
        <v>31</v>
      </c>
    </row>
    <row r="11" spans="1:18" s="1" customFormat="1" x14ac:dyDescent="0.35">
      <c r="A11"/>
      <c r="B11" s="16">
        <v>6</v>
      </c>
      <c r="C11" s="16" t="s">
        <v>21</v>
      </c>
      <c r="D11" s="16">
        <v>2</v>
      </c>
      <c r="E11" s="19" t="s">
        <v>220</v>
      </c>
      <c r="G11" s="9" t="s">
        <v>8</v>
      </c>
      <c r="H11" s="10">
        <f>SUM(Table1324567891011[Retase])</f>
        <v>45</v>
      </c>
      <c r="J11" s="24"/>
      <c r="L11" s="16">
        <v>6</v>
      </c>
      <c r="M11" s="16" t="s">
        <v>155</v>
      </c>
      <c r="N11" s="16">
        <v>3</v>
      </c>
      <c r="O11" s="19" t="s">
        <v>237</v>
      </c>
      <c r="Q11" s="9" t="s">
        <v>8</v>
      </c>
      <c r="R11" s="10">
        <f>SUM(Table1324567891012[Retase])</f>
        <v>104</v>
      </c>
    </row>
    <row r="12" spans="1:18" s="1" customFormat="1" x14ac:dyDescent="0.35">
      <c r="A12"/>
      <c r="B12" s="16">
        <v>7</v>
      </c>
      <c r="C12" s="16" t="s">
        <v>22</v>
      </c>
      <c r="D12" s="16">
        <v>2</v>
      </c>
      <c r="E12" s="17" t="s">
        <v>221</v>
      </c>
      <c r="G12" s="11" t="s">
        <v>7</v>
      </c>
      <c r="H12" s="12">
        <f>H11/H7</f>
        <v>2.5</v>
      </c>
      <c r="J12" s="24"/>
      <c r="L12" s="16">
        <v>7</v>
      </c>
      <c r="M12" s="16" t="s">
        <v>150</v>
      </c>
      <c r="N12" s="16">
        <v>3</v>
      </c>
      <c r="O12" s="19" t="s">
        <v>238</v>
      </c>
      <c r="Q12" s="11" t="s">
        <v>7</v>
      </c>
      <c r="R12" s="12">
        <f>R11/R7</f>
        <v>3.8518518518518516</v>
      </c>
    </row>
    <row r="13" spans="1:18" s="1" customFormat="1" x14ac:dyDescent="0.35">
      <c r="A13"/>
      <c r="B13" s="16">
        <v>8</v>
      </c>
      <c r="C13" s="16" t="s">
        <v>24</v>
      </c>
      <c r="D13" s="16">
        <v>2</v>
      </c>
      <c r="E13" s="19" t="s">
        <v>222</v>
      </c>
      <c r="G13" s="13" t="s">
        <v>11</v>
      </c>
      <c r="H13" s="14">
        <v>2.5</v>
      </c>
      <c r="J13" s="24"/>
      <c r="L13" s="16">
        <v>8</v>
      </c>
      <c r="M13" s="16" t="s">
        <v>209</v>
      </c>
      <c r="N13" s="16">
        <v>3</v>
      </c>
      <c r="O13" s="19" t="s">
        <v>239</v>
      </c>
      <c r="Q13" s="13" t="s">
        <v>11</v>
      </c>
      <c r="R13" s="14">
        <v>4</v>
      </c>
    </row>
    <row r="14" spans="1:18" s="1" customFormat="1" x14ac:dyDescent="0.35">
      <c r="A14"/>
      <c r="B14" s="16">
        <v>9</v>
      </c>
      <c r="C14" s="16" t="s">
        <v>25</v>
      </c>
      <c r="D14" s="16">
        <v>2</v>
      </c>
      <c r="E14" s="19" t="s">
        <v>223</v>
      </c>
      <c r="G14" s="13" t="s">
        <v>51</v>
      </c>
      <c r="H14" s="15">
        <f>H12/H13</f>
        <v>1</v>
      </c>
      <c r="J14" s="24"/>
      <c r="L14" s="1">
        <v>9</v>
      </c>
      <c r="M14" s="1" t="s">
        <v>199</v>
      </c>
      <c r="N14" s="1">
        <v>4</v>
      </c>
      <c r="O14" s="18" t="s">
        <v>54</v>
      </c>
      <c r="Q14" s="13" t="s">
        <v>51</v>
      </c>
      <c r="R14" s="15">
        <f>R12/R13</f>
        <v>0.96296296296296291</v>
      </c>
    </row>
    <row r="15" spans="1:18" x14ac:dyDescent="0.35">
      <c r="B15" s="16">
        <v>10</v>
      </c>
      <c r="C15" s="16" t="s">
        <v>26</v>
      </c>
      <c r="D15" s="16">
        <v>2</v>
      </c>
      <c r="E15" s="17" t="s">
        <v>224</v>
      </c>
      <c r="G15" s="13" t="s">
        <v>52</v>
      </c>
      <c r="H15" s="15">
        <f>H7/H6</f>
        <v>0.75</v>
      </c>
      <c r="L15" s="1">
        <v>10</v>
      </c>
      <c r="M15" s="1" t="s">
        <v>202</v>
      </c>
      <c r="N15" s="1">
        <v>4</v>
      </c>
      <c r="O15" s="18" t="s">
        <v>54</v>
      </c>
      <c r="Q15" s="13" t="s">
        <v>151</v>
      </c>
      <c r="R15" s="15">
        <f>R7/R6</f>
        <v>0.77142857142857146</v>
      </c>
    </row>
    <row r="16" spans="1:18" x14ac:dyDescent="0.35">
      <c r="B16" s="16">
        <v>11</v>
      </c>
      <c r="C16" s="16" t="s">
        <v>27</v>
      </c>
      <c r="D16" s="16">
        <v>2</v>
      </c>
      <c r="E16" s="17" t="s">
        <v>225</v>
      </c>
      <c r="L16" s="1">
        <v>11</v>
      </c>
      <c r="M16" s="1" t="s">
        <v>201</v>
      </c>
      <c r="N16" s="1">
        <v>4</v>
      </c>
      <c r="O16" s="18" t="s">
        <v>54</v>
      </c>
    </row>
    <row r="17" spans="2:17" x14ac:dyDescent="0.35">
      <c r="B17" s="16">
        <v>12</v>
      </c>
      <c r="C17" s="16" t="s">
        <v>28</v>
      </c>
      <c r="D17" s="16">
        <v>2</v>
      </c>
      <c r="E17" s="17" t="s">
        <v>227</v>
      </c>
      <c r="L17" s="1">
        <v>12</v>
      </c>
      <c r="M17" s="1" t="s">
        <v>147</v>
      </c>
      <c r="N17" s="1">
        <v>4</v>
      </c>
      <c r="O17" s="18" t="s">
        <v>54</v>
      </c>
    </row>
    <row r="18" spans="2:17" x14ac:dyDescent="0.35">
      <c r="B18" s="16">
        <v>13</v>
      </c>
      <c r="C18" s="16" t="s">
        <v>29</v>
      </c>
      <c r="D18" s="16">
        <v>2</v>
      </c>
      <c r="E18" s="17" t="s">
        <v>226</v>
      </c>
      <c r="L18" s="1">
        <v>13</v>
      </c>
      <c r="M18" s="1" t="s">
        <v>204</v>
      </c>
      <c r="N18" s="1">
        <v>4</v>
      </c>
      <c r="O18" s="18" t="s">
        <v>54</v>
      </c>
      <c r="Q18" s="20"/>
    </row>
    <row r="19" spans="2:17" x14ac:dyDescent="0.35">
      <c r="B19" s="16">
        <v>14</v>
      </c>
      <c r="C19" s="16" t="s">
        <v>30</v>
      </c>
      <c r="D19" s="16">
        <v>2</v>
      </c>
      <c r="E19" s="17" t="s">
        <v>228</v>
      </c>
      <c r="L19" s="1">
        <v>14</v>
      </c>
      <c r="M19" s="1" t="s">
        <v>149</v>
      </c>
      <c r="N19" s="1">
        <v>4</v>
      </c>
      <c r="O19" s="18" t="s">
        <v>54</v>
      </c>
    </row>
    <row r="20" spans="2:17" x14ac:dyDescent="0.35">
      <c r="B20" s="1">
        <v>15</v>
      </c>
      <c r="C20" s="1" t="s">
        <v>15</v>
      </c>
      <c r="D20" s="1">
        <v>3</v>
      </c>
      <c r="E20" s="18" t="s">
        <v>54</v>
      </c>
      <c r="L20" s="1">
        <v>15</v>
      </c>
      <c r="M20" s="1" t="s">
        <v>207</v>
      </c>
      <c r="N20" s="1">
        <v>4</v>
      </c>
      <c r="O20" s="18" t="s">
        <v>54</v>
      </c>
    </row>
    <row r="21" spans="2:17" x14ac:dyDescent="0.35">
      <c r="B21" s="1">
        <v>16</v>
      </c>
      <c r="C21" s="1" t="s">
        <v>16</v>
      </c>
      <c r="D21" s="1">
        <v>3</v>
      </c>
      <c r="E21" s="18" t="s">
        <v>54</v>
      </c>
      <c r="L21" s="1">
        <v>16</v>
      </c>
      <c r="M21" s="1" t="s">
        <v>157</v>
      </c>
      <c r="N21" s="1">
        <v>4</v>
      </c>
      <c r="O21" s="18" t="s">
        <v>54</v>
      </c>
    </row>
    <row r="22" spans="2:17" x14ac:dyDescent="0.35">
      <c r="B22" s="1">
        <v>17</v>
      </c>
      <c r="C22" s="1" t="s">
        <v>20</v>
      </c>
      <c r="D22" s="1">
        <v>3</v>
      </c>
      <c r="E22" s="18" t="s">
        <v>54</v>
      </c>
      <c r="L22" s="1">
        <v>17</v>
      </c>
      <c r="M22" s="1" t="s">
        <v>154</v>
      </c>
      <c r="N22" s="1">
        <v>4</v>
      </c>
      <c r="O22" s="18" t="s">
        <v>54</v>
      </c>
    </row>
    <row r="23" spans="2:17" x14ac:dyDescent="0.35">
      <c r="B23" s="1">
        <v>18</v>
      </c>
      <c r="C23" s="1" t="s">
        <v>23</v>
      </c>
      <c r="D23" s="1">
        <v>3</v>
      </c>
      <c r="E23" s="18" t="s">
        <v>54</v>
      </c>
      <c r="L23" s="1">
        <v>18</v>
      </c>
      <c r="M23" s="1" t="s">
        <v>208</v>
      </c>
      <c r="N23" s="1">
        <v>4</v>
      </c>
      <c r="O23" s="18" t="s">
        <v>54</v>
      </c>
    </row>
    <row r="24" spans="2:17" x14ac:dyDescent="0.35">
      <c r="B24" s="1">
        <v>19</v>
      </c>
      <c r="C24" s="1" t="s">
        <v>33</v>
      </c>
      <c r="D24" s="1">
        <v>3</v>
      </c>
      <c r="E24" s="18" t="s">
        <v>54</v>
      </c>
      <c r="L24" s="1">
        <v>19</v>
      </c>
      <c r="M24" s="1" t="s">
        <v>210</v>
      </c>
      <c r="N24" s="1">
        <v>4</v>
      </c>
      <c r="O24" s="18" t="s">
        <v>54</v>
      </c>
    </row>
    <row r="25" spans="2:17" x14ac:dyDescent="0.35">
      <c r="B25" s="1">
        <v>20</v>
      </c>
      <c r="C25" s="1" t="s">
        <v>31</v>
      </c>
      <c r="D25" s="1">
        <v>3</v>
      </c>
      <c r="E25" s="18" t="s">
        <v>54</v>
      </c>
      <c r="L25" s="1">
        <v>20</v>
      </c>
      <c r="M25" s="1" t="s">
        <v>212</v>
      </c>
      <c r="N25" s="1">
        <v>4</v>
      </c>
      <c r="O25" s="18" t="s">
        <v>54</v>
      </c>
    </row>
    <row r="26" spans="2:17" x14ac:dyDescent="0.35">
      <c r="L26" s="1">
        <v>21</v>
      </c>
      <c r="M26" s="1" t="s">
        <v>211</v>
      </c>
      <c r="N26" s="1">
        <v>4</v>
      </c>
      <c r="O26" s="18" t="s">
        <v>54</v>
      </c>
    </row>
    <row r="27" spans="2:17" x14ac:dyDescent="0.35">
      <c r="L27" s="1">
        <v>22</v>
      </c>
      <c r="M27" s="1" t="s">
        <v>156</v>
      </c>
      <c r="N27" s="1">
        <v>5</v>
      </c>
      <c r="O27" s="18" t="s">
        <v>54</v>
      </c>
    </row>
    <row r="28" spans="2:17" x14ac:dyDescent="0.35">
      <c r="L28" s="1">
        <v>23</v>
      </c>
      <c r="M28" s="1" t="s">
        <v>146</v>
      </c>
      <c r="N28" s="1">
        <v>5</v>
      </c>
      <c r="O28" s="18" t="s">
        <v>54</v>
      </c>
    </row>
    <row r="29" spans="2:17" x14ac:dyDescent="0.35">
      <c r="L29" s="1">
        <v>24</v>
      </c>
      <c r="M29" s="1" t="s">
        <v>200</v>
      </c>
      <c r="N29" s="1">
        <v>5</v>
      </c>
      <c r="O29" s="18" t="s">
        <v>54</v>
      </c>
    </row>
    <row r="30" spans="2:17" x14ac:dyDescent="0.35">
      <c r="L30" s="1">
        <v>25</v>
      </c>
      <c r="M30" s="1" t="s">
        <v>152</v>
      </c>
      <c r="N30" s="1">
        <v>5</v>
      </c>
      <c r="O30" s="18" t="s">
        <v>54</v>
      </c>
    </row>
    <row r="31" spans="2:17" x14ac:dyDescent="0.35">
      <c r="L31" s="1">
        <v>26</v>
      </c>
      <c r="M31" s="1" t="s">
        <v>148</v>
      </c>
      <c r="N31" s="1">
        <v>5</v>
      </c>
      <c r="O31" s="18" t="s">
        <v>54</v>
      </c>
    </row>
    <row r="32" spans="2:17" x14ac:dyDescent="0.35">
      <c r="L32" s="1">
        <v>27</v>
      </c>
      <c r="M32" s="1" t="s">
        <v>206</v>
      </c>
      <c r="N32" s="1">
        <v>5</v>
      </c>
      <c r="O32" s="18" t="s">
        <v>54</v>
      </c>
    </row>
    <row r="34" spans="2:18" s="23" customFormat="1" ht="4.5" customHeight="1" x14ac:dyDescent="0.35"/>
    <row r="36" spans="2:18" ht="21" x14ac:dyDescent="0.5">
      <c r="B36" s="69" t="s">
        <v>195</v>
      </c>
      <c r="C36" s="69"/>
      <c r="D36" s="69"/>
      <c r="E36" s="69"/>
      <c r="F36" s="69"/>
      <c r="G36" s="69"/>
      <c r="H36" s="69"/>
      <c r="L36" s="69" t="s">
        <v>196</v>
      </c>
      <c r="M36" s="69"/>
      <c r="N36" s="69"/>
      <c r="O36" s="69"/>
      <c r="P36" s="69"/>
      <c r="Q36" s="69"/>
      <c r="R36" s="69"/>
    </row>
    <row r="38" spans="2:18" ht="18.5" x14ac:dyDescent="0.45">
      <c r="B38" s="67" t="s">
        <v>159</v>
      </c>
      <c r="C38" s="67"/>
      <c r="D38" s="67"/>
      <c r="E38" s="67"/>
      <c r="G38" s="65" t="s">
        <v>160</v>
      </c>
      <c r="H38" s="65"/>
      <c r="L38" s="67" t="s">
        <v>179</v>
      </c>
      <c r="M38" s="67"/>
      <c r="N38" s="67"/>
      <c r="O38" s="67"/>
      <c r="Q38" s="65" t="s">
        <v>180</v>
      </c>
      <c r="R38" s="65"/>
    </row>
    <row r="39" spans="2:18" x14ac:dyDescent="0.35">
      <c r="B39" s="68">
        <f ca="1">NOW()</f>
        <v>45383.917838657406</v>
      </c>
      <c r="C39" s="68"/>
      <c r="D39" s="68"/>
      <c r="E39" s="68"/>
      <c r="G39" s="66"/>
      <c r="H39" s="66"/>
      <c r="L39" s="68">
        <f ca="1">NOW()</f>
        <v>45383.917838657406</v>
      </c>
      <c r="M39" s="68"/>
      <c r="N39" s="68"/>
      <c r="O39" s="68"/>
      <c r="Q39" s="66"/>
      <c r="R39" s="66"/>
    </row>
    <row r="40" spans="2:18" x14ac:dyDescent="0.35">
      <c r="B40" s="2" t="s">
        <v>0</v>
      </c>
      <c r="C40" s="2" t="s">
        <v>1</v>
      </c>
      <c r="D40" s="2" t="s">
        <v>2</v>
      </c>
      <c r="E40" s="2" t="s">
        <v>3</v>
      </c>
      <c r="F40" s="1"/>
      <c r="G40" s="4" t="s">
        <v>161</v>
      </c>
      <c r="H40" s="6">
        <f>SUM(H42:H45)</f>
        <v>26</v>
      </c>
      <c r="L40" s="2" t="s">
        <v>0</v>
      </c>
      <c r="M40" s="2" t="s">
        <v>1</v>
      </c>
      <c r="N40" s="2" t="s">
        <v>2</v>
      </c>
      <c r="O40" s="2" t="s">
        <v>3</v>
      </c>
      <c r="P40" s="1"/>
      <c r="Q40" s="4" t="s">
        <v>48</v>
      </c>
      <c r="R40" s="6">
        <f>SUM(R42:R45)</f>
        <v>15</v>
      </c>
    </row>
    <row r="41" spans="2:18" x14ac:dyDescent="0.35">
      <c r="B41" s="16">
        <v>1</v>
      </c>
      <c r="C41" s="16" t="s">
        <v>162</v>
      </c>
      <c r="D41" s="16">
        <v>2</v>
      </c>
      <c r="E41" s="17" t="s">
        <v>233</v>
      </c>
      <c r="F41" s="1"/>
      <c r="G41" s="5" t="s">
        <v>10</v>
      </c>
      <c r="H41" s="7">
        <v>26</v>
      </c>
      <c r="L41" s="16">
        <v>1</v>
      </c>
      <c r="M41" s="16" t="s">
        <v>183</v>
      </c>
      <c r="N41" s="16">
        <v>2</v>
      </c>
      <c r="O41" s="17" t="s">
        <v>240</v>
      </c>
      <c r="P41" s="1"/>
      <c r="Q41" s="5" t="s">
        <v>10</v>
      </c>
      <c r="R41" s="7">
        <v>15</v>
      </c>
    </row>
    <row r="42" spans="2:18" x14ac:dyDescent="0.35">
      <c r="B42" s="16">
        <v>2</v>
      </c>
      <c r="C42" s="16" t="s">
        <v>165</v>
      </c>
      <c r="D42" s="16">
        <v>2</v>
      </c>
      <c r="E42" s="17" t="s">
        <v>230</v>
      </c>
      <c r="F42" s="1"/>
      <c r="G42" s="5" t="s">
        <v>9</v>
      </c>
      <c r="H42" s="8">
        <v>18</v>
      </c>
      <c r="L42" s="16">
        <v>2</v>
      </c>
      <c r="M42" s="16" t="s">
        <v>190</v>
      </c>
      <c r="N42" s="16">
        <v>3</v>
      </c>
      <c r="O42" s="17" t="s">
        <v>227</v>
      </c>
      <c r="P42" s="1"/>
      <c r="Q42" s="5" t="s">
        <v>9</v>
      </c>
      <c r="R42" s="7">
        <v>15</v>
      </c>
    </row>
    <row r="43" spans="2:18" x14ac:dyDescent="0.35">
      <c r="B43" s="16">
        <v>3</v>
      </c>
      <c r="C43" s="16" t="s">
        <v>163</v>
      </c>
      <c r="D43" s="16">
        <v>2</v>
      </c>
      <c r="E43" s="17" t="s">
        <v>231</v>
      </c>
      <c r="F43" s="1"/>
      <c r="G43" s="5" t="s">
        <v>4</v>
      </c>
      <c r="H43" s="8">
        <v>4</v>
      </c>
      <c r="L43" s="16">
        <v>3</v>
      </c>
      <c r="M43" s="16" t="s">
        <v>182</v>
      </c>
      <c r="N43" s="16">
        <v>4</v>
      </c>
      <c r="O43" s="17" t="s">
        <v>227</v>
      </c>
      <c r="P43" s="1"/>
      <c r="Q43" s="5" t="s">
        <v>4</v>
      </c>
      <c r="R43" s="8">
        <v>0</v>
      </c>
    </row>
    <row r="44" spans="2:18" x14ac:dyDescent="0.35">
      <c r="B44" s="16">
        <v>4</v>
      </c>
      <c r="C44" s="16" t="s">
        <v>167</v>
      </c>
      <c r="D44" s="16">
        <v>2</v>
      </c>
      <c r="E44" s="17" t="s">
        <v>227</v>
      </c>
      <c r="F44" s="1"/>
      <c r="G44" s="5" t="s">
        <v>5</v>
      </c>
      <c r="H44" s="8">
        <v>2</v>
      </c>
      <c r="L44" s="16">
        <v>4</v>
      </c>
      <c r="M44" s="16" t="s">
        <v>188</v>
      </c>
      <c r="N44" s="16">
        <v>4</v>
      </c>
      <c r="O44" s="17" t="s">
        <v>241</v>
      </c>
      <c r="P44" s="1"/>
      <c r="Q44" s="5" t="s">
        <v>5</v>
      </c>
      <c r="R44" s="8">
        <v>0</v>
      </c>
    </row>
    <row r="45" spans="2:18" x14ac:dyDescent="0.35">
      <c r="B45" s="16">
        <v>5</v>
      </c>
      <c r="C45" s="16" t="s">
        <v>216</v>
      </c>
      <c r="D45" s="16">
        <v>2</v>
      </c>
      <c r="E45" s="19" t="s">
        <v>232</v>
      </c>
      <c r="F45" s="1"/>
      <c r="G45" s="5" t="s">
        <v>166</v>
      </c>
      <c r="H45" s="8">
        <v>2</v>
      </c>
      <c r="L45" s="1">
        <v>5</v>
      </c>
      <c r="M45" s="1" t="s">
        <v>186</v>
      </c>
      <c r="N45" s="1">
        <v>5</v>
      </c>
      <c r="O45" s="18" t="s">
        <v>54</v>
      </c>
      <c r="P45" s="1"/>
      <c r="Q45" s="5" t="s">
        <v>6</v>
      </c>
      <c r="R45" s="8">
        <v>0</v>
      </c>
    </row>
    <row r="46" spans="2:18" x14ac:dyDescent="0.35">
      <c r="B46" s="1">
        <v>6</v>
      </c>
      <c r="C46" s="1" t="s">
        <v>215</v>
      </c>
      <c r="D46" s="1">
        <v>3</v>
      </c>
      <c r="E46" s="18" t="s">
        <v>54</v>
      </c>
      <c r="F46" s="1"/>
      <c r="G46" s="9" t="s">
        <v>8</v>
      </c>
      <c r="H46" s="10">
        <f>SUM(Table134567891011[Retase])</f>
        <v>53</v>
      </c>
      <c r="L46" s="1">
        <v>6</v>
      </c>
      <c r="M46" s="1" t="s">
        <v>189</v>
      </c>
      <c r="N46" s="1">
        <v>5</v>
      </c>
      <c r="O46" s="18" t="s">
        <v>54</v>
      </c>
      <c r="P46" s="1"/>
      <c r="Q46" s="9" t="s">
        <v>8</v>
      </c>
      <c r="R46" s="10">
        <f>SUM(Table13456789101115[Retase])</f>
        <v>72</v>
      </c>
    </row>
    <row r="47" spans="2:18" x14ac:dyDescent="0.35">
      <c r="B47" s="1">
        <v>7</v>
      </c>
      <c r="C47" s="1" t="s">
        <v>173</v>
      </c>
      <c r="D47" s="1">
        <v>3</v>
      </c>
      <c r="E47" s="18" t="s">
        <v>54</v>
      </c>
      <c r="F47" s="1"/>
      <c r="G47" s="11" t="s">
        <v>7</v>
      </c>
      <c r="H47" s="12">
        <f>H46/H42</f>
        <v>2.9444444444444446</v>
      </c>
      <c r="L47" s="1">
        <v>7</v>
      </c>
      <c r="M47" s="1" t="s">
        <v>213</v>
      </c>
      <c r="N47" s="1">
        <v>5</v>
      </c>
      <c r="O47" s="18" t="s">
        <v>54</v>
      </c>
      <c r="P47" s="1"/>
      <c r="Q47" s="11" t="s">
        <v>7</v>
      </c>
      <c r="R47" s="12">
        <f>R46/R42</f>
        <v>4.8</v>
      </c>
    </row>
    <row r="48" spans="2:18" x14ac:dyDescent="0.35">
      <c r="B48" s="1">
        <v>8</v>
      </c>
      <c r="C48" s="1" t="s">
        <v>174</v>
      </c>
      <c r="D48" s="1">
        <v>3</v>
      </c>
      <c r="E48" s="18" t="s">
        <v>54</v>
      </c>
      <c r="F48" s="1"/>
      <c r="G48" s="13" t="s">
        <v>11</v>
      </c>
      <c r="H48" s="14">
        <v>2.5</v>
      </c>
      <c r="L48" s="1">
        <v>8</v>
      </c>
      <c r="M48" s="1" t="s">
        <v>184</v>
      </c>
      <c r="N48" s="1">
        <v>5</v>
      </c>
      <c r="O48" s="18" t="s">
        <v>54</v>
      </c>
      <c r="P48" s="1"/>
      <c r="Q48" s="13" t="s">
        <v>11</v>
      </c>
      <c r="R48" s="14">
        <v>5</v>
      </c>
    </row>
    <row r="49" spans="2:18" x14ac:dyDescent="0.35">
      <c r="B49" s="1">
        <v>9</v>
      </c>
      <c r="C49" s="1" t="s">
        <v>168</v>
      </c>
      <c r="D49" s="1">
        <v>3</v>
      </c>
      <c r="E49" s="18" t="s">
        <v>54</v>
      </c>
      <c r="F49" s="1"/>
      <c r="G49" s="13" t="s">
        <v>51</v>
      </c>
      <c r="H49" s="15">
        <f>H47/H48</f>
        <v>1.1777777777777778</v>
      </c>
      <c r="L49" s="1">
        <v>9</v>
      </c>
      <c r="M49" s="1" t="s">
        <v>181</v>
      </c>
      <c r="N49" s="1">
        <v>5</v>
      </c>
      <c r="O49" s="18" t="s">
        <v>54</v>
      </c>
      <c r="P49" s="1"/>
      <c r="Q49" s="13" t="s">
        <v>51</v>
      </c>
      <c r="R49" s="15">
        <f>R47/R48</f>
        <v>0.96</v>
      </c>
    </row>
    <row r="50" spans="2:18" x14ac:dyDescent="0.35">
      <c r="B50" s="1">
        <v>10</v>
      </c>
      <c r="C50" s="1" t="s">
        <v>175</v>
      </c>
      <c r="D50" s="1">
        <v>3</v>
      </c>
      <c r="E50" s="18" t="s">
        <v>54</v>
      </c>
      <c r="G50" s="13" t="s">
        <v>151</v>
      </c>
      <c r="H50" s="15">
        <f>H42/H41</f>
        <v>0.69230769230769229</v>
      </c>
      <c r="L50" s="1">
        <v>10</v>
      </c>
      <c r="M50" s="1" t="s">
        <v>185</v>
      </c>
      <c r="N50" s="1">
        <v>5</v>
      </c>
      <c r="O50" s="18" t="s">
        <v>54</v>
      </c>
      <c r="Q50" s="13" t="s">
        <v>151</v>
      </c>
      <c r="R50" s="15">
        <f>R42/R41</f>
        <v>1</v>
      </c>
    </row>
    <row r="51" spans="2:18" x14ac:dyDescent="0.35">
      <c r="B51" s="1">
        <v>11</v>
      </c>
      <c r="C51" s="1" t="s">
        <v>176</v>
      </c>
      <c r="D51" s="1">
        <v>3</v>
      </c>
      <c r="E51" s="18" t="s">
        <v>54</v>
      </c>
      <c r="G51" s="21"/>
      <c r="H51" s="22"/>
      <c r="L51" s="1">
        <v>11</v>
      </c>
      <c r="M51" s="1" t="s">
        <v>192</v>
      </c>
      <c r="N51" s="1">
        <v>5</v>
      </c>
      <c r="O51" s="18" t="s">
        <v>54</v>
      </c>
    </row>
    <row r="52" spans="2:18" x14ac:dyDescent="0.35">
      <c r="B52" s="1">
        <v>12</v>
      </c>
      <c r="C52" s="1" t="s">
        <v>170</v>
      </c>
      <c r="D52" s="1">
        <v>3</v>
      </c>
      <c r="E52" s="18" t="s">
        <v>54</v>
      </c>
      <c r="G52" s="21"/>
      <c r="H52" s="22"/>
      <c r="L52" s="1">
        <v>12</v>
      </c>
      <c r="M52" s="1" t="s">
        <v>187</v>
      </c>
      <c r="N52" s="1">
        <v>6</v>
      </c>
      <c r="O52" s="18" t="s">
        <v>54</v>
      </c>
      <c r="Q52" s="20"/>
    </row>
    <row r="53" spans="2:18" x14ac:dyDescent="0.35">
      <c r="B53" s="1">
        <v>13</v>
      </c>
      <c r="C53" s="1" t="s">
        <v>164</v>
      </c>
      <c r="D53" s="1">
        <v>3</v>
      </c>
      <c r="E53" s="18" t="s">
        <v>54</v>
      </c>
      <c r="G53" s="21"/>
      <c r="H53" s="22"/>
      <c r="L53" s="1">
        <v>13</v>
      </c>
      <c r="M53" s="1" t="s">
        <v>193</v>
      </c>
      <c r="N53" s="1">
        <v>6</v>
      </c>
      <c r="O53" s="18" t="s">
        <v>54</v>
      </c>
    </row>
    <row r="54" spans="2:18" x14ac:dyDescent="0.35">
      <c r="B54" s="1">
        <v>14</v>
      </c>
      <c r="C54" s="1" t="s">
        <v>172</v>
      </c>
      <c r="D54" s="1">
        <v>3</v>
      </c>
      <c r="E54" s="18" t="s">
        <v>54</v>
      </c>
      <c r="G54" s="21"/>
      <c r="H54" s="22"/>
      <c r="L54" s="1">
        <v>14</v>
      </c>
      <c r="M54" s="1" t="s">
        <v>191</v>
      </c>
      <c r="N54" s="1">
        <v>6</v>
      </c>
      <c r="O54" s="18" t="s">
        <v>54</v>
      </c>
    </row>
    <row r="55" spans="2:18" x14ac:dyDescent="0.35">
      <c r="B55" s="1">
        <v>15</v>
      </c>
      <c r="C55" s="1" t="s">
        <v>178</v>
      </c>
      <c r="D55" s="1">
        <v>4</v>
      </c>
      <c r="E55" s="18" t="s">
        <v>54</v>
      </c>
      <c r="G55" s="21"/>
      <c r="H55" s="22"/>
      <c r="L55" s="1">
        <v>15</v>
      </c>
      <c r="M55" s="1" t="s">
        <v>214</v>
      </c>
      <c r="N55" s="1">
        <v>6</v>
      </c>
      <c r="O55" s="18" t="s">
        <v>54</v>
      </c>
    </row>
    <row r="56" spans="2:18" x14ac:dyDescent="0.35">
      <c r="B56" s="1">
        <v>16</v>
      </c>
      <c r="C56" s="1" t="s">
        <v>169</v>
      </c>
      <c r="D56" s="1">
        <v>4</v>
      </c>
      <c r="E56" s="18" t="s">
        <v>54</v>
      </c>
      <c r="G56" s="21"/>
      <c r="H56" s="22"/>
      <c r="L56" s="1"/>
      <c r="M56" s="1"/>
      <c r="N56" s="1"/>
      <c r="O56" s="18"/>
    </row>
    <row r="57" spans="2:18" x14ac:dyDescent="0.35">
      <c r="B57" s="1">
        <v>17</v>
      </c>
      <c r="C57" s="1" t="s">
        <v>171</v>
      </c>
      <c r="D57" s="1">
        <v>4</v>
      </c>
      <c r="E57" s="18" t="s">
        <v>54</v>
      </c>
      <c r="G57" s="21"/>
      <c r="H57" s="22"/>
    </row>
    <row r="58" spans="2:18" x14ac:dyDescent="0.35">
      <c r="B58" s="1">
        <v>18</v>
      </c>
      <c r="C58" s="1" t="s">
        <v>177</v>
      </c>
      <c r="D58" s="1">
        <v>4</v>
      </c>
      <c r="E58" s="18" t="s">
        <v>54</v>
      </c>
    </row>
  </sheetData>
  <mergeCells count="16">
    <mergeCell ref="B36:H36"/>
    <mergeCell ref="L36:R36"/>
    <mergeCell ref="B1:H1"/>
    <mergeCell ref="L1:R1"/>
    <mergeCell ref="B38:E38"/>
    <mergeCell ref="G38:H39"/>
    <mergeCell ref="B39:E39"/>
    <mergeCell ref="L38:O38"/>
    <mergeCell ref="Q38:R39"/>
    <mergeCell ref="L39:O39"/>
    <mergeCell ref="B3:E3"/>
    <mergeCell ref="G3:H4"/>
    <mergeCell ref="B4:E4"/>
    <mergeCell ref="L3:O3"/>
    <mergeCell ref="Q3:R4"/>
    <mergeCell ref="L4:O4"/>
  </mergeCells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F8E7-3E65-488C-9CF0-F8021BE43436}">
  <sheetPr codeName="Sheet11">
    <tabColor theme="7" tint="0.39997558519241921"/>
  </sheetPr>
  <dimension ref="A1:R56"/>
  <sheetViews>
    <sheetView showGridLines="0" topLeftCell="H35" zoomScale="85" zoomScaleNormal="85" workbookViewId="0">
      <selection activeCell="E44" sqref="E44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9" customWidth="1"/>
    <col min="5" max="5" width="66.54296875" bestFit="1" customWidth="1"/>
    <col min="6" max="6" width="3.1796875" customWidth="1"/>
    <col min="7" max="7" width="27.7265625" bestFit="1" customWidth="1"/>
    <col min="8" max="8" width="26.1796875" customWidth="1"/>
    <col min="9" max="9" width="5.7265625" customWidth="1"/>
    <col min="10" max="10" width="0.7265625" style="23" customWidth="1"/>
    <col min="11" max="11" width="5.54296875" customWidth="1"/>
    <col min="12" max="12" width="6.81640625" customWidth="1"/>
    <col min="13" max="13" width="11.7265625" bestFit="1" customWidth="1"/>
    <col min="14" max="14" width="12.26953125" bestFit="1" customWidth="1"/>
    <col min="15" max="15" width="62.54296875" customWidth="1"/>
    <col min="17" max="17" width="33.7265625" customWidth="1"/>
    <col min="18" max="18" width="11.7265625" customWidth="1"/>
  </cols>
  <sheetData>
    <row r="1" spans="1:18" ht="21" x14ac:dyDescent="0.5">
      <c r="B1" s="69" t="s">
        <v>194</v>
      </c>
      <c r="C1" s="69"/>
      <c r="D1" s="69"/>
      <c r="E1" s="69"/>
      <c r="F1" s="69"/>
      <c r="G1" s="69"/>
      <c r="H1" s="69"/>
      <c r="L1" s="69" t="s">
        <v>158</v>
      </c>
      <c r="M1" s="69"/>
      <c r="N1" s="69"/>
      <c r="O1" s="69"/>
      <c r="P1" s="69"/>
      <c r="Q1" s="69"/>
      <c r="R1" s="69"/>
    </row>
    <row r="3" spans="1:18" ht="18.5" x14ac:dyDescent="0.45">
      <c r="B3" s="67" t="s">
        <v>49</v>
      </c>
      <c r="C3" s="67"/>
      <c r="D3" s="67"/>
      <c r="E3" s="67"/>
      <c r="G3" s="65" t="s">
        <v>50</v>
      </c>
      <c r="H3" s="65"/>
      <c r="L3" s="67" t="s">
        <v>143</v>
      </c>
      <c r="M3" s="67"/>
      <c r="N3" s="67"/>
      <c r="O3" s="67"/>
      <c r="Q3" s="65" t="s">
        <v>144</v>
      </c>
      <c r="R3" s="65"/>
    </row>
    <row r="4" spans="1:18" x14ac:dyDescent="0.35">
      <c r="B4" s="68">
        <f ca="1">NOW()</f>
        <v>45383.917838657406</v>
      </c>
      <c r="C4" s="68"/>
      <c r="D4" s="68"/>
      <c r="E4" s="68"/>
      <c r="G4" s="66"/>
      <c r="H4" s="66"/>
      <c r="L4" s="68">
        <f ca="1">NOW()</f>
        <v>45383.917838657406</v>
      </c>
      <c r="M4" s="68"/>
      <c r="N4" s="68"/>
      <c r="O4" s="68"/>
      <c r="Q4" s="66"/>
      <c r="R4" s="66"/>
    </row>
    <row r="5" spans="1:18" s="1" customFormat="1" x14ac:dyDescent="0.35">
      <c r="A5"/>
      <c r="B5" s="2" t="s">
        <v>0</v>
      </c>
      <c r="C5" s="2" t="s">
        <v>1</v>
      </c>
      <c r="D5" s="2" t="s">
        <v>2</v>
      </c>
      <c r="E5" s="2" t="s">
        <v>3</v>
      </c>
      <c r="G5" s="4" t="s">
        <v>48</v>
      </c>
      <c r="H5" s="6">
        <f>SUM(H7:H10)</f>
        <v>24</v>
      </c>
      <c r="J5" s="24"/>
      <c r="L5" s="2" t="s">
        <v>0</v>
      </c>
      <c r="M5" s="2" t="s">
        <v>1</v>
      </c>
      <c r="N5" s="2" t="s">
        <v>2</v>
      </c>
      <c r="O5" s="2" t="s">
        <v>3</v>
      </c>
      <c r="Q5" s="4" t="s">
        <v>48</v>
      </c>
      <c r="R5" s="6">
        <f>SUM(R7:R10)</f>
        <v>59</v>
      </c>
    </row>
    <row r="6" spans="1:18" s="1" customFormat="1" x14ac:dyDescent="0.35">
      <c r="A6"/>
      <c r="B6" s="16">
        <v>1</v>
      </c>
      <c r="C6" s="16" t="s">
        <v>18</v>
      </c>
      <c r="D6" s="16">
        <v>1</v>
      </c>
      <c r="E6" s="17" t="s">
        <v>258</v>
      </c>
      <c r="G6" s="5" t="s">
        <v>10</v>
      </c>
      <c r="H6" s="7">
        <v>24</v>
      </c>
      <c r="J6" s="24"/>
      <c r="L6" s="16">
        <v>1</v>
      </c>
      <c r="M6" s="16" t="s">
        <v>153</v>
      </c>
      <c r="N6" s="16">
        <v>1</v>
      </c>
      <c r="O6" s="17" t="s">
        <v>256</v>
      </c>
      <c r="Q6" s="5" t="s">
        <v>10</v>
      </c>
      <c r="R6" s="7">
        <v>35</v>
      </c>
    </row>
    <row r="7" spans="1:18" s="1" customFormat="1" x14ac:dyDescent="0.35">
      <c r="A7"/>
      <c r="B7" s="16">
        <v>2</v>
      </c>
      <c r="C7" s="16" t="s">
        <v>20</v>
      </c>
      <c r="D7" s="16">
        <v>1</v>
      </c>
      <c r="E7" s="17" t="s">
        <v>259</v>
      </c>
      <c r="G7" s="5" t="s">
        <v>9</v>
      </c>
      <c r="H7" s="8">
        <v>18</v>
      </c>
      <c r="J7" s="24"/>
      <c r="L7" s="16">
        <v>2</v>
      </c>
      <c r="M7" s="16" t="s">
        <v>275</v>
      </c>
      <c r="N7" s="16">
        <v>2</v>
      </c>
      <c r="O7" s="17" t="s">
        <v>257</v>
      </c>
      <c r="Q7" s="5" t="s">
        <v>9</v>
      </c>
      <c r="R7" s="8">
        <v>26</v>
      </c>
    </row>
    <row r="8" spans="1:18" s="1" customFormat="1" x14ac:dyDescent="0.35">
      <c r="A8"/>
      <c r="B8" s="16">
        <v>3</v>
      </c>
      <c r="C8" s="16" t="s">
        <v>28</v>
      </c>
      <c r="D8" s="16">
        <v>1</v>
      </c>
      <c r="E8" s="17" t="s">
        <v>260</v>
      </c>
      <c r="G8" s="5" t="s">
        <v>4</v>
      </c>
      <c r="H8" s="8">
        <v>1</v>
      </c>
      <c r="J8" s="24"/>
      <c r="L8" s="1">
        <v>3</v>
      </c>
      <c r="M8" s="1" t="s">
        <v>201</v>
      </c>
      <c r="N8" s="1">
        <v>4</v>
      </c>
      <c r="O8" s="18" t="s">
        <v>54</v>
      </c>
      <c r="Q8" s="5" t="s">
        <v>4</v>
      </c>
      <c r="R8" s="8">
        <v>0</v>
      </c>
    </row>
    <row r="9" spans="1:18" s="1" customFormat="1" x14ac:dyDescent="0.35">
      <c r="A9"/>
      <c r="B9" s="16">
        <v>4</v>
      </c>
      <c r="C9" s="16" t="s">
        <v>72</v>
      </c>
      <c r="D9" s="16">
        <v>2</v>
      </c>
      <c r="E9" s="17" t="s">
        <v>274</v>
      </c>
      <c r="G9" s="5" t="s">
        <v>5</v>
      </c>
      <c r="H9" s="8">
        <v>5</v>
      </c>
      <c r="J9" s="24"/>
      <c r="L9" s="1">
        <v>4</v>
      </c>
      <c r="M9" s="1" t="s">
        <v>152</v>
      </c>
      <c r="N9" s="1">
        <v>4</v>
      </c>
      <c r="O9" s="18" t="s">
        <v>54</v>
      </c>
      <c r="Q9" s="5" t="s">
        <v>5</v>
      </c>
      <c r="R9" s="8">
        <v>1</v>
      </c>
    </row>
    <row r="10" spans="1:18" s="1" customFormat="1" x14ac:dyDescent="0.35">
      <c r="A10"/>
      <c r="B10" s="16">
        <v>5</v>
      </c>
      <c r="C10" s="16" t="s">
        <v>17</v>
      </c>
      <c r="D10" s="16">
        <v>2</v>
      </c>
      <c r="E10" s="17" t="s">
        <v>274</v>
      </c>
      <c r="G10" s="5" t="s">
        <v>6</v>
      </c>
      <c r="H10" s="8">
        <v>0</v>
      </c>
      <c r="J10" s="24"/>
      <c r="L10" s="1">
        <v>5</v>
      </c>
      <c r="M10" s="1" t="s">
        <v>203</v>
      </c>
      <c r="N10" s="1">
        <v>4</v>
      </c>
      <c r="O10" s="18" t="s">
        <v>54</v>
      </c>
      <c r="Q10" s="5" t="s">
        <v>6</v>
      </c>
      <c r="R10" s="8">
        <v>32</v>
      </c>
    </row>
    <row r="11" spans="1:18" s="1" customFormat="1" x14ac:dyDescent="0.35">
      <c r="A11"/>
      <c r="B11" s="16">
        <v>6</v>
      </c>
      <c r="C11" s="16" t="s">
        <v>53</v>
      </c>
      <c r="D11" s="16">
        <v>2</v>
      </c>
      <c r="E11" s="17" t="s">
        <v>274</v>
      </c>
      <c r="G11" s="9" t="s">
        <v>8</v>
      </c>
      <c r="H11" s="10">
        <f>SUM(Table132456789101113[Retase])</f>
        <v>37</v>
      </c>
      <c r="J11" s="24"/>
      <c r="L11" s="1">
        <v>6</v>
      </c>
      <c r="M11" s="1" t="s">
        <v>148</v>
      </c>
      <c r="N11" s="1">
        <v>4</v>
      </c>
      <c r="O11" s="18" t="s">
        <v>54</v>
      </c>
      <c r="Q11" s="9" t="s">
        <v>8</v>
      </c>
      <c r="R11" s="10">
        <f>SUM(Table132456789101216[Retase])</f>
        <v>103</v>
      </c>
    </row>
    <row r="12" spans="1:18" s="1" customFormat="1" x14ac:dyDescent="0.35">
      <c r="A12"/>
      <c r="B12" s="16">
        <v>7</v>
      </c>
      <c r="C12" s="16" t="s">
        <v>32</v>
      </c>
      <c r="D12" s="16">
        <v>2</v>
      </c>
      <c r="E12" s="17" t="s">
        <v>274</v>
      </c>
      <c r="G12" s="11" t="s">
        <v>7</v>
      </c>
      <c r="H12" s="12">
        <f>H11/H7</f>
        <v>2.0555555555555554</v>
      </c>
      <c r="J12" s="24"/>
      <c r="L12" s="1">
        <v>7</v>
      </c>
      <c r="M12" s="1" t="s">
        <v>204</v>
      </c>
      <c r="N12" s="1">
        <v>4</v>
      </c>
      <c r="O12" s="18" t="s">
        <v>54</v>
      </c>
      <c r="Q12" s="11" t="s">
        <v>7</v>
      </c>
      <c r="R12" s="12">
        <f>R11/R7</f>
        <v>3.9615384615384617</v>
      </c>
    </row>
    <row r="13" spans="1:18" s="1" customFormat="1" x14ac:dyDescent="0.35">
      <c r="A13"/>
      <c r="B13" s="16">
        <v>8</v>
      </c>
      <c r="C13" s="16" t="s">
        <v>21</v>
      </c>
      <c r="D13" s="16">
        <v>2</v>
      </c>
      <c r="E13" s="17" t="s">
        <v>274</v>
      </c>
      <c r="G13" s="13" t="s">
        <v>11</v>
      </c>
      <c r="H13" s="14">
        <v>2.5</v>
      </c>
      <c r="J13" s="24"/>
      <c r="L13" s="1">
        <v>8</v>
      </c>
      <c r="M13" s="1" t="s">
        <v>205</v>
      </c>
      <c r="N13" s="1">
        <v>4</v>
      </c>
      <c r="O13" s="18" t="s">
        <v>54</v>
      </c>
      <c r="Q13" s="13" t="s">
        <v>11</v>
      </c>
      <c r="R13" s="14">
        <v>4</v>
      </c>
    </row>
    <row r="14" spans="1:18" s="1" customFormat="1" x14ac:dyDescent="0.35">
      <c r="A14"/>
      <c r="B14" s="16">
        <v>9</v>
      </c>
      <c r="C14" s="16" t="s">
        <v>22</v>
      </c>
      <c r="D14" s="16">
        <v>2</v>
      </c>
      <c r="E14" s="17" t="s">
        <v>274</v>
      </c>
      <c r="G14" s="13" t="s">
        <v>51</v>
      </c>
      <c r="H14" s="15">
        <f>H12/H13</f>
        <v>0.82222222222222219</v>
      </c>
      <c r="J14" s="24"/>
      <c r="L14" s="1">
        <v>9</v>
      </c>
      <c r="M14" s="1" t="s">
        <v>149</v>
      </c>
      <c r="N14" s="1">
        <v>4</v>
      </c>
      <c r="O14" s="18" t="s">
        <v>54</v>
      </c>
      <c r="Q14" s="13" t="s">
        <v>51</v>
      </c>
      <c r="R14" s="15">
        <f>R12/R13</f>
        <v>0.99038461538461542</v>
      </c>
    </row>
    <row r="15" spans="1:18" x14ac:dyDescent="0.35">
      <c r="B15" s="16">
        <v>10</v>
      </c>
      <c r="C15" s="16" t="s">
        <v>23</v>
      </c>
      <c r="D15" s="16">
        <v>2</v>
      </c>
      <c r="E15" s="17" t="s">
        <v>274</v>
      </c>
      <c r="G15" s="13" t="s">
        <v>52</v>
      </c>
      <c r="H15" s="15">
        <f>H7/H6</f>
        <v>0.75</v>
      </c>
      <c r="L15" s="1">
        <v>10</v>
      </c>
      <c r="M15" s="1" t="s">
        <v>254</v>
      </c>
      <c r="N15" s="1">
        <v>4</v>
      </c>
      <c r="O15" s="18" t="s">
        <v>54</v>
      </c>
      <c r="Q15" s="13" t="s">
        <v>151</v>
      </c>
      <c r="R15" s="15">
        <f>R7/R6</f>
        <v>0.74285714285714288</v>
      </c>
    </row>
    <row r="16" spans="1:18" x14ac:dyDescent="0.35">
      <c r="B16" s="16">
        <v>11</v>
      </c>
      <c r="C16" s="16" t="s">
        <v>33</v>
      </c>
      <c r="D16" s="16">
        <v>2</v>
      </c>
      <c r="E16" s="17" t="s">
        <v>261</v>
      </c>
      <c r="L16" s="1">
        <v>11</v>
      </c>
      <c r="M16" s="1" t="s">
        <v>145</v>
      </c>
      <c r="N16" s="1">
        <v>4</v>
      </c>
      <c r="O16" s="18" t="s">
        <v>54</v>
      </c>
    </row>
    <row r="17" spans="2:17" x14ac:dyDescent="0.35">
      <c r="B17" s="16">
        <v>12</v>
      </c>
      <c r="C17" s="16" t="s">
        <v>26</v>
      </c>
      <c r="D17" s="16">
        <v>2</v>
      </c>
      <c r="E17" s="17" t="s">
        <v>137</v>
      </c>
      <c r="L17" s="1">
        <v>12</v>
      </c>
      <c r="M17" s="1" t="s">
        <v>255</v>
      </c>
      <c r="N17" s="1">
        <v>4</v>
      </c>
      <c r="O17" s="18" t="s">
        <v>54</v>
      </c>
    </row>
    <row r="18" spans="2:17" x14ac:dyDescent="0.35">
      <c r="B18" s="16">
        <v>13</v>
      </c>
      <c r="C18" s="16" t="s">
        <v>29</v>
      </c>
      <c r="D18" s="16">
        <v>2</v>
      </c>
      <c r="E18" s="17" t="s">
        <v>274</v>
      </c>
      <c r="L18" s="1">
        <v>13</v>
      </c>
      <c r="M18" s="1" t="s">
        <v>157</v>
      </c>
      <c r="N18" s="1">
        <v>4</v>
      </c>
      <c r="O18" s="18" t="s">
        <v>54</v>
      </c>
      <c r="Q18" s="20"/>
    </row>
    <row r="19" spans="2:17" x14ac:dyDescent="0.35">
      <c r="B19" s="16">
        <v>14</v>
      </c>
      <c r="C19" s="16" t="s">
        <v>30</v>
      </c>
      <c r="D19" s="16">
        <v>2</v>
      </c>
      <c r="E19" s="17" t="s">
        <v>262</v>
      </c>
      <c r="L19" s="1">
        <v>14</v>
      </c>
      <c r="M19" s="1" t="s">
        <v>154</v>
      </c>
      <c r="N19" s="1">
        <v>4</v>
      </c>
      <c r="O19" s="18" t="s">
        <v>54</v>
      </c>
    </row>
    <row r="20" spans="2:17" x14ac:dyDescent="0.35">
      <c r="B20" s="1">
        <v>15</v>
      </c>
      <c r="C20" s="1" t="s">
        <v>15</v>
      </c>
      <c r="D20" s="1">
        <v>3</v>
      </c>
      <c r="E20" s="18" t="s">
        <v>54</v>
      </c>
      <c r="L20" s="1">
        <v>15</v>
      </c>
      <c r="M20" s="1" t="s">
        <v>155</v>
      </c>
      <c r="N20" s="1">
        <v>4</v>
      </c>
      <c r="O20" s="18" t="s">
        <v>54</v>
      </c>
    </row>
    <row r="21" spans="2:17" x14ac:dyDescent="0.35">
      <c r="B21" s="1">
        <v>16</v>
      </c>
      <c r="C21" s="1" t="s">
        <v>19</v>
      </c>
      <c r="D21" s="1">
        <v>3</v>
      </c>
      <c r="E21" s="18" t="s">
        <v>54</v>
      </c>
      <c r="L21" s="1">
        <v>16</v>
      </c>
      <c r="M21" s="1" t="s">
        <v>244</v>
      </c>
      <c r="N21" s="1">
        <v>4</v>
      </c>
      <c r="O21" s="18" t="s">
        <v>54</v>
      </c>
    </row>
    <row r="22" spans="2:17" x14ac:dyDescent="0.35">
      <c r="B22" s="1">
        <v>17</v>
      </c>
      <c r="C22" s="1" t="s">
        <v>25</v>
      </c>
      <c r="D22" s="1">
        <v>3</v>
      </c>
      <c r="E22" s="18" t="s">
        <v>54</v>
      </c>
      <c r="L22" s="1">
        <v>17</v>
      </c>
      <c r="M22" s="1" t="s">
        <v>245</v>
      </c>
      <c r="N22" s="1">
        <v>4</v>
      </c>
      <c r="O22" s="18" t="s">
        <v>54</v>
      </c>
    </row>
    <row r="23" spans="2:17" x14ac:dyDescent="0.35">
      <c r="B23" s="1">
        <v>18</v>
      </c>
      <c r="C23" s="1" t="s">
        <v>31</v>
      </c>
      <c r="D23" s="1">
        <v>3</v>
      </c>
      <c r="E23" s="18" t="s">
        <v>54</v>
      </c>
      <c r="L23" s="1">
        <v>18</v>
      </c>
      <c r="M23" s="1" t="s">
        <v>247</v>
      </c>
      <c r="N23" s="1">
        <v>4</v>
      </c>
      <c r="O23" s="18" t="s">
        <v>54</v>
      </c>
    </row>
    <row r="24" spans="2:17" x14ac:dyDescent="0.35">
      <c r="L24" s="1">
        <v>19</v>
      </c>
      <c r="M24" s="1" t="s">
        <v>248</v>
      </c>
      <c r="N24" s="1">
        <v>4</v>
      </c>
      <c r="O24" s="18" t="s">
        <v>54</v>
      </c>
    </row>
    <row r="25" spans="2:17" x14ac:dyDescent="0.35">
      <c r="L25" s="1">
        <v>20</v>
      </c>
      <c r="M25" s="1" t="s">
        <v>249</v>
      </c>
      <c r="N25" s="1">
        <v>4</v>
      </c>
      <c r="O25" s="18" t="s">
        <v>54</v>
      </c>
    </row>
    <row r="26" spans="2:17" x14ac:dyDescent="0.35">
      <c r="L26" s="1">
        <v>21</v>
      </c>
      <c r="M26" s="1" t="s">
        <v>250</v>
      </c>
      <c r="N26" s="1">
        <v>4</v>
      </c>
      <c r="O26" s="18" t="s">
        <v>54</v>
      </c>
    </row>
    <row r="27" spans="2:17" x14ac:dyDescent="0.35">
      <c r="L27" s="1">
        <v>22</v>
      </c>
      <c r="M27" s="1" t="s">
        <v>251</v>
      </c>
      <c r="N27" s="1">
        <v>4</v>
      </c>
      <c r="O27" s="18" t="s">
        <v>54</v>
      </c>
    </row>
    <row r="28" spans="2:17" x14ac:dyDescent="0.35">
      <c r="L28" s="1">
        <v>23</v>
      </c>
      <c r="M28" s="1" t="s">
        <v>146</v>
      </c>
      <c r="N28" s="1">
        <v>5</v>
      </c>
      <c r="O28" s="18" t="s">
        <v>54</v>
      </c>
    </row>
    <row r="29" spans="2:17" x14ac:dyDescent="0.35">
      <c r="L29" s="1">
        <v>24</v>
      </c>
      <c r="M29" s="1" t="s">
        <v>200</v>
      </c>
      <c r="N29" s="1">
        <v>5</v>
      </c>
      <c r="O29" s="18" t="s">
        <v>54</v>
      </c>
    </row>
    <row r="30" spans="2:17" x14ac:dyDescent="0.35">
      <c r="L30" s="1">
        <v>25</v>
      </c>
      <c r="M30" s="1" t="s">
        <v>147</v>
      </c>
      <c r="N30" s="1">
        <v>5</v>
      </c>
      <c r="O30" s="18" t="s">
        <v>54</v>
      </c>
    </row>
    <row r="31" spans="2:17" x14ac:dyDescent="0.35">
      <c r="L31" s="1">
        <v>26</v>
      </c>
      <c r="M31" s="1" t="s">
        <v>246</v>
      </c>
      <c r="N31" s="1">
        <v>5</v>
      </c>
      <c r="O31" s="18" t="s">
        <v>54</v>
      </c>
    </row>
    <row r="33" spans="1:18" s="23" customFormat="1" ht="4.5" customHeight="1" x14ac:dyDescent="0.35"/>
    <row r="35" spans="1:18" ht="21" x14ac:dyDescent="0.5">
      <c r="A35" s="69" t="s">
        <v>195</v>
      </c>
      <c r="B35" s="69"/>
      <c r="C35" s="69"/>
      <c r="D35" s="69"/>
      <c r="E35" s="69"/>
      <c r="F35" s="69"/>
      <c r="G35" s="69"/>
      <c r="H35" s="69"/>
      <c r="L35" s="69" t="s">
        <v>196</v>
      </c>
      <c r="M35" s="69"/>
      <c r="N35" s="69"/>
      <c r="O35" s="69"/>
      <c r="P35" s="69"/>
      <c r="Q35" s="69"/>
      <c r="R35" s="69"/>
    </row>
    <row r="37" spans="1:18" ht="18.5" x14ac:dyDescent="0.45">
      <c r="B37" s="70" t="s">
        <v>159</v>
      </c>
      <c r="C37" s="70"/>
      <c r="D37" s="70"/>
      <c r="E37" s="70"/>
      <c r="G37" s="65" t="s">
        <v>160</v>
      </c>
      <c r="H37" s="65"/>
      <c r="L37" s="67" t="s">
        <v>179</v>
      </c>
      <c r="M37" s="67"/>
      <c r="N37" s="67"/>
      <c r="O37" s="67"/>
      <c r="Q37" s="65" t="s">
        <v>180</v>
      </c>
      <c r="R37" s="65"/>
    </row>
    <row r="38" spans="1:18" x14ac:dyDescent="0.35">
      <c r="B38" s="68">
        <f ca="1">NOW()</f>
        <v>45383.917838657406</v>
      </c>
      <c r="C38" s="68"/>
      <c r="D38" s="68"/>
      <c r="E38" s="68"/>
      <c r="G38" s="66"/>
      <c r="H38" s="66"/>
      <c r="L38" s="68">
        <f ca="1">NOW()</f>
        <v>45383.917838657406</v>
      </c>
      <c r="M38" s="68"/>
      <c r="N38" s="68"/>
      <c r="O38" s="68"/>
      <c r="Q38" s="66"/>
      <c r="R38" s="66"/>
    </row>
    <row r="39" spans="1:18" x14ac:dyDescent="0.35">
      <c r="B39" s="2" t="s">
        <v>0</v>
      </c>
      <c r="C39" s="2" t="s">
        <v>1</v>
      </c>
      <c r="D39" s="2" t="s">
        <v>2</v>
      </c>
      <c r="E39" s="2" t="s">
        <v>3</v>
      </c>
      <c r="F39" s="1"/>
      <c r="G39" s="4" t="s">
        <v>161</v>
      </c>
      <c r="H39" s="6">
        <f>SUM(H41:H44)</f>
        <v>26</v>
      </c>
      <c r="L39" s="2" t="s">
        <v>0</v>
      </c>
      <c r="M39" s="2" t="s">
        <v>1</v>
      </c>
      <c r="N39" s="2" t="s">
        <v>2</v>
      </c>
      <c r="O39" s="2" t="s">
        <v>3</v>
      </c>
      <c r="P39" s="1"/>
      <c r="Q39" s="4" t="s">
        <v>48</v>
      </c>
      <c r="R39" s="6">
        <f>SUM(R41:R44)</f>
        <v>15</v>
      </c>
    </row>
    <row r="40" spans="1:18" x14ac:dyDescent="0.35">
      <c r="B40" s="16">
        <v>1</v>
      </c>
      <c r="C40" s="16" t="s">
        <v>215</v>
      </c>
      <c r="D40" s="16">
        <v>1</v>
      </c>
      <c r="E40" s="17" t="s">
        <v>269</v>
      </c>
      <c r="F40" s="1"/>
      <c r="G40" s="5" t="s">
        <v>10</v>
      </c>
      <c r="H40" s="7">
        <v>26</v>
      </c>
      <c r="L40" s="16">
        <v>1</v>
      </c>
      <c r="M40" s="16" t="s">
        <v>193</v>
      </c>
      <c r="N40" s="16">
        <v>2</v>
      </c>
      <c r="O40" s="17" t="s">
        <v>263</v>
      </c>
      <c r="P40" s="1"/>
      <c r="Q40" s="5" t="s">
        <v>10</v>
      </c>
      <c r="R40" s="7">
        <v>15</v>
      </c>
    </row>
    <row r="41" spans="1:18" x14ac:dyDescent="0.35">
      <c r="B41" s="16">
        <v>2</v>
      </c>
      <c r="C41" s="16" t="s">
        <v>165</v>
      </c>
      <c r="D41" s="16">
        <v>1</v>
      </c>
      <c r="E41" s="17" t="s">
        <v>268</v>
      </c>
      <c r="F41" s="1"/>
      <c r="G41" s="5" t="s">
        <v>9</v>
      </c>
      <c r="H41" s="8">
        <v>14</v>
      </c>
      <c r="L41" s="16">
        <v>2</v>
      </c>
      <c r="M41" s="16" t="s">
        <v>192</v>
      </c>
      <c r="N41" s="16">
        <v>3</v>
      </c>
      <c r="O41" s="17" t="s">
        <v>264</v>
      </c>
      <c r="P41" s="1"/>
      <c r="Q41" s="5" t="s">
        <v>9</v>
      </c>
      <c r="R41" s="7">
        <v>13</v>
      </c>
    </row>
    <row r="42" spans="1:18" x14ac:dyDescent="0.35">
      <c r="B42" s="16">
        <v>3</v>
      </c>
      <c r="C42" s="16" t="s">
        <v>173</v>
      </c>
      <c r="D42" s="16">
        <v>2</v>
      </c>
      <c r="E42" s="17" t="s">
        <v>274</v>
      </c>
      <c r="F42" s="1"/>
      <c r="G42" s="5" t="s">
        <v>4</v>
      </c>
      <c r="H42" s="8">
        <v>4</v>
      </c>
      <c r="L42" s="16">
        <v>3</v>
      </c>
      <c r="M42" s="16" t="s">
        <v>186</v>
      </c>
      <c r="N42" s="16">
        <v>4</v>
      </c>
      <c r="O42" s="17" t="s">
        <v>265</v>
      </c>
      <c r="P42" s="1"/>
      <c r="Q42" s="5" t="s">
        <v>4</v>
      </c>
      <c r="R42" s="8">
        <v>0</v>
      </c>
    </row>
    <row r="43" spans="1:18" x14ac:dyDescent="0.35">
      <c r="B43" s="16">
        <v>4</v>
      </c>
      <c r="C43" s="16" t="s">
        <v>174</v>
      </c>
      <c r="D43" s="16">
        <v>2</v>
      </c>
      <c r="E43" s="17" t="s">
        <v>274</v>
      </c>
      <c r="F43" s="1"/>
      <c r="G43" s="5" t="s">
        <v>5</v>
      </c>
      <c r="H43" s="8">
        <v>6</v>
      </c>
      <c r="L43" s="16">
        <v>4</v>
      </c>
      <c r="M43" s="16" t="s">
        <v>182</v>
      </c>
      <c r="N43" s="16">
        <v>4</v>
      </c>
      <c r="O43" s="17" t="s">
        <v>266</v>
      </c>
      <c r="P43" s="1"/>
      <c r="Q43" s="5" t="s">
        <v>5</v>
      </c>
      <c r="R43" s="8">
        <v>2</v>
      </c>
    </row>
    <row r="44" spans="1:18" x14ac:dyDescent="0.35">
      <c r="B44" s="16">
        <v>5</v>
      </c>
      <c r="C44" s="16" t="s">
        <v>162</v>
      </c>
      <c r="D44" s="16">
        <v>2</v>
      </c>
      <c r="E44" s="17" t="s">
        <v>274</v>
      </c>
      <c r="F44" s="1"/>
      <c r="G44" s="5" t="s">
        <v>166</v>
      </c>
      <c r="H44" s="8">
        <v>2</v>
      </c>
      <c r="L44" s="16">
        <v>5</v>
      </c>
      <c r="M44" s="16" t="s">
        <v>187</v>
      </c>
      <c r="N44" s="16">
        <v>4</v>
      </c>
      <c r="O44" s="17" t="s">
        <v>267</v>
      </c>
      <c r="P44" s="1"/>
      <c r="Q44" s="5" t="s">
        <v>6</v>
      </c>
      <c r="R44" s="8">
        <v>0</v>
      </c>
    </row>
    <row r="45" spans="1:18" x14ac:dyDescent="0.35">
      <c r="B45" s="16">
        <v>6</v>
      </c>
      <c r="C45" s="16" t="s">
        <v>163</v>
      </c>
      <c r="D45" s="16">
        <v>2</v>
      </c>
      <c r="E45" s="17" t="s">
        <v>270</v>
      </c>
      <c r="F45" s="1"/>
      <c r="G45" s="9" t="s">
        <v>8</v>
      </c>
      <c r="H45" s="10">
        <f>SUM(Table13456789101117[Retase])</f>
        <v>32</v>
      </c>
      <c r="L45" s="16">
        <v>6</v>
      </c>
      <c r="M45" s="16" t="s">
        <v>188</v>
      </c>
      <c r="N45" s="16">
        <v>4</v>
      </c>
      <c r="O45" s="17" t="s">
        <v>273</v>
      </c>
      <c r="P45" s="1"/>
      <c r="Q45" s="9" t="s">
        <v>8</v>
      </c>
      <c r="R45" s="10">
        <f>SUM(Table1345678910111518[Retase])</f>
        <v>59</v>
      </c>
    </row>
    <row r="46" spans="1:18" x14ac:dyDescent="0.35">
      <c r="B46" s="16">
        <v>7</v>
      </c>
      <c r="C46" s="16" t="s">
        <v>167</v>
      </c>
      <c r="D46" s="16">
        <v>2</v>
      </c>
      <c r="E46" s="17" t="s">
        <v>274</v>
      </c>
      <c r="F46" s="1"/>
      <c r="G46" s="11" t="s">
        <v>7</v>
      </c>
      <c r="H46" s="12">
        <f>H45/H41</f>
        <v>2.2857142857142856</v>
      </c>
      <c r="L46" s="1">
        <v>7</v>
      </c>
      <c r="M46" s="1" t="s">
        <v>252</v>
      </c>
      <c r="N46" s="1">
        <v>5</v>
      </c>
      <c r="O46" s="18" t="s">
        <v>54</v>
      </c>
      <c r="P46" s="1"/>
      <c r="Q46" s="11" t="s">
        <v>7</v>
      </c>
      <c r="R46" s="12">
        <f>R45/R41</f>
        <v>4.5384615384615383</v>
      </c>
    </row>
    <row r="47" spans="1:18" x14ac:dyDescent="0.35">
      <c r="B47" s="16">
        <v>8</v>
      </c>
      <c r="C47" s="16" t="s">
        <v>168</v>
      </c>
      <c r="D47" s="16">
        <v>2</v>
      </c>
      <c r="E47" s="17" t="s">
        <v>271</v>
      </c>
      <c r="F47" s="1"/>
      <c r="G47" s="13" t="s">
        <v>11</v>
      </c>
      <c r="H47" s="14">
        <v>2.5</v>
      </c>
      <c r="L47" s="1">
        <v>8</v>
      </c>
      <c r="M47" s="1" t="s">
        <v>189</v>
      </c>
      <c r="N47" s="1">
        <v>5</v>
      </c>
      <c r="O47" s="18" t="s">
        <v>54</v>
      </c>
      <c r="P47" s="1"/>
      <c r="Q47" s="13" t="s">
        <v>11</v>
      </c>
      <c r="R47" s="14">
        <v>5</v>
      </c>
    </row>
    <row r="48" spans="1:18" x14ac:dyDescent="0.35">
      <c r="B48" s="16">
        <v>9</v>
      </c>
      <c r="C48" s="16" t="s">
        <v>176</v>
      </c>
      <c r="D48" s="16">
        <v>2</v>
      </c>
      <c r="E48" s="17" t="s">
        <v>272</v>
      </c>
      <c r="F48" s="1"/>
      <c r="G48" s="13" t="s">
        <v>51</v>
      </c>
      <c r="H48" s="15">
        <f>H46/H47</f>
        <v>0.91428571428571426</v>
      </c>
      <c r="L48" s="1">
        <v>9</v>
      </c>
      <c r="M48" s="1" t="s">
        <v>253</v>
      </c>
      <c r="N48" s="1">
        <v>5</v>
      </c>
      <c r="O48" s="18" t="s">
        <v>54</v>
      </c>
      <c r="P48" s="1"/>
      <c r="Q48" s="13" t="s">
        <v>51</v>
      </c>
      <c r="R48" s="15">
        <f>R46/R47</f>
        <v>0.90769230769230769</v>
      </c>
    </row>
    <row r="49" spans="2:18" x14ac:dyDescent="0.35">
      <c r="B49" s="1">
        <v>10</v>
      </c>
      <c r="C49" s="1" t="s">
        <v>178</v>
      </c>
      <c r="D49" s="1">
        <v>3</v>
      </c>
      <c r="E49" s="18" t="s">
        <v>54</v>
      </c>
      <c r="G49" s="13" t="s">
        <v>151</v>
      </c>
      <c r="H49" s="15">
        <f>H41/H40</f>
        <v>0.53846153846153844</v>
      </c>
      <c r="L49" s="1">
        <v>10</v>
      </c>
      <c r="M49" s="1" t="s">
        <v>181</v>
      </c>
      <c r="N49" s="1">
        <v>5</v>
      </c>
      <c r="O49" s="18" t="s">
        <v>54</v>
      </c>
      <c r="Q49" s="13" t="s">
        <v>151</v>
      </c>
      <c r="R49" s="15">
        <f>R41/R40</f>
        <v>0.8666666666666667</v>
      </c>
    </row>
    <row r="50" spans="2:18" x14ac:dyDescent="0.35">
      <c r="B50" s="1">
        <v>11</v>
      </c>
      <c r="C50" s="1" t="s">
        <v>169</v>
      </c>
      <c r="D50" s="1">
        <v>3</v>
      </c>
      <c r="E50" s="18" t="s">
        <v>54</v>
      </c>
      <c r="G50" s="21"/>
      <c r="H50" s="22"/>
      <c r="L50" s="1">
        <v>11</v>
      </c>
      <c r="M50" s="1" t="s">
        <v>190</v>
      </c>
      <c r="N50" s="1">
        <v>6</v>
      </c>
      <c r="O50" s="18" t="s">
        <v>54</v>
      </c>
    </row>
    <row r="51" spans="2:18" x14ac:dyDescent="0.35">
      <c r="B51" s="1">
        <v>12</v>
      </c>
      <c r="C51" s="1" t="s">
        <v>170</v>
      </c>
      <c r="D51" s="1">
        <v>3</v>
      </c>
      <c r="E51" s="18" t="s">
        <v>54</v>
      </c>
      <c r="G51" s="21"/>
      <c r="H51" s="22"/>
      <c r="L51" s="1">
        <v>12</v>
      </c>
      <c r="M51" s="1" t="s">
        <v>191</v>
      </c>
      <c r="N51" s="1">
        <v>6</v>
      </c>
      <c r="O51" s="18" t="s">
        <v>54</v>
      </c>
      <c r="Q51" s="20"/>
    </row>
    <row r="52" spans="2:18" x14ac:dyDescent="0.35">
      <c r="B52" s="1">
        <v>13</v>
      </c>
      <c r="C52" s="1" t="s">
        <v>177</v>
      </c>
      <c r="D52" s="1">
        <v>3</v>
      </c>
      <c r="E52" s="18" t="s">
        <v>54</v>
      </c>
      <c r="G52" s="21"/>
      <c r="H52" s="22"/>
      <c r="L52" s="1">
        <v>13</v>
      </c>
      <c r="M52" s="1" t="s">
        <v>185</v>
      </c>
      <c r="N52" s="1">
        <v>6</v>
      </c>
      <c r="O52" s="18" t="s">
        <v>54</v>
      </c>
    </row>
    <row r="53" spans="2:18" x14ac:dyDescent="0.35">
      <c r="B53" s="1">
        <v>14</v>
      </c>
      <c r="C53" s="1" t="s">
        <v>171</v>
      </c>
      <c r="D53" s="1">
        <v>4</v>
      </c>
      <c r="E53" s="18" t="s">
        <v>54</v>
      </c>
      <c r="G53" s="21"/>
      <c r="H53" s="22"/>
      <c r="L53" s="1"/>
      <c r="M53" s="1"/>
      <c r="N53" s="1"/>
      <c r="O53" s="18"/>
    </row>
    <row r="54" spans="2:18" x14ac:dyDescent="0.35">
      <c r="G54" s="21"/>
      <c r="H54" s="22"/>
    </row>
    <row r="55" spans="2:18" x14ac:dyDescent="0.35">
      <c r="G55" s="21"/>
      <c r="H55" s="22"/>
    </row>
    <row r="56" spans="2:18" x14ac:dyDescent="0.35">
      <c r="G56" s="21"/>
      <c r="H56" s="22"/>
    </row>
  </sheetData>
  <mergeCells count="16">
    <mergeCell ref="B37:E37"/>
    <mergeCell ref="B38:E38"/>
    <mergeCell ref="A35:H35"/>
    <mergeCell ref="L35:R35"/>
    <mergeCell ref="G37:H38"/>
    <mergeCell ref="L37:O37"/>
    <mergeCell ref="Q37:R38"/>
    <mergeCell ref="L38:O38"/>
    <mergeCell ref="B1:H1"/>
    <mergeCell ref="L1:R1"/>
    <mergeCell ref="B3:E3"/>
    <mergeCell ref="G3:H4"/>
    <mergeCell ref="L3:O3"/>
    <mergeCell ref="Q3:R4"/>
    <mergeCell ref="B4:E4"/>
    <mergeCell ref="L4:O4"/>
  </mergeCells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F40B-4282-4A35-A9CB-CBE8D80B5471}">
  <sheetPr codeName="Sheet12">
    <tabColor theme="7" tint="0.39997558519241921"/>
  </sheetPr>
  <dimension ref="A1:AU40"/>
  <sheetViews>
    <sheetView showGridLines="0" view="pageBreakPreview" topLeftCell="AG1" zoomScale="55" zoomScaleNormal="55" zoomScaleSheetLayoutView="55" workbookViewId="0">
      <selection activeCell="A4" sqref="A4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8.1796875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3" width="2" customWidth="1"/>
    <col min="14" max="14" width="6.81640625" customWidth="1"/>
    <col min="15" max="15" width="11.7265625" bestFit="1" customWidth="1"/>
    <col min="16" max="17" width="11.7265625" customWidth="1"/>
    <col min="18" max="18" width="16.453125" customWidth="1"/>
    <col min="19" max="19" width="11.7265625" customWidth="1"/>
    <col min="20" max="20" width="74.26953125" customWidth="1"/>
    <col min="21" max="21" width="1.453125" customWidth="1"/>
    <col min="22" max="22" width="26.36328125" bestFit="1" customWidth="1"/>
    <col min="23" max="23" width="16.453125" customWidth="1"/>
    <col min="24" max="24" width="1.81640625" customWidth="1"/>
    <col min="25" max="25" width="2" customWidth="1"/>
    <col min="26" max="26" width="5.7265625" customWidth="1"/>
    <col min="27" max="29" width="10.81640625" customWidth="1"/>
    <col min="30" max="30" width="16.453125" customWidth="1"/>
    <col min="31" max="31" width="11.7265625" customWidth="1"/>
    <col min="32" max="32" width="76.54296875" customWidth="1"/>
    <col min="33" max="33" width="1.81640625" customWidth="1"/>
    <col min="34" max="34" width="26.36328125" customWidth="1"/>
    <col min="35" max="35" width="14" customWidth="1"/>
    <col min="36" max="36" width="1.81640625" customWidth="1"/>
    <col min="37" max="37" width="2" customWidth="1"/>
    <col min="38" max="38" width="7.36328125" customWidth="1"/>
    <col min="39" max="39" width="14.453125" bestFit="1" customWidth="1"/>
    <col min="40" max="42" width="14.453125" customWidth="1"/>
    <col min="43" max="43" width="12.81640625" customWidth="1"/>
    <col min="44" max="44" width="68.7265625" customWidth="1"/>
    <col min="45" max="45" width="2.54296875" customWidth="1"/>
    <col min="46" max="46" width="27.1796875" customWidth="1"/>
    <col min="47" max="47" width="10" customWidth="1"/>
    <col min="48" max="48" width="17.90625" customWidth="1"/>
    <col min="49" max="49" width="15.81640625" customWidth="1"/>
  </cols>
  <sheetData>
    <row r="1" spans="1:47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N1" s="69" t="s">
        <v>195</v>
      </c>
      <c r="O1" s="69"/>
      <c r="P1" s="69"/>
      <c r="Q1" s="69"/>
      <c r="R1" s="69"/>
      <c r="S1" s="69"/>
      <c r="T1" s="69"/>
      <c r="U1" s="69"/>
      <c r="V1" s="69"/>
      <c r="W1" s="69"/>
      <c r="Z1" s="69" t="s">
        <v>158</v>
      </c>
      <c r="AA1" s="69"/>
      <c r="AB1" s="69"/>
      <c r="AC1" s="69"/>
      <c r="AD1" s="69"/>
      <c r="AE1" s="69"/>
      <c r="AF1" s="69"/>
      <c r="AG1" s="69"/>
      <c r="AH1" s="69"/>
      <c r="AI1" s="69"/>
      <c r="AL1" s="69" t="s">
        <v>196</v>
      </c>
      <c r="AM1" s="69"/>
      <c r="AN1" s="69"/>
      <c r="AO1" s="69"/>
      <c r="AP1" s="69"/>
      <c r="AQ1" s="69"/>
      <c r="AR1" s="69"/>
      <c r="AS1" s="69"/>
      <c r="AT1" s="69"/>
      <c r="AU1" s="69"/>
    </row>
    <row r="3" spans="1:47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N3" s="70" t="s">
        <v>303</v>
      </c>
      <c r="O3" s="70"/>
      <c r="P3" s="70"/>
      <c r="Q3" s="70"/>
      <c r="R3" s="70"/>
      <c r="S3" s="70"/>
      <c r="T3" s="70"/>
      <c r="V3" s="65" t="s">
        <v>160</v>
      </c>
      <c r="W3" s="65"/>
      <c r="Z3" s="67" t="s">
        <v>143</v>
      </c>
      <c r="AA3" s="67"/>
      <c r="AB3" s="67"/>
      <c r="AC3" s="67"/>
      <c r="AD3" s="67"/>
      <c r="AE3" s="67"/>
      <c r="AF3" s="67"/>
      <c r="AH3" s="65" t="s">
        <v>144</v>
      </c>
      <c r="AI3" s="65"/>
      <c r="AL3" s="67" t="s">
        <v>179</v>
      </c>
      <c r="AM3" s="67"/>
      <c r="AN3" s="67"/>
      <c r="AO3" s="67"/>
      <c r="AP3" s="67"/>
      <c r="AQ3" s="67"/>
      <c r="AR3" s="67"/>
      <c r="AT3" s="65" t="s">
        <v>180</v>
      </c>
      <c r="AU3" s="65"/>
    </row>
    <row r="4" spans="1:47" x14ac:dyDescent="0.35">
      <c r="B4" s="68">
        <v>45374</v>
      </c>
      <c r="C4" s="68"/>
      <c r="D4" s="68"/>
      <c r="E4" s="68"/>
      <c r="F4" s="68"/>
      <c r="G4" s="68"/>
      <c r="H4" s="68"/>
      <c r="J4" s="66"/>
      <c r="K4" s="66"/>
      <c r="N4" s="68">
        <v>45374</v>
      </c>
      <c r="O4" s="68"/>
      <c r="P4" s="68"/>
      <c r="Q4" s="68"/>
      <c r="R4" s="68"/>
      <c r="S4" s="68"/>
      <c r="T4" s="68"/>
      <c r="V4" s="66"/>
      <c r="W4" s="66"/>
      <c r="Z4" s="68">
        <v>45374</v>
      </c>
      <c r="AA4" s="68"/>
      <c r="AB4" s="68"/>
      <c r="AC4" s="68"/>
      <c r="AD4" s="68"/>
      <c r="AE4" s="68"/>
      <c r="AF4" s="68"/>
      <c r="AH4" s="66"/>
      <c r="AI4" s="66"/>
      <c r="AL4" s="68">
        <v>45374</v>
      </c>
      <c r="AM4" s="68"/>
      <c r="AN4" s="68"/>
      <c r="AO4" s="68"/>
      <c r="AP4" s="68"/>
      <c r="AQ4" s="68"/>
      <c r="AR4" s="68"/>
      <c r="AT4" s="66"/>
      <c r="AU4" s="66"/>
    </row>
    <row r="5" spans="1:47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N5" s="2" t="s">
        <v>0</v>
      </c>
      <c r="O5" s="2" t="s">
        <v>1</v>
      </c>
      <c r="P5" s="36" t="s">
        <v>336</v>
      </c>
      <c r="Q5" s="36" t="s">
        <v>337</v>
      </c>
      <c r="R5" s="36" t="s">
        <v>338</v>
      </c>
      <c r="S5" s="2" t="s">
        <v>2</v>
      </c>
      <c r="T5" s="2" t="s">
        <v>3</v>
      </c>
      <c r="V5" s="4" t="s">
        <v>161</v>
      </c>
      <c r="W5" s="6">
        <f>SUM(W7:W10)</f>
        <v>29</v>
      </c>
      <c r="Z5" s="2" t="s">
        <v>0</v>
      </c>
      <c r="AA5" s="2" t="s">
        <v>1</v>
      </c>
      <c r="AB5" s="2" t="s">
        <v>336</v>
      </c>
      <c r="AC5" s="2" t="s">
        <v>337</v>
      </c>
      <c r="AD5" s="2" t="s">
        <v>338</v>
      </c>
      <c r="AE5" s="2" t="s">
        <v>2</v>
      </c>
      <c r="AF5" s="2" t="s">
        <v>3</v>
      </c>
      <c r="AH5" s="4" t="s">
        <v>48</v>
      </c>
      <c r="AI5" s="6">
        <f>SUM(AI7:AI10)</f>
        <v>55</v>
      </c>
      <c r="AL5" s="2" t="s">
        <v>0</v>
      </c>
      <c r="AM5" s="2" t="s">
        <v>1</v>
      </c>
      <c r="AN5" s="2" t="s">
        <v>336</v>
      </c>
      <c r="AO5" s="2" t="s">
        <v>337</v>
      </c>
      <c r="AP5" s="2" t="s">
        <v>338</v>
      </c>
      <c r="AQ5" s="2" t="s">
        <v>2</v>
      </c>
      <c r="AR5" s="2" t="s">
        <v>3</v>
      </c>
      <c r="AT5" s="4" t="s">
        <v>48</v>
      </c>
      <c r="AU5" s="6">
        <f>SUM(AU7:AU10)</f>
        <v>15</v>
      </c>
    </row>
    <row r="6" spans="1:47" s="1" customFormat="1" x14ac:dyDescent="0.35">
      <c r="A6"/>
      <c r="B6" s="16">
        <v>1</v>
      </c>
      <c r="C6" s="33" t="s">
        <v>26</v>
      </c>
      <c r="D6" s="34">
        <v>0.45277777777777778</v>
      </c>
      <c r="E6" s="34">
        <v>0.74305555555555547</v>
      </c>
      <c r="F6" s="32">
        <f>E6-D6</f>
        <v>0.29027777777777769</v>
      </c>
      <c r="G6" s="33">
        <v>1</v>
      </c>
      <c r="H6" s="17" t="s">
        <v>304</v>
      </c>
      <c r="J6" s="5" t="s">
        <v>10</v>
      </c>
      <c r="K6" s="7">
        <v>24</v>
      </c>
      <c r="L6" s="28"/>
      <c r="N6" s="16">
        <v>1</v>
      </c>
      <c r="O6" s="33" t="s">
        <v>216</v>
      </c>
      <c r="P6" s="34">
        <v>0.32083333333333336</v>
      </c>
      <c r="Q6" s="34">
        <v>0.44097222222222227</v>
      </c>
      <c r="R6" s="32">
        <f t="shared" ref="R6:R28" si="0">Q6-P6</f>
        <v>0.12013888888888891</v>
      </c>
      <c r="S6" s="33">
        <v>1</v>
      </c>
      <c r="T6" s="17" t="s">
        <v>333</v>
      </c>
      <c r="V6" s="5" t="s">
        <v>10</v>
      </c>
      <c r="W6" s="7">
        <v>29</v>
      </c>
      <c r="Z6" s="16">
        <v>1</v>
      </c>
      <c r="AA6" s="33" t="s">
        <v>278</v>
      </c>
      <c r="AB6" s="31">
        <v>0.21805555555555556</v>
      </c>
      <c r="AC6" s="31">
        <v>0.42152777777777778</v>
      </c>
      <c r="AD6" s="32">
        <v>0.20347222222222219</v>
      </c>
      <c r="AE6" s="33">
        <v>2</v>
      </c>
      <c r="AF6" s="17" t="s">
        <v>327</v>
      </c>
      <c r="AH6" s="5" t="s">
        <v>10</v>
      </c>
      <c r="AI6" s="7">
        <v>35</v>
      </c>
      <c r="AL6" s="16">
        <v>1</v>
      </c>
      <c r="AM6" s="33" t="s">
        <v>289</v>
      </c>
      <c r="AN6" s="34">
        <v>0.21875</v>
      </c>
      <c r="AO6" s="34">
        <v>0.43472222222222223</v>
      </c>
      <c r="AP6" s="32">
        <v>0.21597222222222223</v>
      </c>
      <c r="AQ6" s="33">
        <v>2</v>
      </c>
      <c r="AR6" s="17" t="s">
        <v>330</v>
      </c>
      <c r="AT6" s="5" t="s">
        <v>10</v>
      </c>
      <c r="AU6" s="7">
        <v>15</v>
      </c>
    </row>
    <row r="7" spans="1:47" s="1" customFormat="1" x14ac:dyDescent="0.35">
      <c r="A7"/>
      <c r="B7" s="16">
        <v>2</v>
      </c>
      <c r="C7" s="33" t="s">
        <v>28</v>
      </c>
      <c r="D7" s="34">
        <v>0.39930555555555558</v>
      </c>
      <c r="E7" s="34">
        <v>0.60138888888888886</v>
      </c>
      <c r="F7" s="32">
        <f>E7-D7</f>
        <v>0.20208333333333328</v>
      </c>
      <c r="G7" s="33">
        <v>1</v>
      </c>
      <c r="H7" s="17" t="s">
        <v>305</v>
      </c>
      <c r="J7" s="5" t="s">
        <v>9</v>
      </c>
      <c r="K7" s="8">
        <v>18</v>
      </c>
      <c r="L7" s="28"/>
      <c r="N7" s="16">
        <v>2</v>
      </c>
      <c r="O7" s="33" t="s">
        <v>162</v>
      </c>
      <c r="P7" s="34">
        <v>0.3756944444444445</v>
      </c>
      <c r="Q7" s="34">
        <v>0.55763888888888891</v>
      </c>
      <c r="R7" s="32">
        <f t="shared" si="0"/>
        <v>0.18194444444444441</v>
      </c>
      <c r="S7" s="33">
        <v>1</v>
      </c>
      <c r="T7" s="17" t="s">
        <v>273</v>
      </c>
      <c r="V7" s="5" t="s">
        <v>9</v>
      </c>
      <c r="W7" s="8">
        <v>23</v>
      </c>
      <c r="Z7" s="16">
        <v>2</v>
      </c>
      <c r="AA7" s="33" t="s">
        <v>277</v>
      </c>
      <c r="AB7" s="31">
        <v>0.21875</v>
      </c>
      <c r="AC7" s="31">
        <v>0.61249999999999993</v>
      </c>
      <c r="AD7" s="32">
        <v>0.39374999999999999</v>
      </c>
      <c r="AE7" s="33">
        <v>3</v>
      </c>
      <c r="AF7" s="17" t="s">
        <v>321</v>
      </c>
      <c r="AH7" s="5" t="s">
        <v>9</v>
      </c>
      <c r="AI7" s="8">
        <v>31</v>
      </c>
      <c r="AL7" s="16">
        <v>2</v>
      </c>
      <c r="AM7" s="33" t="s">
        <v>291</v>
      </c>
      <c r="AN7" s="34">
        <v>0.26597222222222222</v>
      </c>
      <c r="AO7" s="34">
        <v>0.42569444444444443</v>
      </c>
      <c r="AP7" s="32">
        <v>0.15972222222222221</v>
      </c>
      <c r="AQ7" s="33">
        <v>2</v>
      </c>
      <c r="AR7" s="17" t="s">
        <v>331</v>
      </c>
      <c r="AT7" s="5" t="s">
        <v>9</v>
      </c>
      <c r="AU7" s="7">
        <v>12</v>
      </c>
    </row>
    <row r="8" spans="1:47" s="1" customFormat="1" x14ac:dyDescent="0.35">
      <c r="A8"/>
      <c r="B8" s="16">
        <v>3</v>
      </c>
      <c r="C8" s="33" t="s">
        <v>72</v>
      </c>
      <c r="D8" s="34">
        <v>0.21388888888888891</v>
      </c>
      <c r="E8" s="34" t="s">
        <v>339</v>
      </c>
      <c r="F8" s="34"/>
      <c r="G8" s="33">
        <v>2</v>
      </c>
      <c r="H8" s="17" t="s">
        <v>306</v>
      </c>
      <c r="J8" s="5" t="s">
        <v>4</v>
      </c>
      <c r="K8" s="8">
        <v>1</v>
      </c>
      <c r="L8" s="28"/>
      <c r="N8" s="16">
        <v>3</v>
      </c>
      <c r="O8" s="33" t="s">
        <v>167</v>
      </c>
      <c r="P8" s="34">
        <v>0.22500000000000001</v>
      </c>
      <c r="Q8" s="34">
        <v>0.5444444444444444</v>
      </c>
      <c r="R8" s="32">
        <f t="shared" si="0"/>
        <v>0.31944444444444442</v>
      </c>
      <c r="S8" s="33">
        <v>1</v>
      </c>
      <c r="T8" s="17" t="s">
        <v>312</v>
      </c>
      <c r="V8" s="5" t="s">
        <v>4</v>
      </c>
      <c r="W8" s="8">
        <v>3</v>
      </c>
      <c r="Z8" s="16">
        <v>3</v>
      </c>
      <c r="AA8" s="33" t="s">
        <v>279</v>
      </c>
      <c r="AB8" s="31">
        <v>0.26041666666666669</v>
      </c>
      <c r="AC8" s="31">
        <v>0.68541666666666667</v>
      </c>
      <c r="AD8" s="32">
        <v>0.42499999999999999</v>
      </c>
      <c r="AE8" s="33">
        <v>3</v>
      </c>
      <c r="AF8" s="17" t="s">
        <v>322</v>
      </c>
      <c r="AH8" s="5" t="s">
        <v>4</v>
      </c>
      <c r="AI8" s="8">
        <v>0</v>
      </c>
      <c r="AL8" s="16">
        <v>3</v>
      </c>
      <c r="AM8" s="33" t="s">
        <v>284</v>
      </c>
      <c r="AN8" s="34">
        <v>0.20277777777777781</v>
      </c>
      <c r="AO8" s="34">
        <v>0.55138888888888882</v>
      </c>
      <c r="AP8" s="32">
        <v>0.34861111111111098</v>
      </c>
      <c r="AQ8" s="33">
        <v>3</v>
      </c>
      <c r="AR8" s="17" t="s">
        <v>335</v>
      </c>
      <c r="AT8" s="5" t="s">
        <v>4</v>
      </c>
      <c r="AU8" s="8">
        <v>0</v>
      </c>
    </row>
    <row r="9" spans="1:47" s="1" customFormat="1" x14ac:dyDescent="0.35">
      <c r="A9"/>
      <c r="B9" s="16">
        <v>4</v>
      </c>
      <c r="C9" s="33" t="s">
        <v>16</v>
      </c>
      <c r="D9" s="34">
        <v>0.39583333333333331</v>
      </c>
      <c r="E9" s="34">
        <v>0.70277777777777783</v>
      </c>
      <c r="F9" s="32">
        <f t="shared" ref="F9:F23" si="1">E9-D9</f>
        <v>0.30694444444444452</v>
      </c>
      <c r="G9" s="33">
        <v>2</v>
      </c>
      <c r="H9" s="17" t="s">
        <v>334</v>
      </c>
      <c r="J9" s="5" t="s">
        <v>5</v>
      </c>
      <c r="K9" s="8">
        <v>5</v>
      </c>
      <c r="L9" s="28"/>
      <c r="N9" s="16">
        <v>4</v>
      </c>
      <c r="O9" s="33" t="s">
        <v>168</v>
      </c>
      <c r="P9" s="34">
        <v>0.23611111111111113</v>
      </c>
      <c r="Q9" s="34">
        <v>0.4770833333333333</v>
      </c>
      <c r="R9" s="32">
        <f t="shared" si="0"/>
        <v>0.24097222222222217</v>
      </c>
      <c r="S9" s="33">
        <v>1</v>
      </c>
      <c r="T9" s="17" t="s">
        <v>313</v>
      </c>
      <c r="V9" s="5" t="s">
        <v>5</v>
      </c>
      <c r="W9" s="8">
        <v>3</v>
      </c>
      <c r="Z9" s="16">
        <v>4</v>
      </c>
      <c r="AA9" s="33" t="s">
        <v>201</v>
      </c>
      <c r="AB9" s="31">
        <v>0.26874999999999999</v>
      </c>
      <c r="AC9" s="31">
        <v>0.64583333333333337</v>
      </c>
      <c r="AD9" s="32">
        <v>0.37708333333333338</v>
      </c>
      <c r="AE9" s="33">
        <v>3</v>
      </c>
      <c r="AF9" s="17" t="s">
        <v>323</v>
      </c>
      <c r="AH9" s="5" t="s">
        <v>5</v>
      </c>
      <c r="AI9" s="8">
        <v>1</v>
      </c>
      <c r="AL9" s="16">
        <v>4</v>
      </c>
      <c r="AM9" s="33" t="s">
        <v>285</v>
      </c>
      <c r="AN9" s="34">
        <v>0.3527777777777778</v>
      </c>
      <c r="AO9" s="34">
        <v>0.72916666666666663</v>
      </c>
      <c r="AP9" s="32">
        <v>0.37638888888888883</v>
      </c>
      <c r="AQ9" s="33">
        <v>4</v>
      </c>
      <c r="AR9" s="17" t="s">
        <v>332</v>
      </c>
      <c r="AT9" s="5" t="s">
        <v>5</v>
      </c>
      <c r="AU9" s="8">
        <v>3</v>
      </c>
    </row>
    <row r="10" spans="1:47" s="1" customFormat="1" x14ac:dyDescent="0.35">
      <c r="A10"/>
      <c r="B10" s="16">
        <v>5</v>
      </c>
      <c r="C10" s="33" t="s">
        <v>53</v>
      </c>
      <c r="D10" s="34">
        <v>0.39861111111111108</v>
      </c>
      <c r="E10" s="34">
        <v>0.74305555555555547</v>
      </c>
      <c r="F10" s="32">
        <f t="shared" si="1"/>
        <v>0.34444444444444439</v>
      </c>
      <c r="G10" s="33">
        <v>2</v>
      </c>
      <c r="H10" s="17" t="s">
        <v>334</v>
      </c>
      <c r="J10" s="5" t="s">
        <v>6</v>
      </c>
      <c r="K10" s="8">
        <v>0</v>
      </c>
      <c r="L10" s="28"/>
      <c r="N10" s="16">
        <v>5</v>
      </c>
      <c r="O10" s="33" t="s">
        <v>295</v>
      </c>
      <c r="P10" s="34">
        <v>0.31944444444444448</v>
      </c>
      <c r="Q10" s="34">
        <v>0.66527777777777775</v>
      </c>
      <c r="R10" s="32">
        <f t="shared" si="0"/>
        <v>0.34583333333333327</v>
      </c>
      <c r="S10" s="33">
        <v>2</v>
      </c>
      <c r="T10" s="17" t="s">
        <v>334</v>
      </c>
      <c r="V10" s="5" t="s">
        <v>166</v>
      </c>
      <c r="W10" s="8"/>
      <c r="Z10" s="16">
        <v>5</v>
      </c>
      <c r="AA10" s="33" t="s">
        <v>204</v>
      </c>
      <c r="AB10" s="31">
        <v>0.25138888888888888</v>
      </c>
      <c r="AC10" s="31">
        <v>0.57916666666666672</v>
      </c>
      <c r="AD10" s="32">
        <v>0.32777777777777778</v>
      </c>
      <c r="AE10" s="33">
        <v>3</v>
      </c>
      <c r="AF10" s="17" t="s">
        <v>324</v>
      </c>
      <c r="AH10" s="5" t="s">
        <v>6</v>
      </c>
      <c r="AI10" s="8">
        <v>23</v>
      </c>
      <c r="AL10" s="1">
        <v>5</v>
      </c>
      <c r="AM10" s="2" t="s">
        <v>283</v>
      </c>
      <c r="AN10" s="35">
        <v>0.27916666666666667</v>
      </c>
      <c r="AO10" s="35">
        <v>0.68055555555555547</v>
      </c>
      <c r="AP10" s="30">
        <v>0.4013888888888888</v>
      </c>
      <c r="AQ10" s="2">
        <v>5</v>
      </c>
      <c r="AR10" s="18" t="s">
        <v>54</v>
      </c>
      <c r="AT10" s="5" t="s">
        <v>6</v>
      </c>
      <c r="AU10" s="8">
        <v>0</v>
      </c>
    </row>
    <row r="11" spans="1:47" s="1" customFormat="1" x14ac:dyDescent="0.35">
      <c r="A11"/>
      <c r="B11" s="16">
        <v>6</v>
      </c>
      <c r="C11" s="33" t="s">
        <v>18</v>
      </c>
      <c r="D11" s="34">
        <v>0.26250000000000001</v>
      </c>
      <c r="E11" s="34">
        <v>0.625</v>
      </c>
      <c r="F11" s="32">
        <f t="shared" si="1"/>
        <v>0.36249999999999999</v>
      </c>
      <c r="G11" s="33">
        <v>2</v>
      </c>
      <c r="H11" s="17" t="s">
        <v>334</v>
      </c>
      <c r="J11" s="9" t="s">
        <v>8</v>
      </c>
      <c r="K11" s="10">
        <f>SUM(Table13245678910111321[Retase])</f>
        <v>39</v>
      </c>
      <c r="L11" s="28"/>
      <c r="N11" s="16">
        <v>6</v>
      </c>
      <c r="O11" s="33" t="s">
        <v>296</v>
      </c>
      <c r="P11" s="34">
        <v>0.28125</v>
      </c>
      <c r="Q11" s="34">
        <v>0.66805555555555562</v>
      </c>
      <c r="R11" s="32">
        <f t="shared" si="0"/>
        <v>0.38680555555555562</v>
      </c>
      <c r="S11" s="33">
        <v>2</v>
      </c>
      <c r="T11" s="17" t="s">
        <v>334</v>
      </c>
      <c r="V11" s="9" t="s">
        <v>8</v>
      </c>
      <c r="W11" s="10">
        <f>SUM(Table1345678910111722[Retase])</f>
        <v>52</v>
      </c>
      <c r="Z11" s="16">
        <v>6</v>
      </c>
      <c r="AA11" s="33" t="s">
        <v>205</v>
      </c>
      <c r="AB11" s="31">
        <v>0.3298611111111111</v>
      </c>
      <c r="AC11" s="31">
        <v>0.69791666666666663</v>
      </c>
      <c r="AD11" s="32">
        <v>0.36805555555555558</v>
      </c>
      <c r="AE11" s="33">
        <v>3</v>
      </c>
      <c r="AF11" s="17" t="s">
        <v>325</v>
      </c>
      <c r="AH11" s="9" t="s">
        <v>8</v>
      </c>
      <c r="AI11" s="10">
        <f>SUM(Table13245678910121620[Retase])</f>
        <v>127</v>
      </c>
      <c r="AL11" s="1">
        <v>6</v>
      </c>
      <c r="AM11" s="2" t="s">
        <v>286</v>
      </c>
      <c r="AN11" s="35">
        <v>0.30416666666666664</v>
      </c>
      <c r="AO11" s="35">
        <v>0.65277777777777779</v>
      </c>
      <c r="AP11" s="30">
        <v>0.34861111111111115</v>
      </c>
      <c r="AQ11" s="2">
        <v>5</v>
      </c>
      <c r="AR11" s="18" t="s">
        <v>54</v>
      </c>
      <c r="AT11" s="9" t="s">
        <v>8</v>
      </c>
      <c r="AU11" s="10">
        <f>SUM(Table134567891011151819[Retase])</f>
        <v>53</v>
      </c>
    </row>
    <row r="12" spans="1:47" s="1" customFormat="1" x14ac:dyDescent="0.35">
      <c r="A12"/>
      <c r="B12" s="16">
        <v>7</v>
      </c>
      <c r="C12" s="33" t="s">
        <v>32</v>
      </c>
      <c r="D12" s="34">
        <v>0.20902777777777778</v>
      </c>
      <c r="E12" s="34">
        <v>0.67499999999999993</v>
      </c>
      <c r="F12" s="32">
        <f t="shared" si="1"/>
        <v>0.46597222222222212</v>
      </c>
      <c r="G12" s="33">
        <v>2</v>
      </c>
      <c r="H12" s="17" t="s">
        <v>307</v>
      </c>
      <c r="J12" s="11" t="s">
        <v>7</v>
      </c>
      <c r="K12" s="12">
        <f>K11/K7</f>
        <v>2.1666666666666665</v>
      </c>
      <c r="L12" s="28"/>
      <c r="N12" s="16">
        <v>7</v>
      </c>
      <c r="O12" s="33" t="s">
        <v>297</v>
      </c>
      <c r="P12" s="34">
        <v>0.35902777777777778</v>
      </c>
      <c r="Q12" s="34">
        <v>0.68333333333333324</v>
      </c>
      <c r="R12" s="32">
        <f t="shared" si="0"/>
        <v>0.32430555555555546</v>
      </c>
      <c r="S12" s="33">
        <v>2</v>
      </c>
      <c r="T12" s="17" t="s">
        <v>314</v>
      </c>
      <c r="V12" s="11" t="s">
        <v>7</v>
      </c>
      <c r="W12" s="12">
        <f>W11/W7</f>
        <v>2.2608695652173911</v>
      </c>
      <c r="Z12" s="16">
        <v>7</v>
      </c>
      <c r="AA12" s="33" t="s">
        <v>145</v>
      </c>
      <c r="AB12" s="31">
        <v>0.4055555555555555</v>
      </c>
      <c r="AC12" s="31">
        <v>0.72291666666666676</v>
      </c>
      <c r="AD12" s="32">
        <v>0.31736111111111115</v>
      </c>
      <c r="AE12" s="33">
        <v>3</v>
      </c>
      <c r="AF12" s="17" t="s">
        <v>326</v>
      </c>
      <c r="AH12" s="11" t="s">
        <v>7</v>
      </c>
      <c r="AI12" s="12">
        <f>AI11/AI7</f>
        <v>4.096774193548387</v>
      </c>
      <c r="AL12" s="1">
        <v>7</v>
      </c>
      <c r="AM12" s="2" t="s">
        <v>287</v>
      </c>
      <c r="AN12" s="35">
        <v>0.3125</v>
      </c>
      <c r="AO12" s="35">
        <v>0.70624999999999993</v>
      </c>
      <c r="AP12" s="30">
        <v>0.39374999999999993</v>
      </c>
      <c r="AQ12" s="2">
        <v>5</v>
      </c>
      <c r="AR12" s="18" t="s">
        <v>54</v>
      </c>
      <c r="AT12" s="11" t="s">
        <v>7</v>
      </c>
      <c r="AU12" s="12">
        <f>AU11/AU7</f>
        <v>4.416666666666667</v>
      </c>
    </row>
    <row r="13" spans="1:47" s="1" customFormat="1" x14ac:dyDescent="0.35">
      <c r="A13"/>
      <c r="B13" s="16">
        <v>8</v>
      </c>
      <c r="C13" s="33" t="s">
        <v>21</v>
      </c>
      <c r="D13" s="34">
        <v>0.3659722222222222</v>
      </c>
      <c r="E13" s="34">
        <v>0.68819444444444444</v>
      </c>
      <c r="F13" s="32">
        <f t="shared" si="1"/>
        <v>0.32222222222222224</v>
      </c>
      <c r="G13" s="33">
        <v>2</v>
      </c>
      <c r="H13" s="17" t="s">
        <v>308</v>
      </c>
      <c r="J13" s="13" t="s">
        <v>11</v>
      </c>
      <c r="K13" s="14">
        <v>2.5</v>
      </c>
      <c r="L13" s="28"/>
      <c r="N13" s="16">
        <v>8</v>
      </c>
      <c r="O13" s="33" t="s">
        <v>298</v>
      </c>
      <c r="P13" s="34">
        <v>0.21041666666666667</v>
      </c>
      <c r="Q13" s="34">
        <v>0.74722222222222223</v>
      </c>
      <c r="R13" s="32">
        <f t="shared" si="0"/>
        <v>0.53680555555555554</v>
      </c>
      <c r="S13" s="33">
        <v>2</v>
      </c>
      <c r="T13" s="17" t="s">
        <v>334</v>
      </c>
      <c r="V13" s="13" t="s">
        <v>11</v>
      </c>
      <c r="W13" s="14">
        <v>2.5</v>
      </c>
      <c r="Z13" s="16">
        <v>8</v>
      </c>
      <c r="AA13" s="33" t="s">
        <v>255</v>
      </c>
      <c r="AB13" s="31">
        <v>0.24444444444444446</v>
      </c>
      <c r="AC13" s="31">
        <v>0.59652777777777777</v>
      </c>
      <c r="AD13" s="32">
        <v>0.3520833333333333</v>
      </c>
      <c r="AE13" s="33">
        <v>3</v>
      </c>
      <c r="AF13" s="17" t="s">
        <v>328</v>
      </c>
      <c r="AH13" s="13" t="s">
        <v>11</v>
      </c>
      <c r="AI13" s="14">
        <v>4</v>
      </c>
      <c r="AL13" s="1">
        <v>8</v>
      </c>
      <c r="AM13" s="2" t="s">
        <v>290</v>
      </c>
      <c r="AN13" s="35">
        <v>0.21180555555555555</v>
      </c>
      <c r="AO13" s="35">
        <v>0.64444444444444449</v>
      </c>
      <c r="AP13" s="30">
        <v>0.43263888888888891</v>
      </c>
      <c r="AQ13" s="2">
        <v>5</v>
      </c>
      <c r="AR13" s="18" t="s">
        <v>54</v>
      </c>
      <c r="AT13" s="13" t="s">
        <v>11</v>
      </c>
      <c r="AU13" s="14">
        <v>5</v>
      </c>
    </row>
    <row r="14" spans="1:47" s="1" customFormat="1" x14ac:dyDescent="0.35">
      <c r="A14"/>
      <c r="B14" s="16">
        <v>9</v>
      </c>
      <c r="C14" s="33" t="s">
        <v>23</v>
      </c>
      <c r="D14" s="34">
        <v>0.40625</v>
      </c>
      <c r="E14" s="34">
        <v>0.69861111111111107</v>
      </c>
      <c r="F14" s="32">
        <f t="shared" si="1"/>
        <v>0.29236111111111107</v>
      </c>
      <c r="G14" s="33">
        <v>2</v>
      </c>
      <c r="H14" s="17" t="s">
        <v>89</v>
      </c>
      <c r="J14" s="13" t="s">
        <v>51</v>
      </c>
      <c r="K14" s="15">
        <f>K12/K13</f>
        <v>0.86666666666666659</v>
      </c>
      <c r="L14" s="28"/>
      <c r="N14" s="16">
        <v>9</v>
      </c>
      <c r="O14" s="33" t="s">
        <v>299</v>
      </c>
      <c r="P14" s="34">
        <v>0.3576388888888889</v>
      </c>
      <c r="Q14" s="34">
        <v>0.68402777777777779</v>
      </c>
      <c r="R14" s="32">
        <f t="shared" si="0"/>
        <v>0.3263888888888889</v>
      </c>
      <c r="S14" s="33">
        <v>2</v>
      </c>
      <c r="T14" s="17" t="s">
        <v>315</v>
      </c>
      <c r="V14" s="13" t="s">
        <v>51</v>
      </c>
      <c r="W14" s="15">
        <f>W12/W13</f>
        <v>0.90434782608695641</v>
      </c>
      <c r="Z14" s="16">
        <v>9</v>
      </c>
      <c r="AA14" s="33" t="s">
        <v>157</v>
      </c>
      <c r="AB14" s="31">
        <v>0.3298611111111111</v>
      </c>
      <c r="AC14" s="31">
        <v>0.66111111111111109</v>
      </c>
      <c r="AD14" s="32">
        <v>0.33124999999999999</v>
      </c>
      <c r="AE14" s="33">
        <v>3</v>
      </c>
      <c r="AF14" s="17" t="s">
        <v>329</v>
      </c>
      <c r="AH14" s="13" t="s">
        <v>51</v>
      </c>
      <c r="AI14" s="15">
        <f>AI12/AI13</f>
        <v>1.0241935483870968</v>
      </c>
      <c r="AL14" s="1">
        <v>9</v>
      </c>
      <c r="AM14" s="2" t="s">
        <v>292</v>
      </c>
      <c r="AN14" s="35">
        <v>0.27430555555555552</v>
      </c>
      <c r="AO14" s="35">
        <v>0.65347222222222223</v>
      </c>
      <c r="AP14" s="30">
        <v>0.37916666666666671</v>
      </c>
      <c r="AQ14" s="2">
        <v>5</v>
      </c>
      <c r="AR14" s="18" t="s">
        <v>54</v>
      </c>
      <c r="AT14" s="13" t="s">
        <v>51</v>
      </c>
      <c r="AU14" s="15">
        <f>AU12/AU13</f>
        <v>0.88333333333333341</v>
      </c>
    </row>
    <row r="15" spans="1:47" x14ac:dyDescent="0.35">
      <c r="B15" s="16">
        <v>10</v>
      </c>
      <c r="C15" s="33" t="s">
        <v>33</v>
      </c>
      <c r="D15" s="34">
        <v>0.32291666666666669</v>
      </c>
      <c r="E15" s="34">
        <v>0.62569444444444444</v>
      </c>
      <c r="F15" s="32">
        <f t="shared" si="1"/>
        <v>0.30277777777777776</v>
      </c>
      <c r="G15" s="33">
        <v>2</v>
      </c>
      <c r="H15" s="17" t="s">
        <v>334</v>
      </c>
      <c r="J15" s="13" t="s">
        <v>52</v>
      </c>
      <c r="K15" s="15">
        <f>K7/K6</f>
        <v>0.75</v>
      </c>
      <c r="N15" s="16">
        <v>10</v>
      </c>
      <c r="O15" s="33" t="s">
        <v>170</v>
      </c>
      <c r="P15" s="34">
        <v>0.3659722222222222</v>
      </c>
      <c r="Q15" s="34">
        <v>0.66041666666666665</v>
      </c>
      <c r="R15" s="32">
        <f t="shared" si="0"/>
        <v>0.29444444444444445</v>
      </c>
      <c r="S15" s="33">
        <v>2</v>
      </c>
      <c r="T15" s="17" t="s">
        <v>316</v>
      </c>
      <c r="V15" s="13" t="s">
        <v>151</v>
      </c>
      <c r="W15" s="15">
        <f>W7/W6</f>
        <v>0.7931034482758621</v>
      </c>
      <c r="Z15" s="16">
        <v>10</v>
      </c>
      <c r="AA15" s="33" t="s">
        <v>249</v>
      </c>
      <c r="AB15" s="31">
        <v>0.32291666666666669</v>
      </c>
      <c r="AC15" s="31">
        <v>0.65277777777777779</v>
      </c>
      <c r="AD15" s="32">
        <v>0.3298611111111111</v>
      </c>
      <c r="AE15" s="33">
        <v>3</v>
      </c>
      <c r="AF15" s="17" t="s">
        <v>119</v>
      </c>
      <c r="AH15" s="13" t="s">
        <v>151</v>
      </c>
      <c r="AI15" s="15">
        <f>AI7/AI6</f>
        <v>0.88571428571428568</v>
      </c>
      <c r="AL15" s="1">
        <v>10</v>
      </c>
      <c r="AM15" s="2" t="s">
        <v>294</v>
      </c>
      <c r="AN15" s="35">
        <v>0.2638888888888889</v>
      </c>
      <c r="AO15" s="35">
        <v>0.68472222222222223</v>
      </c>
      <c r="AP15" s="30">
        <v>0.42083333333333334</v>
      </c>
      <c r="AQ15" s="2">
        <v>5</v>
      </c>
      <c r="AR15" s="18" t="s">
        <v>54</v>
      </c>
      <c r="AT15" s="13" t="s">
        <v>151</v>
      </c>
      <c r="AU15" s="15">
        <f>AU7/AU6</f>
        <v>0.8</v>
      </c>
    </row>
    <row r="16" spans="1:47" x14ac:dyDescent="0.35">
      <c r="B16" s="16">
        <v>11</v>
      </c>
      <c r="C16" s="33" t="s">
        <v>24</v>
      </c>
      <c r="D16" s="34">
        <v>0.31388888888888888</v>
      </c>
      <c r="E16" s="34">
        <v>0.64722222222222225</v>
      </c>
      <c r="F16" s="32">
        <f t="shared" si="1"/>
        <v>0.33333333333333337</v>
      </c>
      <c r="G16" s="33">
        <v>2</v>
      </c>
      <c r="H16" s="17" t="s">
        <v>309</v>
      </c>
      <c r="N16" s="16">
        <v>11</v>
      </c>
      <c r="O16" s="33" t="s">
        <v>300</v>
      </c>
      <c r="P16" s="34">
        <v>0.36041666666666666</v>
      </c>
      <c r="Q16" s="34">
        <v>0.65763888888888888</v>
      </c>
      <c r="R16" s="32">
        <f t="shared" si="0"/>
        <v>0.29722222222222222</v>
      </c>
      <c r="S16" s="33">
        <v>2</v>
      </c>
      <c r="T16" s="17" t="s">
        <v>317</v>
      </c>
      <c r="V16" s="21"/>
      <c r="W16" s="22"/>
      <c r="Z16" s="1">
        <v>11</v>
      </c>
      <c r="AA16" s="2" t="s">
        <v>276</v>
      </c>
      <c r="AB16" s="29">
        <v>0.21527777777777779</v>
      </c>
      <c r="AC16" s="29">
        <v>0.65972222222222221</v>
      </c>
      <c r="AD16" s="30">
        <v>0.44444444444444442</v>
      </c>
      <c r="AE16" s="2">
        <v>4</v>
      </c>
      <c r="AF16" s="18" t="s">
        <v>54</v>
      </c>
      <c r="AL16" s="1">
        <v>11</v>
      </c>
      <c r="AM16" s="2" t="s">
        <v>288</v>
      </c>
      <c r="AN16" s="35">
        <v>0.22708333333333333</v>
      </c>
      <c r="AO16" s="35">
        <v>0.71180555555555547</v>
      </c>
      <c r="AP16" s="30">
        <v>0.48472222222222217</v>
      </c>
      <c r="AQ16" s="2">
        <v>6</v>
      </c>
      <c r="AR16" s="18" t="s">
        <v>54</v>
      </c>
    </row>
    <row r="17" spans="2:46" x14ac:dyDescent="0.35">
      <c r="B17" s="16">
        <v>12</v>
      </c>
      <c r="C17" s="33" t="s">
        <v>29</v>
      </c>
      <c r="D17" s="34">
        <v>0.36874999999999997</v>
      </c>
      <c r="E17" s="34">
        <v>0.70208333333333339</v>
      </c>
      <c r="F17" s="32">
        <f t="shared" si="1"/>
        <v>0.33333333333333343</v>
      </c>
      <c r="G17" s="33">
        <v>2</v>
      </c>
      <c r="H17" s="17" t="s">
        <v>310</v>
      </c>
      <c r="N17" s="16">
        <v>12</v>
      </c>
      <c r="O17" s="33" t="s">
        <v>174</v>
      </c>
      <c r="P17" s="34">
        <v>0.3263888888888889</v>
      </c>
      <c r="Q17" s="34">
        <v>0.65833333333333333</v>
      </c>
      <c r="R17" s="32">
        <f t="shared" si="0"/>
        <v>0.33194444444444443</v>
      </c>
      <c r="S17" s="33">
        <v>2</v>
      </c>
      <c r="T17" s="17" t="s">
        <v>318</v>
      </c>
      <c r="V17" s="21"/>
      <c r="W17" s="22"/>
      <c r="Z17" s="1">
        <v>12</v>
      </c>
      <c r="AA17" s="2" t="s">
        <v>203</v>
      </c>
      <c r="AB17" s="29">
        <v>0.30833333333333335</v>
      </c>
      <c r="AC17" s="29">
        <v>0.70486111111111116</v>
      </c>
      <c r="AD17" s="30">
        <v>0.39652777777777781</v>
      </c>
      <c r="AE17" s="2">
        <v>4</v>
      </c>
      <c r="AF17" s="18" t="s">
        <v>54</v>
      </c>
      <c r="AL17" s="1">
        <v>12</v>
      </c>
      <c r="AM17" s="2" t="s">
        <v>293</v>
      </c>
      <c r="AN17" s="35">
        <v>0.27569444444444446</v>
      </c>
      <c r="AO17" s="35">
        <v>0.70972222222222225</v>
      </c>
      <c r="AP17" s="30">
        <v>0.43402777777777779</v>
      </c>
      <c r="AQ17" s="2">
        <v>6</v>
      </c>
      <c r="AR17" s="18" t="s">
        <v>54</v>
      </c>
      <c r="AT17" s="20"/>
    </row>
    <row r="18" spans="2:46" x14ac:dyDescent="0.35">
      <c r="B18" s="16">
        <v>13</v>
      </c>
      <c r="C18" s="33" t="s">
        <v>31</v>
      </c>
      <c r="D18" s="34">
        <v>0.25694444444444448</v>
      </c>
      <c r="E18" s="34">
        <v>0.72569444444444453</v>
      </c>
      <c r="F18" s="32">
        <f t="shared" si="1"/>
        <v>0.46875000000000006</v>
      </c>
      <c r="G18" s="33">
        <v>2</v>
      </c>
      <c r="H18" s="17" t="s">
        <v>311</v>
      </c>
      <c r="N18" s="16">
        <v>13</v>
      </c>
      <c r="O18" s="33" t="s">
        <v>165</v>
      </c>
      <c r="P18" s="34">
        <v>0.22361111111111109</v>
      </c>
      <c r="Q18" s="34">
        <v>0.74583333333333324</v>
      </c>
      <c r="R18" s="32">
        <f t="shared" si="0"/>
        <v>0.52222222222222214</v>
      </c>
      <c r="S18" s="33">
        <v>2</v>
      </c>
      <c r="T18" s="17" t="s">
        <v>319</v>
      </c>
      <c r="V18" s="21"/>
      <c r="W18" s="22"/>
      <c r="Z18" s="1">
        <v>13</v>
      </c>
      <c r="AA18" s="2" t="s">
        <v>280</v>
      </c>
      <c r="AB18" s="29">
        <v>0.26597222222222222</v>
      </c>
      <c r="AC18" s="29">
        <v>0.72986111111111107</v>
      </c>
      <c r="AD18" s="30">
        <v>0.46388888888888885</v>
      </c>
      <c r="AE18" s="2">
        <v>4</v>
      </c>
      <c r="AF18" s="18" t="s">
        <v>54</v>
      </c>
      <c r="AH18" s="20"/>
      <c r="AL18" s="1"/>
      <c r="AM18" s="1"/>
      <c r="AN18" s="1"/>
      <c r="AO18" s="1"/>
      <c r="AP18" s="1"/>
      <c r="AQ18" s="1"/>
      <c r="AR18" s="18"/>
    </row>
    <row r="19" spans="2:46" x14ac:dyDescent="0.35">
      <c r="B19" s="1">
        <v>14</v>
      </c>
      <c r="C19" s="2" t="s">
        <v>15</v>
      </c>
      <c r="D19" s="35">
        <v>0.20208333333333331</v>
      </c>
      <c r="E19" s="35">
        <v>0.74305555555555547</v>
      </c>
      <c r="F19" s="30">
        <f t="shared" si="1"/>
        <v>0.54097222222222219</v>
      </c>
      <c r="G19" s="2">
        <v>3</v>
      </c>
      <c r="H19" s="18" t="s">
        <v>54</v>
      </c>
      <c r="N19" s="16">
        <v>14</v>
      </c>
      <c r="O19" s="33" t="s">
        <v>163</v>
      </c>
      <c r="P19" s="34">
        <v>0.24166666666666667</v>
      </c>
      <c r="Q19" s="34">
        <v>0.66111111111111109</v>
      </c>
      <c r="R19" s="32">
        <f t="shared" si="0"/>
        <v>0.4194444444444444</v>
      </c>
      <c r="S19" s="33">
        <v>2</v>
      </c>
      <c r="T19" s="17" t="s">
        <v>320</v>
      </c>
      <c r="V19" s="21"/>
      <c r="W19" s="22"/>
      <c r="Z19" s="1">
        <v>14</v>
      </c>
      <c r="AA19" s="2" t="s">
        <v>209</v>
      </c>
      <c r="AB19" s="29">
        <v>0.25833333333333336</v>
      </c>
      <c r="AC19" s="29">
        <v>0.69097222222222221</v>
      </c>
      <c r="AD19" s="30">
        <v>0.43263888888888885</v>
      </c>
      <c r="AE19" s="2">
        <v>4</v>
      </c>
      <c r="AF19" s="18" t="s">
        <v>54</v>
      </c>
    </row>
    <row r="20" spans="2:46" x14ac:dyDescent="0.35">
      <c r="B20" s="1">
        <v>15</v>
      </c>
      <c r="C20" s="2" t="s">
        <v>19</v>
      </c>
      <c r="D20" s="35">
        <v>0.21319444444444444</v>
      </c>
      <c r="E20" s="35">
        <v>0.67013888888888884</v>
      </c>
      <c r="F20" s="30">
        <f t="shared" si="1"/>
        <v>0.45694444444444438</v>
      </c>
      <c r="G20" s="2">
        <v>3</v>
      </c>
      <c r="H20" s="18" t="s">
        <v>54</v>
      </c>
      <c r="N20" s="16">
        <v>15</v>
      </c>
      <c r="O20" s="33" t="s">
        <v>302</v>
      </c>
      <c r="P20" s="34">
        <v>0.25347222222222221</v>
      </c>
      <c r="Q20" s="34">
        <v>0.65833333333333333</v>
      </c>
      <c r="R20" s="32">
        <f t="shared" si="0"/>
        <v>0.40486111111111112</v>
      </c>
      <c r="S20" s="33">
        <v>2</v>
      </c>
      <c r="T20" s="17" t="s">
        <v>334</v>
      </c>
      <c r="V20" s="21"/>
      <c r="W20" s="22"/>
      <c r="Z20" s="1">
        <v>15</v>
      </c>
      <c r="AA20" s="2" t="s">
        <v>210</v>
      </c>
      <c r="AB20" s="29">
        <v>0.21319444444444444</v>
      </c>
      <c r="AC20" s="29">
        <v>0.6479166666666667</v>
      </c>
      <c r="AD20" s="30">
        <v>0.43472222222222223</v>
      </c>
      <c r="AE20" s="2">
        <v>4</v>
      </c>
      <c r="AF20" s="18" t="s">
        <v>54</v>
      </c>
    </row>
    <row r="21" spans="2:46" x14ac:dyDescent="0.35">
      <c r="B21" s="1">
        <v>16</v>
      </c>
      <c r="C21" s="2" t="s">
        <v>22</v>
      </c>
      <c r="D21" s="35">
        <v>0.27083333333333331</v>
      </c>
      <c r="E21" s="35">
        <v>0.70624999999999993</v>
      </c>
      <c r="F21" s="30">
        <f t="shared" si="1"/>
        <v>0.43541666666666662</v>
      </c>
      <c r="G21" s="2">
        <v>3</v>
      </c>
      <c r="H21" s="18" t="s">
        <v>54</v>
      </c>
      <c r="N21" s="1">
        <v>16</v>
      </c>
      <c r="O21" s="2" t="s">
        <v>169</v>
      </c>
      <c r="P21" s="35">
        <v>0.30833333333333335</v>
      </c>
      <c r="Q21" s="35">
        <v>0.63402777777777775</v>
      </c>
      <c r="R21" s="30">
        <f t="shared" si="0"/>
        <v>0.3256944444444444</v>
      </c>
      <c r="S21" s="2">
        <v>3</v>
      </c>
      <c r="T21" s="18" t="s">
        <v>54</v>
      </c>
      <c r="V21" s="21"/>
      <c r="W21" s="22"/>
      <c r="Z21" s="1">
        <v>16</v>
      </c>
      <c r="AA21" s="2" t="s">
        <v>212</v>
      </c>
      <c r="AB21" s="29">
        <v>0.27777777777777779</v>
      </c>
      <c r="AC21" s="29">
        <v>0.69791666666666663</v>
      </c>
      <c r="AD21" s="30">
        <v>0.4201388888888889</v>
      </c>
      <c r="AE21" s="2">
        <v>4</v>
      </c>
      <c r="AF21" s="18" t="s">
        <v>54</v>
      </c>
    </row>
    <row r="22" spans="2:46" x14ac:dyDescent="0.35">
      <c r="B22" s="1">
        <v>17</v>
      </c>
      <c r="C22" s="2" t="s">
        <v>25</v>
      </c>
      <c r="D22" s="35">
        <v>0.21249999999999999</v>
      </c>
      <c r="E22" s="35">
        <v>0.74305555555555547</v>
      </c>
      <c r="F22" s="30">
        <f t="shared" si="1"/>
        <v>0.53055555555555545</v>
      </c>
      <c r="G22" s="2">
        <v>3</v>
      </c>
      <c r="H22" s="18" t="s">
        <v>54</v>
      </c>
      <c r="N22" s="1">
        <v>17</v>
      </c>
      <c r="O22" s="2" t="s">
        <v>171</v>
      </c>
      <c r="P22" s="35">
        <v>0.34722222222222227</v>
      </c>
      <c r="Q22" s="35">
        <v>0.69444444444444453</v>
      </c>
      <c r="R22" s="30">
        <f t="shared" si="0"/>
        <v>0.34722222222222227</v>
      </c>
      <c r="S22" s="2">
        <v>3</v>
      </c>
      <c r="T22" s="18" t="s">
        <v>54</v>
      </c>
      <c r="V22" s="21"/>
      <c r="W22" s="22"/>
      <c r="Z22" s="1">
        <v>17</v>
      </c>
      <c r="AA22" s="2" t="s">
        <v>251</v>
      </c>
      <c r="AB22" s="29">
        <v>0.24097222222222223</v>
      </c>
      <c r="AC22" s="29">
        <v>0.68333333333333324</v>
      </c>
      <c r="AD22" s="30">
        <v>0.44236111111111115</v>
      </c>
      <c r="AE22" s="2">
        <v>4</v>
      </c>
      <c r="AF22" s="18" t="s">
        <v>54</v>
      </c>
    </row>
    <row r="23" spans="2:46" x14ac:dyDescent="0.35">
      <c r="B23" s="1">
        <v>18</v>
      </c>
      <c r="C23" s="2" t="s">
        <v>30</v>
      </c>
      <c r="D23" s="35">
        <v>0.26250000000000001</v>
      </c>
      <c r="E23" s="35">
        <v>0.72222222222222221</v>
      </c>
      <c r="F23" s="30">
        <f t="shared" si="1"/>
        <v>0.4597222222222222</v>
      </c>
      <c r="G23" s="2">
        <v>3</v>
      </c>
      <c r="H23" s="18" t="s">
        <v>54</v>
      </c>
      <c r="N23" s="1">
        <v>18</v>
      </c>
      <c r="O23" s="2" t="s">
        <v>164</v>
      </c>
      <c r="P23" s="35">
        <v>0.35555555555555557</v>
      </c>
      <c r="Q23" s="35">
        <v>0.69027777777777777</v>
      </c>
      <c r="R23" s="30">
        <f t="shared" si="0"/>
        <v>0.3347222222222222</v>
      </c>
      <c r="S23" s="2">
        <v>3</v>
      </c>
      <c r="T23" s="18" t="s">
        <v>54</v>
      </c>
      <c r="Z23" s="1">
        <v>18</v>
      </c>
      <c r="AA23" s="2" t="s">
        <v>281</v>
      </c>
      <c r="AB23" s="29">
        <v>0.22708333333333333</v>
      </c>
      <c r="AC23" s="29">
        <v>0.73611111111111116</v>
      </c>
      <c r="AD23" s="30">
        <v>0.50902777777777775</v>
      </c>
      <c r="AE23" s="2">
        <v>4</v>
      </c>
      <c r="AF23" s="18" t="s">
        <v>54</v>
      </c>
    </row>
    <row r="24" spans="2:46" x14ac:dyDescent="0.35">
      <c r="N24" s="1">
        <v>19</v>
      </c>
      <c r="O24" s="2" t="s">
        <v>172</v>
      </c>
      <c r="P24" s="35">
        <v>0.35000000000000003</v>
      </c>
      <c r="Q24" s="35">
        <v>0.7055555555555556</v>
      </c>
      <c r="R24" s="30">
        <f t="shared" si="0"/>
        <v>0.35555555555555557</v>
      </c>
      <c r="S24" s="2">
        <v>3</v>
      </c>
      <c r="T24" s="18" t="s">
        <v>54</v>
      </c>
      <c r="Z24" s="1">
        <v>19</v>
      </c>
      <c r="AA24" s="2" t="s">
        <v>282</v>
      </c>
      <c r="AB24" s="29">
        <v>0.3</v>
      </c>
      <c r="AC24" s="29">
        <v>0.70972222222222225</v>
      </c>
      <c r="AD24" s="30">
        <v>0.40972222222222227</v>
      </c>
      <c r="AE24" s="2">
        <v>4</v>
      </c>
      <c r="AF24" s="18" t="s">
        <v>54</v>
      </c>
    </row>
    <row r="25" spans="2:46" x14ac:dyDescent="0.35">
      <c r="N25" s="1">
        <v>20</v>
      </c>
      <c r="O25" s="2" t="s">
        <v>176</v>
      </c>
      <c r="P25" s="35">
        <v>0.20902777777777778</v>
      </c>
      <c r="Q25" s="35">
        <v>0.7368055555555556</v>
      </c>
      <c r="R25" s="30">
        <f t="shared" si="0"/>
        <v>0.52777777777777779</v>
      </c>
      <c r="S25" s="2">
        <v>3</v>
      </c>
      <c r="T25" s="18" t="s">
        <v>54</v>
      </c>
      <c r="Z25" s="1">
        <v>20</v>
      </c>
      <c r="AA25" s="2" t="s">
        <v>199</v>
      </c>
      <c r="AB25" s="29">
        <v>0.25069444444444444</v>
      </c>
      <c r="AC25" s="29">
        <v>0.69652777777777775</v>
      </c>
      <c r="AD25" s="30">
        <v>0.4458333333333333</v>
      </c>
      <c r="AE25" s="2">
        <v>5</v>
      </c>
      <c r="AF25" s="18" t="s">
        <v>54</v>
      </c>
    </row>
    <row r="26" spans="2:46" x14ac:dyDescent="0.35">
      <c r="N26" s="1">
        <v>21</v>
      </c>
      <c r="O26" s="2" t="s">
        <v>177</v>
      </c>
      <c r="P26" s="35">
        <v>0.34722222222222227</v>
      </c>
      <c r="Q26" s="35">
        <v>0.68402777777777779</v>
      </c>
      <c r="R26" s="30">
        <f t="shared" si="0"/>
        <v>0.33680555555555552</v>
      </c>
      <c r="S26" s="2">
        <v>3</v>
      </c>
      <c r="T26" s="18" t="s">
        <v>54</v>
      </c>
      <c r="Z26" s="1">
        <v>21</v>
      </c>
      <c r="AA26" s="2" t="s">
        <v>202</v>
      </c>
      <c r="AB26" s="29">
        <v>0.29236111111111113</v>
      </c>
      <c r="AC26" s="29">
        <v>0.69097222222222221</v>
      </c>
      <c r="AD26" s="30">
        <v>0.39861111111111108</v>
      </c>
      <c r="AE26" s="2">
        <v>5</v>
      </c>
      <c r="AF26" s="18" t="s">
        <v>54</v>
      </c>
    </row>
    <row r="27" spans="2:46" x14ac:dyDescent="0.35">
      <c r="N27" s="1">
        <v>22</v>
      </c>
      <c r="O27" s="2" t="s">
        <v>301</v>
      </c>
      <c r="P27" s="35">
        <v>0.23402777777777781</v>
      </c>
      <c r="Q27" s="35">
        <v>0.74652777777777779</v>
      </c>
      <c r="R27" s="30">
        <f t="shared" si="0"/>
        <v>0.51249999999999996</v>
      </c>
      <c r="S27" s="2">
        <v>3</v>
      </c>
      <c r="T27" s="18" t="s">
        <v>54</v>
      </c>
      <c r="Z27" s="1">
        <v>22</v>
      </c>
      <c r="AA27" s="2" t="s">
        <v>146</v>
      </c>
      <c r="AB27" s="29">
        <v>0.20138888888888887</v>
      </c>
      <c r="AC27" s="29">
        <v>0.68888888888888899</v>
      </c>
      <c r="AD27" s="30">
        <v>0.48749999999999999</v>
      </c>
      <c r="AE27" s="2">
        <v>5</v>
      </c>
      <c r="AF27" s="18" t="s">
        <v>54</v>
      </c>
    </row>
    <row r="28" spans="2:46" x14ac:dyDescent="0.35">
      <c r="N28" s="1">
        <v>23</v>
      </c>
      <c r="O28" s="2" t="s">
        <v>178</v>
      </c>
      <c r="P28" s="35">
        <v>0.27916666666666667</v>
      </c>
      <c r="Q28" s="35">
        <v>0.70486111111111116</v>
      </c>
      <c r="R28" s="30">
        <f t="shared" si="0"/>
        <v>0.42569444444444449</v>
      </c>
      <c r="S28" s="2">
        <v>5</v>
      </c>
      <c r="T28" s="18" t="s">
        <v>54</v>
      </c>
      <c r="Z28" s="1">
        <v>23</v>
      </c>
      <c r="AA28" s="2" t="s">
        <v>200</v>
      </c>
      <c r="AB28" s="29">
        <v>0.26458333333333334</v>
      </c>
      <c r="AC28" s="29">
        <v>0.67708333333333337</v>
      </c>
      <c r="AD28" s="30">
        <v>0.41250000000000003</v>
      </c>
      <c r="AE28" s="2">
        <v>5</v>
      </c>
      <c r="AF28" s="18" t="s">
        <v>54</v>
      </c>
    </row>
    <row r="29" spans="2:46" x14ac:dyDescent="0.35">
      <c r="Z29" s="1">
        <v>24</v>
      </c>
      <c r="AA29" s="2" t="s">
        <v>147</v>
      </c>
      <c r="AB29" s="29">
        <v>0.21527777777777779</v>
      </c>
      <c r="AC29" s="29">
        <v>0.63888888888888895</v>
      </c>
      <c r="AD29" s="30">
        <v>0.4236111111111111</v>
      </c>
      <c r="AE29" s="2">
        <v>5</v>
      </c>
      <c r="AF29" s="18" t="s">
        <v>54</v>
      </c>
    </row>
    <row r="30" spans="2:46" x14ac:dyDescent="0.35">
      <c r="Z30" s="1">
        <v>25</v>
      </c>
      <c r="AA30" s="2" t="s">
        <v>152</v>
      </c>
      <c r="AB30" s="29">
        <v>0.20208333333333331</v>
      </c>
      <c r="AC30" s="29">
        <v>0.6791666666666667</v>
      </c>
      <c r="AD30" s="30">
        <v>0.4770833333333333</v>
      </c>
      <c r="AE30" s="2">
        <v>5</v>
      </c>
      <c r="AF30" s="18" t="s">
        <v>54</v>
      </c>
    </row>
    <row r="31" spans="2:46" x14ac:dyDescent="0.35">
      <c r="Z31" s="1">
        <v>26</v>
      </c>
      <c r="AA31" s="2" t="s">
        <v>149</v>
      </c>
      <c r="AB31" s="29">
        <v>0.24444444444444446</v>
      </c>
      <c r="AC31" s="29">
        <v>0.68541666666666667</v>
      </c>
      <c r="AD31" s="30">
        <v>0.44097222222222227</v>
      </c>
      <c r="AE31" s="2">
        <v>5</v>
      </c>
      <c r="AF31" s="18" t="s">
        <v>54</v>
      </c>
    </row>
    <row r="32" spans="2:46" x14ac:dyDescent="0.35">
      <c r="Z32" s="1">
        <v>27</v>
      </c>
      <c r="AA32" s="2" t="s">
        <v>245</v>
      </c>
      <c r="AB32" s="29">
        <v>0.28958333333333336</v>
      </c>
      <c r="AC32" s="29">
        <v>0.71180555555555547</v>
      </c>
      <c r="AD32" s="30">
        <v>0.42222222222222222</v>
      </c>
      <c r="AE32" s="2">
        <v>5</v>
      </c>
      <c r="AF32" s="18" t="s">
        <v>54</v>
      </c>
    </row>
    <row r="33" spans="1:32" x14ac:dyDescent="0.35">
      <c r="Z33" s="1">
        <v>28</v>
      </c>
      <c r="AA33" s="2" t="s">
        <v>250</v>
      </c>
      <c r="AB33" s="29">
        <v>0.22013888888888888</v>
      </c>
      <c r="AC33" s="29">
        <v>0.73263888888888884</v>
      </c>
      <c r="AD33" s="30">
        <v>0.51250000000000007</v>
      </c>
      <c r="AE33" s="2">
        <v>5</v>
      </c>
      <c r="AF33" s="18" t="s">
        <v>54</v>
      </c>
    </row>
    <row r="34" spans="1:32" x14ac:dyDescent="0.35">
      <c r="Z34" s="1">
        <v>29</v>
      </c>
      <c r="AA34" s="2" t="s">
        <v>208</v>
      </c>
      <c r="AB34" s="29">
        <v>0.24097222222222223</v>
      </c>
      <c r="AC34" s="29">
        <v>0.71319444444444446</v>
      </c>
      <c r="AD34" s="30">
        <v>0.47222222222222227</v>
      </c>
      <c r="AE34" s="2">
        <v>5</v>
      </c>
      <c r="AF34" s="18" t="s">
        <v>54</v>
      </c>
    </row>
    <row r="35" spans="1:32" x14ac:dyDescent="0.35">
      <c r="Z35" s="1">
        <v>30</v>
      </c>
      <c r="AA35" s="2" t="s">
        <v>156</v>
      </c>
      <c r="AB35" s="29">
        <v>0.21319444444444444</v>
      </c>
      <c r="AC35" s="29">
        <v>0.6972222222222223</v>
      </c>
      <c r="AD35" s="30">
        <v>0.48402777777777778</v>
      </c>
      <c r="AE35" s="2">
        <v>6</v>
      </c>
      <c r="AF35" s="18" t="s">
        <v>54</v>
      </c>
    </row>
    <row r="36" spans="1:32" x14ac:dyDescent="0.35">
      <c r="Z36" s="1">
        <v>31</v>
      </c>
      <c r="AA36" s="2" t="s">
        <v>148</v>
      </c>
      <c r="AB36" s="29">
        <v>0.24652777777777779</v>
      </c>
      <c r="AC36" s="29">
        <v>0.73055555555555562</v>
      </c>
      <c r="AD36" s="30">
        <v>0.48402777777777778</v>
      </c>
      <c r="AE36" s="2">
        <v>6</v>
      </c>
      <c r="AF36" s="18" t="s">
        <v>54</v>
      </c>
    </row>
    <row r="40" spans="1:32" ht="21" x14ac:dyDescent="0.5">
      <c r="A40" s="25"/>
    </row>
  </sheetData>
  <mergeCells count="16">
    <mergeCell ref="AL1:AU1"/>
    <mergeCell ref="V3:W4"/>
    <mergeCell ref="AL3:AR3"/>
    <mergeCell ref="AT3:AU4"/>
    <mergeCell ref="N3:T3"/>
    <mergeCell ref="AL4:AR4"/>
    <mergeCell ref="N4:T4"/>
    <mergeCell ref="N1:W1"/>
    <mergeCell ref="B1:K1"/>
    <mergeCell ref="Z1:AI1"/>
    <mergeCell ref="B3:H3"/>
    <mergeCell ref="J3:K4"/>
    <mergeCell ref="Z3:AF3"/>
    <mergeCell ref="AH3:AI4"/>
    <mergeCell ref="B4:H4"/>
    <mergeCell ref="Z4:AF4"/>
  </mergeCells>
  <pageMargins left="0.12" right="0.12" top="0.75" bottom="0.75" header="0.3" footer="0.3"/>
  <pageSetup paperSize="5" scale="92" fitToWidth="0" orientation="landscape" horizontalDpi="360" verticalDpi="360" r:id="rId1"/>
  <colBreaks count="2" manualBreakCount="2">
    <brk id="23" max="36" man="1"/>
    <brk id="36" max="36" man="1"/>
  </colBreaks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D7AD-77DA-4909-8619-43A8233A0389}">
  <sheetPr codeName="Sheet13">
    <tabColor theme="7" tint="0.39997558519241921"/>
  </sheetPr>
  <dimension ref="A1:AU40"/>
  <sheetViews>
    <sheetView showGridLines="0" view="pageBreakPreview" topLeftCell="AI1" zoomScale="70" zoomScaleNormal="55" zoomScaleSheetLayoutView="70" workbookViewId="0">
      <selection activeCell="AU9" sqref="AU9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8.1796875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3" width="2" customWidth="1"/>
    <col min="14" max="14" width="6.81640625" customWidth="1"/>
    <col min="15" max="15" width="11.7265625" bestFit="1" customWidth="1"/>
    <col min="16" max="17" width="11.7265625" customWidth="1"/>
    <col min="18" max="18" width="16.453125" customWidth="1"/>
    <col min="19" max="19" width="11.7265625" customWidth="1"/>
    <col min="20" max="20" width="74.26953125" customWidth="1"/>
    <col min="21" max="21" width="1.453125" customWidth="1"/>
    <col min="22" max="22" width="26.36328125" bestFit="1" customWidth="1"/>
    <col min="23" max="23" width="16.453125" customWidth="1"/>
    <col min="24" max="24" width="1.81640625" customWidth="1"/>
    <col min="25" max="25" width="2" customWidth="1"/>
    <col min="26" max="26" width="5.7265625" customWidth="1"/>
    <col min="27" max="29" width="10.81640625" customWidth="1"/>
    <col min="30" max="30" width="16.453125" customWidth="1"/>
    <col min="31" max="31" width="11.7265625" customWidth="1"/>
    <col min="32" max="32" width="76.54296875" customWidth="1"/>
    <col min="33" max="33" width="1.81640625" customWidth="1"/>
    <col min="34" max="34" width="26.36328125" customWidth="1"/>
    <col min="35" max="35" width="14" customWidth="1"/>
    <col min="36" max="36" width="1.81640625" customWidth="1"/>
    <col min="37" max="37" width="2" customWidth="1"/>
    <col min="38" max="38" width="7.36328125" customWidth="1"/>
    <col min="39" max="39" width="14.453125" bestFit="1" customWidth="1"/>
    <col min="40" max="42" width="14.453125" customWidth="1"/>
    <col min="43" max="43" width="12.81640625" customWidth="1"/>
    <col min="44" max="44" width="68.7265625" customWidth="1"/>
    <col min="45" max="45" width="2.54296875" customWidth="1"/>
    <col min="46" max="46" width="27.1796875" customWidth="1"/>
    <col min="47" max="47" width="10" customWidth="1"/>
    <col min="48" max="48" width="17.90625" customWidth="1"/>
    <col min="49" max="49" width="15.81640625" customWidth="1"/>
  </cols>
  <sheetData>
    <row r="1" spans="1:47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N1" s="69" t="s">
        <v>195</v>
      </c>
      <c r="O1" s="69"/>
      <c r="P1" s="69"/>
      <c r="Q1" s="69"/>
      <c r="R1" s="69"/>
      <c r="S1" s="69"/>
      <c r="T1" s="69"/>
      <c r="U1" s="69"/>
      <c r="V1" s="69"/>
      <c r="W1" s="69"/>
      <c r="Z1" s="69" t="s">
        <v>158</v>
      </c>
      <c r="AA1" s="69"/>
      <c r="AB1" s="69"/>
      <c r="AC1" s="69"/>
      <c r="AD1" s="69"/>
      <c r="AE1" s="69"/>
      <c r="AF1" s="69"/>
      <c r="AG1" s="69"/>
      <c r="AH1" s="69"/>
      <c r="AI1" s="69"/>
      <c r="AL1" s="69" t="s">
        <v>196</v>
      </c>
      <c r="AM1" s="69"/>
      <c r="AN1" s="69"/>
      <c r="AO1" s="69"/>
      <c r="AP1" s="69"/>
      <c r="AQ1" s="69"/>
      <c r="AR1" s="69"/>
      <c r="AS1" s="69"/>
      <c r="AT1" s="69"/>
      <c r="AU1" s="69"/>
    </row>
    <row r="3" spans="1:47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N3" s="70" t="s">
        <v>303</v>
      </c>
      <c r="O3" s="70"/>
      <c r="P3" s="70"/>
      <c r="Q3" s="70"/>
      <c r="R3" s="70"/>
      <c r="S3" s="70"/>
      <c r="T3" s="70"/>
      <c r="V3" s="65" t="s">
        <v>160</v>
      </c>
      <c r="W3" s="65"/>
      <c r="Z3" s="67" t="s">
        <v>143</v>
      </c>
      <c r="AA3" s="67"/>
      <c r="AB3" s="67"/>
      <c r="AC3" s="67"/>
      <c r="AD3" s="67"/>
      <c r="AE3" s="67"/>
      <c r="AF3" s="67"/>
      <c r="AH3" s="65" t="s">
        <v>144</v>
      </c>
      <c r="AI3" s="65"/>
      <c r="AL3" s="67" t="s">
        <v>179</v>
      </c>
      <c r="AM3" s="67"/>
      <c r="AN3" s="67"/>
      <c r="AO3" s="67"/>
      <c r="AP3" s="67"/>
      <c r="AQ3" s="67"/>
      <c r="AR3" s="67"/>
      <c r="AT3" s="65" t="s">
        <v>180</v>
      </c>
      <c r="AU3" s="65"/>
    </row>
    <row r="4" spans="1:47" x14ac:dyDescent="0.35">
      <c r="B4" s="68">
        <v>45375</v>
      </c>
      <c r="C4" s="68"/>
      <c r="D4" s="68"/>
      <c r="E4" s="68"/>
      <c r="F4" s="68"/>
      <c r="G4" s="68"/>
      <c r="H4" s="68"/>
      <c r="J4" s="66"/>
      <c r="K4" s="66"/>
      <c r="N4" s="68">
        <v>45375</v>
      </c>
      <c r="O4" s="68"/>
      <c r="P4" s="68"/>
      <c r="Q4" s="68"/>
      <c r="R4" s="68"/>
      <c r="S4" s="68"/>
      <c r="T4" s="68"/>
      <c r="V4" s="66"/>
      <c r="W4" s="66"/>
      <c r="Z4" s="68">
        <v>45375</v>
      </c>
      <c r="AA4" s="68"/>
      <c r="AB4" s="68"/>
      <c r="AC4" s="68"/>
      <c r="AD4" s="68"/>
      <c r="AE4" s="68"/>
      <c r="AF4" s="68"/>
      <c r="AH4" s="66"/>
      <c r="AI4" s="66"/>
      <c r="AL4" s="68">
        <v>45375</v>
      </c>
      <c r="AM4" s="68"/>
      <c r="AN4" s="68"/>
      <c r="AO4" s="68"/>
      <c r="AP4" s="68"/>
      <c r="AQ4" s="68"/>
      <c r="AR4" s="68"/>
      <c r="AT4" s="66"/>
      <c r="AU4" s="66"/>
    </row>
    <row r="5" spans="1:47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N5" s="2" t="s">
        <v>0</v>
      </c>
      <c r="O5" s="2" t="s">
        <v>1</v>
      </c>
      <c r="P5" s="36" t="s">
        <v>336</v>
      </c>
      <c r="Q5" s="36" t="s">
        <v>337</v>
      </c>
      <c r="R5" s="36" t="s">
        <v>338</v>
      </c>
      <c r="S5" s="2" t="s">
        <v>2</v>
      </c>
      <c r="T5" s="2" t="s">
        <v>3</v>
      </c>
      <c r="V5" s="4" t="s">
        <v>161</v>
      </c>
      <c r="W5" s="6">
        <f>SUM(W7:W10)</f>
        <v>29</v>
      </c>
      <c r="Z5" s="2" t="s">
        <v>0</v>
      </c>
      <c r="AA5" s="2" t="s">
        <v>1</v>
      </c>
      <c r="AB5" s="2" t="s">
        <v>336</v>
      </c>
      <c r="AC5" s="2" t="s">
        <v>337</v>
      </c>
      <c r="AD5" s="2" t="s">
        <v>338</v>
      </c>
      <c r="AE5" s="2" t="s">
        <v>2</v>
      </c>
      <c r="AF5" s="2" t="s">
        <v>3</v>
      </c>
      <c r="AH5" s="4" t="s">
        <v>48</v>
      </c>
      <c r="AI5" s="6">
        <f>SUM(AI7:AI10)</f>
        <v>55</v>
      </c>
      <c r="AL5" s="2" t="s">
        <v>0</v>
      </c>
      <c r="AM5" s="2" t="s">
        <v>1</v>
      </c>
      <c r="AN5" s="2" t="s">
        <v>336</v>
      </c>
      <c r="AO5" s="2" t="s">
        <v>337</v>
      </c>
      <c r="AP5" s="2" t="s">
        <v>338</v>
      </c>
      <c r="AQ5" s="2" t="s">
        <v>2</v>
      </c>
      <c r="AR5" s="2" t="s">
        <v>3</v>
      </c>
      <c r="AT5" s="4" t="s">
        <v>48</v>
      </c>
      <c r="AU5" s="6">
        <f>SUM(AU7:AU10)</f>
        <v>15</v>
      </c>
    </row>
    <row r="6" spans="1:47" s="1" customFormat="1" x14ac:dyDescent="0.35">
      <c r="A6"/>
      <c r="B6" s="16">
        <v>1</v>
      </c>
      <c r="C6" s="33" t="s">
        <v>72</v>
      </c>
      <c r="D6" s="34">
        <v>0.57500000000000007</v>
      </c>
      <c r="E6" s="34">
        <v>0.70486111111111116</v>
      </c>
      <c r="F6" s="32">
        <f>Table1324567891011132125[[#This Row],[JAM MASUK]]-Table1324567891011132125[[#This Row],[JAM KELUAR]]</f>
        <v>0.12986111111111109</v>
      </c>
      <c r="G6" s="33">
        <v>1</v>
      </c>
      <c r="H6" s="17" t="s">
        <v>359</v>
      </c>
      <c r="J6" s="5" t="s">
        <v>10</v>
      </c>
      <c r="K6" s="7">
        <v>24</v>
      </c>
      <c r="L6" s="28"/>
      <c r="N6" s="16">
        <v>1</v>
      </c>
      <c r="O6" s="33" t="s">
        <v>168</v>
      </c>
      <c r="P6" s="34">
        <v>0.23958333333333334</v>
      </c>
      <c r="Q6" s="34" t="s">
        <v>343</v>
      </c>
      <c r="R6" s="32"/>
      <c r="S6" s="33">
        <v>0</v>
      </c>
      <c r="T6" s="17" t="s">
        <v>358</v>
      </c>
      <c r="V6" s="5" t="s">
        <v>10</v>
      </c>
      <c r="W6" s="7">
        <v>29</v>
      </c>
      <c r="Z6" s="16">
        <v>1</v>
      </c>
      <c r="AA6" s="33" t="s">
        <v>201</v>
      </c>
      <c r="AB6" s="31">
        <v>0.58333333333333337</v>
      </c>
      <c r="AC6" s="31">
        <v>0.63055555555555554</v>
      </c>
      <c r="AD6" s="32">
        <f>Table1324567891012162024[[#This Row],[JAM MASUK]]-Table1324567891012162024[[#This Row],[JAM KELUAR]]</f>
        <v>4.7222222222222165E-2</v>
      </c>
      <c r="AE6" s="33">
        <v>0</v>
      </c>
      <c r="AF6" s="17" t="s">
        <v>371</v>
      </c>
      <c r="AH6" s="5" t="s">
        <v>10</v>
      </c>
      <c r="AI6" s="7">
        <v>30</v>
      </c>
      <c r="AL6" s="16">
        <v>1</v>
      </c>
      <c r="AM6" s="33" t="s">
        <v>291</v>
      </c>
      <c r="AN6" s="34">
        <v>0.24374999999999999</v>
      </c>
      <c r="AO6" s="34">
        <v>0.64583333333333337</v>
      </c>
      <c r="AP6" s="32">
        <f>Table13456789101115181923[[#This Row],[JAM MASUK]]-Table13456789101115181923[[#This Row],[JAM KELUAR]]</f>
        <v>0.40208333333333335</v>
      </c>
      <c r="AQ6" s="33">
        <v>3</v>
      </c>
      <c r="AR6" s="17" t="s">
        <v>354</v>
      </c>
      <c r="AT6" s="5" t="s">
        <v>10</v>
      </c>
      <c r="AU6" s="7">
        <v>15</v>
      </c>
    </row>
    <row r="7" spans="1:47" s="1" customFormat="1" x14ac:dyDescent="0.35">
      <c r="A7"/>
      <c r="B7" s="16">
        <v>2</v>
      </c>
      <c r="C7" s="33" t="s">
        <v>20</v>
      </c>
      <c r="D7" s="34">
        <v>0.24652777777777779</v>
      </c>
      <c r="E7" s="34">
        <v>0.57291666666666663</v>
      </c>
      <c r="F7" s="32">
        <f>Table1324567891011132125[[#This Row],[JAM MASUK]]-Table1324567891011132125[[#This Row],[JAM KELUAR]]</f>
        <v>0.32638888888888884</v>
      </c>
      <c r="G7" s="33">
        <v>2</v>
      </c>
      <c r="H7" s="17" t="s">
        <v>360</v>
      </c>
      <c r="J7" s="5" t="s">
        <v>9</v>
      </c>
      <c r="K7" s="8">
        <v>20</v>
      </c>
      <c r="L7" s="28"/>
      <c r="N7" s="16">
        <v>2</v>
      </c>
      <c r="O7" s="33" t="s">
        <v>298</v>
      </c>
      <c r="P7" s="34">
        <v>0.28819444444444448</v>
      </c>
      <c r="Q7" s="34">
        <v>0.5395833333333333</v>
      </c>
      <c r="R7" s="32">
        <f>Table134567891011172226[[#This Row],[JAM MASUK]]-Table134567891011172226[[#This Row],[JAM KELUAR]]</f>
        <v>0.25138888888888883</v>
      </c>
      <c r="S7" s="33">
        <v>1</v>
      </c>
      <c r="T7" s="17" t="s">
        <v>368</v>
      </c>
      <c r="V7" s="5" t="s">
        <v>9</v>
      </c>
      <c r="W7" s="8">
        <v>17</v>
      </c>
      <c r="Z7" s="16">
        <v>2</v>
      </c>
      <c r="AA7" s="33" t="s">
        <v>154</v>
      </c>
      <c r="AB7" s="31">
        <v>0.2673611111111111</v>
      </c>
      <c r="AC7" s="31">
        <v>0.46458333333333335</v>
      </c>
      <c r="AD7" s="32">
        <f>Table1324567891012162024[[#This Row],[JAM MASUK]]-Table1324567891012162024[[#This Row],[JAM KELUAR]]</f>
        <v>0.19722222222222224</v>
      </c>
      <c r="AE7" s="33">
        <v>1</v>
      </c>
      <c r="AF7" s="17" t="s">
        <v>344</v>
      </c>
      <c r="AH7" s="5" t="s">
        <v>9</v>
      </c>
      <c r="AI7" s="8">
        <v>30</v>
      </c>
      <c r="AL7" s="16">
        <v>2</v>
      </c>
      <c r="AM7" s="33" t="s">
        <v>290</v>
      </c>
      <c r="AN7" s="34">
        <v>0.29375000000000001</v>
      </c>
      <c r="AO7" s="34">
        <v>0.64583333333333337</v>
      </c>
      <c r="AP7" s="32">
        <f>Table13456789101115181923[[#This Row],[JAM MASUK]]-Table13456789101115181923[[#This Row],[JAM KELUAR]]</f>
        <v>0.35208333333333336</v>
      </c>
      <c r="AQ7" s="33">
        <v>4</v>
      </c>
      <c r="AR7" s="17" t="s">
        <v>355</v>
      </c>
      <c r="AT7" s="5" t="s">
        <v>9</v>
      </c>
      <c r="AU7" s="7">
        <v>11</v>
      </c>
    </row>
    <row r="8" spans="1:47" s="1" customFormat="1" x14ac:dyDescent="0.35">
      <c r="A8"/>
      <c r="B8" s="16">
        <v>3</v>
      </c>
      <c r="C8" s="33" t="s">
        <v>24</v>
      </c>
      <c r="D8" s="34">
        <v>0.3263888888888889</v>
      </c>
      <c r="E8" s="34">
        <v>0.66736111111111107</v>
      </c>
      <c r="F8" s="32">
        <f>Table1324567891011132125[[#This Row],[JAM MASUK]]-Table1324567891011132125[[#This Row],[JAM KELUAR]]</f>
        <v>0.34097222222222218</v>
      </c>
      <c r="G8" s="33">
        <v>2</v>
      </c>
      <c r="H8" s="17" t="s">
        <v>370</v>
      </c>
      <c r="J8" s="5" t="s">
        <v>4</v>
      </c>
      <c r="K8" s="8">
        <v>1</v>
      </c>
      <c r="L8" s="28"/>
      <c r="N8" s="16">
        <v>3</v>
      </c>
      <c r="O8" s="33" t="s">
        <v>176</v>
      </c>
      <c r="P8" s="34">
        <v>0.20833333333333334</v>
      </c>
      <c r="Q8" s="34">
        <v>0.43055555555555558</v>
      </c>
      <c r="R8" s="32">
        <f>Table134567891011172226[[#This Row],[JAM MASUK]]-Table134567891011172226[[#This Row],[JAM KELUAR]]</f>
        <v>0.22222222222222224</v>
      </c>
      <c r="S8" s="33">
        <v>1</v>
      </c>
      <c r="T8" s="17" t="s">
        <v>364</v>
      </c>
      <c r="V8" s="5" t="s">
        <v>4</v>
      </c>
      <c r="W8" s="8">
        <v>3</v>
      </c>
      <c r="Z8" s="16">
        <v>3</v>
      </c>
      <c r="AA8" s="33" t="s">
        <v>198</v>
      </c>
      <c r="AB8" s="31">
        <v>0.27430555555555552</v>
      </c>
      <c r="AC8" s="31">
        <v>0.70277777777777783</v>
      </c>
      <c r="AD8" s="32">
        <f>Table1324567891012162024[[#This Row],[JAM MASUK]]-Table1324567891012162024[[#This Row],[JAM KELUAR]]</f>
        <v>0.42847222222222231</v>
      </c>
      <c r="AE8" s="33">
        <v>2</v>
      </c>
      <c r="AF8" s="17" t="s">
        <v>345</v>
      </c>
      <c r="AH8" s="5" t="s">
        <v>4</v>
      </c>
      <c r="AI8" s="8">
        <v>0</v>
      </c>
      <c r="AL8" s="16">
        <v>3</v>
      </c>
      <c r="AM8" s="33" t="s">
        <v>288</v>
      </c>
      <c r="AN8" s="34">
        <v>0.23263888888888887</v>
      </c>
      <c r="AO8" s="34">
        <v>0.6875</v>
      </c>
      <c r="AP8" s="32">
        <f>Table13456789101115181923[[#This Row],[JAM MASUK]]-Table13456789101115181923[[#This Row],[JAM KELUAR]]</f>
        <v>0.45486111111111116</v>
      </c>
      <c r="AQ8" s="33">
        <v>4</v>
      </c>
      <c r="AR8" s="17" t="s">
        <v>356</v>
      </c>
      <c r="AT8" s="5" t="s">
        <v>4</v>
      </c>
      <c r="AU8" s="8">
        <v>1</v>
      </c>
    </row>
    <row r="9" spans="1:47" s="1" customFormat="1" x14ac:dyDescent="0.35">
      <c r="A9"/>
      <c r="B9" s="16">
        <v>4</v>
      </c>
      <c r="C9" s="33" t="s">
        <v>25</v>
      </c>
      <c r="D9" s="34">
        <v>0.21111111111111111</v>
      </c>
      <c r="E9" s="34" t="s">
        <v>342</v>
      </c>
      <c r="F9" s="32"/>
      <c r="G9" s="33">
        <v>2</v>
      </c>
      <c r="H9" s="17" t="s">
        <v>367</v>
      </c>
      <c r="J9" s="5" t="s">
        <v>5</v>
      </c>
      <c r="K9" s="8">
        <v>3</v>
      </c>
      <c r="L9" s="28"/>
      <c r="N9" s="16">
        <v>4</v>
      </c>
      <c r="O9" s="33" t="s">
        <v>296</v>
      </c>
      <c r="P9" s="34">
        <v>0.29236111111111113</v>
      </c>
      <c r="Q9" s="34">
        <v>0.65069444444444446</v>
      </c>
      <c r="R9" s="32">
        <f>Table134567891011172226[[#This Row],[JAM MASUK]]-Table134567891011172226[[#This Row],[JAM KELUAR]]</f>
        <v>0.35833333333333334</v>
      </c>
      <c r="S9" s="33">
        <v>2</v>
      </c>
      <c r="T9" s="17" t="s">
        <v>369</v>
      </c>
      <c r="V9" s="5" t="s">
        <v>5</v>
      </c>
      <c r="W9" s="8">
        <v>9</v>
      </c>
      <c r="Z9" s="16">
        <v>4</v>
      </c>
      <c r="AA9" s="33" t="s">
        <v>341</v>
      </c>
      <c r="AB9" s="31">
        <v>0.30277777777777776</v>
      </c>
      <c r="AC9" s="31">
        <v>0.68888888888888899</v>
      </c>
      <c r="AD9" s="32">
        <f>Table1324567891012162024[[#This Row],[JAM MASUK]]-Table1324567891012162024[[#This Row],[JAM KELUAR]]</f>
        <v>0.38611111111111124</v>
      </c>
      <c r="AE9" s="33">
        <v>2</v>
      </c>
      <c r="AF9" s="17" t="s">
        <v>346</v>
      </c>
      <c r="AH9" s="5" t="s">
        <v>5</v>
      </c>
      <c r="AI9" s="8">
        <v>1</v>
      </c>
      <c r="AL9" s="16">
        <v>4</v>
      </c>
      <c r="AM9" s="33" t="s">
        <v>292</v>
      </c>
      <c r="AN9" s="34">
        <v>0.26666666666666666</v>
      </c>
      <c r="AO9" s="34">
        <v>0.70208333333333339</v>
      </c>
      <c r="AP9" s="32">
        <f>Table13456789101115181923[[#This Row],[JAM MASUK]]-Table13456789101115181923[[#This Row],[JAM KELUAR]]</f>
        <v>0.43541666666666673</v>
      </c>
      <c r="AQ9" s="33">
        <v>4</v>
      </c>
      <c r="AR9" s="17" t="s">
        <v>357</v>
      </c>
      <c r="AT9" s="5" t="s">
        <v>5</v>
      </c>
      <c r="AU9" s="8">
        <v>3</v>
      </c>
    </row>
    <row r="10" spans="1:47" s="1" customFormat="1" x14ac:dyDescent="0.35">
      <c r="A10"/>
      <c r="B10" s="16">
        <v>5</v>
      </c>
      <c r="C10" s="33" t="s">
        <v>26</v>
      </c>
      <c r="D10" s="34">
        <v>0.24374999999999999</v>
      </c>
      <c r="E10" s="34">
        <v>0.60069444444444442</v>
      </c>
      <c r="F10" s="32">
        <f>Table1324567891011132125[[#This Row],[JAM MASUK]]-Table1324567891011132125[[#This Row],[JAM KELUAR]]</f>
        <v>0.3569444444444444</v>
      </c>
      <c r="G10" s="33">
        <v>2</v>
      </c>
      <c r="H10" s="17" t="s">
        <v>361</v>
      </c>
      <c r="J10" s="5" t="s">
        <v>6</v>
      </c>
      <c r="K10" s="8">
        <v>0</v>
      </c>
      <c r="L10" s="28"/>
      <c r="N10" s="16">
        <v>5</v>
      </c>
      <c r="O10" s="33" t="s">
        <v>171</v>
      </c>
      <c r="P10" s="34">
        <v>0.28958333333333336</v>
      </c>
      <c r="Q10" s="34">
        <v>0.56111111111111112</v>
      </c>
      <c r="R10" s="32">
        <f>Table134567891011172226[[#This Row],[JAM MASUK]]-Table134567891011172226[[#This Row],[JAM KELUAR]]</f>
        <v>0.27152777777777776</v>
      </c>
      <c r="S10" s="33">
        <v>2</v>
      </c>
      <c r="T10" s="17" t="s">
        <v>365</v>
      </c>
      <c r="V10" s="5" t="s">
        <v>166</v>
      </c>
      <c r="W10" s="8"/>
      <c r="Z10" s="16">
        <v>5</v>
      </c>
      <c r="AA10" s="33" t="s">
        <v>276</v>
      </c>
      <c r="AB10" s="31">
        <v>0.2673611111111111</v>
      </c>
      <c r="AC10" s="31">
        <v>0.64861111111111114</v>
      </c>
      <c r="AD10" s="32">
        <f>Table1324567891012162024[[#This Row],[JAM MASUK]]-Table1324567891012162024[[#This Row],[JAM KELUAR]]</f>
        <v>0.38125000000000003</v>
      </c>
      <c r="AE10" s="33">
        <v>3</v>
      </c>
      <c r="AF10" s="17" t="s">
        <v>347</v>
      </c>
      <c r="AH10" s="5" t="s">
        <v>6</v>
      </c>
      <c r="AI10" s="8">
        <v>24</v>
      </c>
      <c r="AL10" s="1">
        <v>5</v>
      </c>
      <c r="AM10" s="2" t="s">
        <v>283</v>
      </c>
      <c r="AN10" s="35">
        <v>0.26041666666666669</v>
      </c>
      <c r="AO10" s="35">
        <v>0.67708333333333337</v>
      </c>
      <c r="AP10" s="30">
        <f>Table13456789101115181923[[#This Row],[JAM MASUK]]-Table13456789101115181923[[#This Row],[JAM KELUAR]]</f>
        <v>0.41666666666666669</v>
      </c>
      <c r="AQ10" s="2">
        <v>5</v>
      </c>
      <c r="AR10" s="18" t="s">
        <v>54</v>
      </c>
      <c r="AT10" s="5" t="s">
        <v>6</v>
      </c>
      <c r="AU10" s="8"/>
    </row>
    <row r="11" spans="1:47" s="1" customFormat="1" x14ac:dyDescent="0.35">
      <c r="A11"/>
      <c r="B11" s="16">
        <v>6</v>
      </c>
      <c r="C11" s="33" t="s">
        <v>28</v>
      </c>
      <c r="D11" s="34">
        <v>0.32847222222222222</v>
      </c>
      <c r="E11" s="34">
        <v>0.73819444444444438</v>
      </c>
      <c r="F11" s="32">
        <f>Table1324567891011132125[[#This Row],[JAM MASUK]]-Table1324567891011132125[[#This Row],[JAM KELUAR]]</f>
        <v>0.40972222222222215</v>
      </c>
      <c r="G11" s="33">
        <v>2</v>
      </c>
      <c r="H11" s="17" t="s">
        <v>362</v>
      </c>
      <c r="J11" s="9" t="s">
        <v>8</v>
      </c>
      <c r="K11" s="10">
        <f>SUM(Table1324567891011132125[Retase])</f>
        <v>52</v>
      </c>
      <c r="L11" s="28"/>
      <c r="N11" s="16">
        <v>6</v>
      </c>
      <c r="O11" s="33" t="s">
        <v>173</v>
      </c>
      <c r="P11" s="34">
        <v>0.27430555555555552</v>
      </c>
      <c r="Q11" s="34">
        <v>0.65347222222222223</v>
      </c>
      <c r="R11" s="32">
        <f>Table134567891011172226[[#This Row],[JAM MASUK]]-Table134567891011172226[[#This Row],[JAM KELUAR]]</f>
        <v>0.37916666666666671</v>
      </c>
      <c r="S11" s="33">
        <v>2</v>
      </c>
      <c r="T11" s="17" t="s">
        <v>366</v>
      </c>
      <c r="V11" s="9" t="s">
        <v>8</v>
      </c>
      <c r="W11" s="10">
        <f>SUM(Table134567891011172226[Retase])</f>
        <v>38</v>
      </c>
      <c r="Z11" s="16">
        <v>6</v>
      </c>
      <c r="AA11" s="33" t="s">
        <v>199</v>
      </c>
      <c r="AB11" s="31">
        <v>0.24305555555555555</v>
      </c>
      <c r="AC11" s="31">
        <v>0.5541666666666667</v>
      </c>
      <c r="AD11" s="32">
        <f>Table1324567891012162024[[#This Row],[JAM MASUK]]-Table1324567891012162024[[#This Row],[JAM KELUAR]]</f>
        <v>0.31111111111111112</v>
      </c>
      <c r="AE11" s="33">
        <v>3</v>
      </c>
      <c r="AF11" s="17" t="s">
        <v>348</v>
      </c>
      <c r="AH11" s="9" t="s">
        <v>8</v>
      </c>
      <c r="AI11" s="10">
        <f>SUM(Table1324567891012162024[Retase])</f>
        <v>106</v>
      </c>
      <c r="AL11" s="1">
        <v>6</v>
      </c>
      <c r="AM11" s="2" t="s">
        <v>284</v>
      </c>
      <c r="AN11" s="35">
        <v>0.30486111111111108</v>
      </c>
      <c r="AO11" s="35">
        <v>0.67499999999999993</v>
      </c>
      <c r="AP11" s="30">
        <f>Table13456789101115181923[[#This Row],[JAM MASUK]]-Table13456789101115181923[[#This Row],[JAM KELUAR]]</f>
        <v>0.37013888888888885</v>
      </c>
      <c r="AQ11" s="2">
        <v>5</v>
      </c>
      <c r="AR11" s="18" t="s">
        <v>54</v>
      </c>
      <c r="AT11" s="9" t="s">
        <v>8</v>
      </c>
      <c r="AU11" s="10">
        <f>SUM(Table13456789101115181923[Retase])</f>
        <v>52</v>
      </c>
    </row>
    <row r="12" spans="1:47" s="1" customFormat="1" x14ac:dyDescent="0.35">
      <c r="A12"/>
      <c r="B12" s="16">
        <v>7</v>
      </c>
      <c r="C12" s="33" t="s">
        <v>29</v>
      </c>
      <c r="D12" s="34">
        <v>0.3</v>
      </c>
      <c r="E12" s="34">
        <v>0.68055555555555547</v>
      </c>
      <c r="F12" s="32">
        <f>Table1324567891011132125[[#This Row],[JAM MASUK]]-Table1324567891011132125[[#This Row],[JAM KELUAR]]</f>
        <v>0.38055555555555548</v>
      </c>
      <c r="G12" s="33">
        <v>2</v>
      </c>
      <c r="H12" s="17" t="s">
        <v>363</v>
      </c>
      <c r="J12" s="11" t="s">
        <v>7</v>
      </c>
      <c r="K12" s="12">
        <f>K11/K7</f>
        <v>2.6</v>
      </c>
      <c r="L12" s="28"/>
      <c r="N12" s="16">
        <v>7</v>
      </c>
      <c r="O12" s="33" t="s">
        <v>163</v>
      </c>
      <c r="P12" s="34">
        <v>0.29652777777777778</v>
      </c>
      <c r="Q12" s="34">
        <v>0.66805555555555562</v>
      </c>
      <c r="R12" s="32">
        <f>Table134567891011172226[[#This Row],[JAM MASUK]]-Table134567891011172226[[#This Row],[JAM KELUAR]]</f>
        <v>0.37152777777777785</v>
      </c>
      <c r="S12" s="33">
        <v>2</v>
      </c>
      <c r="T12" s="17" t="s">
        <v>369</v>
      </c>
      <c r="V12" s="11" t="s">
        <v>7</v>
      </c>
      <c r="W12" s="12">
        <f>W11/W7</f>
        <v>2.2352941176470589</v>
      </c>
      <c r="Z12" s="16">
        <v>7</v>
      </c>
      <c r="AA12" s="33" t="s">
        <v>200</v>
      </c>
      <c r="AB12" s="31">
        <v>0.2902777777777778</v>
      </c>
      <c r="AC12" s="31">
        <v>0.76041666666666663</v>
      </c>
      <c r="AD12" s="32">
        <f>Table1324567891012162024[[#This Row],[JAM MASUK]]-Table1324567891012162024[[#This Row],[JAM KELUAR]]</f>
        <v>0.47013888888888883</v>
      </c>
      <c r="AE12" s="33">
        <v>3</v>
      </c>
      <c r="AF12" s="17" t="s">
        <v>349</v>
      </c>
      <c r="AH12" s="11" t="s">
        <v>7</v>
      </c>
      <c r="AI12" s="12">
        <f>AI11/AI7</f>
        <v>3.5333333333333332</v>
      </c>
      <c r="AL12" s="1">
        <v>7</v>
      </c>
      <c r="AM12" s="2" t="s">
        <v>287</v>
      </c>
      <c r="AN12" s="35">
        <v>0.23263888888888887</v>
      </c>
      <c r="AO12" s="35">
        <v>0.61111111111111105</v>
      </c>
      <c r="AP12" s="30">
        <f>Table13456789101115181923[[#This Row],[JAM MASUK]]-Table13456789101115181923[[#This Row],[JAM KELUAR]]</f>
        <v>0.37847222222222221</v>
      </c>
      <c r="AQ12" s="2">
        <v>5</v>
      </c>
      <c r="AR12" s="18" t="s">
        <v>54</v>
      </c>
      <c r="AT12" s="11" t="s">
        <v>7</v>
      </c>
      <c r="AU12" s="12">
        <f>AU11/AU7</f>
        <v>4.7272727272727275</v>
      </c>
    </row>
    <row r="13" spans="1:47" s="1" customFormat="1" x14ac:dyDescent="0.35">
      <c r="A13"/>
      <c r="B13" s="1">
        <v>8</v>
      </c>
      <c r="C13" s="2" t="s">
        <v>15</v>
      </c>
      <c r="D13" s="35">
        <v>0.26041666666666669</v>
      </c>
      <c r="E13" s="35">
        <v>0.72152777777777777</v>
      </c>
      <c r="F13" s="30">
        <f>Table1324567891011132125[[#This Row],[JAM MASUK]]-Table1324567891011132125[[#This Row],[JAM KELUAR]]</f>
        <v>0.46111111111111108</v>
      </c>
      <c r="G13" s="2">
        <v>3</v>
      </c>
      <c r="H13" s="18" t="s">
        <v>54</v>
      </c>
      <c r="J13" s="13" t="s">
        <v>11</v>
      </c>
      <c r="K13" s="14">
        <v>2.5</v>
      </c>
      <c r="L13" s="28"/>
      <c r="N13" s="16">
        <v>8</v>
      </c>
      <c r="O13" s="33" t="s">
        <v>167</v>
      </c>
      <c r="P13" s="34">
        <v>0.24305555555555555</v>
      </c>
      <c r="Q13" s="34">
        <v>0.64861111111111114</v>
      </c>
      <c r="R13" s="32">
        <f>Table134567891011172226[[#This Row],[JAM MASUK]]-Table134567891011172226[[#This Row],[JAM KELUAR]]</f>
        <v>0.40555555555555556</v>
      </c>
      <c r="S13" s="33">
        <v>2</v>
      </c>
      <c r="T13" s="17" t="s">
        <v>369</v>
      </c>
      <c r="V13" s="13" t="s">
        <v>11</v>
      </c>
      <c r="W13" s="14">
        <v>2.5</v>
      </c>
      <c r="Z13" s="16">
        <v>8</v>
      </c>
      <c r="AA13" s="33" t="s">
        <v>254</v>
      </c>
      <c r="AB13" s="31">
        <v>0.23750000000000002</v>
      </c>
      <c r="AC13" s="31">
        <v>0.67083333333333339</v>
      </c>
      <c r="AD13" s="32">
        <f>Table1324567891012162024[[#This Row],[JAM MASUK]]-Table1324567891012162024[[#This Row],[JAM KELUAR]]</f>
        <v>0.43333333333333335</v>
      </c>
      <c r="AE13" s="33">
        <v>3</v>
      </c>
      <c r="AF13" s="17" t="s">
        <v>350</v>
      </c>
      <c r="AH13" s="13" t="s">
        <v>11</v>
      </c>
      <c r="AI13" s="14">
        <v>4</v>
      </c>
      <c r="AL13" s="1">
        <v>8</v>
      </c>
      <c r="AM13" s="2" t="s">
        <v>294</v>
      </c>
      <c r="AN13" s="35">
        <v>0.25486111111111109</v>
      </c>
      <c r="AO13" s="35">
        <v>0.6875</v>
      </c>
      <c r="AP13" s="30">
        <f>Table13456789101115181923[[#This Row],[JAM MASUK]]-Table13456789101115181923[[#This Row],[JAM KELUAR]]</f>
        <v>0.43263888888888891</v>
      </c>
      <c r="AQ13" s="2">
        <v>5</v>
      </c>
      <c r="AR13" s="18" t="s">
        <v>54</v>
      </c>
      <c r="AT13" s="13" t="s">
        <v>11</v>
      </c>
      <c r="AU13" s="14">
        <v>5</v>
      </c>
    </row>
    <row r="14" spans="1:47" s="1" customFormat="1" x14ac:dyDescent="0.35">
      <c r="A14"/>
      <c r="B14" s="1">
        <v>9</v>
      </c>
      <c r="C14" s="2" t="s">
        <v>16</v>
      </c>
      <c r="D14" s="35">
        <v>0.2951388888888889</v>
      </c>
      <c r="E14" s="35">
        <v>0.74375000000000002</v>
      </c>
      <c r="F14" s="30">
        <f>Table1324567891011132125[[#This Row],[JAM MASUK]]-Table1324567891011132125[[#This Row],[JAM KELUAR]]</f>
        <v>0.44861111111111113</v>
      </c>
      <c r="G14" s="2">
        <v>3</v>
      </c>
      <c r="H14" s="18" t="s">
        <v>54</v>
      </c>
      <c r="J14" s="13" t="s">
        <v>51</v>
      </c>
      <c r="K14" s="15">
        <f>K12/K13</f>
        <v>1.04</v>
      </c>
      <c r="L14" s="28"/>
      <c r="N14" s="16">
        <v>9</v>
      </c>
      <c r="O14" s="33" t="s">
        <v>301</v>
      </c>
      <c r="P14" s="34">
        <v>0.2673611111111111</v>
      </c>
      <c r="Q14" s="34">
        <v>0.68333333333333324</v>
      </c>
      <c r="R14" s="32">
        <f>Table134567891011172226[[#This Row],[JAM MASUK]]-Table134567891011172226[[#This Row],[JAM KELUAR]]</f>
        <v>0.41597222222222213</v>
      </c>
      <c r="S14" s="33">
        <v>2</v>
      </c>
      <c r="T14" s="17" t="s">
        <v>369</v>
      </c>
      <c r="V14" s="13" t="s">
        <v>51</v>
      </c>
      <c r="W14" s="15">
        <f>W12/W13</f>
        <v>0.89411764705882357</v>
      </c>
      <c r="Z14" s="16">
        <v>9</v>
      </c>
      <c r="AA14" s="33" t="s">
        <v>249</v>
      </c>
      <c r="AB14" s="31">
        <v>0.31597222222222221</v>
      </c>
      <c r="AC14" s="31">
        <v>0.66875000000000007</v>
      </c>
      <c r="AD14" s="32">
        <f>Table1324567891012162024[[#This Row],[JAM MASUK]]-Table1324567891012162024[[#This Row],[JAM KELUAR]]</f>
        <v>0.35277777777777786</v>
      </c>
      <c r="AE14" s="33">
        <v>3</v>
      </c>
      <c r="AF14" s="17" t="s">
        <v>351</v>
      </c>
      <c r="AH14" s="13" t="s">
        <v>51</v>
      </c>
      <c r="AI14" s="15">
        <f>AI12/AI13</f>
        <v>0.8833333333333333</v>
      </c>
      <c r="AL14" s="1">
        <v>9</v>
      </c>
      <c r="AM14" s="2" t="s">
        <v>340</v>
      </c>
      <c r="AN14" s="35">
        <v>0.27430555555555552</v>
      </c>
      <c r="AO14" s="35">
        <v>0.65416666666666667</v>
      </c>
      <c r="AP14" s="30">
        <f>Table13456789101115181923[[#This Row],[JAM MASUK]]-Table13456789101115181923[[#This Row],[JAM KELUAR]]</f>
        <v>0.37986111111111115</v>
      </c>
      <c r="AQ14" s="2">
        <v>5</v>
      </c>
      <c r="AR14" s="18" t="s">
        <v>54</v>
      </c>
      <c r="AT14" s="13" t="s">
        <v>51</v>
      </c>
      <c r="AU14" s="15">
        <f>AU12/AU13</f>
        <v>0.94545454545454555</v>
      </c>
    </row>
    <row r="15" spans="1:47" x14ac:dyDescent="0.35">
      <c r="B15" s="1">
        <v>10</v>
      </c>
      <c r="C15" s="2" t="s">
        <v>53</v>
      </c>
      <c r="D15" s="35">
        <v>0.25347222222222221</v>
      </c>
      <c r="E15" s="35">
        <v>0.73055555555555562</v>
      </c>
      <c r="F15" s="30">
        <f>Table1324567891011132125[[#This Row],[JAM MASUK]]-Table1324567891011132125[[#This Row],[JAM KELUAR]]</f>
        <v>0.47708333333333341</v>
      </c>
      <c r="G15" s="2">
        <v>3</v>
      </c>
      <c r="H15" s="18" t="s">
        <v>54</v>
      </c>
      <c r="J15" s="13" t="s">
        <v>52</v>
      </c>
      <c r="K15" s="15">
        <f>K7/K6</f>
        <v>0.83333333333333337</v>
      </c>
      <c r="N15" s="1">
        <v>10</v>
      </c>
      <c r="O15" s="2" t="s">
        <v>295</v>
      </c>
      <c r="P15" s="35">
        <v>0.26666666666666666</v>
      </c>
      <c r="Q15" s="35">
        <v>0.70972222222222225</v>
      </c>
      <c r="R15" s="30">
        <f>Table134567891011172226[[#This Row],[JAM MASUK]]-Table134567891011172226[[#This Row],[JAM KELUAR]]</f>
        <v>0.44305555555555559</v>
      </c>
      <c r="S15" s="2">
        <v>3</v>
      </c>
      <c r="T15" s="18" t="s">
        <v>54</v>
      </c>
      <c r="V15" s="13" t="s">
        <v>151</v>
      </c>
      <c r="W15" s="15">
        <f>W7/W6</f>
        <v>0.58620689655172409</v>
      </c>
      <c r="Z15" s="16">
        <v>10</v>
      </c>
      <c r="AA15" s="33" t="s">
        <v>209</v>
      </c>
      <c r="AB15" s="31">
        <v>0.22222222222222221</v>
      </c>
      <c r="AC15" s="31">
        <v>0.56180555555555556</v>
      </c>
      <c r="AD15" s="32">
        <f>Table1324567891012162024[[#This Row],[JAM MASUK]]-Table1324567891012162024[[#This Row],[JAM KELUAR]]</f>
        <v>0.33958333333333335</v>
      </c>
      <c r="AE15" s="33">
        <v>3</v>
      </c>
      <c r="AF15" s="17" t="s">
        <v>352</v>
      </c>
      <c r="AH15" s="13" t="s">
        <v>151</v>
      </c>
      <c r="AI15" s="15">
        <f>AI7/AI6</f>
        <v>1</v>
      </c>
      <c r="AL15" s="1">
        <v>10</v>
      </c>
      <c r="AM15" s="2" t="s">
        <v>289</v>
      </c>
      <c r="AN15" s="35">
        <v>0.23472222222222219</v>
      </c>
      <c r="AO15" s="35">
        <v>0.71736111111111101</v>
      </c>
      <c r="AP15" s="30">
        <f>Table13456789101115181923[[#This Row],[JAM MASUK]]-Table13456789101115181923[[#This Row],[JAM KELUAR]]</f>
        <v>0.48263888888888884</v>
      </c>
      <c r="AQ15" s="2">
        <v>6</v>
      </c>
      <c r="AR15" s="18" t="s">
        <v>54</v>
      </c>
      <c r="AT15" s="13" t="s">
        <v>151</v>
      </c>
      <c r="AU15" s="15">
        <f>AU7/AU6</f>
        <v>0.73333333333333328</v>
      </c>
    </row>
    <row r="16" spans="1:47" x14ac:dyDescent="0.35">
      <c r="B16" s="1">
        <v>11</v>
      </c>
      <c r="C16" s="2" t="s">
        <v>18</v>
      </c>
      <c r="D16" s="35">
        <v>0.25833333333333336</v>
      </c>
      <c r="E16" s="35">
        <v>0.73819444444444438</v>
      </c>
      <c r="F16" s="30">
        <f>Table1324567891011132125[[#This Row],[JAM MASUK]]-Table1324567891011132125[[#This Row],[JAM KELUAR]]</f>
        <v>0.47986111111111102</v>
      </c>
      <c r="G16" s="2">
        <v>3</v>
      </c>
      <c r="H16" s="18" t="s">
        <v>54</v>
      </c>
      <c r="N16" s="1">
        <v>11</v>
      </c>
      <c r="O16" s="2" t="s">
        <v>178</v>
      </c>
      <c r="P16" s="35">
        <v>0.30069444444444443</v>
      </c>
      <c r="Q16" s="35">
        <v>0.69444444444444453</v>
      </c>
      <c r="R16" s="30">
        <f>Table134567891011172226[[#This Row],[JAM MASUK]]-Table134567891011172226[[#This Row],[JAM KELUAR]]</f>
        <v>0.3937500000000001</v>
      </c>
      <c r="S16" s="2">
        <v>3</v>
      </c>
      <c r="T16" s="18" t="s">
        <v>54</v>
      </c>
      <c r="V16" s="21"/>
      <c r="W16" s="22"/>
      <c r="Z16" s="16">
        <v>11</v>
      </c>
      <c r="AA16" s="33" t="s">
        <v>281</v>
      </c>
      <c r="AB16" s="31">
        <v>0.2298611111111111</v>
      </c>
      <c r="AC16" s="31">
        <v>0.67361111111111116</v>
      </c>
      <c r="AD16" s="32">
        <f>Table1324567891012162024[[#This Row],[JAM MASUK]]-Table1324567891012162024[[#This Row],[JAM KELUAR]]</f>
        <v>0.44375000000000009</v>
      </c>
      <c r="AE16" s="33">
        <v>3</v>
      </c>
      <c r="AF16" s="17" t="s">
        <v>353</v>
      </c>
      <c r="AL16" s="1">
        <v>11</v>
      </c>
      <c r="AM16" s="2" t="s">
        <v>293</v>
      </c>
      <c r="AN16" s="35">
        <v>0.23541666666666669</v>
      </c>
      <c r="AO16" s="35">
        <v>0.70833333333333337</v>
      </c>
      <c r="AP16" s="30">
        <f>Table13456789101115181923[[#This Row],[JAM MASUK]]-Table13456789101115181923[[#This Row],[JAM KELUAR]]</f>
        <v>0.47291666666666665</v>
      </c>
      <c r="AQ16" s="2">
        <v>6</v>
      </c>
      <c r="AR16" s="18" t="s">
        <v>54</v>
      </c>
    </row>
    <row r="17" spans="2:46" x14ac:dyDescent="0.35">
      <c r="B17" s="1">
        <v>12</v>
      </c>
      <c r="C17" s="2" t="s">
        <v>19</v>
      </c>
      <c r="D17" s="35">
        <v>0.22083333333333333</v>
      </c>
      <c r="E17" s="35">
        <v>0.64583333333333337</v>
      </c>
      <c r="F17" s="30">
        <f>Table1324567891011132125[[#This Row],[JAM MASUK]]-Table1324567891011132125[[#This Row],[JAM KELUAR]]</f>
        <v>0.42500000000000004</v>
      </c>
      <c r="G17" s="2">
        <v>3</v>
      </c>
      <c r="H17" s="18" t="s">
        <v>54</v>
      </c>
      <c r="N17" s="1">
        <v>12</v>
      </c>
      <c r="O17" s="2" t="s">
        <v>169</v>
      </c>
      <c r="P17" s="35">
        <v>0.27777777777777779</v>
      </c>
      <c r="Q17" s="35">
        <v>0.64930555555555558</v>
      </c>
      <c r="R17" s="30">
        <f>Table134567891011172226[[#This Row],[JAM MASUK]]-Table134567891011172226[[#This Row],[JAM KELUAR]]</f>
        <v>0.37152777777777779</v>
      </c>
      <c r="S17" s="2">
        <v>3</v>
      </c>
      <c r="T17" s="18" t="s">
        <v>54</v>
      </c>
      <c r="V17" s="21"/>
      <c r="W17" s="22"/>
      <c r="Z17" s="1">
        <v>12</v>
      </c>
      <c r="AA17" s="2" t="s">
        <v>205</v>
      </c>
      <c r="AB17" s="29">
        <v>0.2951388888888889</v>
      </c>
      <c r="AC17" s="29">
        <v>0.71319444444444446</v>
      </c>
      <c r="AD17" s="30">
        <f>Table1324567891012162024[[#This Row],[JAM MASUK]]-Table1324567891012162024[[#This Row],[JAM KELUAR]]</f>
        <v>0.41805555555555557</v>
      </c>
      <c r="AE17" s="2">
        <v>4</v>
      </c>
      <c r="AF17" s="18" t="s">
        <v>54</v>
      </c>
      <c r="AL17" s="1"/>
      <c r="AM17" s="1"/>
      <c r="AN17" s="1"/>
      <c r="AO17" s="1"/>
      <c r="AP17" s="1"/>
      <c r="AQ17" s="1"/>
      <c r="AR17" s="18"/>
      <c r="AT17" s="20"/>
    </row>
    <row r="18" spans="2:46" x14ac:dyDescent="0.35">
      <c r="B18" s="1">
        <v>13</v>
      </c>
      <c r="C18" s="2" t="s">
        <v>32</v>
      </c>
      <c r="D18" s="35">
        <v>0.25069444444444444</v>
      </c>
      <c r="E18" s="35">
        <v>0.73611111111111116</v>
      </c>
      <c r="F18" s="30">
        <f>Table1324567891011132125[[#This Row],[JAM MASUK]]-Table1324567891011132125[[#This Row],[JAM KELUAR]]</f>
        <v>0.48541666666666672</v>
      </c>
      <c r="G18" s="2">
        <v>3</v>
      </c>
      <c r="H18" s="18" t="s">
        <v>54</v>
      </c>
      <c r="N18" s="1">
        <v>13</v>
      </c>
      <c r="O18" s="2" t="s">
        <v>170</v>
      </c>
      <c r="P18" s="35">
        <v>0.27291666666666664</v>
      </c>
      <c r="Q18" s="35">
        <v>0.63402777777777775</v>
      </c>
      <c r="R18" s="30">
        <f>Table134567891011172226[[#This Row],[JAM MASUK]]-Table134567891011172226[[#This Row],[JAM KELUAR]]</f>
        <v>0.3611111111111111</v>
      </c>
      <c r="S18" s="2">
        <v>3</v>
      </c>
      <c r="T18" s="18" t="s">
        <v>54</v>
      </c>
      <c r="V18" s="21"/>
      <c r="W18" s="22"/>
      <c r="Z18" s="1">
        <v>13</v>
      </c>
      <c r="AA18" s="2" t="s">
        <v>202</v>
      </c>
      <c r="AB18" s="29">
        <v>0.30555555555555552</v>
      </c>
      <c r="AC18" s="29">
        <v>0.70624999999999993</v>
      </c>
      <c r="AD18" s="30">
        <f>Table1324567891012162024[[#This Row],[JAM MASUK]]-Table1324567891012162024[[#This Row],[JAM KELUAR]]</f>
        <v>0.40069444444444441</v>
      </c>
      <c r="AE18" s="2">
        <v>4</v>
      </c>
      <c r="AF18" s="18" t="s">
        <v>54</v>
      </c>
      <c r="AH18" s="20"/>
    </row>
    <row r="19" spans="2:46" x14ac:dyDescent="0.35">
      <c r="B19" s="1">
        <v>14</v>
      </c>
      <c r="C19" s="2" t="s">
        <v>21</v>
      </c>
      <c r="D19" s="35">
        <v>0.28819444444444448</v>
      </c>
      <c r="E19" s="35">
        <v>0.69097222222222221</v>
      </c>
      <c r="F19" s="30">
        <f>Table1324567891011132125[[#This Row],[JAM MASUK]]-Table1324567891011132125[[#This Row],[JAM KELUAR]]</f>
        <v>0.40277777777777773</v>
      </c>
      <c r="G19" s="2">
        <v>3</v>
      </c>
      <c r="H19" s="18" t="s">
        <v>54</v>
      </c>
      <c r="N19" s="1">
        <v>14</v>
      </c>
      <c r="O19" s="2" t="s">
        <v>164</v>
      </c>
      <c r="P19" s="35">
        <v>0.27430555555555552</v>
      </c>
      <c r="Q19" s="35">
        <v>0.61388888888888882</v>
      </c>
      <c r="R19" s="30">
        <f>Table134567891011172226[[#This Row],[JAM MASUK]]-Table134567891011172226[[#This Row],[JAM KELUAR]]</f>
        <v>0.33958333333333329</v>
      </c>
      <c r="S19" s="2">
        <v>3</v>
      </c>
      <c r="T19" s="18" t="s">
        <v>54</v>
      </c>
      <c r="V19" s="21"/>
      <c r="W19" s="22"/>
      <c r="Z19" s="1">
        <v>14</v>
      </c>
      <c r="AA19" s="2" t="s">
        <v>146</v>
      </c>
      <c r="AB19" s="29">
        <v>0.31319444444444444</v>
      </c>
      <c r="AC19" s="29">
        <v>0.71458333333333324</v>
      </c>
      <c r="AD19" s="30">
        <f>Table1324567891012162024[[#This Row],[JAM MASUK]]-Table1324567891012162024[[#This Row],[JAM KELUAR]]</f>
        <v>0.4013888888888888</v>
      </c>
      <c r="AE19" s="2">
        <v>4</v>
      </c>
      <c r="AF19" s="18" t="s">
        <v>54</v>
      </c>
    </row>
    <row r="20" spans="2:46" x14ac:dyDescent="0.35">
      <c r="B20" s="1">
        <v>15</v>
      </c>
      <c r="C20" s="2" t="s">
        <v>22</v>
      </c>
      <c r="D20" s="35">
        <v>0.27013888888888887</v>
      </c>
      <c r="E20" s="35">
        <v>0.70624999999999993</v>
      </c>
      <c r="F20" s="30">
        <f>Table1324567891011132125[[#This Row],[JAM MASUK]]-Table1324567891011132125[[#This Row],[JAM KELUAR]]</f>
        <v>0.43611111111111106</v>
      </c>
      <c r="G20" s="2">
        <v>3</v>
      </c>
      <c r="H20" s="18" t="s">
        <v>54</v>
      </c>
      <c r="N20" s="1">
        <v>15</v>
      </c>
      <c r="O20" s="2" t="s">
        <v>172</v>
      </c>
      <c r="P20" s="35">
        <v>0.31805555555555554</v>
      </c>
      <c r="Q20" s="35">
        <v>0.64374999999999993</v>
      </c>
      <c r="R20" s="30">
        <f>Table134567891011172226[[#This Row],[JAM MASUK]]-Table134567891011172226[[#This Row],[JAM KELUAR]]</f>
        <v>0.3256944444444444</v>
      </c>
      <c r="S20" s="2">
        <v>3</v>
      </c>
      <c r="T20" s="18" t="s">
        <v>54</v>
      </c>
      <c r="V20" s="21"/>
      <c r="W20" s="22"/>
      <c r="Z20" s="1">
        <v>15</v>
      </c>
      <c r="AA20" s="2" t="s">
        <v>204</v>
      </c>
      <c r="AB20" s="29">
        <v>0.27083333333333331</v>
      </c>
      <c r="AC20" s="29">
        <v>0.68402777777777779</v>
      </c>
      <c r="AD20" s="30">
        <f>Table1324567891012162024[[#This Row],[JAM MASUK]]-Table1324567891012162024[[#This Row],[JAM KELUAR]]</f>
        <v>0.41319444444444448</v>
      </c>
      <c r="AE20" s="2">
        <v>4</v>
      </c>
      <c r="AF20" s="18" t="s">
        <v>54</v>
      </c>
    </row>
    <row r="21" spans="2:46" x14ac:dyDescent="0.35">
      <c r="B21" s="1">
        <v>16</v>
      </c>
      <c r="C21" s="2" t="s">
        <v>23</v>
      </c>
      <c r="D21" s="35">
        <v>0.28472222222222221</v>
      </c>
      <c r="E21" s="35">
        <v>0.70347222222222217</v>
      </c>
      <c r="F21" s="30">
        <f>Table1324567891011132125[[#This Row],[JAM MASUK]]-Table1324567891011132125[[#This Row],[JAM KELUAR]]</f>
        <v>0.41874999999999996</v>
      </c>
      <c r="G21" s="2">
        <v>3</v>
      </c>
      <c r="H21" s="18" t="s">
        <v>54</v>
      </c>
      <c r="N21" s="1">
        <v>16</v>
      </c>
      <c r="O21" s="2" t="s">
        <v>177</v>
      </c>
      <c r="P21" s="35">
        <v>0.29166666666666669</v>
      </c>
      <c r="Q21" s="35">
        <v>0.62291666666666667</v>
      </c>
      <c r="R21" s="30">
        <f>Table134567891011172226[[#This Row],[JAM MASUK]]-Table134567891011172226[[#This Row],[JAM KELUAR]]</f>
        <v>0.33124999999999999</v>
      </c>
      <c r="S21" s="2">
        <v>3</v>
      </c>
      <c r="T21" s="18" t="s">
        <v>54</v>
      </c>
      <c r="V21" s="21"/>
      <c r="W21" s="22"/>
      <c r="Z21" s="1">
        <v>16</v>
      </c>
      <c r="AA21" s="2" t="s">
        <v>145</v>
      </c>
      <c r="AB21" s="29">
        <v>0.29236111111111113</v>
      </c>
      <c r="AC21" s="29">
        <v>0.70277777777777783</v>
      </c>
      <c r="AD21" s="30">
        <f>Table1324567891012162024[[#This Row],[JAM MASUK]]-Table1324567891012162024[[#This Row],[JAM KELUAR]]</f>
        <v>0.41041666666666671</v>
      </c>
      <c r="AE21" s="2">
        <v>4</v>
      </c>
      <c r="AF21" s="18" t="s">
        <v>54</v>
      </c>
    </row>
    <row r="22" spans="2:46" x14ac:dyDescent="0.35">
      <c r="B22" s="1">
        <v>17</v>
      </c>
      <c r="C22" s="2" t="s">
        <v>33</v>
      </c>
      <c r="D22" s="35">
        <v>0.26250000000000001</v>
      </c>
      <c r="E22" s="35">
        <v>0.67569444444444438</v>
      </c>
      <c r="F22" s="30">
        <f>Table1324567891011132125[[#This Row],[JAM MASUK]]-Table1324567891011132125[[#This Row],[JAM KELUAR]]</f>
        <v>0.41319444444444436</v>
      </c>
      <c r="G22" s="2">
        <v>3</v>
      </c>
      <c r="H22" s="18" t="s">
        <v>54</v>
      </c>
      <c r="N22" s="1">
        <v>17</v>
      </c>
      <c r="O22" s="2" t="s">
        <v>302</v>
      </c>
      <c r="P22" s="35">
        <v>0.22777777777777777</v>
      </c>
      <c r="Q22" s="35">
        <v>0.6645833333333333</v>
      </c>
      <c r="R22" s="30">
        <f>Table134567891011172226[[#This Row],[JAM MASUK]]-Table134567891011172226[[#This Row],[JAM KELUAR]]</f>
        <v>0.43680555555555556</v>
      </c>
      <c r="S22" s="2">
        <v>3</v>
      </c>
      <c r="T22" s="18" t="s">
        <v>54</v>
      </c>
      <c r="V22" s="21"/>
      <c r="W22" s="22"/>
      <c r="Z22" s="1">
        <v>17</v>
      </c>
      <c r="AA22" s="2" t="s">
        <v>255</v>
      </c>
      <c r="AB22" s="29">
        <v>0.27638888888888885</v>
      </c>
      <c r="AC22" s="29">
        <v>0.69236111111111109</v>
      </c>
      <c r="AD22" s="30">
        <f>Table1324567891012162024[[#This Row],[JAM MASUK]]-Table1324567891012162024[[#This Row],[JAM KELUAR]]</f>
        <v>0.41597222222222224</v>
      </c>
      <c r="AE22" s="2">
        <v>4</v>
      </c>
      <c r="AF22" s="18" t="s">
        <v>54</v>
      </c>
    </row>
    <row r="23" spans="2:46" x14ac:dyDescent="0.35">
      <c r="B23" s="1">
        <v>18</v>
      </c>
      <c r="C23" s="2" t="s">
        <v>27</v>
      </c>
      <c r="D23" s="35">
        <v>0.24791666666666667</v>
      </c>
      <c r="E23" s="35">
        <v>0.69305555555555554</v>
      </c>
      <c r="F23" s="30">
        <f>Table1324567891011132125[[#This Row],[JAM MASUK]]-Table1324567891011132125[[#This Row],[JAM KELUAR]]</f>
        <v>0.44513888888888886</v>
      </c>
      <c r="G23" s="2">
        <v>3</v>
      </c>
      <c r="H23" s="18" t="s">
        <v>54</v>
      </c>
      <c r="Z23" s="1">
        <v>18</v>
      </c>
      <c r="AA23" s="2" t="s">
        <v>153</v>
      </c>
      <c r="AB23" s="29">
        <v>0.25</v>
      </c>
      <c r="AC23" s="29">
        <v>0.65833333333333333</v>
      </c>
      <c r="AD23" s="30">
        <f>Table1324567891012162024[[#This Row],[JAM MASUK]]-Table1324567891012162024[[#This Row],[JAM KELUAR]]</f>
        <v>0.40833333333333333</v>
      </c>
      <c r="AE23" s="2">
        <v>4</v>
      </c>
      <c r="AF23" s="18" t="s">
        <v>54</v>
      </c>
    </row>
    <row r="24" spans="2:46" x14ac:dyDescent="0.35">
      <c r="B24" s="1">
        <v>19</v>
      </c>
      <c r="C24" s="2" t="s">
        <v>30</v>
      </c>
      <c r="D24" s="35">
        <v>0.25694444444444448</v>
      </c>
      <c r="E24" s="35">
        <v>0.7006944444444444</v>
      </c>
      <c r="F24" s="30">
        <f>Table1324567891011132125[[#This Row],[JAM MASUK]]-Table1324567891011132125[[#This Row],[JAM KELUAR]]</f>
        <v>0.44374999999999992</v>
      </c>
      <c r="G24" s="2">
        <v>3</v>
      </c>
      <c r="H24" s="18" t="s">
        <v>54</v>
      </c>
      <c r="Z24" s="1">
        <v>19</v>
      </c>
      <c r="AA24" s="2" t="s">
        <v>150</v>
      </c>
      <c r="AB24" s="29">
        <v>0.21249999999999999</v>
      </c>
      <c r="AC24" s="29">
        <v>0.67013888888888884</v>
      </c>
      <c r="AD24" s="30">
        <f>Table1324567891012162024[[#This Row],[JAM MASUK]]-Table1324567891012162024[[#This Row],[JAM KELUAR]]</f>
        <v>0.45763888888888882</v>
      </c>
      <c r="AE24" s="2">
        <v>4</v>
      </c>
      <c r="AF24" s="18" t="s">
        <v>54</v>
      </c>
    </row>
    <row r="25" spans="2:46" x14ac:dyDescent="0.35">
      <c r="B25" s="1">
        <v>20</v>
      </c>
      <c r="C25" s="2" t="s">
        <v>31</v>
      </c>
      <c r="D25" s="35">
        <v>0.25138888888888888</v>
      </c>
      <c r="E25" s="35">
        <v>0.73333333333333339</v>
      </c>
      <c r="F25" s="30">
        <f>Table1324567891011132125[[#This Row],[JAM MASUK]]-Table1324567891011132125[[#This Row],[JAM KELUAR]]</f>
        <v>0.48194444444444451</v>
      </c>
      <c r="G25" s="2">
        <v>3</v>
      </c>
      <c r="H25" s="18" t="s">
        <v>54</v>
      </c>
      <c r="Z25" s="1">
        <v>20</v>
      </c>
      <c r="AA25" s="2" t="s">
        <v>244</v>
      </c>
      <c r="AB25" s="29">
        <v>0.26458333333333334</v>
      </c>
      <c r="AC25" s="29">
        <v>0.66249999999999998</v>
      </c>
      <c r="AD25" s="30">
        <f>Table1324567891012162024[[#This Row],[JAM MASUK]]-Table1324567891012162024[[#This Row],[JAM KELUAR]]</f>
        <v>0.39791666666666664</v>
      </c>
      <c r="AE25" s="2">
        <v>4</v>
      </c>
      <c r="AF25" s="18" t="s">
        <v>54</v>
      </c>
    </row>
    <row r="26" spans="2:46" x14ac:dyDescent="0.35">
      <c r="Z26" s="1">
        <v>21</v>
      </c>
      <c r="AA26" s="2" t="s">
        <v>245</v>
      </c>
      <c r="AB26" s="29">
        <v>0.22916666666666666</v>
      </c>
      <c r="AC26" s="29">
        <v>0.68125000000000002</v>
      </c>
      <c r="AD26" s="30">
        <f>Table1324567891012162024[[#This Row],[JAM MASUK]]-Table1324567891012162024[[#This Row],[JAM KELUAR]]</f>
        <v>0.45208333333333339</v>
      </c>
      <c r="AE26" s="2">
        <v>4</v>
      </c>
      <c r="AF26" s="18" t="s">
        <v>54</v>
      </c>
    </row>
    <row r="27" spans="2:46" x14ac:dyDescent="0.35">
      <c r="Z27" s="1">
        <v>22</v>
      </c>
      <c r="AA27" s="2" t="s">
        <v>247</v>
      </c>
      <c r="AB27" s="29">
        <v>0.23750000000000002</v>
      </c>
      <c r="AC27" s="29">
        <v>0.61875000000000002</v>
      </c>
      <c r="AD27" s="30">
        <f>Table1324567891012162024[[#This Row],[JAM MASUK]]-Table1324567891012162024[[#This Row],[JAM KELUAR]]</f>
        <v>0.38124999999999998</v>
      </c>
      <c r="AE27" s="2">
        <v>4</v>
      </c>
      <c r="AF27" s="18" t="s">
        <v>54</v>
      </c>
    </row>
    <row r="28" spans="2:46" x14ac:dyDescent="0.35">
      <c r="Z28" s="1">
        <v>23</v>
      </c>
      <c r="AA28" s="2" t="s">
        <v>248</v>
      </c>
      <c r="AB28" s="29">
        <v>0.23263888888888887</v>
      </c>
      <c r="AC28" s="29">
        <v>0.72013888888888899</v>
      </c>
      <c r="AD28" s="30">
        <f>Table1324567891012162024[[#This Row],[JAM MASUK]]-Table1324567891012162024[[#This Row],[JAM KELUAR]]</f>
        <v>0.48750000000000016</v>
      </c>
      <c r="AE28" s="2">
        <v>4</v>
      </c>
      <c r="AF28" s="18" t="s">
        <v>54</v>
      </c>
    </row>
    <row r="29" spans="2:46" x14ac:dyDescent="0.35">
      <c r="Z29" s="1">
        <v>24</v>
      </c>
      <c r="AA29" s="2" t="s">
        <v>280</v>
      </c>
      <c r="AB29" s="29">
        <v>0.28125</v>
      </c>
      <c r="AC29" s="29">
        <v>0.68958333333333333</v>
      </c>
      <c r="AD29" s="30">
        <f>Table1324567891012162024[[#This Row],[JAM MASUK]]-Table1324567891012162024[[#This Row],[JAM KELUAR]]</f>
        <v>0.40833333333333333</v>
      </c>
      <c r="AE29" s="2">
        <v>4</v>
      </c>
      <c r="AF29" s="18" t="s">
        <v>54</v>
      </c>
    </row>
    <row r="30" spans="2:46" x14ac:dyDescent="0.35">
      <c r="Z30" s="1">
        <v>25</v>
      </c>
      <c r="AA30" s="2" t="s">
        <v>250</v>
      </c>
      <c r="AB30" s="29">
        <v>0.21041666666666667</v>
      </c>
      <c r="AC30" s="29">
        <v>0.67708333333333337</v>
      </c>
      <c r="AD30" s="30">
        <f>Table1324567891012162024[[#This Row],[JAM MASUK]]-Table1324567891012162024[[#This Row],[JAM KELUAR]]</f>
        <v>0.46666666666666667</v>
      </c>
      <c r="AE30" s="2">
        <v>4</v>
      </c>
      <c r="AF30" s="18" t="s">
        <v>54</v>
      </c>
    </row>
    <row r="31" spans="2:46" x14ac:dyDescent="0.35">
      <c r="Z31" s="1">
        <v>26</v>
      </c>
      <c r="AA31" s="2" t="s">
        <v>208</v>
      </c>
      <c r="AB31" s="29">
        <v>0.29305555555555557</v>
      </c>
      <c r="AC31" s="29">
        <v>0.6694444444444444</v>
      </c>
      <c r="AD31" s="30">
        <f>Table1324567891012162024[[#This Row],[JAM MASUK]]-Table1324567891012162024[[#This Row],[JAM KELUAR]]</f>
        <v>0.37638888888888883</v>
      </c>
      <c r="AE31" s="2">
        <v>4</v>
      </c>
      <c r="AF31" s="18" t="s">
        <v>54</v>
      </c>
    </row>
    <row r="32" spans="2:46" x14ac:dyDescent="0.35">
      <c r="Z32" s="1">
        <v>27</v>
      </c>
      <c r="AA32" s="2" t="s">
        <v>246</v>
      </c>
      <c r="AB32" s="29">
        <v>0.21319444444444444</v>
      </c>
      <c r="AC32" s="29">
        <v>0.72569444444444453</v>
      </c>
      <c r="AD32" s="30">
        <f>Table1324567891012162024[[#This Row],[JAM MASUK]]-Table1324567891012162024[[#This Row],[JAM KELUAR]]</f>
        <v>0.51250000000000007</v>
      </c>
      <c r="AE32" s="2">
        <v>5</v>
      </c>
      <c r="AF32" s="18" t="s">
        <v>54</v>
      </c>
    </row>
    <row r="33" spans="1:32" x14ac:dyDescent="0.35">
      <c r="Z33" s="1">
        <v>28</v>
      </c>
      <c r="AA33" s="2" t="s">
        <v>210</v>
      </c>
      <c r="AB33" s="29">
        <v>0.22152777777777777</v>
      </c>
      <c r="AC33" s="29">
        <v>0.6972222222222223</v>
      </c>
      <c r="AD33" s="30">
        <f>Table1324567891012162024[[#This Row],[JAM MASUK]]-Table1324567891012162024[[#This Row],[JAM KELUAR]]</f>
        <v>0.47569444444444453</v>
      </c>
      <c r="AE33" s="2">
        <v>5</v>
      </c>
      <c r="AF33" s="18" t="s">
        <v>54</v>
      </c>
    </row>
    <row r="34" spans="1:32" x14ac:dyDescent="0.35">
      <c r="Z34" s="1">
        <v>29</v>
      </c>
      <c r="AA34" s="2" t="s">
        <v>212</v>
      </c>
      <c r="AB34" s="29">
        <v>0.2638888888888889</v>
      </c>
      <c r="AC34" s="29">
        <v>0.71875</v>
      </c>
      <c r="AD34" s="30">
        <f>Table1324567891012162024[[#This Row],[JAM MASUK]]-Table1324567891012162024[[#This Row],[JAM KELUAR]]</f>
        <v>0.4548611111111111</v>
      </c>
      <c r="AE34" s="2">
        <v>5</v>
      </c>
      <c r="AF34" s="18" t="s">
        <v>54</v>
      </c>
    </row>
    <row r="35" spans="1:32" x14ac:dyDescent="0.35">
      <c r="Z35" s="1">
        <v>30</v>
      </c>
      <c r="AA35" s="2" t="s">
        <v>251</v>
      </c>
      <c r="AB35" s="29">
        <v>0.24444444444444446</v>
      </c>
      <c r="AC35" s="29">
        <v>0.73125000000000007</v>
      </c>
      <c r="AD35" s="30">
        <f>Table1324567891012162024[[#This Row],[JAM MASUK]]-Table1324567891012162024[[#This Row],[JAM KELUAR]]</f>
        <v>0.4868055555555556</v>
      </c>
      <c r="AE35" s="2">
        <v>5</v>
      </c>
      <c r="AF35" s="18" t="s">
        <v>54</v>
      </c>
    </row>
    <row r="40" spans="1:32" ht="21" x14ac:dyDescent="0.5">
      <c r="A40" s="25"/>
    </row>
  </sheetData>
  <mergeCells count="16">
    <mergeCell ref="B1:K1"/>
    <mergeCell ref="N1:W1"/>
    <mergeCell ref="Z1:AI1"/>
    <mergeCell ref="AL1:AU1"/>
    <mergeCell ref="B3:H3"/>
    <mergeCell ref="J3:K4"/>
    <mergeCell ref="N3:T3"/>
    <mergeCell ref="V3:W4"/>
    <mergeCell ref="Z3:AF3"/>
    <mergeCell ref="AH3:AI4"/>
    <mergeCell ref="AL3:AR3"/>
    <mergeCell ref="AT3:AU4"/>
    <mergeCell ref="B4:H4"/>
    <mergeCell ref="N4:T4"/>
    <mergeCell ref="Z4:AF4"/>
    <mergeCell ref="AL4:AR4"/>
  </mergeCells>
  <pageMargins left="0.12" right="0.12" top="0.75" bottom="0.75" header="0.3" footer="0.3"/>
  <pageSetup paperSize="5" scale="92" fitToWidth="0" orientation="landscape" horizontalDpi="360" verticalDpi="360" r:id="rId1"/>
  <colBreaks count="2" manualBreakCount="2">
    <brk id="23" max="35" man="1"/>
    <brk id="36" max="35" man="1"/>
  </colBreaks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6B68-32D2-4B76-A7A0-9514ADA15FFE}">
  <sheetPr codeName="Sheet14">
    <tabColor theme="7" tint="0.39997558519241921"/>
  </sheetPr>
  <dimension ref="A1:AV44"/>
  <sheetViews>
    <sheetView showGridLines="0" view="pageBreakPreview" zoomScale="70" zoomScaleNormal="55" zoomScaleSheetLayoutView="70" workbookViewId="0">
      <selection activeCell="H13" sqref="H13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8.1796875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8" width="11.7265625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30" width="10.81640625" customWidth="1"/>
    <col min="31" max="31" width="16.453125" customWidth="1"/>
    <col min="32" max="32" width="11.7265625" customWidth="1"/>
    <col min="33" max="33" width="76.54296875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68.7265625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400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45376</v>
      </c>
      <c r="C4" s="68"/>
      <c r="D4" s="68"/>
      <c r="E4" s="68"/>
      <c r="F4" s="68"/>
      <c r="G4" s="68"/>
      <c r="H4" s="68"/>
      <c r="J4" s="66"/>
      <c r="K4" s="66"/>
      <c r="O4" s="68">
        <v>45376</v>
      </c>
      <c r="P4" s="68"/>
      <c r="Q4" s="68"/>
      <c r="R4" s="68"/>
      <c r="S4" s="68"/>
      <c r="T4" s="68"/>
      <c r="U4" s="68"/>
      <c r="W4" s="66"/>
      <c r="X4" s="66"/>
      <c r="AA4" s="68">
        <v>45376</v>
      </c>
      <c r="AB4" s="68"/>
      <c r="AC4" s="68"/>
      <c r="AD4" s="68"/>
      <c r="AE4" s="68"/>
      <c r="AF4" s="68"/>
      <c r="AG4" s="68"/>
      <c r="AI4" s="66"/>
      <c r="AJ4" s="66"/>
      <c r="AM4" s="68">
        <v>45376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21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15</v>
      </c>
    </row>
    <row r="6" spans="1:48" s="1" customFormat="1" x14ac:dyDescent="0.35">
      <c r="A6"/>
      <c r="B6" s="16">
        <v>1</v>
      </c>
      <c r="C6" s="33" t="s">
        <v>24</v>
      </c>
      <c r="D6" s="34">
        <v>0.28541666666666665</v>
      </c>
      <c r="E6" s="34">
        <v>0.44444444444444442</v>
      </c>
      <c r="F6" s="32">
        <f>Table132456789101113212529[[#This Row],[JAM MASUK]]-Table132456789101113212529[[#This Row],[JAM KELUAR]]</f>
        <v>0.15902777777777777</v>
      </c>
      <c r="G6" s="33">
        <v>1</v>
      </c>
      <c r="H6" s="17" t="s">
        <v>378</v>
      </c>
      <c r="J6" s="5" t="s">
        <v>10</v>
      </c>
      <c r="K6" s="7">
        <v>24</v>
      </c>
      <c r="L6" s="28"/>
      <c r="O6" s="16">
        <v>1</v>
      </c>
      <c r="P6" s="37" t="s">
        <v>173</v>
      </c>
      <c r="Q6" s="38">
        <v>0.29722222222222222</v>
      </c>
      <c r="R6" s="38">
        <v>0.55625000000000002</v>
      </c>
      <c r="S6" s="39">
        <f>Table13456789101117222630[[#This Row],[JAM MASUK]]-Table13456789101117222630[[#This Row],[JAM KELUAR]]</f>
        <v>0.2590277777777778</v>
      </c>
      <c r="T6" s="37">
        <v>1</v>
      </c>
      <c r="U6" s="40" t="s">
        <v>388</v>
      </c>
      <c r="W6" s="5" t="s">
        <v>10</v>
      </c>
      <c r="X6" s="7">
        <v>21</v>
      </c>
      <c r="AA6" s="16">
        <v>1</v>
      </c>
      <c r="AB6" s="33" t="s">
        <v>146</v>
      </c>
      <c r="AC6" s="31">
        <v>0.23194444444444443</v>
      </c>
      <c r="AD6" s="31">
        <v>0.47916666666666669</v>
      </c>
      <c r="AE6" s="32">
        <f>Table132456789101216202428[[#This Row],[JAM MASUK]]-Table132456789101216202428[[#This Row],[JAM KELUAR]]</f>
        <v>0.24722222222222226</v>
      </c>
      <c r="AF6" s="33">
        <v>3</v>
      </c>
      <c r="AG6" s="17" t="s">
        <v>374</v>
      </c>
      <c r="AI6" s="5" t="s">
        <v>10</v>
      </c>
      <c r="AJ6" s="7">
        <v>30</v>
      </c>
      <c r="AM6" s="16">
        <v>1</v>
      </c>
      <c r="AN6" s="33" t="s">
        <v>182</v>
      </c>
      <c r="AO6" s="34">
        <v>0.24166666666666667</v>
      </c>
      <c r="AP6" s="34">
        <v>0.37222222222222223</v>
      </c>
      <c r="AQ6" s="32">
        <f>Table1345678910111518192327[[#This Row],[JAM MASUK]]-Table1345678910111518192327[[#This Row],[JAM KELUAR]]</f>
        <v>0.13055555555555556</v>
      </c>
      <c r="AR6" s="33">
        <v>1</v>
      </c>
      <c r="AS6" s="17" t="s">
        <v>382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25</v>
      </c>
      <c r="D7" s="34">
        <v>0.2902777777777778</v>
      </c>
      <c r="E7" s="34">
        <v>0.33333333333333331</v>
      </c>
      <c r="F7" s="32">
        <f>Table132456789101113212529[[#This Row],[JAM MASUK]]-Table132456789101113212529[[#This Row],[JAM KELUAR]]</f>
        <v>4.3055555555555514E-2</v>
      </c>
      <c r="G7" s="33">
        <v>1</v>
      </c>
      <c r="H7" s="17" t="s">
        <v>367</v>
      </c>
      <c r="J7" s="5" t="s">
        <v>9</v>
      </c>
      <c r="K7" s="8">
        <v>16</v>
      </c>
      <c r="L7" s="28"/>
      <c r="O7" s="16">
        <v>2</v>
      </c>
      <c r="P7" s="37" t="s">
        <v>176</v>
      </c>
      <c r="Q7" s="38">
        <v>0.20902777777777778</v>
      </c>
      <c r="R7" s="38">
        <v>0.41250000000000003</v>
      </c>
      <c r="S7" s="39">
        <f>Table13456789101117222630[[#This Row],[JAM MASUK]]-Table13456789101117222630[[#This Row],[JAM KELUAR]]</f>
        <v>0.20347222222222225</v>
      </c>
      <c r="T7" s="37">
        <v>1</v>
      </c>
      <c r="U7" s="40" t="s">
        <v>374</v>
      </c>
      <c r="W7" s="5" t="s">
        <v>9</v>
      </c>
      <c r="X7" s="8">
        <v>13</v>
      </c>
      <c r="AA7" s="16">
        <v>2</v>
      </c>
      <c r="AB7" s="33" t="s">
        <v>200</v>
      </c>
      <c r="AC7" s="31">
        <v>0.40416666666666662</v>
      </c>
      <c r="AD7" s="31">
        <v>0.68958333333333333</v>
      </c>
      <c r="AE7" s="32">
        <f>Table132456789101216202428[[#This Row],[JAM MASUK]]-Table132456789101216202428[[#This Row],[JAM KELUAR]]</f>
        <v>0.28541666666666671</v>
      </c>
      <c r="AF7" s="33">
        <v>3</v>
      </c>
      <c r="AG7" s="17" t="s">
        <v>375</v>
      </c>
      <c r="AI7" s="5" t="s">
        <v>9</v>
      </c>
      <c r="AJ7" s="8">
        <v>33</v>
      </c>
      <c r="AM7" s="16">
        <v>2</v>
      </c>
      <c r="AN7" s="33" t="s">
        <v>253</v>
      </c>
      <c r="AO7" s="34">
        <v>0.25277777777777777</v>
      </c>
      <c r="AP7" s="34">
        <v>0.3743055555555555</v>
      </c>
      <c r="AQ7" s="32">
        <f>Table1345678910111518192327[[#This Row],[JAM MASUK]]-Table1345678910111518192327[[#This Row],[JAM KELUAR]]</f>
        <v>0.12152777777777773</v>
      </c>
      <c r="AR7" s="33">
        <v>1</v>
      </c>
      <c r="AS7" s="17" t="s">
        <v>383</v>
      </c>
      <c r="AU7" s="5" t="s">
        <v>9</v>
      </c>
      <c r="AV7" s="7">
        <v>12</v>
      </c>
    </row>
    <row r="8" spans="1:48" s="1" customFormat="1" x14ac:dyDescent="0.35">
      <c r="A8"/>
      <c r="B8" s="16">
        <v>3</v>
      </c>
      <c r="C8" s="33" t="s">
        <v>15</v>
      </c>
      <c r="D8" s="34">
        <v>0.32291666666666669</v>
      </c>
      <c r="E8" s="34">
        <v>0.67013888888888884</v>
      </c>
      <c r="F8" s="32">
        <f>Table132456789101113212529[[#This Row],[JAM MASUK]]-Table132456789101113212529[[#This Row],[JAM KELUAR]]</f>
        <v>0.34722222222222215</v>
      </c>
      <c r="G8" s="33">
        <v>2</v>
      </c>
      <c r="H8" s="17" t="s">
        <v>379</v>
      </c>
      <c r="J8" s="5" t="s">
        <v>4</v>
      </c>
      <c r="K8" s="8">
        <v>1</v>
      </c>
      <c r="L8" s="28"/>
      <c r="O8" s="16">
        <v>3</v>
      </c>
      <c r="P8" s="37" t="s">
        <v>295</v>
      </c>
      <c r="Q8" s="38">
        <v>0.29652777777777778</v>
      </c>
      <c r="R8" s="38">
        <v>0.65694444444444444</v>
      </c>
      <c r="S8" s="39">
        <f>Table13456789101117222630[[#This Row],[JAM MASUK]]-Table13456789101117222630[[#This Row],[JAM KELUAR]]</f>
        <v>0.36041666666666666</v>
      </c>
      <c r="T8" s="37">
        <v>2</v>
      </c>
      <c r="U8" s="40" t="s">
        <v>395</v>
      </c>
      <c r="W8" s="5" t="s">
        <v>4</v>
      </c>
      <c r="X8" s="8">
        <v>3</v>
      </c>
      <c r="AA8" s="16">
        <v>3</v>
      </c>
      <c r="AB8" s="33" t="s">
        <v>204</v>
      </c>
      <c r="AC8" s="31">
        <v>0.3125</v>
      </c>
      <c r="AD8" s="31">
        <v>0.59375</v>
      </c>
      <c r="AE8" s="32">
        <f>Table132456789101216202428[[#This Row],[JAM MASUK]]-Table132456789101216202428[[#This Row],[JAM KELUAR]]</f>
        <v>0.28125</v>
      </c>
      <c r="AF8" s="33">
        <v>3</v>
      </c>
      <c r="AG8" s="17" t="s">
        <v>376</v>
      </c>
      <c r="AI8" s="5" t="s">
        <v>4</v>
      </c>
      <c r="AJ8" s="8">
        <v>0</v>
      </c>
      <c r="AM8" s="16">
        <v>3</v>
      </c>
      <c r="AN8" s="33" t="s">
        <v>187</v>
      </c>
      <c r="AO8" s="34">
        <v>0.23194444444444443</v>
      </c>
      <c r="AP8" s="34">
        <v>0.56041666666666667</v>
      </c>
      <c r="AQ8" s="32">
        <f>Table1345678910111518192327[[#This Row],[JAM MASUK]]-Table1345678910111518192327[[#This Row],[JAM KELUAR]]</f>
        <v>0.32847222222222228</v>
      </c>
      <c r="AR8" s="33">
        <v>2</v>
      </c>
      <c r="AS8" s="17" t="s">
        <v>384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53</v>
      </c>
      <c r="D9" s="34">
        <v>0.27430555555555552</v>
      </c>
      <c r="E9" s="34">
        <v>0.60972222222222217</v>
      </c>
      <c r="F9" s="32">
        <f>Table132456789101113212529[[#This Row],[JAM MASUK]]-Table132456789101113212529[[#This Row],[JAM KELUAR]]</f>
        <v>0.33541666666666664</v>
      </c>
      <c r="G9" s="33">
        <v>2</v>
      </c>
      <c r="H9" s="17" t="s">
        <v>380</v>
      </c>
      <c r="J9" s="5" t="s">
        <v>5</v>
      </c>
      <c r="K9" s="8">
        <v>7</v>
      </c>
      <c r="L9" s="28"/>
      <c r="O9" s="16">
        <v>4</v>
      </c>
      <c r="P9" s="37" t="s">
        <v>296</v>
      </c>
      <c r="Q9" s="38">
        <v>0.28472222222222221</v>
      </c>
      <c r="R9" s="38">
        <v>0.74305555555555547</v>
      </c>
      <c r="S9" s="39">
        <f>Table13456789101117222630[[#This Row],[JAM MASUK]]-Table13456789101117222630[[#This Row],[JAM KELUAR]]</f>
        <v>0.45833333333333326</v>
      </c>
      <c r="T9" s="37">
        <v>2</v>
      </c>
      <c r="U9" s="40" t="s">
        <v>389</v>
      </c>
      <c r="W9" s="5" t="s">
        <v>5</v>
      </c>
      <c r="X9" s="8">
        <v>5</v>
      </c>
      <c r="AA9" s="16">
        <v>4</v>
      </c>
      <c r="AB9" s="33" t="s">
        <v>249</v>
      </c>
      <c r="AC9" s="31">
        <v>0.24444444444444446</v>
      </c>
      <c r="AD9" s="31">
        <v>0.70347222222222217</v>
      </c>
      <c r="AE9" s="32">
        <f>Table132456789101216202428[[#This Row],[JAM MASUK]]-Table132456789101216202428[[#This Row],[JAM KELUAR]]</f>
        <v>0.4590277777777777</v>
      </c>
      <c r="AF9" s="33">
        <v>3</v>
      </c>
      <c r="AG9" s="17" t="s">
        <v>377</v>
      </c>
      <c r="AI9" s="5" t="s">
        <v>5</v>
      </c>
      <c r="AJ9" s="8">
        <v>1</v>
      </c>
      <c r="AM9" s="16">
        <v>4</v>
      </c>
      <c r="AN9" s="33" t="s">
        <v>185</v>
      </c>
      <c r="AO9" s="34">
        <v>0.25833333333333336</v>
      </c>
      <c r="AP9" s="34">
        <v>0.63263888888888886</v>
      </c>
      <c r="AQ9" s="32">
        <f>Table1345678910111518192327[[#This Row],[JAM MASUK]]-Table1345678910111518192327[[#This Row],[JAM KELUAR]]</f>
        <v>0.3743055555555555</v>
      </c>
      <c r="AR9" s="33">
        <v>3</v>
      </c>
      <c r="AS9" s="17" t="s">
        <v>385</v>
      </c>
      <c r="AU9" s="5" t="s">
        <v>5</v>
      </c>
      <c r="AV9" s="8">
        <v>2</v>
      </c>
    </row>
    <row r="10" spans="1:48" s="1" customFormat="1" x14ac:dyDescent="0.35">
      <c r="A10"/>
      <c r="B10" s="16">
        <v>5</v>
      </c>
      <c r="C10" s="33" t="s">
        <v>19</v>
      </c>
      <c r="D10" s="34">
        <v>0.375</v>
      </c>
      <c r="E10" s="34">
        <v>0.6958333333333333</v>
      </c>
      <c r="F10" s="32">
        <f>Table132456789101113212529[[#This Row],[JAM MASUK]]-Table132456789101113212529[[#This Row],[JAM KELUAR]]</f>
        <v>0.3208333333333333</v>
      </c>
      <c r="G10" s="33">
        <v>2</v>
      </c>
      <c r="H10" s="17" t="s">
        <v>398</v>
      </c>
      <c r="J10" s="5" t="s">
        <v>6</v>
      </c>
      <c r="K10" s="8">
        <v>0</v>
      </c>
      <c r="L10" s="28"/>
      <c r="O10" s="16">
        <v>5</v>
      </c>
      <c r="P10" s="37" t="s">
        <v>298</v>
      </c>
      <c r="Q10" s="38">
        <v>0.30208333333333331</v>
      </c>
      <c r="R10" s="38">
        <v>0.71111111111111114</v>
      </c>
      <c r="S10" s="39">
        <f>Table13456789101117222630[[#This Row],[JAM MASUK]]-Table13456789101117222630[[#This Row],[JAM KELUAR]]</f>
        <v>0.40902777777777782</v>
      </c>
      <c r="T10" s="37">
        <v>2</v>
      </c>
      <c r="U10" s="40" t="s">
        <v>75</v>
      </c>
      <c r="W10" s="5" t="s">
        <v>166</v>
      </c>
      <c r="X10" s="8">
        <v>0</v>
      </c>
      <c r="AA10" s="1">
        <v>5</v>
      </c>
      <c r="AB10" s="2" t="s">
        <v>276</v>
      </c>
      <c r="AC10" s="29">
        <v>0.2986111111111111</v>
      </c>
      <c r="AD10" s="29">
        <v>0.66875000000000007</v>
      </c>
      <c r="AE10" s="30">
        <f>Table132456789101216202428[[#This Row],[JAM MASUK]]-Table132456789101216202428[[#This Row],[JAM KELUAR]]</f>
        <v>0.37013888888888896</v>
      </c>
      <c r="AF10" s="2">
        <v>4</v>
      </c>
      <c r="AG10" s="18" t="s">
        <v>54</v>
      </c>
      <c r="AI10" s="5" t="s">
        <v>6</v>
      </c>
      <c r="AJ10" s="8">
        <v>21</v>
      </c>
      <c r="AM10" s="16">
        <v>5</v>
      </c>
      <c r="AN10" s="33" t="s">
        <v>189</v>
      </c>
      <c r="AO10" s="34">
        <v>0.28263888888888888</v>
      </c>
      <c r="AP10" s="34">
        <v>0.62847222222222221</v>
      </c>
      <c r="AQ10" s="32">
        <f>Table1345678910111518192327[[#This Row],[JAM MASUK]]-Table1345678910111518192327[[#This Row],[JAM KELUAR]]</f>
        <v>0.34583333333333333</v>
      </c>
      <c r="AR10" s="33">
        <v>4</v>
      </c>
      <c r="AS10" s="17" t="s">
        <v>386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32</v>
      </c>
      <c r="D11" s="34">
        <v>0.26666666666666666</v>
      </c>
      <c r="E11" s="34">
        <v>0.6430555555555556</v>
      </c>
      <c r="F11" s="32">
        <f>Table132456789101113212529[[#This Row],[JAM MASUK]]-Table132456789101113212529[[#This Row],[JAM KELUAR]]</f>
        <v>0.37638888888888894</v>
      </c>
      <c r="G11" s="33">
        <v>2</v>
      </c>
      <c r="H11" s="17" t="s">
        <v>137</v>
      </c>
      <c r="J11" s="9" t="s">
        <v>8</v>
      </c>
      <c r="K11" s="10">
        <f>SUM(Table132456789101113212529[Retase])</f>
        <v>37</v>
      </c>
      <c r="L11" s="28"/>
      <c r="O11" s="16">
        <v>6</v>
      </c>
      <c r="P11" s="37" t="s">
        <v>174</v>
      </c>
      <c r="Q11" s="38">
        <v>0.29236111111111113</v>
      </c>
      <c r="R11" s="38">
        <v>0.66736111111111107</v>
      </c>
      <c r="S11" s="39">
        <f>Table13456789101117222630[[#This Row],[JAM MASUK]]-Table13456789101117222630[[#This Row],[JAM KELUAR]]</f>
        <v>0.37499999999999994</v>
      </c>
      <c r="T11" s="37">
        <v>2</v>
      </c>
      <c r="U11" s="40" t="s">
        <v>391</v>
      </c>
      <c r="W11" s="9" t="s">
        <v>8</v>
      </c>
      <c r="X11" s="10">
        <f>SUM(Table13456789101117222630[Retase])</f>
        <v>27</v>
      </c>
      <c r="AA11" s="1">
        <v>6</v>
      </c>
      <c r="AB11" s="2" t="s">
        <v>147</v>
      </c>
      <c r="AC11" s="29">
        <v>0.22222222222222221</v>
      </c>
      <c r="AD11" s="29">
        <v>0.58402777777777781</v>
      </c>
      <c r="AE11" s="30">
        <f>Table132456789101216202428[[#This Row],[JAM MASUK]]-Table132456789101216202428[[#This Row],[JAM KELUAR]]</f>
        <v>0.3618055555555556</v>
      </c>
      <c r="AF11" s="2">
        <v>4</v>
      </c>
      <c r="AG11" s="18" t="s">
        <v>54</v>
      </c>
      <c r="AI11" s="9" t="s">
        <v>8</v>
      </c>
      <c r="AJ11" s="10">
        <f>SUM(Table132456789101216202428[Retase])</f>
        <v>147</v>
      </c>
      <c r="AM11" s="1">
        <v>6</v>
      </c>
      <c r="AN11" s="2" t="s">
        <v>184</v>
      </c>
      <c r="AO11" s="35">
        <v>0.23263888888888887</v>
      </c>
      <c r="AP11" s="35">
        <v>0.61458333333333337</v>
      </c>
      <c r="AQ11" s="30">
        <f>Table1345678910111518192327[[#This Row],[JAM MASUK]]-Table1345678910111518192327[[#This Row],[JAM KELUAR]]</f>
        <v>0.38194444444444453</v>
      </c>
      <c r="AR11" s="2">
        <v>5</v>
      </c>
      <c r="AS11" s="18" t="s">
        <v>54</v>
      </c>
      <c r="AU11" s="9" t="s">
        <v>8</v>
      </c>
      <c r="AV11" s="10">
        <f>SUM(Table1345678910111518192327[Retase])</f>
        <v>49</v>
      </c>
    </row>
    <row r="12" spans="1:48" s="1" customFormat="1" x14ac:dyDescent="0.35">
      <c r="A12"/>
      <c r="B12" s="16">
        <v>7</v>
      </c>
      <c r="C12" s="33" t="s">
        <v>20</v>
      </c>
      <c r="D12" s="34">
        <v>0.26041666666666669</v>
      </c>
      <c r="E12" s="34">
        <v>0.57222222222222219</v>
      </c>
      <c r="F12" s="32">
        <f>Table132456789101113212529[[#This Row],[JAM MASUK]]-Table132456789101113212529[[#This Row],[JAM KELUAR]]</f>
        <v>0.3118055555555555</v>
      </c>
      <c r="G12" s="33">
        <v>2</v>
      </c>
      <c r="H12" s="17" t="s">
        <v>381</v>
      </c>
      <c r="J12" s="11" t="s">
        <v>7</v>
      </c>
      <c r="K12" s="12">
        <f>K11/K7</f>
        <v>2.3125</v>
      </c>
      <c r="L12" s="28"/>
      <c r="O12" s="16">
        <v>7</v>
      </c>
      <c r="P12" s="37" t="s">
        <v>162</v>
      </c>
      <c r="Q12" s="38">
        <v>0.33749999999999997</v>
      </c>
      <c r="R12" s="38">
        <v>0.70486111111111116</v>
      </c>
      <c r="S12" s="39">
        <f>Table13456789101117222630[[#This Row],[JAM MASUK]]-Table13456789101117222630[[#This Row],[JAM KELUAR]]</f>
        <v>0.36736111111111119</v>
      </c>
      <c r="T12" s="37">
        <v>2</v>
      </c>
      <c r="U12" s="40" t="s">
        <v>392</v>
      </c>
      <c r="W12" s="11" t="s">
        <v>7</v>
      </c>
      <c r="X12" s="12">
        <f>X11/X7</f>
        <v>2.0769230769230771</v>
      </c>
      <c r="AA12" s="1">
        <v>7</v>
      </c>
      <c r="AB12" s="2" t="s">
        <v>203</v>
      </c>
      <c r="AC12" s="29">
        <v>0.29652777777777778</v>
      </c>
      <c r="AD12" s="29">
        <v>0.69513888888888886</v>
      </c>
      <c r="AE12" s="30">
        <f>Table132456789101216202428[[#This Row],[JAM MASUK]]-Table132456789101216202428[[#This Row],[JAM KELUAR]]</f>
        <v>0.39861111111111108</v>
      </c>
      <c r="AF12" s="2">
        <v>4</v>
      </c>
      <c r="AG12" s="18" t="s">
        <v>54</v>
      </c>
      <c r="AI12" s="11" t="s">
        <v>7</v>
      </c>
      <c r="AJ12" s="12">
        <f>AJ11/AJ7</f>
        <v>4.4545454545454541</v>
      </c>
      <c r="AM12" s="1">
        <v>7</v>
      </c>
      <c r="AN12" s="2" t="s">
        <v>181</v>
      </c>
      <c r="AO12" s="35">
        <v>0.22013888888888888</v>
      </c>
      <c r="AP12" s="35">
        <v>0.66736111111111107</v>
      </c>
      <c r="AQ12" s="30">
        <f>Table1345678910111518192327[[#This Row],[JAM MASUK]]-Table1345678910111518192327[[#This Row],[JAM KELUAR]]</f>
        <v>0.44722222222222219</v>
      </c>
      <c r="AR12" s="2">
        <v>5</v>
      </c>
      <c r="AS12" s="18" t="s">
        <v>54</v>
      </c>
      <c r="AU12" s="11" t="s">
        <v>7</v>
      </c>
      <c r="AV12" s="12">
        <f>AV11/AV7</f>
        <v>4.083333333333333</v>
      </c>
    </row>
    <row r="13" spans="1:48" s="1" customFormat="1" x14ac:dyDescent="0.35">
      <c r="A13"/>
      <c r="B13" s="16">
        <v>8</v>
      </c>
      <c r="C13" s="33" t="s">
        <v>26</v>
      </c>
      <c r="D13" s="34">
        <v>0.25138888888888888</v>
      </c>
      <c r="E13" s="34">
        <v>0.63611111111111118</v>
      </c>
      <c r="F13" s="32">
        <f>Table132456789101113212529[[#This Row],[JAM MASUK]]-Table132456789101113212529[[#This Row],[JAM KELUAR]]</f>
        <v>0.3847222222222223</v>
      </c>
      <c r="G13" s="33">
        <v>2</v>
      </c>
      <c r="H13" s="17" t="s">
        <v>397</v>
      </c>
      <c r="J13" s="13" t="s">
        <v>11</v>
      </c>
      <c r="K13" s="14">
        <v>2.5</v>
      </c>
      <c r="L13" s="28"/>
      <c r="O13" s="16">
        <v>8</v>
      </c>
      <c r="P13" s="37" t="s">
        <v>165</v>
      </c>
      <c r="Q13" s="38">
        <v>0.23611111111111113</v>
      </c>
      <c r="R13" s="38">
        <v>0.74305555555555547</v>
      </c>
      <c r="S13" s="39">
        <f>Table13456789101117222630[[#This Row],[JAM MASUK]]-Table13456789101117222630[[#This Row],[JAM KELUAR]]</f>
        <v>0.50694444444444431</v>
      </c>
      <c r="T13" s="37">
        <v>2</v>
      </c>
      <c r="U13" s="40" t="s">
        <v>393</v>
      </c>
      <c r="W13" s="13" t="s">
        <v>11</v>
      </c>
      <c r="X13" s="14">
        <v>2.5</v>
      </c>
      <c r="AA13" s="1">
        <v>8</v>
      </c>
      <c r="AB13" s="2" t="s">
        <v>205</v>
      </c>
      <c r="AC13" s="29">
        <v>0.28750000000000003</v>
      </c>
      <c r="AD13" s="29">
        <v>0.68402777777777779</v>
      </c>
      <c r="AE13" s="30">
        <f>Table132456789101216202428[[#This Row],[JAM MASUK]]-Table132456789101216202428[[#This Row],[JAM KELUAR]]</f>
        <v>0.39652777777777776</v>
      </c>
      <c r="AF13" s="2">
        <v>4</v>
      </c>
      <c r="AG13" s="18" t="s">
        <v>54</v>
      </c>
      <c r="AI13" s="13" t="s">
        <v>11</v>
      </c>
      <c r="AJ13" s="14">
        <v>4</v>
      </c>
      <c r="AM13" s="1">
        <v>8</v>
      </c>
      <c r="AN13" s="2" t="s">
        <v>252</v>
      </c>
      <c r="AO13" s="35">
        <v>0.2590277777777778</v>
      </c>
      <c r="AP13" s="35">
        <v>0.64861111111111114</v>
      </c>
      <c r="AQ13" s="30">
        <f>Table1345678910111518192327[[#This Row],[JAM MASUK]]-Table1345678910111518192327[[#This Row],[JAM KELUAR]]</f>
        <v>0.38958333333333334</v>
      </c>
      <c r="AR13" s="2">
        <v>5</v>
      </c>
      <c r="AS13" s="18" t="s">
        <v>54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28</v>
      </c>
      <c r="D14" s="34">
        <v>0.27430555555555552</v>
      </c>
      <c r="E14" s="34">
        <v>0.62152777777777779</v>
      </c>
      <c r="F14" s="32">
        <f>Table132456789101113212529[[#This Row],[JAM MASUK]]-Table132456789101113212529[[#This Row],[JAM KELUAR]]</f>
        <v>0.34722222222222227</v>
      </c>
      <c r="G14" s="33">
        <v>2</v>
      </c>
      <c r="H14" s="17" t="s">
        <v>396</v>
      </c>
      <c r="J14" s="13" t="s">
        <v>51</v>
      </c>
      <c r="K14" s="15">
        <f>K12/K13</f>
        <v>0.92500000000000004</v>
      </c>
      <c r="L14" s="28"/>
      <c r="O14" s="16">
        <v>9</v>
      </c>
      <c r="P14" s="37" t="s">
        <v>163</v>
      </c>
      <c r="Q14" s="38">
        <v>0.28472222222222221</v>
      </c>
      <c r="R14" s="38">
        <v>0.70486111111111116</v>
      </c>
      <c r="S14" s="39">
        <f>Table13456789101117222630[[#This Row],[JAM MASUK]]-Table13456789101117222630[[#This Row],[JAM KELUAR]]</f>
        <v>0.42013888888888895</v>
      </c>
      <c r="T14" s="37">
        <v>2</v>
      </c>
      <c r="U14" s="40" t="s">
        <v>394</v>
      </c>
      <c r="W14" s="13" t="s">
        <v>51</v>
      </c>
      <c r="X14" s="15">
        <f>X12/X13</f>
        <v>0.83076923076923082</v>
      </c>
      <c r="AA14" s="1">
        <v>9</v>
      </c>
      <c r="AB14" s="2" t="s">
        <v>149</v>
      </c>
      <c r="AC14" s="29">
        <v>0.25069444444444444</v>
      </c>
      <c r="AD14" s="29">
        <v>0.64027777777777783</v>
      </c>
      <c r="AE14" s="30">
        <f>Table132456789101216202428[[#This Row],[JAM MASUK]]-Table132456789101216202428[[#This Row],[JAM KELUAR]]</f>
        <v>0.38958333333333339</v>
      </c>
      <c r="AF14" s="2">
        <v>4</v>
      </c>
      <c r="AG14" s="18" t="s">
        <v>54</v>
      </c>
      <c r="AI14" s="13" t="s">
        <v>51</v>
      </c>
      <c r="AJ14" s="15">
        <f>AJ12/AJ13</f>
        <v>1.1136363636363635</v>
      </c>
      <c r="AM14" s="1">
        <v>9</v>
      </c>
      <c r="AN14" s="2" t="s">
        <v>192</v>
      </c>
      <c r="AO14" s="35">
        <v>0.32222222222222224</v>
      </c>
      <c r="AP14" s="35">
        <v>0.66666666666666663</v>
      </c>
      <c r="AQ14" s="30">
        <f>Table1345678910111518192327[[#This Row],[JAM MASUK]]-Table1345678910111518192327[[#This Row],[JAM KELUAR]]</f>
        <v>0.34444444444444439</v>
      </c>
      <c r="AR14" s="2">
        <v>5</v>
      </c>
      <c r="AS14" s="18" t="s">
        <v>54</v>
      </c>
      <c r="AU14" s="13" t="s">
        <v>51</v>
      </c>
      <c r="AV14" s="15">
        <f>AV12/AV13</f>
        <v>0.81666666666666665</v>
      </c>
    </row>
    <row r="15" spans="1:48" x14ac:dyDescent="0.35">
      <c r="B15" s="1">
        <v>10</v>
      </c>
      <c r="C15" s="2" t="s">
        <v>18</v>
      </c>
      <c r="D15" s="35">
        <v>0.27569444444444446</v>
      </c>
      <c r="E15" s="35">
        <v>0.71875</v>
      </c>
      <c r="F15" s="30">
        <f>Table132456789101113212529[[#This Row],[JAM MASUK]]-Table132456789101113212529[[#This Row],[JAM KELUAR]]</f>
        <v>0.44305555555555554</v>
      </c>
      <c r="G15" s="2">
        <v>3</v>
      </c>
      <c r="H15" s="18" t="s">
        <v>54</v>
      </c>
      <c r="J15" s="13" t="s">
        <v>52</v>
      </c>
      <c r="K15" s="15">
        <f>K7/K6</f>
        <v>0.66666666666666663</v>
      </c>
      <c r="O15" s="16">
        <v>10</v>
      </c>
      <c r="P15" s="37" t="s">
        <v>301</v>
      </c>
      <c r="Q15" s="38">
        <v>0.25277777777777777</v>
      </c>
      <c r="R15" s="38">
        <v>0.67708333333333337</v>
      </c>
      <c r="S15" s="39">
        <f>Table13456789101117222630[[#This Row],[JAM MASUK]]-Table13456789101117222630[[#This Row],[JAM KELUAR]]</f>
        <v>0.4243055555555556</v>
      </c>
      <c r="T15" s="37">
        <v>2</v>
      </c>
      <c r="U15" s="40" t="s">
        <v>395</v>
      </c>
      <c r="W15" s="13" t="s">
        <v>151</v>
      </c>
      <c r="X15" s="15">
        <f>X7/X6</f>
        <v>0.61904761904761907</v>
      </c>
      <c r="AA15" s="1">
        <v>10</v>
      </c>
      <c r="AB15" s="2" t="s">
        <v>153</v>
      </c>
      <c r="AC15" s="29">
        <v>0.27430555555555552</v>
      </c>
      <c r="AD15" s="29">
        <v>0.6694444444444444</v>
      </c>
      <c r="AE15" s="30">
        <f>Table132456789101216202428[[#This Row],[JAM MASUK]]-Table132456789101216202428[[#This Row],[JAM KELUAR]]</f>
        <v>0.39513888888888887</v>
      </c>
      <c r="AF15" s="2">
        <v>4</v>
      </c>
      <c r="AG15" s="18" t="s">
        <v>54</v>
      </c>
      <c r="AI15" s="13" t="s">
        <v>151</v>
      </c>
      <c r="AJ15" s="15">
        <f>AJ7/AJ6</f>
        <v>1.1000000000000001</v>
      </c>
      <c r="AM15" s="1">
        <v>10</v>
      </c>
      <c r="AN15" s="2" t="s">
        <v>186</v>
      </c>
      <c r="AO15" s="35">
        <v>0.23194444444444443</v>
      </c>
      <c r="AP15" s="35">
        <v>0.72916666666666663</v>
      </c>
      <c r="AQ15" s="30">
        <f>Table1345678910111518192327[[#This Row],[JAM MASUK]]-Table1345678910111518192327[[#This Row],[JAM KELUAR]]</f>
        <v>0.49722222222222223</v>
      </c>
      <c r="AR15" s="2">
        <v>6</v>
      </c>
      <c r="AS15" s="18" t="s">
        <v>54</v>
      </c>
      <c r="AU15" s="13" t="s">
        <v>151</v>
      </c>
      <c r="AV15" s="15">
        <f>AV7/AV6</f>
        <v>0.8</v>
      </c>
    </row>
    <row r="16" spans="1:48" x14ac:dyDescent="0.35">
      <c r="B16" s="1">
        <v>11</v>
      </c>
      <c r="C16" s="2" t="s">
        <v>373</v>
      </c>
      <c r="D16" s="35">
        <v>0.31597222222222221</v>
      </c>
      <c r="E16" s="35">
        <v>0.71875</v>
      </c>
      <c r="F16" s="30">
        <f>Table132456789101113212529[[#This Row],[JAM MASUK]]-Table132456789101113212529[[#This Row],[JAM KELUAR]]</f>
        <v>0.40277777777777779</v>
      </c>
      <c r="G16" s="2">
        <v>3</v>
      </c>
      <c r="H16" s="18" t="s">
        <v>54</v>
      </c>
      <c r="O16" s="1">
        <v>11</v>
      </c>
      <c r="P16" s="41" t="s">
        <v>300</v>
      </c>
      <c r="Q16" s="42">
        <v>0.23750000000000002</v>
      </c>
      <c r="R16" s="42">
        <v>0.72569444444444453</v>
      </c>
      <c r="S16" s="43">
        <f>Table13456789101117222630[[#This Row],[JAM MASUK]]-Table13456789101117222630[[#This Row],[JAM KELUAR]]</f>
        <v>0.48819444444444449</v>
      </c>
      <c r="T16" s="41">
        <v>3</v>
      </c>
      <c r="U16" s="44" t="s">
        <v>54</v>
      </c>
      <c r="W16" s="21"/>
      <c r="X16" s="22"/>
      <c r="AA16" s="1">
        <v>11</v>
      </c>
      <c r="AB16" s="2" t="s">
        <v>280</v>
      </c>
      <c r="AC16" s="29">
        <v>0.20208333333333331</v>
      </c>
      <c r="AD16" s="29">
        <v>0.65277777777777779</v>
      </c>
      <c r="AE16" s="30">
        <f>Table132456789101216202428[[#This Row],[JAM MASUK]]-Table132456789101216202428[[#This Row],[JAM KELUAR]]</f>
        <v>0.45069444444444451</v>
      </c>
      <c r="AF16" s="2">
        <v>4</v>
      </c>
      <c r="AG16" s="18" t="s">
        <v>54</v>
      </c>
      <c r="AM16" s="1">
        <v>11</v>
      </c>
      <c r="AN16" s="2" t="s">
        <v>188</v>
      </c>
      <c r="AO16" s="35">
        <v>0.30138888888888887</v>
      </c>
      <c r="AP16" s="35">
        <v>0.71180555555555547</v>
      </c>
      <c r="AQ16" s="30">
        <f>Table1345678910111518192327[[#This Row],[JAM MASUK]]-Table1345678910111518192327[[#This Row],[JAM KELUAR]]</f>
        <v>0.4104166666666666</v>
      </c>
      <c r="AR16" s="2">
        <v>6</v>
      </c>
      <c r="AS16" s="18" t="s">
        <v>54</v>
      </c>
    </row>
    <row r="17" spans="2:47" x14ac:dyDescent="0.35">
      <c r="B17" s="1">
        <v>12</v>
      </c>
      <c r="C17" s="2" t="s">
        <v>21</v>
      </c>
      <c r="D17" s="35">
        <v>0.30208333333333331</v>
      </c>
      <c r="E17" s="35">
        <v>0.7006944444444444</v>
      </c>
      <c r="F17" s="30">
        <f>Table132456789101113212529[[#This Row],[JAM MASUK]]-Table132456789101113212529[[#This Row],[JAM KELUAR]]</f>
        <v>0.39861111111111108</v>
      </c>
      <c r="G17" s="2">
        <v>3</v>
      </c>
      <c r="H17" s="18" t="s">
        <v>54</v>
      </c>
      <c r="O17" s="1">
        <v>12</v>
      </c>
      <c r="P17" s="41" t="s">
        <v>167</v>
      </c>
      <c r="Q17" s="42">
        <v>0.20347222222222219</v>
      </c>
      <c r="R17" s="42">
        <v>0.7416666666666667</v>
      </c>
      <c r="S17" s="43">
        <f>Table13456789101117222630[[#This Row],[JAM MASUK]]-Table13456789101117222630[[#This Row],[JAM KELUAR]]</f>
        <v>0.53819444444444453</v>
      </c>
      <c r="T17" s="41">
        <v>3</v>
      </c>
      <c r="U17" s="44" t="s">
        <v>54</v>
      </c>
      <c r="W17" s="21"/>
      <c r="X17" s="22"/>
      <c r="AA17" s="1">
        <v>12</v>
      </c>
      <c r="AB17" s="2" t="s">
        <v>250</v>
      </c>
      <c r="AC17" s="29">
        <v>0.26666666666666666</v>
      </c>
      <c r="AD17" s="29">
        <v>0.60972222222222217</v>
      </c>
      <c r="AE17" s="30">
        <f>Table132456789101216202428[[#This Row],[JAM MASUK]]-Table132456789101216202428[[#This Row],[JAM KELUAR]]</f>
        <v>0.3430555555555555</v>
      </c>
      <c r="AF17" s="2">
        <v>4</v>
      </c>
      <c r="AG17" s="18" t="s">
        <v>54</v>
      </c>
      <c r="AM17" s="1">
        <v>12</v>
      </c>
      <c r="AN17" s="2" t="s">
        <v>190</v>
      </c>
      <c r="AO17" s="35">
        <v>0.22222222222222221</v>
      </c>
      <c r="AP17" s="35">
        <v>0.67013888888888884</v>
      </c>
      <c r="AQ17" s="30">
        <f>Table1345678910111518192327[[#This Row],[JAM MASUK]]-Table1345678910111518192327[[#This Row],[JAM KELUAR]]</f>
        <v>0.44791666666666663</v>
      </c>
      <c r="AR17" s="2">
        <v>6</v>
      </c>
      <c r="AS17" s="18" t="s">
        <v>54</v>
      </c>
      <c r="AU17" s="20"/>
    </row>
    <row r="18" spans="2:47" x14ac:dyDescent="0.35">
      <c r="B18" s="1">
        <v>13</v>
      </c>
      <c r="C18" s="2" t="s">
        <v>22</v>
      </c>
      <c r="D18" s="35">
        <v>0.25763888888888892</v>
      </c>
      <c r="E18" s="35">
        <v>0.67222222222222217</v>
      </c>
      <c r="F18" s="30">
        <f>Table132456789101113212529[[#This Row],[JAM MASUK]]-Table132456789101113212529[[#This Row],[JAM KELUAR]]</f>
        <v>0.41458333333333325</v>
      </c>
      <c r="G18" s="2">
        <v>3</v>
      </c>
      <c r="H18" s="18" t="s">
        <v>54</v>
      </c>
      <c r="O18" s="1">
        <v>13</v>
      </c>
      <c r="P18" s="45" t="s">
        <v>302</v>
      </c>
      <c r="Q18" s="46">
        <v>0.23194444444444443</v>
      </c>
      <c r="R18" s="46">
        <v>0.72638888888888886</v>
      </c>
      <c r="S18" s="43">
        <f>Table13456789101117222630[[#This Row],[JAM MASUK]]-Table13456789101117222630[[#This Row],[JAM KELUAR]]</f>
        <v>0.49444444444444446</v>
      </c>
      <c r="T18" s="45">
        <v>3</v>
      </c>
      <c r="U18" s="44" t="s">
        <v>54</v>
      </c>
      <c r="W18" s="21"/>
      <c r="X18" s="22"/>
      <c r="AA18" s="1">
        <v>13</v>
      </c>
      <c r="AB18" s="2" t="s">
        <v>210</v>
      </c>
      <c r="AC18" s="29">
        <v>0.20208333333333331</v>
      </c>
      <c r="AD18" s="29">
        <v>0.56388888888888888</v>
      </c>
      <c r="AE18" s="30">
        <f>Table132456789101216202428[[#This Row],[JAM MASUK]]-Table132456789101216202428[[#This Row],[JAM KELUAR]]</f>
        <v>0.3618055555555556</v>
      </c>
      <c r="AF18" s="2">
        <v>4</v>
      </c>
      <c r="AG18" s="18" t="s">
        <v>54</v>
      </c>
      <c r="AI18" s="20"/>
    </row>
    <row r="19" spans="2:47" x14ac:dyDescent="0.35">
      <c r="B19" s="1">
        <v>14</v>
      </c>
      <c r="C19" s="2" t="s">
        <v>33</v>
      </c>
      <c r="D19" s="35">
        <v>0.26458333333333334</v>
      </c>
      <c r="E19" s="35">
        <v>0.6972222222222223</v>
      </c>
      <c r="F19" s="30">
        <f>Table132456789101113212529[[#This Row],[JAM MASUK]]-Table132456789101113212529[[#This Row],[JAM KELUAR]]</f>
        <v>0.43263888888888896</v>
      </c>
      <c r="G19" s="2">
        <v>3</v>
      </c>
      <c r="H19" s="18" t="s">
        <v>54</v>
      </c>
      <c r="O19" s="21"/>
      <c r="P19" s="21"/>
      <c r="Q19" s="21"/>
      <c r="R19" s="21"/>
      <c r="S19" s="21"/>
      <c r="T19" s="21"/>
      <c r="U19" s="21"/>
      <c r="W19" s="21"/>
      <c r="X19" s="22"/>
      <c r="AA19" s="1">
        <v>14</v>
      </c>
      <c r="AB19" s="2" t="s">
        <v>251</v>
      </c>
      <c r="AC19" s="29">
        <v>0.31944444444444448</v>
      </c>
      <c r="AD19" s="29">
        <v>0.70277777777777783</v>
      </c>
      <c r="AE19" s="30">
        <f>Table132456789101216202428[[#This Row],[JAM MASUK]]-Table132456789101216202428[[#This Row],[JAM KELUAR]]</f>
        <v>0.38333333333333336</v>
      </c>
      <c r="AF19" s="2">
        <v>4</v>
      </c>
      <c r="AG19" s="18" t="s">
        <v>54</v>
      </c>
    </row>
    <row r="20" spans="2:47" ht="18.5" x14ac:dyDescent="0.45">
      <c r="B20" s="1">
        <v>15</v>
      </c>
      <c r="C20" s="2" t="s">
        <v>27</v>
      </c>
      <c r="D20" s="35">
        <v>0.24444444444444446</v>
      </c>
      <c r="E20" s="35">
        <v>0.67708333333333337</v>
      </c>
      <c r="F20" s="30">
        <f>Table132456789101113212529[[#This Row],[JAM MASUK]]-Table132456789101113212529[[#This Row],[JAM KELUAR]]</f>
        <v>0.43263888888888891</v>
      </c>
      <c r="G20" s="2">
        <v>3</v>
      </c>
      <c r="H20" s="18" t="s">
        <v>54</v>
      </c>
      <c r="O20" s="70" t="s">
        <v>399</v>
      </c>
      <c r="P20" s="70"/>
      <c r="Q20" s="70"/>
      <c r="R20" s="70"/>
      <c r="S20" s="70"/>
      <c r="T20" s="70"/>
      <c r="U20" s="70"/>
      <c r="W20" s="47" t="s">
        <v>160</v>
      </c>
      <c r="X20" s="47"/>
      <c r="AA20" s="1">
        <v>15</v>
      </c>
      <c r="AB20" s="2" t="s">
        <v>281</v>
      </c>
      <c r="AC20" s="29">
        <v>0.30555555555555552</v>
      </c>
      <c r="AD20" s="29">
        <v>0.67222222222222217</v>
      </c>
      <c r="AE20" s="30">
        <f>Table132456789101216202428[[#This Row],[JAM MASUK]]-Table132456789101216202428[[#This Row],[JAM KELUAR]]</f>
        <v>0.36666666666666664</v>
      </c>
      <c r="AF20" s="2">
        <v>4</v>
      </c>
      <c r="AG20" s="18" t="s">
        <v>54</v>
      </c>
    </row>
    <row r="21" spans="2:47" ht="15.5" x14ac:dyDescent="0.35">
      <c r="B21" s="1">
        <v>16</v>
      </c>
      <c r="C21" s="2" t="s">
        <v>30</v>
      </c>
      <c r="D21" s="35">
        <v>0.24652777777777779</v>
      </c>
      <c r="E21" s="35">
        <v>0.67708333333333337</v>
      </c>
      <c r="F21" s="30">
        <f>Table132456789101113212529[[#This Row],[JAM MASUK]]-Table132456789101113212529[[#This Row],[JAM KELUAR]]</f>
        <v>0.43055555555555558</v>
      </c>
      <c r="G21" s="2">
        <v>3</v>
      </c>
      <c r="H21" s="18" t="s">
        <v>54</v>
      </c>
      <c r="O21" s="68">
        <v>45376</v>
      </c>
      <c r="P21" s="68"/>
      <c r="Q21" s="68"/>
      <c r="R21" s="68"/>
      <c r="S21" s="68"/>
      <c r="T21" s="68"/>
      <c r="U21" s="68"/>
      <c r="W21" s="26"/>
      <c r="X21" s="26"/>
      <c r="AA21" s="1">
        <v>16</v>
      </c>
      <c r="AB21" s="2" t="s">
        <v>372</v>
      </c>
      <c r="AC21" s="29">
        <v>0.22777777777777777</v>
      </c>
      <c r="AD21" s="29">
        <v>0.68541666666666667</v>
      </c>
      <c r="AE21" s="30">
        <f>Table132456789101216202428[[#This Row],[JAM MASUK]]-Table132456789101216202428[[#This Row],[JAM KELUAR]]</f>
        <v>0.45763888888888893</v>
      </c>
      <c r="AF21" s="2">
        <v>5</v>
      </c>
      <c r="AG21" s="18" t="s">
        <v>54</v>
      </c>
    </row>
    <row r="22" spans="2:47" x14ac:dyDescent="0.35">
      <c r="O22" s="2" t="s">
        <v>0</v>
      </c>
      <c r="P22" s="2" t="s">
        <v>1</v>
      </c>
      <c r="Q22" s="36" t="s">
        <v>336</v>
      </c>
      <c r="R22" s="36" t="s">
        <v>337</v>
      </c>
      <c r="S22" s="36" t="s">
        <v>338</v>
      </c>
      <c r="T22" s="2" t="s">
        <v>2</v>
      </c>
      <c r="U22" s="2" t="s">
        <v>3</v>
      </c>
      <c r="W22" s="4" t="s">
        <v>161</v>
      </c>
      <c r="X22" s="6">
        <v>8</v>
      </c>
      <c r="AA22" s="1">
        <v>17</v>
      </c>
      <c r="AB22" s="2" t="s">
        <v>201</v>
      </c>
      <c r="AC22" s="29">
        <v>0.24513888888888888</v>
      </c>
      <c r="AD22" s="29">
        <v>0.72569444444444453</v>
      </c>
      <c r="AE22" s="30">
        <f>Table132456789101216202428[[#This Row],[JAM MASUK]]-Table132456789101216202428[[#This Row],[JAM KELUAR]]</f>
        <v>0.48055555555555562</v>
      </c>
      <c r="AF22" s="2">
        <v>5</v>
      </c>
      <c r="AG22" s="18" t="s">
        <v>54</v>
      </c>
    </row>
    <row r="23" spans="2:47" x14ac:dyDescent="0.35">
      <c r="O23" s="16">
        <v>1</v>
      </c>
      <c r="P23" s="37" t="s">
        <v>172</v>
      </c>
      <c r="Q23" s="38">
        <v>0.26041666666666669</v>
      </c>
      <c r="R23" s="38">
        <v>0.4055555555555555</v>
      </c>
      <c r="S23" s="39">
        <f>Table1345678910111722263032[[#This Row],[JAM MASUK]]-Table1345678910111722263032[[#This Row],[JAM KELUAR]]</f>
        <v>0.14513888888888882</v>
      </c>
      <c r="T23" s="37">
        <v>1</v>
      </c>
      <c r="U23" s="40" t="s">
        <v>387</v>
      </c>
      <c r="W23" s="5" t="s">
        <v>10</v>
      </c>
      <c r="X23" s="7">
        <v>8</v>
      </c>
      <c r="AA23" s="1">
        <v>18</v>
      </c>
      <c r="AB23" s="2" t="s">
        <v>152</v>
      </c>
      <c r="AC23" s="29">
        <v>0.20486111111111113</v>
      </c>
      <c r="AD23" s="29">
        <v>0.69166666666666676</v>
      </c>
      <c r="AE23" s="30">
        <f>Table132456789101216202428[[#This Row],[JAM MASUK]]-Table132456789101216202428[[#This Row],[JAM KELUAR]]</f>
        <v>0.4868055555555556</v>
      </c>
      <c r="AF23" s="2">
        <v>5</v>
      </c>
      <c r="AG23" s="18" t="s">
        <v>54</v>
      </c>
    </row>
    <row r="24" spans="2:47" ht="14.5" customHeight="1" x14ac:dyDescent="0.35">
      <c r="O24" s="16">
        <v>2</v>
      </c>
      <c r="P24" s="37" t="s">
        <v>171</v>
      </c>
      <c r="Q24" s="38">
        <v>0.25347222222222221</v>
      </c>
      <c r="R24" s="38">
        <v>0.54236111111111118</v>
      </c>
      <c r="S24" s="39">
        <f>Table1345678910111722263032[[#This Row],[JAM MASUK]]-Table1345678910111722263032[[#This Row],[JAM KELUAR]]</f>
        <v>0.28888888888888897</v>
      </c>
      <c r="T24" s="37">
        <v>2</v>
      </c>
      <c r="U24" s="40" t="s">
        <v>390</v>
      </c>
      <c r="W24" s="5" t="s">
        <v>9</v>
      </c>
      <c r="X24" s="8">
        <v>6</v>
      </c>
      <c r="AA24" s="1">
        <v>19</v>
      </c>
      <c r="AB24" s="2" t="s">
        <v>148</v>
      </c>
      <c r="AC24" s="29">
        <v>0.22291666666666665</v>
      </c>
      <c r="AD24" s="29">
        <v>0.69791666666666663</v>
      </c>
      <c r="AE24" s="30">
        <f>Table132456789101216202428[[#This Row],[JAM MASUK]]-Table132456789101216202428[[#This Row],[JAM KELUAR]]</f>
        <v>0.47499999999999998</v>
      </c>
      <c r="AF24" s="2">
        <v>5</v>
      </c>
      <c r="AG24" s="18" t="s">
        <v>54</v>
      </c>
    </row>
    <row r="25" spans="2:47" ht="14.5" customHeight="1" x14ac:dyDescent="0.35">
      <c r="O25" s="16">
        <v>3</v>
      </c>
      <c r="P25" s="37" t="s">
        <v>169</v>
      </c>
      <c r="Q25" s="38">
        <v>0.26874999999999999</v>
      </c>
      <c r="R25" s="38">
        <v>0.62569444444444444</v>
      </c>
      <c r="S25" s="39">
        <f>Table1345678910111722263032[[#This Row],[JAM MASUK]]-Table1345678910111722263032[[#This Row],[JAM KELUAR]]</f>
        <v>0.35694444444444445</v>
      </c>
      <c r="T25" s="37">
        <v>3</v>
      </c>
      <c r="U25" s="40" t="s">
        <v>401</v>
      </c>
      <c r="W25" s="5" t="s">
        <v>4</v>
      </c>
      <c r="X25" s="8">
        <v>0</v>
      </c>
      <c r="AA25" s="1">
        <v>20</v>
      </c>
      <c r="AB25" s="2" t="s">
        <v>254</v>
      </c>
      <c r="AC25" s="29">
        <v>0.20902777777777778</v>
      </c>
      <c r="AD25" s="29">
        <v>0.69930555555555562</v>
      </c>
      <c r="AE25" s="30">
        <f>Table132456789101216202428[[#This Row],[JAM MASUK]]-Table132456789101216202428[[#This Row],[JAM KELUAR]]</f>
        <v>0.49027777777777781</v>
      </c>
      <c r="AF25" s="2">
        <v>5</v>
      </c>
      <c r="AG25" s="18" t="s">
        <v>54</v>
      </c>
    </row>
    <row r="26" spans="2:47" ht="14.5" customHeight="1" x14ac:dyDescent="0.35">
      <c r="O26" s="16">
        <v>4</v>
      </c>
      <c r="P26" s="37" t="s">
        <v>170</v>
      </c>
      <c r="Q26" s="38">
        <v>0.25277777777777777</v>
      </c>
      <c r="R26" s="38">
        <v>0.60833333333333328</v>
      </c>
      <c r="S26" s="39">
        <f>Table1345678910111722263032[[#This Row],[JAM MASUK]]-Table1345678910111722263032[[#This Row],[JAM KELUAR]]</f>
        <v>0.35555555555555551</v>
      </c>
      <c r="T26" s="37">
        <v>3</v>
      </c>
      <c r="U26" s="40" t="s">
        <v>402</v>
      </c>
      <c r="W26" s="5" t="s">
        <v>5</v>
      </c>
      <c r="X26" s="8">
        <v>2</v>
      </c>
      <c r="AA26" s="1">
        <v>21</v>
      </c>
      <c r="AB26" s="2" t="s">
        <v>145</v>
      </c>
      <c r="AC26" s="29">
        <v>0.30902777777777779</v>
      </c>
      <c r="AD26" s="29">
        <v>0.68888888888888899</v>
      </c>
      <c r="AE26" s="30">
        <f>Table132456789101216202428[[#This Row],[JAM MASUK]]-Table132456789101216202428[[#This Row],[JAM KELUAR]]</f>
        <v>0.3798611111111112</v>
      </c>
      <c r="AF26" s="2">
        <v>5</v>
      </c>
      <c r="AG26" s="18" t="s">
        <v>54</v>
      </c>
    </row>
    <row r="27" spans="2:47" x14ac:dyDescent="0.35">
      <c r="O27" s="16">
        <v>5</v>
      </c>
      <c r="P27" s="37" t="s">
        <v>164</v>
      </c>
      <c r="Q27" s="38">
        <v>0.2673611111111111</v>
      </c>
      <c r="R27" s="38">
        <v>0.625</v>
      </c>
      <c r="S27" s="39">
        <f>Table1345678910111722263032[[#This Row],[JAM MASUK]]-Table1345678910111722263032[[#This Row],[JAM KELUAR]]</f>
        <v>0.3576388888888889</v>
      </c>
      <c r="T27" s="37">
        <v>3</v>
      </c>
      <c r="U27" s="40" t="s">
        <v>402</v>
      </c>
      <c r="V27" s="1"/>
      <c r="W27" s="5" t="s">
        <v>166</v>
      </c>
      <c r="X27" s="8">
        <v>0</v>
      </c>
      <c r="AA27" s="1">
        <v>22</v>
      </c>
      <c r="AB27" s="2" t="s">
        <v>255</v>
      </c>
      <c r="AC27" s="29">
        <v>0.24583333333333335</v>
      </c>
      <c r="AD27" s="29">
        <v>0.71805555555555556</v>
      </c>
      <c r="AE27" s="30">
        <f>Table132456789101216202428[[#This Row],[JAM MASUK]]-Table132456789101216202428[[#This Row],[JAM KELUAR]]</f>
        <v>0.47222222222222221</v>
      </c>
      <c r="AF27" s="2">
        <v>5</v>
      </c>
      <c r="AG27" s="18" t="s">
        <v>54</v>
      </c>
    </row>
    <row r="28" spans="2:47" x14ac:dyDescent="0.35">
      <c r="O28" s="1">
        <v>6</v>
      </c>
      <c r="P28" s="41" t="s">
        <v>178</v>
      </c>
      <c r="Q28" s="42">
        <v>0.24791666666666667</v>
      </c>
      <c r="R28" s="42">
        <v>0.66666666666666663</v>
      </c>
      <c r="S28" s="43">
        <f>Table1345678910111722263032[[#This Row],[JAM MASUK]]-Table1345678910111722263032[[#This Row],[JAM KELUAR]]</f>
        <v>0.41874999999999996</v>
      </c>
      <c r="T28" s="41">
        <v>4</v>
      </c>
      <c r="U28" s="44" t="s">
        <v>54</v>
      </c>
      <c r="V28" s="1"/>
      <c r="W28" s="9" t="s">
        <v>8</v>
      </c>
      <c r="X28" s="10">
        <f>SUM(Table1345678910111722263032[Retase])</f>
        <v>16</v>
      </c>
      <c r="AA28" s="1">
        <v>23</v>
      </c>
      <c r="AB28" s="2" t="s">
        <v>157</v>
      </c>
      <c r="AC28" s="29">
        <v>0.21180555555555555</v>
      </c>
      <c r="AD28" s="29">
        <v>0.72361111111111109</v>
      </c>
      <c r="AE28" s="30">
        <f>Table132456789101216202428[[#This Row],[JAM MASUK]]-Table132456789101216202428[[#This Row],[JAM KELUAR]]</f>
        <v>0.51180555555555551</v>
      </c>
      <c r="AF28" s="2">
        <v>5</v>
      </c>
      <c r="AG28" s="18" t="s">
        <v>54</v>
      </c>
    </row>
    <row r="29" spans="2:47" x14ac:dyDescent="0.35">
      <c r="V29" s="1"/>
      <c r="W29" s="11" t="s">
        <v>7</v>
      </c>
      <c r="X29" s="12">
        <f>X28/X24</f>
        <v>2.6666666666666665</v>
      </c>
      <c r="AA29" s="1">
        <v>24</v>
      </c>
      <c r="AB29" s="2" t="s">
        <v>154</v>
      </c>
      <c r="AC29" s="29">
        <v>0.24652777777777779</v>
      </c>
      <c r="AD29" s="29">
        <v>0.64097222222222217</v>
      </c>
      <c r="AE29" s="30">
        <f>Table132456789101216202428[[#This Row],[JAM MASUK]]-Table132456789101216202428[[#This Row],[JAM KELUAR]]</f>
        <v>0.39444444444444438</v>
      </c>
      <c r="AF29" s="2">
        <v>5</v>
      </c>
      <c r="AG29" s="18" t="s">
        <v>54</v>
      </c>
    </row>
    <row r="30" spans="2:47" x14ac:dyDescent="0.35">
      <c r="V30" s="1"/>
      <c r="W30" s="13" t="s">
        <v>11</v>
      </c>
      <c r="X30" s="14">
        <v>4</v>
      </c>
      <c r="AA30" s="1">
        <v>25</v>
      </c>
      <c r="AB30" s="2" t="s">
        <v>155</v>
      </c>
      <c r="AC30" s="29">
        <v>0.2638888888888889</v>
      </c>
      <c r="AD30" s="29">
        <v>0.65833333333333333</v>
      </c>
      <c r="AE30" s="30">
        <f>Table132456789101216202428[[#This Row],[JAM MASUK]]-Table132456789101216202428[[#This Row],[JAM KELUAR]]</f>
        <v>0.39444444444444443</v>
      </c>
      <c r="AF30" s="2">
        <v>5</v>
      </c>
      <c r="AG30" s="18" t="s">
        <v>54</v>
      </c>
    </row>
    <row r="31" spans="2:47" x14ac:dyDescent="0.35">
      <c r="V31" s="1"/>
      <c r="W31" s="13" t="s">
        <v>51</v>
      </c>
      <c r="X31" s="15">
        <f>X29/X30</f>
        <v>0.66666666666666663</v>
      </c>
      <c r="AA31" s="1">
        <v>26</v>
      </c>
      <c r="AB31" s="2" t="s">
        <v>150</v>
      </c>
      <c r="AC31" s="29">
        <v>0.23750000000000002</v>
      </c>
      <c r="AD31" s="29">
        <v>0.7090277777777777</v>
      </c>
      <c r="AE31" s="30">
        <f>Table132456789101216202428[[#This Row],[JAM MASUK]]-Table132456789101216202428[[#This Row],[JAM KELUAR]]</f>
        <v>0.47152777777777766</v>
      </c>
      <c r="AF31" s="2">
        <v>5</v>
      </c>
      <c r="AG31" s="18" t="s">
        <v>54</v>
      </c>
    </row>
    <row r="32" spans="2:47" x14ac:dyDescent="0.35">
      <c r="V32" s="1"/>
      <c r="W32" s="13" t="s">
        <v>151</v>
      </c>
      <c r="X32" s="15">
        <f>X24/X23</f>
        <v>0.75</v>
      </c>
      <c r="AA32" s="1">
        <v>27</v>
      </c>
      <c r="AB32" s="2" t="s">
        <v>244</v>
      </c>
      <c r="AC32" s="29">
        <v>0.27777777777777779</v>
      </c>
      <c r="AD32" s="29">
        <v>0.69027777777777777</v>
      </c>
      <c r="AE32" s="30">
        <f>Table132456789101216202428[[#This Row],[JAM MASUK]]-Table132456789101216202428[[#This Row],[JAM KELUAR]]</f>
        <v>0.41249999999999998</v>
      </c>
      <c r="AF32" s="2">
        <v>5</v>
      </c>
      <c r="AG32" s="18" t="s">
        <v>54</v>
      </c>
    </row>
    <row r="33" spans="1:33" x14ac:dyDescent="0.35">
      <c r="V33" s="1"/>
      <c r="AA33" s="1">
        <v>28</v>
      </c>
      <c r="AB33" s="2" t="s">
        <v>245</v>
      </c>
      <c r="AC33" s="29">
        <v>0.20972222222222223</v>
      </c>
      <c r="AD33" s="29">
        <v>0.67013888888888884</v>
      </c>
      <c r="AE33" s="30">
        <f>Table132456789101216202428[[#This Row],[JAM MASUK]]-Table132456789101216202428[[#This Row],[JAM KELUAR]]</f>
        <v>0.46041666666666659</v>
      </c>
      <c r="AF33" s="2">
        <v>5</v>
      </c>
      <c r="AG33" s="18" t="s">
        <v>54</v>
      </c>
    </row>
    <row r="34" spans="1:33" x14ac:dyDescent="0.35">
      <c r="V34" s="1"/>
      <c r="AA34" s="1">
        <v>29</v>
      </c>
      <c r="AB34" s="2" t="s">
        <v>247</v>
      </c>
      <c r="AC34" s="29">
        <v>0.22708333333333333</v>
      </c>
      <c r="AD34" s="29">
        <v>0.65277777777777779</v>
      </c>
      <c r="AE34" s="30">
        <f>Table132456789101216202428[[#This Row],[JAM MASUK]]-Table132456789101216202428[[#This Row],[JAM KELUAR]]</f>
        <v>0.42569444444444449</v>
      </c>
      <c r="AF34" s="2">
        <v>5</v>
      </c>
      <c r="AG34" s="18" t="s">
        <v>54</v>
      </c>
    </row>
    <row r="35" spans="1:33" x14ac:dyDescent="0.35">
      <c r="V35" s="1"/>
      <c r="AA35" s="1">
        <v>30</v>
      </c>
      <c r="AB35" s="2" t="s">
        <v>248</v>
      </c>
      <c r="AC35" s="29">
        <v>0.24583333333333335</v>
      </c>
      <c r="AD35" s="29">
        <v>0.66388888888888886</v>
      </c>
      <c r="AE35" s="30">
        <f>Table132456789101216202428[[#This Row],[JAM MASUK]]-Table132456789101216202428[[#This Row],[JAM KELUAR]]</f>
        <v>0.41805555555555551</v>
      </c>
      <c r="AF35" s="2">
        <v>5</v>
      </c>
      <c r="AG35" s="18" t="s">
        <v>54</v>
      </c>
    </row>
    <row r="36" spans="1:33" x14ac:dyDescent="0.35">
      <c r="V36" s="1"/>
      <c r="AA36" s="1">
        <v>31</v>
      </c>
      <c r="AB36" s="2" t="s">
        <v>208</v>
      </c>
      <c r="AC36" s="29">
        <v>0.29305555555555557</v>
      </c>
      <c r="AD36" s="29">
        <v>0.71319444444444446</v>
      </c>
      <c r="AE36" s="30">
        <f>Table132456789101216202428[[#This Row],[JAM MASUK]]-Table132456789101216202428[[#This Row],[JAM KELUAR]]</f>
        <v>0.4201388888888889</v>
      </c>
      <c r="AF36" s="2">
        <v>5</v>
      </c>
      <c r="AG36" s="18" t="s">
        <v>54</v>
      </c>
    </row>
    <row r="37" spans="1:33" x14ac:dyDescent="0.35">
      <c r="AA37" s="1">
        <v>32</v>
      </c>
      <c r="AB37" s="2" t="s">
        <v>212</v>
      </c>
      <c r="AC37" s="29">
        <v>0.27152777777777776</v>
      </c>
      <c r="AD37" s="29">
        <v>0.67499999999999993</v>
      </c>
      <c r="AE37" s="30">
        <f>Table132456789101216202428[[#This Row],[JAM MASUK]]-Table132456789101216202428[[#This Row],[JAM KELUAR]]</f>
        <v>0.40347222222222218</v>
      </c>
      <c r="AF37" s="2">
        <v>5</v>
      </c>
      <c r="AG37" s="18" t="s">
        <v>54</v>
      </c>
    </row>
    <row r="38" spans="1:33" x14ac:dyDescent="0.35">
      <c r="W38" s="21"/>
      <c r="X38" s="22"/>
      <c r="AA38" s="1">
        <v>33</v>
      </c>
      <c r="AB38" s="2" t="s">
        <v>246</v>
      </c>
      <c r="AC38" s="29">
        <v>0.20138888888888887</v>
      </c>
      <c r="AD38" s="29">
        <v>0.6958333333333333</v>
      </c>
      <c r="AE38" s="30">
        <f>Table132456789101216202428[[#This Row],[JAM MASUK]]-Table132456789101216202428[[#This Row],[JAM KELUAR]]</f>
        <v>0.49444444444444446</v>
      </c>
      <c r="AF38" s="2">
        <v>6</v>
      </c>
      <c r="AG38" s="18" t="s">
        <v>54</v>
      </c>
    </row>
    <row r="39" spans="1:33" x14ac:dyDescent="0.35">
      <c r="W39" s="21"/>
      <c r="X39" s="22"/>
    </row>
    <row r="40" spans="1:33" ht="21" x14ac:dyDescent="0.5">
      <c r="A40" s="25"/>
      <c r="W40" s="21"/>
      <c r="X40" s="22"/>
    </row>
    <row r="41" spans="1:33" x14ac:dyDescent="0.35">
      <c r="W41" s="21"/>
      <c r="X41" s="22"/>
    </row>
    <row r="42" spans="1:33" x14ac:dyDescent="0.35">
      <c r="W42" s="21"/>
      <c r="X42" s="22"/>
    </row>
    <row r="43" spans="1:33" x14ac:dyDescent="0.35">
      <c r="W43" s="21"/>
      <c r="X43" s="22"/>
    </row>
    <row r="44" spans="1:33" x14ac:dyDescent="0.35">
      <c r="W44" s="21"/>
      <c r="X44" s="22"/>
    </row>
  </sheetData>
  <mergeCells count="18"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  <mergeCell ref="O20:U20"/>
    <mergeCell ref="O21:U21"/>
    <mergeCell ref="AM3:AS3"/>
    <mergeCell ref="AU3:AV4"/>
    <mergeCell ref="B4:H4"/>
    <mergeCell ref="O4:U4"/>
    <mergeCell ref="AA4:AG4"/>
    <mergeCell ref="AM4:AS4"/>
  </mergeCells>
  <phoneticPr fontId="16" type="noConversion"/>
  <pageMargins left="0.12" right="0.12" top="0.75" bottom="0.75" header="0.3" footer="0.3"/>
  <pageSetup paperSize="5" scale="89" fitToWidth="0" orientation="landscape" horizontalDpi="360" verticalDpi="360" r:id="rId1"/>
  <rowBreaks count="1" manualBreakCount="1">
    <brk id="39" max="46" man="1"/>
  </rowBreaks>
  <colBreaks count="3" manualBreakCount="3">
    <brk id="13" max="37" man="1"/>
    <brk id="24" max="37" man="1"/>
    <brk id="37" max="37" man="1"/>
  </colBreaks>
  <tableParts count="5"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9E62-65D4-406A-BAD0-0BF4FFADD298}">
  <sheetPr codeName="Sheet15">
    <tabColor theme="7" tint="0.39997558519241921"/>
  </sheetPr>
  <dimension ref="A1:AV44"/>
  <sheetViews>
    <sheetView showGridLines="0" view="pageBreakPreview" topLeftCell="AH1" zoomScale="70" zoomScaleNormal="55" zoomScaleSheetLayoutView="70" workbookViewId="0">
      <selection activeCell="AP11" sqref="AP11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9.453125" bestFit="1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7" width="11.7265625" customWidth="1"/>
    <col min="18" max="18" width="19.453125" bestFit="1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29" width="10.81640625" customWidth="1"/>
    <col min="30" max="30" width="19.453125" bestFit="1" customWidth="1"/>
    <col min="31" max="31" width="16.453125" customWidth="1"/>
    <col min="32" max="32" width="11.7265625" customWidth="1"/>
    <col min="33" max="33" width="76.54296875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68.7265625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420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45377</v>
      </c>
      <c r="C4" s="68"/>
      <c r="D4" s="68"/>
      <c r="E4" s="68"/>
      <c r="F4" s="68"/>
      <c r="G4" s="68"/>
      <c r="H4" s="68"/>
      <c r="J4" s="66"/>
      <c r="K4" s="66"/>
      <c r="O4" s="68">
        <f>B4</f>
        <v>45377</v>
      </c>
      <c r="P4" s="68"/>
      <c r="Q4" s="68"/>
      <c r="R4" s="68"/>
      <c r="S4" s="68"/>
      <c r="T4" s="68"/>
      <c r="U4" s="68"/>
      <c r="W4" s="66"/>
      <c r="X4" s="66"/>
      <c r="AA4" s="68">
        <f>B4</f>
        <v>45377</v>
      </c>
      <c r="AB4" s="68"/>
      <c r="AC4" s="68"/>
      <c r="AD4" s="68"/>
      <c r="AE4" s="68"/>
      <c r="AF4" s="68"/>
      <c r="AG4" s="68"/>
      <c r="AI4" s="66"/>
      <c r="AJ4" s="66"/>
      <c r="AM4" s="68">
        <f>B4</f>
        <v>45377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21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15</v>
      </c>
    </row>
    <row r="6" spans="1:48" s="1" customFormat="1" x14ac:dyDescent="0.35">
      <c r="A6"/>
      <c r="B6" s="16">
        <v>1</v>
      </c>
      <c r="C6" s="33" t="s">
        <v>53</v>
      </c>
      <c r="D6" s="34">
        <v>0.38541666666666669</v>
      </c>
      <c r="E6" s="34" t="s">
        <v>342</v>
      </c>
      <c r="F6" s="32"/>
      <c r="G6" s="33">
        <v>1</v>
      </c>
      <c r="H6" s="17" t="s">
        <v>404</v>
      </c>
      <c r="J6" s="5" t="s">
        <v>10</v>
      </c>
      <c r="K6" s="7">
        <v>24</v>
      </c>
      <c r="L6" s="28"/>
      <c r="O6" s="16">
        <v>1</v>
      </c>
      <c r="P6" s="37" t="s">
        <v>165</v>
      </c>
      <c r="Q6" s="38">
        <v>0.46875</v>
      </c>
      <c r="R6" s="38" t="s">
        <v>342</v>
      </c>
      <c r="S6" s="39"/>
      <c r="T6" s="37">
        <v>0</v>
      </c>
      <c r="U6" s="40" t="s">
        <v>421</v>
      </c>
      <c r="W6" s="5" t="s">
        <v>10</v>
      </c>
      <c r="X6" s="7">
        <v>21</v>
      </c>
      <c r="AA6" s="16">
        <v>1</v>
      </c>
      <c r="AB6" s="33" t="s">
        <v>149</v>
      </c>
      <c r="AC6" s="31">
        <v>0.28472222222222221</v>
      </c>
      <c r="AD6" s="31">
        <v>0.4465277777777778</v>
      </c>
      <c r="AE6" s="32">
        <f>Table13245678910121620242833[[#This Row],[JAM MASUK]]-Table13245678910121620242833[[#This Row],[JAM KELUAR]]</f>
        <v>0.16180555555555559</v>
      </c>
      <c r="AF6" s="33">
        <v>1</v>
      </c>
      <c r="AG6" s="17" t="s">
        <v>422</v>
      </c>
      <c r="AI6" s="5" t="s">
        <v>10</v>
      </c>
      <c r="AJ6" s="7">
        <v>30</v>
      </c>
      <c r="AM6" s="16">
        <v>1</v>
      </c>
      <c r="AN6" s="33" t="s">
        <v>192</v>
      </c>
      <c r="AO6" s="34">
        <v>0.27986111111111112</v>
      </c>
      <c r="AP6" s="34">
        <v>0.45624999999999999</v>
      </c>
      <c r="AQ6" s="32">
        <f>Table134567891011151819232731[[#This Row],[JAM MASUK]]-Table134567891011151819232731[[#This Row],[JAM KELUAR]]</f>
        <v>0.17638888888888887</v>
      </c>
      <c r="AR6" s="33">
        <v>2</v>
      </c>
      <c r="AS6" s="17" t="s">
        <v>434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21</v>
      </c>
      <c r="D7" s="34">
        <v>0.30208333333333331</v>
      </c>
      <c r="E7" s="34">
        <v>0.68888888888888899</v>
      </c>
      <c r="F7" s="32">
        <f>Table13245678910111321252934[[#This Row],[JAM MASUK]]-Table13245678910111321252934[[#This Row],[JAM KELUAR]]</f>
        <v>0.38680555555555568</v>
      </c>
      <c r="G7" s="33">
        <v>1</v>
      </c>
      <c r="H7" s="50" t="s">
        <v>405</v>
      </c>
      <c r="J7" s="5" t="s">
        <v>9</v>
      </c>
      <c r="K7" s="8">
        <v>16</v>
      </c>
      <c r="L7" s="28"/>
      <c r="O7" s="16">
        <v>2</v>
      </c>
      <c r="P7" s="37" t="s">
        <v>298</v>
      </c>
      <c r="Q7" s="38">
        <v>0.36874999999999997</v>
      </c>
      <c r="R7" s="38">
        <v>0.54861111111111105</v>
      </c>
      <c r="S7" s="39">
        <f>Table1345678910111722263035[[#This Row],[JAM MASUK]]-Table1345678910111722263035[[#This Row],[JAM KELUAR]]</f>
        <v>0.17986111111111108</v>
      </c>
      <c r="T7" s="37">
        <v>1</v>
      </c>
      <c r="U7" s="40" t="s">
        <v>410</v>
      </c>
      <c r="W7" s="5" t="s">
        <v>9</v>
      </c>
      <c r="X7" s="8">
        <v>14</v>
      </c>
      <c r="AA7" s="16">
        <v>2</v>
      </c>
      <c r="AB7" s="33" t="s">
        <v>153</v>
      </c>
      <c r="AC7" s="31">
        <v>0.27916666666666667</v>
      </c>
      <c r="AD7" s="31">
        <v>0.37847222222222227</v>
      </c>
      <c r="AE7" s="32">
        <f>Table13245678910121620242833[[#This Row],[JAM MASUK]]-Table13245678910121620242833[[#This Row],[JAM KELUAR]]</f>
        <v>9.9305555555555591E-2</v>
      </c>
      <c r="AF7" s="33">
        <v>1</v>
      </c>
      <c r="AG7" s="17" t="s">
        <v>423</v>
      </c>
      <c r="AI7" s="5" t="s">
        <v>9</v>
      </c>
      <c r="AJ7" s="8">
        <v>33</v>
      </c>
      <c r="AM7" s="16">
        <v>2</v>
      </c>
      <c r="AN7" s="33" t="s">
        <v>185</v>
      </c>
      <c r="AO7" s="34">
        <v>0.45833333333333331</v>
      </c>
      <c r="AP7" s="34">
        <v>0.64027777777777783</v>
      </c>
      <c r="AQ7" s="32">
        <f>Table134567891011151819232731[[#This Row],[JAM MASUK]]-Table134567891011151819232731[[#This Row],[JAM KELUAR]]</f>
        <v>0.18194444444444452</v>
      </c>
      <c r="AR7" s="33">
        <v>3</v>
      </c>
      <c r="AS7" s="17" t="s">
        <v>435</v>
      </c>
      <c r="AU7" s="5" t="s">
        <v>9</v>
      </c>
      <c r="AV7" s="7">
        <v>12</v>
      </c>
    </row>
    <row r="8" spans="1:48" s="1" customFormat="1" x14ac:dyDescent="0.35">
      <c r="A8"/>
      <c r="B8" s="16">
        <v>3</v>
      </c>
      <c r="C8" s="33" t="s">
        <v>22</v>
      </c>
      <c r="D8" s="34">
        <v>0.28541666666666665</v>
      </c>
      <c r="E8" s="34">
        <v>0.4680555555555555</v>
      </c>
      <c r="F8" s="32">
        <f>Table13245678910111321252934[[#This Row],[JAM MASUK]]-Table13245678910111321252934[[#This Row],[JAM KELUAR]]</f>
        <v>0.18263888888888885</v>
      </c>
      <c r="G8" s="33">
        <v>1</v>
      </c>
      <c r="H8" s="17" t="s">
        <v>406</v>
      </c>
      <c r="J8" s="5" t="s">
        <v>4</v>
      </c>
      <c r="K8" s="8">
        <v>1</v>
      </c>
      <c r="L8" s="28"/>
      <c r="O8" s="16">
        <v>3</v>
      </c>
      <c r="P8" s="37" t="s">
        <v>174</v>
      </c>
      <c r="Q8" s="38">
        <v>0.40277777777777773</v>
      </c>
      <c r="R8" s="38">
        <v>0.55902777777777779</v>
      </c>
      <c r="S8" s="39">
        <f>Table1345678910111722263035[[#This Row],[JAM MASUK]]-Table1345678910111722263035[[#This Row],[JAM KELUAR]]</f>
        <v>0.15625000000000006</v>
      </c>
      <c r="T8" s="37">
        <v>1</v>
      </c>
      <c r="U8" s="51" t="s">
        <v>411</v>
      </c>
      <c r="W8" s="5" t="s">
        <v>4</v>
      </c>
      <c r="X8" s="8">
        <v>3</v>
      </c>
      <c r="AA8" s="16">
        <v>3</v>
      </c>
      <c r="AB8" s="33" t="s">
        <v>199</v>
      </c>
      <c r="AC8" s="31">
        <v>0.26041666666666669</v>
      </c>
      <c r="AD8" s="31">
        <v>0.68263888888888891</v>
      </c>
      <c r="AE8" s="32">
        <f>Table13245678910121620242833[[#This Row],[JAM MASUK]]-Table13245678910121620242833[[#This Row],[JAM KELUAR]]</f>
        <v>0.42222222222222222</v>
      </c>
      <c r="AF8" s="33">
        <v>2</v>
      </c>
      <c r="AG8" s="17" t="s">
        <v>424</v>
      </c>
      <c r="AI8" s="5" t="s">
        <v>4</v>
      </c>
      <c r="AJ8" s="8">
        <v>0</v>
      </c>
      <c r="AM8" s="16">
        <v>3</v>
      </c>
      <c r="AN8" s="33" t="s">
        <v>189</v>
      </c>
      <c r="AO8" s="34">
        <v>0.28611111111111115</v>
      </c>
      <c r="AP8" s="34">
        <v>0.57361111111111118</v>
      </c>
      <c r="AQ8" s="32">
        <f>Table134567891011151819232731[[#This Row],[JAM MASUK]]-Table134567891011151819232731[[#This Row],[JAM KELUAR]]</f>
        <v>0.28750000000000003</v>
      </c>
      <c r="AR8" s="33">
        <v>4</v>
      </c>
      <c r="AS8" s="17" t="s">
        <v>436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33</v>
      </c>
      <c r="D9" s="34">
        <v>0.26041666666666669</v>
      </c>
      <c r="E9" s="34">
        <v>0.45763888888888887</v>
      </c>
      <c r="F9" s="32">
        <f>Table13245678910111321252934[[#This Row],[JAM MASUK]]-Table13245678910111321252934[[#This Row],[JAM KELUAR]]</f>
        <v>0.19722222222222219</v>
      </c>
      <c r="G9" s="33">
        <v>1</v>
      </c>
      <c r="H9" s="17" t="s">
        <v>408</v>
      </c>
      <c r="J9" s="5" t="s">
        <v>5</v>
      </c>
      <c r="K9" s="8">
        <v>7</v>
      </c>
      <c r="L9" s="28"/>
      <c r="O9" s="16">
        <v>4</v>
      </c>
      <c r="P9" s="37" t="s">
        <v>162</v>
      </c>
      <c r="Q9" s="38">
        <v>0.32291666666666669</v>
      </c>
      <c r="R9" s="38">
        <v>0.50555555555555554</v>
      </c>
      <c r="S9" s="39">
        <f>Table1345678910111722263035[[#This Row],[JAM MASUK]]-Table1345678910111722263035[[#This Row],[JAM KELUAR]]</f>
        <v>0.18263888888888885</v>
      </c>
      <c r="T9" s="37">
        <v>1</v>
      </c>
      <c r="U9" s="40" t="s">
        <v>438</v>
      </c>
      <c r="W9" s="5" t="s">
        <v>5</v>
      </c>
      <c r="X9" s="8">
        <v>4</v>
      </c>
      <c r="AA9" s="16">
        <v>4</v>
      </c>
      <c r="AB9" s="33" t="s">
        <v>146</v>
      </c>
      <c r="AC9" s="31">
        <v>0.30208333333333331</v>
      </c>
      <c r="AD9" s="31">
        <v>0.54652777777777783</v>
      </c>
      <c r="AE9" s="32">
        <f>Table13245678910121620242833[[#This Row],[JAM MASUK]]-Table13245678910121620242833[[#This Row],[JAM KELUAR]]</f>
        <v>0.24444444444444452</v>
      </c>
      <c r="AF9" s="33">
        <v>2</v>
      </c>
      <c r="AG9" s="17" t="s">
        <v>425</v>
      </c>
      <c r="AI9" s="5" t="s">
        <v>5</v>
      </c>
      <c r="AJ9" s="8">
        <v>1</v>
      </c>
      <c r="AM9" s="16">
        <v>4</v>
      </c>
      <c r="AN9" s="33" t="s">
        <v>252</v>
      </c>
      <c r="AO9" s="34">
        <v>0.27430555555555552</v>
      </c>
      <c r="AP9" s="34">
        <v>0.6694444444444444</v>
      </c>
      <c r="AQ9" s="32">
        <f>Table134567891011151819232731[[#This Row],[JAM MASUK]]-Table134567891011151819232731[[#This Row],[JAM KELUAR]]</f>
        <v>0.39513888888888887</v>
      </c>
      <c r="AR9" s="33">
        <v>4</v>
      </c>
      <c r="AS9" s="17" t="s">
        <v>437</v>
      </c>
      <c r="AU9" s="5" t="s">
        <v>5</v>
      </c>
      <c r="AV9" s="8">
        <v>2</v>
      </c>
    </row>
    <row r="10" spans="1:48" s="1" customFormat="1" x14ac:dyDescent="0.35">
      <c r="A10"/>
      <c r="B10" s="16">
        <v>5</v>
      </c>
      <c r="C10" s="33" t="s">
        <v>16</v>
      </c>
      <c r="D10" s="34">
        <v>0.31597222222222221</v>
      </c>
      <c r="E10" s="34">
        <v>0.66875000000000007</v>
      </c>
      <c r="F10" s="32">
        <f>Table13245678910111321252934[[#This Row],[JAM MASUK]]-Table13245678910111321252934[[#This Row],[JAM KELUAR]]</f>
        <v>0.35277777777777786</v>
      </c>
      <c r="G10" s="33">
        <v>2</v>
      </c>
      <c r="H10" s="17" t="s">
        <v>412</v>
      </c>
      <c r="J10" s="5" t="s">
        <v>6</v>
      </c>
      <c r="K10" s="8">
        <v>0</v>
      </c>
      <c r="L10" s="28"/>
      <c r="O10" s="16">
        <v>5</v>
      </c>
      <c r="P10" s="37" t="s">
        <v>163</v>
      </c>
      <c r="Q10" s="38">
        <v>0.3263888888888889</v>
      </c>
      <c r="R10" s="38">
        <v>0.55208333333333337</v>
      </c>
      <c r="S10" s="39">
        <f>Table1345678910111722263035[[#This Row],[JAM MASUK]]-Table1345678910111722263035[[#This Row],[JAM KELUAR]]</f>
        <v>0.22569444444444448</v>
      </c>
      <c r="T10" s="37">
        <v>1</v>
      </c>
      <c r="U10" s="40" t="s">
        <v>413</v>
      </c>
      <c r="W10" s="5" t="s">
        <v>166</v>
      </c>
      <c r="X10" s="8">
        <v>0</v>
      </c>
      <c r="AA10" s="16">
        <v>5</v>
      </c>
      <c r="AB10" s="33" t="s">
        <v>145</v>
      </c>
      <c r="AC10" s="31">
        <v>0.47638888888888892</v>
      </c>
      <c r="AD10" s="31">
        <v>0.70416666666666661</v>
      </c>
      <c r="AE10" s="32">
        <f>Table13245678910121620242833[[#This Row],[JAM MASUK]]-Table13245678910121620242833[[#This Row],[JAM KELUAR]]</f>
        <v>0.22777777777777769</v>
      </c>
      <c r="AF10" s="33">
        <v>2</v>
      </c>
      <c r="AG10" s="17" t="s">
        <v>430</v>
      </c>
      <c r="AI10" s="5" t="s">
        <v>6</v>
      </c>
      <c r="AJ10" s="8">
        <v>21</v>
      </c>
      <c r="AM10" s="1">
        <v>5</v>
      </c>
      <c r="AN10" s="2" t="s">
        <v>188</v>
      </c>
      <c r="AO10" s="35">
        <v>0.28472222222222221</v>
      </c>
      <c r="AP10" s="35">
        <v>0.6118055555555556</v>
      </c>
      <c r="AQ10" s="30">
        <f>Table134567891011151819232731[[#This Row],[JAM MASUK]]-Table134567891011151819232731[[#This Row],[JAM KELUAR]]</f>
        <v>0.32708333333333339</v>
      </c>
      <c r="AR10" s="2">
        <v>5</v>
      </c>
      <c r="AS10" s="18" t="s">
        <v>54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17</v>
      </c>
      <c r="D11" s="34">
        <v>0.31458333333333333</v>
      </c>
      <c r="E11" s="34" t="s">
        <v>342</v>
      </c>
      <c r="F11" s="32"/>
      <c r="G11" s="33">
        <v>2</v>
      </c>
      <c r="H11" s="17" t="s">
        <v>409</v>
      </c>
      <c r="J11" s="9" t="s">
        <v>8</v>
      </c>
      <c r="K11" s="10">
        <f>SUM(Table13245678910111321252934[Retase])</f>
        <v>32</v>
      </c>
      <c r="L11" s="28"/>
      <c r="O11" s="16">
        <v>6</v>
      </c>
      <c r="P11" s="37" t="s">
        <v>295</v>
      </c>
      <c r="Q11" s="38">
        <v>0.28541666666666665</v>
      </c>
      <c r="R11" s="38">
        <v>0.62638888888888888</v>
      </c>
      <c r="S11" s="39">
        <f>Table1345678910111722263035[[#This Row],[JAM MASUK]]-Table1345678910111722263035[[#This Row],[JAM KELUAR]]</f>
        <v>0.34097222222222223</v>
      </c>
      <c r="T11" s="37">
        <v>2</v>
      </c>
      <c r="U11" s="40" t="s">
        <v>414</v>
      </c>
      <c r="W11" s="9" t="s">
        <v>8</v>
      </c>
      <c r="X11" s="10">
        <f>SUM(Table1345678910111722263035[Retase])</f>
        <v>25</v>
      </c>
      <c r="AA11" s="16">
        <v>6</v>
      </c>
      <c r="AB11" s="33" t="s">
        <v>150</v>
      </c>
      <c r="AC11" s="31">
        <v>0.22569444444444445</v>
      </c>
      <c r="AD11" s="31">
        <v>0.51597222222222217</v>
      </c>
      <c r="AE11" s="32">
        <f>Table13245678910121620242833[[#This Row],[JAM MASUK]]-Table13245678910121620242833[[#This Row],[JAM KELUAR]]</f>
        <v>0.29027777777777775</v>
      </c>
      <c r="AF11" s="33">
        <v>2</v>
      </c>
      <c r="AG11" s="17" t="s">
        <v>426</v>
      </c>
      <c r="AI11" s="9" t="s">
        <v>8</v>
      </c>
      <c r="AJ11" s="10">
        <f>SUM(Table13245678910121620242833[Retase])</f>
        <v>113</v>
      </c>
      <c r="AM11" s="1">
        <v>6</v>
      </c>
      <c r="AN11" s="2" t="s">
        <v>253</v>
      </c>
      <c r="AO11" s="35">
        <v>0.29583333333333334</v>
      </c>
      <c r="AP11" s="35">
        <v>0.61388888888888882</v>
      </c>
      <c r="AQ11" s="30">
        <f>Table134567891011151819232731[[#This Row],[JAM MASUK]]-Table134567891011151819232731[[#This Row],[JAM KELUAR]]</f>
        <v>0.31805555555555548</v>
      </c>
      <c r="AR11" s="2">
        <v>5</v>
      </c>
      <c r="AS11" s="18" t="s">
        <v>54</v>
      </c>
      <c r="AU11" s="9" t="s">
        <v>8</v>
      </c>
      <c r="AV11" s="10">
        <f>SUM(Table134567891011151819232731[Retase])</f>
        <v>47</v>
      </c>
    </row>
    <row r="12" spans="1:48" s="1" customFormat="1" x14ac:dyDescent="0.35">
      <c r="A12"/>
      <c r="B12" s="16">
        <v>7</v>
      </c>
      <c r="C12" s="33" t="s">
        <v>32</v>
      </c>
      <c r="D12" s="34">
        <v>0.28680555555555554</v>
      </c>
      <c r="E12" s="34">
        <v>0.65763888888888888</v>
      </c>
      <c r="F12" s="32">
        <f>Table13245678910111321252934[[#This Row],[JAM MASUK]]-Table13245678910111321252934[[#This Row],[JAM KELUAR]]</f>
        <v>0.37083333333333335</v>
      </c>
      <c r="G12" s="33">
        <v>2</v>
      </c>
      <c r="H12" s="17" t="s">
        <v>412</v>
      </c>
      <c r="J12" s="11" t="s">
        <v>7</v>
      </c>
      <c r="K12" s="12">
        <f>K11/K7</f>
        <v>2</v>
      </c>
      <c r="L12" s="28"/>
      <c r="O12" s="16">
        <v>7</v>
      </c>
      <c r="P12" s="37" t="s">
        <v>296</v>
      </c>
      <c r="Q12" s="38">
        <v>0.40277777777777773</v>
      </c>
      <c r="R12" s="38">
        <v>0.71250000000000002</v>
      </c>
      <c r="S12" s="39">
        <f>Table1345678910111722263035[[#This Row],[JAM MASUK]]-Table1345678910111722263035[[#This Row],[JAM KELUAR]]</f>
        <v>0.30972222222222229</v>
      </c>
      <c r="T12" s="37">
        <v>2</v>
      </c>
      <c r="U12" s="40" t="s">
        <v>415</v>
      </c>
      <c r="W12" s="11" t="s">
        <v>7</v>
      </c>
      <c r="X12" s="12">
        <f>X11/X7</f>
        <v>1.7857142857142858</v>
      </c>
      <c r="AA12" s="16">
        <v>7</v>
      </c>
      <c r="AB12" s="33" t="s">
        <v>209</v>
      </c>
      <c r="AC12" s="31">
        <v>0.29444444444444445</v>
      </c>
      <c r="AD12" s="31">
        <v>0.58194444444444449</v>
      </c>
      <c r="AE12" s="32">
        <f>Table13245678910121620242833[[#This Row],[JAM MASUK]]-Table13245678910121620242833[[#This Row],[JAM KELUAR]]</f>
        <v>0.28750000000000003</v>
      </c>
      <c r="AF12" s="33">
        <v>2</v>
      </c>
      <c r="AG12" s="17" t="s">
        <v>427</v>
      </c>
      <c r="AI12" s="11" t="s">
        <v>7</v>
      </c>
      <c r="AJ12" s="12">
        <f>AJ11/AJ7</f>
        <v>3.4242424242424243</v>
      </c>
      <c r="AM12" s="1">
        <v>7</v>
      </c>
      <c r="AN12" s="2" t="s">
        <v>186</v>
      </c>
      <c r="AO12" s="35">
        <v>0.25069444444444444</v>
      </c>
      <c r="AP12" s="35">
        <v>0.6645833333333333</v>
      </c>
      <c r="AQ12" s="30">
        <f>Table134567891011151819232731[[#This Row],[JAM MASUK]]-Table134567891011151819232731[[#This Row],[JAM KELUAR]]</f>
        <v>0.41388888888888886</v>
      </c>
      <c r="AR12" s="2">
        <v>6</v>
      </c>
      <c r="AS12" s="18" t="s">
        <v>54</v>
      </c>
      <c r="AU12" s="11" t="s">
        <v>7</v>
      </c>
      <c r="AV12" s="12">
        <f>AV11/AV7</f>
        <v>3.9166666666666665</v>
      </c>
    </row>
    <row r="13" spans="1:48" s="1" customFormat="1" x14ac:dyDescent="0.35">
      <c r="A13"/>
      <c r="B13" s="16">
        <v>8</v>
      </c>
      <c r="C13" s="33" t="s">
        <v>26</v>
      </c>
      <c r="D13" s="34">
        <v>0.29791666666666666</v>
      </c>
      <c r="E13" s="34">
        <v>0.69097222222222221</v>
      </c>
      <c r="F13" s="32">
        <f>Table13245678910111321252934[[#This Row],[JAM MASUK]]-Table13245678910111321252934[[#This Row],[JAM KELUAR]]</f>
        <v>0.39305555555555555</v>
      </c>
      <c r="G13" s="33">
        <v>2</v>
      </c>
      <c r="H13" s="17" t="s">
        <v>412</v>
      </c>
      <c r="J13" s="13" t="s">
        <v>11</v>
      </c>
      <c r="K13" s="14">
        <v>2.5</v>
      </c>
      <c r="L13" s="28"/>
      <c r="O13" s="16">
        <v>8</v>
      </c>
      <c r="P13" s="37" t="s">
        <v>299</v>
      </c>
      <c r="Q13" s="38">
        <v>0.30416666666666664</v>
      </c>
      <c r="R13" s="38">
        <v>0.65347222222222223</v>
      </c>
      <c r="S13" s="39">
        <f>Table1345678910111722263035[[#This Row],[JAM MASUK]]-Table1345678910111722263035[[#This Row],[JAM KELUAR]]</f>
        <v>0.34930555555555559</v>
      </c>
      <c r="T13" s="37">
        <v>2</v>
      </c>
      <c r="U13" s="40" t="s">
        <v>369</v>
      </c>
      <c r="W13" s="13" t="s">
        <v>11</v>
      </c>
      <c r="X13" s="14">
        <v>2.5</v>
      </c>
      <c r="AA13" s="16">
        <v>8</v>
      </c>
      <c r="AB13" s="33" t="s">
        <v>254</v>
      </c>
      <c r="AC13" s="31">
        <v>0.22083333333333333</v>
      </c>
      <c r="AD13" s="31">
        <v>0.72361111111111109</v>
      </c>
      <c r="AE13" s="32">
        <f>Table13245678910121620242833[[#This Row],[JAM MASUK]]-Table13245678910121620242833[[#This Row],[JAM KELUAR]]</f>
        <v>0.50277777777777777</v>
      </c>
      <c r="AF13" s="33">
        <v>3</v>
      </c>
      <c r="AG13" s="50" t="s">
        <v>431</v>
      </c>
      <c r="AI13" s="13" t="s">
        <v>11</v>
      </c>
      <c r="AJ13" s="14">
        <v>4</v>
      </c>
      <c r="AM13" s="1">
        <v>8</v>
      </c>
      <c r="AN13" s="2" t="s">
        <v>187</v>
      </c>
      <c r="AO13" s="35">
        <v>0.25138888888888888</v>
      </c>
      <c r="AP13" s="35">
        <v>0.69444444444444453</v>
      </c>
      <c r="AQ13" s="30">
        <f>Table134567891011151819232731[[#This Row],[JAM MASUK]]-Table134567891011151819232731[[#This Row],[JAM KELUAR]]</f>
        <v>0.44305555555555565</v>
      </c>
      <c r="AR13" s="2">
        <v>6</v>
      </c>
      <c r="AS13" s="18" t="s">
        <v>54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27</v>
      </c>
      <c r="D14" s="34">
        <v>0.25763888888888892</v>
      </c>
      <c r="E14" s="34">
        <v>0.6118055555555556</v>
      </c>
      <c r="F14" s="32">
        <f>Table13245678910111321252934[[#This Row],[JAM MASUK]]-Table13245678910111321252934[[#This Row],[JAM KELUAR]]</f>
        <v>0.35416666666666669</v>
      </c>
      <c r="G14" s="33">
        <v>2</v>
      </c>
      <c r="H14" s="17" t="s">
        <v>412</v>
      </c>
      <c r="J14" s="13" t="s">
        <v>51</v>
      </c>
      <c r="K14" s="15">
        <f>K12/K13</f>
        <v>0.8</v>
      </c>
      <c r="L14" s="28"/>
      <c r="O14" s="16">
        <v>9</v>
      </c>
      <c r="P14" s="37" t="s">
        <v>300</v>
      </c>
      <c r="Q14" s="38">
        <v>0.3125</v>
      </c>
      <c r="R14" s="38">
        <v>0.67499999999999993</v>
      </c>
      <c r="S14" s="39">
        <f>Table1345678910111722263035[[#This Row],[JAM MASUK]]-Table1345678910111722263035[[#This Row],[JAM KELUAR]]</f>
        <v>0.36249999999999993</v>
      </c>
      <c r="T14" s="37">
        <v>2</v>
      </c>
      <c r="U14" s="40" t="s">
        <v>416</v>
      </c>
      <c r="W14" s="13" t="s">
        <v>51</v>
      </c>
      <c r="X14" s="15">
        <f>X12/X13</f>
        <v>0.7142857142857143</v>
      </c>
      <c r="AA14" s="16">
        <v>9</v>
      </c>
      <c r="AB14" s="33" t="s">
        <v>154</v>
      </c>
      <c r="AC14" s="31">
        <v>0.29930555555555555</v>
      </c>
      <c r="AD14" s="31">
        <v>0.7597222222222223</v>
      </c>
      <c r="AE14" s="32">
        <f>Table13245678910121620242833[[#This Row],[JAM MASUK]]-Table13245678910121620242833[[#This Row],[JAM KELUAR]]</f>
        <v>0.46041666666666675</v>
      </c>
      <c r="AF14" s="33">
        <v>3</v>
      </c>
      <c r="AG14" s="17" t="s">
        <v>428</v>
      </c>
      <c r="AI14" s="13" t="s">
        <v>51</v>
      </c>
      <c r="AJ14" s="15">
        <f>AJ12/AJ13</f>
        <v>0.85606060606060608</v>
      </c>
      <c r="AM14" s="1">
        <v>9</v>
      </c>
      <c r="AN14" s="2" t="s">
        <v>190</v>
      </c>
      <c r="AO14" s="35">
        <v>0.27430555555555552</v>
      </c>
      <c r="AP14" s="35">
        <v>0.66875000000000007</v>
      </c>
      <c r="AQ14" s="30">
        <f>Table134567891011151819232731[[#This Row],[JAM MASUK]]-Table134567891011151819232731[[#This Row],[JAM KELUAR]]</f>
        <v>0.39444444444444454</v>
      </c>
      <c r="AR14" s="2">
        <v>6</v>
      </c>
      <c r="AS14" s="18" t="s">
        <v>54</v>
      </c>
      <c r="AU14" s="13" t="s">
        <v>51</v>
      </c>
      <c r="AV14" s="15">
        <f>AV12/AV13</f>
        <v>0.78333333333333333</v>
      </c>
    </row>
    <row r="15" spans="1:48" x14ac:dyDescent="0.35">
      <c r="B15" s="16">
        <v>10</v>
      </c>
      <c r="C15" s="33" t="s">
        <v>28</v>
      </c>
      <c r="D15" s="34">
        <v>0.28819444444444448</v>
      </c>
      <c r="E15" s="34">
        <v>0.6333333333333333</v>
      </c>
      <c r="F15" s="32">
        <f>Table13245678910111321252934[[#This Row],[JAM MASUK]]-Table13245678910111321252934[[#This Row],[JAM KELUAR]]</f>
        <v>0.34513888888888883</v>
      </c>
      <c r="G15" s="33">
        <v>2</v>
      </c>
      <c r="H15" s="17" t="s">
        <v>412</v>
      </c>
      <c r="J15" s="13" t="s">
        <v>52</v>
      </c>
      <c r="K15" s="15">
        <f>K7/K6</f>
        <v>0.66666666666666663</v>
      </c>
      <c r="O15" s="16">
        <v>10</v>
      </c>
      <c r="P15" s="37" t="s">
        <v>167</v>
      </c>
      <c r="Q15" s="38">
        <v>0.22291666666666665</v>
      </c>
      <c r="R15" s="38">
        <v>0.66111111111111109</v>
      </c>
      <c r="S15" s="39">
        <f>Table1345678910111722263035[[#This Row],[JAM MASUK]]-Table1345678910111722263035[[#This Row],[JAM KELUAR]]</f>
        <v>0.43819444444444444</v>
      </c>
      <c r="T15" s="37">
        <v>2</v>
      </c>
      <c r="U15" s="40" t="s">
        <v>369</v>
      </c>
      <c r="W15" s="13" t="s">
        <v>151</v>
      </c>
      <c r="X15" s="15">
        <f>X7/X6</f>
        <v>0.66666666666666663</v>
      </c>
      <c r="AA15" s="16">
        <v>10</v>
      </c>
      <c r="AB15" s="33" t="s">
        <v>244</v>
      </c>
      <c r="AC15" s="31">
        <v>0.2673611111111111</v>
      </c>
      <c r="AD15" s="31">
        <v>0.72499999999999998</v>
      </c>
      <c r="AE15" s="32">
        <f>Table13245678910121620242833[[#This Row],[JAM MASUK]]-Table13245678910121620242833[[#This Row],[JAM KELUAR]]</f>
        <v>0.45763888888888887</v>
      </c>
      <c r="AF15" s="33">
        <v>3</v>
      </c>
      <c r="AG15" s="17" t="s">
        <v>429</v>
      </c>
      <c r="AI15" s="13" t="s">
        <v>151</v>
      </c>
      <c r="AJ15" s="15">
        <f>AJ7/AJ6</f>
        <v>1.1000000000000001</v>
      </c>
      <c r="AM15" s="1">
        <v>10</v>
      </c>
      <c r="AN15" s="2" t="s">
        <v>181</v>
      </c>
      <c r="AO15" s="35">
        <v>0.29166666666666669</v>
      </c>
      <c r="AP15" s="35">
        <v>0.65277777777777779</v>
      </c>
      <c r="AQ15" s="30">
        <f>Table134567891011151819232731[[#This Row],[JAM MASUK]]-Table134567891011151819232731[[#This Row],[JAM KELUAR]]</f>
        <v>0.3611111111111111</v>
      </c>
      <c r="AR15" s="2">
        <v>6</v>
      </c>
      <c r="AS15" s="18" t="s">
        <v>54</v>
      </c>
      <c r="AU15" s="13" t="s">
        <v>151</v>
      </c>
      <c r="AV15" s="15">
        <f>AV7/AV6</f>
        <v>0.8</v>
      </c>
    </row>
    <row r="16" spans="1:48" x14ac:dyDescent="0.35">
      <c r="B16" s="16">
        <v>11</v>
      </c>
      <c r="C16" s="33" t="s">
        <v>30</v>
      </c>
      <c r="D16" s="34">
        <v>0.25555555555555559</v>
      </c>
      <c r="E16" s="34">
        <v>0.62986111111111109</v>
      </c>
      <c r="F16" s="32">
        <f>Table13245678910111321252934[[#This Row],[JAM MASUK]]-Table13245678910111321252934[[#This Row],[JAM KELUAR]]</f>
        <v>0.3743055555555555</v>
      </c>
      <c r="G16" s="33">
        <v>2</v>
      </c>
      <c r="H16" s="17" t="s">
        <v>412</v>
      </c>
      <c r="O16" s="16">
        <v>11</v>
      </c>
      <c r="P16" s="37" t="s">
        <v>301</v>
      </c>
      <c r="Q16" s="38">
        <v>0.29583333333333334</v>
      </c>
      <c r="R16" s="38">
        <v>0.84722222222222221</v>
      </c>
      <c r="S16" s="39">
        <f>Table1345678910111722263035[[#This Row],[JAM MASUK]]-Table1345678910111722263035[[#This Row],[JAM KELUAR]]</f>
        <v>0.55138888888888893</v>
      </c>
      <c r="T16" s="37">
        <v>2</v>
      </c>
      <c r="U16" s="40" t="s">
        <v>417</v>
      </c>
      <c r="W16" s="21"/>
      <c r="X16" s="22"/>
      <c r="AA16" s="16">
        <v>11</v>
      </c>
      <c r="AB16" s="33" t="s">
        <v>251</v>
      </c>
      <c r="AC16" s="31">
        <v>0.25</v>
      </c>
      <c r="AD16" s="31">
        <v>0.55972222222222223</v>
      </c>
      <c r="AE16" s="32">
        <f>Table13245678910121620242833[[#This Row],[JAM MASUK]]-Table13245678910121620242833[[#This Row],[JAM KELUAR]]</f>
        <v>0.30972222222222223</v>
      </c>
      <c r="AF16" s="33">
        <v>3</v>
      </c>
      <c r="AG16" s="17" t="s">
        <v>432</v>
      </c>
    </row>
    <row r="17" spans="2:47" x14ac:dyDescent="0.35">
      <c r="B17" s="16">
        <v>12</v>
      </c>
      <c r="C17" s="33" t="s">
        <v>31</v>
      </c>
      <c r="D17" s="34">
        <v>0.26458333333333334</v>
      </c>
      <c r="E17" s="34">
        <v>0.66805555555555562</v>
      </c>
      <c r="F17" s="32">
        <f>Table13245678910111321252934[[#This Row],[JAM MASUK]]-Table13245678910111321252934[[#This Row],[JAM KELUAR]]</f>
        <v>0.40347222222222229</v>
      </c>
      <c r="G17" s="33">
        <v>2</v>
      </c>
      <c r="H17" s="17" t="s">
        <v>412</v>
      </c>
      <c r="O17" s="1">
        <v>12</v>
      </c>
      <c r="P17" s="41" t="s">
        <v>175</v>
      </c>
      <c r="Q17" s="42">
        <v>0.22013888888888888</v>
      </c>
      <c r="R17" s="42">
        <v>0.70624999999999993</v>
      </c>
      <c r="S17" s="43">
        <f>Table1345678910111722263035[[#This Row],[JAM MASUK]]-Table1345678910111722263035[[#This Row],[JAM KELUAR]]</f>
        <v>0.48611111111111105</v>
      </c>
      <c r="T17" s="41">
        <v>3</v>
      </c>
      <c r="U17" s="44" t="s">
        <v>54</v>
      </c>
      <c r="W17" s="21"/>
      <c r="X17" s="22"/>
      <c r="AA17" s="1">
        <v>12</v>
      </c>
      <c r="AB17" s="2" t="s">
        <v>277</v>
      </c>
      <c r="AC17" s="29">
        <v>0.28263888888888888</v>
      </c>
      <c r="AD17" s="29">
        <v>0.67708333333333337</v>
      </c>
      <c r="AE17" s="30">
        <f>Table13245678910121620242833[[#This Row],[JAM MASUK]]-Table13245678910121620242833[[#This Row],[JAM KELUAR]]</f>
        <v>0.39444444444444449</v>
      </c>
      <c r="AF17" s="2">
        <v>4</v>
      </c>
      <c r="AG17" s="18" t="s">
        <v>54</v>
      </c>
      <c r="AU17" s="20"/>
    </row>
    <row r="18" spans="2:47" x14ac:dyDescent="0.35">
      <c r="B18" s="1">
        <v>13</v>
      </c>
      <c r="C18" s="2" t="s">
        <v>373</v>
      </c>
      <c r="D18" s="35">
        <v>0.29236111111111113</v>
      </c>
      <c r="E18" s="35">
        <v>0.71527777777777779</v>
      </c>
      <c r="F18" s="30">
        <f>Table13245678910111321252934[[#This Row],[JAM MASUK]]-Table13245678910111321252934[[#This Row],[JAM KELUAR]]</f>
        <v>0.42291666666666666</v>
      </c>
      <c r="G18" s="2">
        <v>3</v>
      </c>
      <c r="H18" s="18" t="s">
        <v>54</v>
      </c>
      <c r="O18" s="1">
        <v>13</v>
      </c>
      <c r="P18" s="41" t="s">
        <v>176</v>
      </c>
      <c r="Q18" s="42">
        <v>0.20069444444444443</v>
      </c>
      <c r="R18" s="42">
        <v>0.70138888888888884</v>
      </c>
      <c r="S18" s="43">
        <f>Table1345678910111722263035[[#This Row],[JAM MASUK]]-Table1345678910111722263035[[#This Row],[JAM KELUAR]]</f>
        <v>0.50069444444444444</v>
      </c>
      <c r="T18" s="41">
        <v>3</v>
      </c>
      <c r="U18" s="44" t="s">
        <v>54</v>
      </c>
      <c r="W18" s="21"/>
      <c r="X18" s="22"/>
      <c r="AA18" s="1">
        <v>13</v>
      </c>
      <c r="AB18" s="2" t="s">
        <v>156</v>
      </c>
      <c r="AC18" s="29">
        <v>0.20138888888888887</v>
      </c>
      <c r="AD18" s="29" t="s">
        <v>342</v>
      </c>
      <c r="AE18" s="30"/>
      <c r="AF18" s="2">
        <v>4</v>
      </c>
      <c r="AG18" s="18" t="s">
        <v>54</v>
      </c>
      <c r="AI18" s="20"/>
    </row>
    <row r="19" spans="2:47" x14ac:dyDescent="0.35">
      <c r="B19" s="1">
        <v>14</v>
      </c>
      <c r="C19" s="2" t="s">
        <v>23</v>
      </c>
      <c r="D19" s="35">
        <v>0.2673611111111111</v>
      </c>
      <c r="E19" s="35">
        <v>0.67499999999999993</v>
      </c>
      <c r="F19" s="30">
        <f>Table13245678910111321252934[[#This Row],[JAM MASUK]]-Table13245678910111321252934[[#This Row],[JAM KELUAR]]</f>
        <v>0.40763888888888883</v>
      </c>
      <c r="G19" s="2">
        <v>3</v>
      </c>
      <c r="H19" s="18" t="s">
        <v>54</v>
      </c>
      <c r="O19" s="1">
        <v>14</v>
      </c>
      <c r="P19" s="45" t="s">
        <v>302</v>
      </c>
      <c r="Q19" s="46">
        <v>0.25138888888888888</v>
      </c>
      <c r="R19" s="46">
        <v>0.72916666666666663</v>
      </c>
      <c r="S19" s="43">
        <f>Table1345678910111722263035[[#This Row],[JAM MASUK]]-Table1345678910111722263035[[#This Row],[JAM KELUAR]]</f>
        <v>0.47777777777777775</v>
      </c>
      <c r="T19" s="45">
        <v>3</v>
      </c>
      <c r="U19" s="44" t="s">
        <v>54</v>
      </c>
      <c r="W19" s="21"/>
      <c r="X19" s="22"/>
      <c r="AA19" s="1">
        <v>14</v>
      </c>
      <c r="AB19" s="2" t="s">
        <v>200</v>
      </c>
      <c r="AC19" s="29">
        <v>0.28263888888888888</v>
      </c>
      <c r="AD19" s="29">
        <v>0.72083333333333333</v>
      </c>
      <c r="AE19" s="30">
        <f>Table13245678910121620242833[[#This Row],[JAM MASUK]]-Table13245678910121620242833[[#This Row],[JAM KELUAR]]</f>
        <v>0.43819444444444444</v>
      </c>
      <c r="AF19" s="2">
        <v>4</v>
      </c>
      <c r="AG19" s="18" t="s">
        <v>54</v>
      </c>
    </row>
    <row r="20" spans="2:47" ht="15.5" x14ac:dyDescent="0.35">
      <c r="B20" s="1">
        <v>15</v>
      </c>
      <c r="C20" s="2" t="s">
        <v>24</v>
      </c>
      <c r="D20" s="35">
        <v>0.2951388888888889</v>
      </c>
      <c r="E20" s="35">
        <v>0.71180555555555547</v>
      </c>
      <c r="F20" s="30">
        <f>Table13245678910111321252934[[#This Row],[JAM MASUK]]-Table13245678910111321252934[[#This Row],[JAM KELUAR]]</f>
        <v>0.41666666666666657</v>
      </c>
      <c r="G20" s="2">
        <v>3</v>
      </c>
      <c r="H20" s="18" t="s">
        <v>54</v>
      </c>
      <c r="O20" s="52"/>
      <c r="P20" s="53"/>
      <c r="Q20" s="48"/>
      <c r="R20" s="48"/>
      <c r="S20" s="49"/>
      <c r="T20" s="53"/>
      <c r="U20" s="44"/>
      <c r="W20" s="47" t="s">
        <v>160</v>
      </c>
      <c r="X20" s="47"/>
      <c r="AA20" s="1">
        <v>15</v>
      </c>
      <c r="AB20" s="2" t="s">
        <v>152</v>
      </c>
      <c r="AC20" s="29">
        <v>0.3</v>
      </c>
      <c r="AD20" s="29">
        <v>0.6972222222222223</v>
      </c>
      <c r="AE20" s="30">
        <f>Table13245678910121620242833[[#This Row],[JAM MASUK]]-Table13245678910121620242833[[#This Row],[JAM KELUAR]]</f>
        <v>0.39722222222222231</v>
      </c>
      <c r="AF20" s="2">
        <v>4</v>
      </c>
      <c r="AG20" s="18" t="s">
        <v>54</v>
      </c>
    </row>
    <row r="21" spans="2:47" ht="18.5" x14ac:dyDescent="0.45">
      <c r="B21" s="1">
        <v>16</v>
      </c>
      <c r="C21" s="2" t="s">
        <v>25</v>
      </c>
      <c r="D21" s="35">
        <v>0.20833333333333334</v>
      </c>
      <c r="E21" s="35">
        <v>0.66319444444444442</v>
      </c>
      <c r="F21" s="30">
        <f>Table13245678910111321252934[[#This Row],[JAM MASUK]]-Table13245678910111321252934[[#This Row],[JAM KELUAR]]</f>
        <v>0.45486111111111105</v>
      </c>
      <c r="G21" s="2">
        <v>3</v>
      </c>
      <c r="H21" s="18" t="s">
        <v>54</v>
      </c>
      <c r="O21" s="70" t="s">
        <v>399</v>
      </c>
      <c r="P21" s="70"/>
      <c r="Q21" s="70"/>
      <c r="R21" s="70"/>
      <c r="S21" s="70"/>
      <c r="T21" s="70"/>
      <c r="U21" s="70"/>
      <c r="W21" s="26"/>
      <c r="X21" s="26"/>
      <c r="AA21" s="1">
        <v>16</v>
      </c>
      <c r="AB21" s="2" t="s">
        <v>204</v>
      </c>
      <c r="AC21" s="29">
        <v>0.2951388888888889</v>
      </c>
      <c r="AD21" s="29">
        <v>0.62569444444444444</v>
      </c>
      <c r="AE21" s="30">
        <f>Table13245678910121620242833[[#This Row],[JAM MASUK]]-Table13245678910121620242833[[#This Row],[JAM KELUAR]]</f>
        <v>0.33055555555555555</v>
      </c>
      <c r="AF21" s="2">
        <v>4</v>
      </c>
      <c r="AG21" s="18" t="s">
        <v>54</v>
      </c>
    </row>
    <row r="22" spans="2:47" x14ac:dyDescent="0.35">
      <c r="O22" s="68">
        <v>45376</v>
      </c>
      <c r="P22" s="68"/>
      <c r="Q22" s="68"/>
      <c r="R22" s="68"/>
      <c r="S22" s="68"/>
      <c r="T22" s="68"/>
      <c r="U22" s="68"/>
      <c r="W22" s="4" t="s">
        <v>161</v>
      </c>
      <c r="X22" s="6">
        <v>8</v>
      </c>
      <c r="AA22" s="1">
        <v>17</v>
      </c>
      <c r="AB22" s="2" t="s">
        <v>157</v>
      </c>
      <c r="AC22" s="29">
        <v>0.22777777777777777</v>
      </c>
      <c r="AD22" s="29">
        <v>0.64930555555555558</v>
      </c>
      <c r="AE22" s="30">
        <f>Table13245678910121620242833[[#This Row],[JAM MASUK]]-Table13245678910121620242833[[#This Row],[JAM KELUAR]]</f>
        <v>0.42152777777777783</v>
      </c>
      <c r="AF22" s="2">
        <v>4</v>
      </c>
      <c r="AG22" s="18" t="s">
        <v>54</v>
      </c>
    </row>
    <row r="23" spans="2:47" x14ac:dyDescent="0.35">
      <c r="O23" s="2" t="s">
        <v>0</v>
      </c>
      <c r="P23" s="2" t="s">
        <v>1</v>
      </c>
      <c r="Q23" s="36" t="s">
        <v>336</v>
      </c>
      <c r="R23" s="36" t="s">
        <v>337</v>
      </c>
      <c r="S23" s="36" t="s">
        <v>338</v>
      </c>
      <c r="T23" s="2" t="s">
        <v>2</v>
      </c>
      <c r="U23" s="2" t="s">
        <v>3</v>
      </c>
      <c r="W23" s="5" t="s">
        <v>10</v>
      </c>
      <c r="X23" s="7">
        <v>8</v>
      </c>
      <c r="AA23" s="1">
        <v>18</v>
      </c>
      <c r="AB23" s="2" t="s">
        <v>155</v>
      </c>
      <c r="AC23" s="29">
        <v>0.29791666666666666</v>
      </c>
      <c r="AD23" s="29">
        <v>0.70416666666666661</v>
      </c>
      <c r="AE23" s="30">
        <f>Table13245678910121620242833[[#This Row],[JAM MASUK]]-Table13245678910121620242833[[#This Row],[JAM KELUAR]]</f>
        <v>0.40624999999999994</v>
      </c>
      <c r="AF23" s="2">
        <v>4</v>
      </c>
      <c r="AG23" s="18" t="s">
        <v>54</v>
      </c>
    </row>
    <row r="24" spans="2:47" ht="14.5" customHeight="1" x14ac:dyDescent="0.35">
      <c r="O24" s="16">
        <v>1</v>
      </c>
      <c r="P24" s="37" t="s">
        <v>178</v>
      </c>
      <c r="Q24" s="38">
        <v>0.27430555555555552</v>
      </c>
      <c r="R24" s="38">
        <v>0.48749999999999999</v>
      </c>
      <c r="S24" s="39">
        <f>Table134567891011172226303236[[#This Row],[JAM MASUK]]-Table134567891011172226303236[[#This Row],[JAM KELUAR]]</f>
        <v>0.21319444444444446</v>
      </c>
      <c r="T24" s="37">
        <v>2</v>
      </c>
      <c r="U24" s="40" t="s">
        <v>418</v>
      </c>
      <c r="W24" s="5" t="s">
        <v>9</v>
      </c>
      <c r="X24" s="8">
        <v>6</v>
      </c>
      <c r="AA24" s="1">
        <v>19</v>
      </c>
      <c r="AB24" s="2" t="s">
        <v>245</v>
      </c>
      <c r="AC24" s="29">
        <v>0.22152777777777777</v>
      </c>
      <c r="AD24" s="29">
        <v>0.71180555555555547</v>
      </c>
      <c r="AE24" s="30">
        <f>Table13245678910121620242833[[#This Row],[JAM MASUK]]-Table13245678910121620242833[[#This Row],[JAM KELUAR]]</f>
        <v>0.4902777777777777</v>
      </c>
      <c r="AF24" s="2">
        <v>4</v>
      </c>
      <c r="AG24" s="18" t="s">
        <v>54</v>
      </c>
    </row>
    <row r="25" spans="2:47" ht="14.5" customHeight="1" x14ac:dyDescent="0.35">
      <c r="O25" s="16">
        <v>2</v>
      </c>
      <c r="P25" s="37" t="s">
        <v>177</v>
      </c>
      <c r="Q25" s="38">
        <v>0.33124999999999999</v>
      </c>
      <c r="R25" s="38">
        <v>0.55347222222222225</v>
      </c>
      <c r="S25" s="39">
        <f>Table134567891011172226303236[[#This Row],[JAM MASUK]]-Table134567891011172226303236[[#This Row],[JAM KELUAR]]</f>
        <v>0.22222222222222227</v>
      </c>
      <c r="T25" s="37">
        <v>2</v>
      </c>
      <c r="U25" s="40" t="s">
        <v>419</v>
      </c>
      <c r="W25" s="5" t="s">
        <v>4</v>
      </c>
      <c r="X25" s="8">
        <v>0</v>
      </c>
      <c r="AA25" s="1">
        <v>20</v>
      </c>
      <c r="AB25" s="2" t="s">
        <v>280</v>
      </c>
      <c r="AC25" s="29">
        <v>0.30208333333333331</v>
      </c>
      <c r="AD25" s="29">
        <v>0.73263888888888884</v>
      </c>
      <c r="AE25" s="30">
        <f>Table13245678910121620242833[[#This Row],[JAM MASUK]]-Table13245678910121620242833[[#This Row],[JAM KELUAR]]</f>
        <v>0.43055555555555552</v>
      </c>
      <c r="AF25" s="2">
        <v>4</v>
      </c>
      <c r="AG25" s="18" t="s">
        <v>54</v>
      </c>
    </row>
    <row r="26" spans="2:47" ht="14.5" customHeight="1" x14ac:dyDescent="0.35">
      <c r="O26" s="16">
        <v>3</v>
      </c>
      <c r="P26" s="37" t="s">
        <v>169</v>
      </c>
      <c r="Q26" s="38">
        <v>0.30833333333333335</v>
      </c>
      <c r="R26" s="38">
        <v>0.66666666666666663</v>
      </c>
      <c r="S26" s="39">
        <f>Table134567891011172226303236[[#This Row],[JAM MASUK]]-Table134567891011172226303236[[#This Row],[JAM KELUAR]]</f>
        <v>0.35833333333333328</v>
      </c>
      <c r="T26" s="37">
        <v>3</v>
      </c>
      <c r="U26" s="40" t="s">
        <v>433</v>
      </c>
      <c r="W26" s="5" t="s">
        <v>5</v>
      </c>
      <c r="X26" s="8">
        <v>2</v>
      </c>
      <c r="AA26" s="1">
        <v>21</v>
      </c>
      <c r="AB26" s="2" t="s">
        <v>249</v>
      </c>
      <c r="AC26" s="29">
        <v>0.27777777777777779</v>
      </c>
      <c r="AD26" s="29">
        <v>0.72013888888888899</v>
      </c>
      <c r="AE26" s="30">
        <f>Table13245678910121620242833[[#This Row],[JAM MASUK]]-Table13245678910121620242833[[#This Row],[JAM KELUAR]]</f>
        <v>0.4423611111111112</v>
      </c>
      <c r="AF26" s="2">
        <v>4</v>
      </c>
      <c r="AG26" s="18" t="s">
        <v>54</v>
      </c>
    </row>
    <row r="27" spans="2:47" x14ac:dyDescent="0.35">
      <c r="O27" s="16">
        <v>4</v>
      </c>
      <c r="P27" s="37" t="s">
        <v>170</v>
      </c>
      <c r="Q27" s="38">
        <v>0.32430555555555557</v>
      </c>
      <c r="R27" s="38">
        <v>0.67152777777777783</v>
      </c>
      <c r="S27" s="39">
        <f>Table134567891011172226303236[[#This Row],[JAM MASUK]]-Table134567891011172226303236[[#This Row],[JAM KELUAR]]</f>
        <v>0.34722222222222227</v>
      </c>
      <c r="T27" s="37">
        <v>3</v>
      </c>
      <c r="U27" s="40" t="s">
        <v>433</v>
      </c>
      <c r="V27" s="1"/>
      <c r="W27" s="5" t="s">
        <v>166</v>
      </c>
      <c r="X27" s="8">
        <v>0</v>
      </c>
      <c r="AA27" s="1">
        <v>22</v>
      </c>
      <c r="AB27" s="2" t="s">
        <v>212</v>
      </c>
      <c r="AC27" s="29">
        <v>0.29722222222222222</v>
      </c>
      <c r="AD27" s="29">
        <v>0.68125000000000002</v>
      </c>
      <c r="AE27" s="30">
        <f>Table13245678910121620242833[[#This Row],[JAM MASUK]]-Table13245678910121620242833[[#This Row],[JAM KELUAR]]</f>
        <v>0.3840277777777778</v>
      </c>
      <c r="AF27" s="2">
        <v>4</v>
      </c>
      <c r="AG27" s="18" t="s">
        <v>54</v>
      </c>
    </row>
    <row r="28" spans="2:47" x14ac:dyDescent="0.35">
      <c r="O28" s="16">
        <v>5</v>
      </c>
      <c r="P28" s="37" t="s">
        <v>164</v>
      </c>
      <c r="Q28" s="38">
        <v>0.28472222222222221</v>
      </c>
      <c r="R28" s="38">
        <v>0.63402777777777775</v>
      </c>
      <c r="S28" s="39">
        <f>Table134567891011172226303236[[#This Row],[JAM MASUK]]-Table134567891011172226303236[[#This Row],[JAM KELUAR]]</f>
        <v>0.34930555555555554</v>
      </c>
      <c r="T28" s="37">
        <v>3</v>
      </c>
      <c r="U28" s="40" t="s">
        <v>433</v>
      </c>
      <c r="V28" s="1"/>
      <c r="W28" s="9" t="s">
        <v>8</v>
      </c>
      <c r="X28" s="10">
        <f>SUM(Table134567891011172226303236[Retase])</f>
        <v>17</v>
      </c>
      <c r="AA28" s="1">
        <v>23</v>
      </c>
      <c r="AB28" s="2" t="s">
        <v>282</v>
      </c>
      <c r="AC28" s="29">
        <v>0.29375000000000001</v>
      </c>
      <c r="AD28" s="29">
        <v>0.6958333333333333</v>
      </c>
      <c r="AE28" s="30">
        <f>Table13245678910121620242833[[#This Row],[JAM MASUK]]-Table13245678910121620242833[[#This Row],[JAM KELUAR]]</f>
        <v>0.40208333333333329</v>
      </c>
      <c r="AF28" s="2">
        <v>4</v>
      </c>
      <c r="AG28" s="18" t="s">
        <v>54</v>
      </c>
    </row>
    <row r="29" spans="2:47" x14ac:dyDescent="0.35">
      <c r="O29" s="1">
        <v>6</v>
      </c>
      <c r="P29" s="41" t="s">
        <v>172</v>
      </c>
      <c r="Q29" s="42">
        <v>0.28541666666666665</v>
      </c>
      <c r="R29" s="42">
        <v>0.70138888888888884</v>
      </c>
      <c r="S29" s="43">
        <f>Table134567891011172226303236[[#This Row],[JAM MASUK]]-Table134567891011172226303236[[#This Row],[JAM KELUAR]]</f>
        <v>0.41597222222222219</v>
      </c>
      <c r="T29" s="41">
        <v>4</v>
      </c>
      <c r="U29" s="44" t="s">
        <v>54</v>
      </c>
      <c r="V29" s="1"/>
      <c r="W29" s="11" t="s">
        <v>7</v>
      </c>
      <c r="X29" s="12">
        <f>X28/X24</f>
        <v>2.8333333333333335</v>
      </c>
      <c r="AA29" s="1">
        <v>24</v>
      </c>
      <c r="AB29" s="2" t="s">
        <v>276</v>
      </c>
      <c r="AC29" s="29">
        <v>0.28055555555555556</v>
      </c>
      <c r="AD29" s="29">
        <v>0.70208333333333339</v>
      </c>
      <c r="AE29" s="30">
        <f>Table13245678910121620242833[[#This Row],[JAM MASUK]]-Table13245678910121620242833[[#This Row],[JAM KELUAR]]</f>
        <v>0.42152777777777783</v>
      </c>
      <c r="AF29" s="2">
        <v>5</v>
      </c>
      <c r="AG29" s="18" t="s">
        <v>54</v>
      </c>
    </row>
    <row r="30" spans="2:47" x14ac:dyDescent="0.35">
      <c r="V30" s="1"/>
      <c r="W30" s="13" t="s">
        <v>11</v>
      </c>
      <c r="X30" s="14">
        <v>4</v>
      </c>
      <c r="AA30" s="1">
        <v>25</v>
      </c>
      <c r="AB30" s="2" t="s">
        <v>372</v>
      </c>
      <c r="AC30" s="29">
        <v>0.24444444444444446</v>
      </c>
      <c r="AD30" s="29">
        <v>0.68402777777777779</v>
      </c>
      <c r="AE30" s="30">
        <f>Table13245678910121620242833[[#This Row],[JAM MASUK]]-Table13245678910121620242833[[#This Row],[JAM KELUAR]]</f>
        <v>0.43958333333333333</v>
      </c>
      <c r="AF30" s="2">
        <v>5</v>
      </c>
      <c r="AG30" s="18" t="s">
        <v>54</v>
      </c>
    </row>
    <row r="31" spans="2:47" x14ac:dyDescent="0.35">
      <c r="V31" s="1"/>
      <c r="W31" s="13" t="s">
        <v>51</v>
      </c>
      <c r="X31" s="15">
        <f>X29/X30</f>
        <v>0.70833333333333337</v>
      </c>
      <c r="AA31" s="1">
        <v>26</v>
      </c>
      <c r="AB31" s="2" t="s">
        <v>202</v>
      </c>
      <c r="AC31" s="29">
        <v>0.29236111111111113</v>
      </c>
      <c r="AD31" s="29">
        <v>0.68541666666666667</v>
      </c>
      <c r="AE31" s="30">
        <f>Table13245678910121620242833[[#This Row],[JAM MASUK]]-Table13245678910121620242833[[#This Row],[JAM KELUAR]]</f>
        <v>0.39305555555555555</v>
      </c>
      <c r="AF31" s="2">
        <v>5</v>
      </c>
      <c r="AG31" s="18" t="s">
        <v>54</v>
      </c>
    </row>
    <row r="32" spans="2:47" x14ac:dyDescent="0.35">
      <c r="V32" s="1"/>
      <c r="W32" s="13" t="s">
        <v>151</v>
      </c>
      <c r="X32" s="15">
        <f>X24/X23</f>
        <v>0.75</v>
      </c>
      <c r="AA32" s="1">
        <v>27</v>
      </c>
      <c r="AB32" s="2" t="s">
        <v>255</v>
      </c>
      <c r="AC32" s="29">
        <v>0.24791666666666667</v>
      </c>
      <c r="AD32" s="29">
        <v>0.67013888888888884</v>
      </c>
      <c r="AE32" s="30">
        <f>Table13245678910121620242833[[#This Row],[JAM MASUK]]-Table13245678910121620242833[[#This Row],[JAM KELUAR]]</f>
        <v>0.42222222222222217</v>
      </c>
      <c r="AF32" s="2">
        <v>5</v>
      </c>
      <c r="AG32" s="18" t="s">
        <v>54</v>
      </c>
    </row>
    <row r="33" spans="1:33" x14ac:dyDescent="0.35">
      <c r="V33" s="1"/>
      <c r="AA33" s="1">
        <v>28</v>
      </c>
      <c r="AB33" s="2" t="s">
        <v>246</v>
      </c>
      <c r="AC33" s="29">
        <v>0.19097222222222221</v>
      </c>
      <c r="AD33" s="29">
        <v>0.72916666666666663</v>
      </c>
      <c r="AE33" s="30">
        <f>Table13245678910121620242833[[#This Row],[JAM MASUK]]-Table13245678910121620242833[[#This Row],[JAM KELUAR]]</f>
        <v>0.53819444444444442</v>
      </c>
      <c r="AF33" s="2">
        <v>5</v>
      </c>
      <c r="AG33" s="18" t="s">
        <v>54</v>
      </c>
    </row>
    <row r="34" spans="1:33" x14ac:dyDescent="0.35">
      <c r="V34" s="1"/>
      <c r="AA34" s="1">
        <v>29</v>
      </c>
      <c r="AB34" s="2" t="s">
        <v>250</v>
      </c>
      <c r="AC34" s="29">
        <v>0.28263888888888888</v>
      </c>
      <c r="AD34" s="29">
        <v>0.71805555555555556</v>
      </c>
      <c r="AE34" s="30">
        <f>Table13245678910121620242833[[#This Row],[JAM MASUK]]-Table13245678910121620242833[[#This Row],[JAM KELUAR]]</f>
        <v>0.43541666666666667</v>
      </c>
      <c r="AF34" s="2">
        <v>5</v>
      </c>
      <c r="AG34" s="18" t="s">
        <v>54</v>
      </c>
    </row>
    <row r="35" spans="1:33" x14ac:dyDescent="0.35">
      <c r="V35" s="1"/>
      <c r="AA35" s="1">
        <v>30</v>
      </c>
      <c r="AB35" s="2" t="s">
        <v>281</v>
      </c>
      <c r="AC35" s="29">
        <v>0.21875</v>
      </c>
      <c r="AD35" s="29">
        <v>0.7402777777777777</v>
      </c>
      <c r="AE35" s="30">
        <f>Table13245678910121620242833[[#This Row],[JAM MASUK]]-Table13245678910121620242833[[#This Row],[JAM KELUAR]]</f>
        <v>0.5215277777777777</v>
      </c>
      <c r="AF35" s="2">
        <v>5</v>
      </c>
      <c r="AG35" s="18" t="s">
        <v>54</v>
      </c>
    </row>
    <row r="36" spans="1:33" x14ac:dyDescent="0.35">
      <c r="V36" s="1"/>
      <c r="AA36" s="1">
        <v>31</v>
      </c>
      <c r="AB36" s="2" t="s">
        <v>403</v>
      </c>
      <c r="AC36" s="29">
        <v>0.23958333333333334</v>
      </c>
      <c r="AD36" s="29">
        <v>0.73055555555555562</v>
      </c>
      <c r="AE36" s="30">
        <f>Table13245678910121620242833[[#This Row],[JAM MASUK]]-Table13245678910121620242833[[#This Row],[JAM KELUAR]]</f>
        <v>0.49097222222222225</v>
      </c>
      <c r="AF36" s="2">
        <v>6</v>
      </c>
      <c r="AG36" s="18" t="s">
        <v>54</v>
      </c>
    </row>
    <row r="38" spans="1:33" x14ac:dyDescent="0.35">
      <c r="W38" s="21"/>
      <c r="X38" s="22"/>
    </row>
    <row r="39" spans="1:33" x14ac:dyDescent="0.35">
      <c r="W39" s="21"/>
      <c r="X39" s="22"/>
    </row>
    <row r="40" spans="1:33" ht="21" x14ac:dyDescent="0.5">
      <c r="A40" s="25"/>
      <c r="W40" s="21"/>
      <c r="X40" s="22"/>
    </row>
    <row r="41" spans="1:33" x14ac:dyDescent="0.35">
      <c r="W41" s="21"/>
      <c r="X41" s="22"/>
    </row>
    <row r="42" spans="1:33" x14ac:dyDescent="0.35">
      <c r="W42" s="21"/>
      <c r="X42" s="22"/>
    </row>
    <row r="43" spans="1:33" x14ac:dyDescent="0.35">
      <c r="W43" s="21"/>
      <c r="X43" s="22"/>
    </row>
    <row r="44" spans="1:33" x14ac:dyDescent="0.35">
      <c r="W44" s="21"/>
      <c r="X44" s="22"/>
    </row>
  </sheetData>
  <mergeCells count="18">
    <mergeCell ref="O21:U21"/>
    <mergeCell ref="O22:U22"/>
    <mergeCell ref="AM3:AS3"/>
    <mergeCell ref="AU3:AV4"/>
    <mergeCell ref="B4:H4"/>
    <mergeCell ref="O4:U4"/>
    <mergeCell ref="AA4:AG4"/>
    <mergeCell ref="AM4:AS4"/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</mergeCells>
  <pageMargins left="0.12" right="0.12" top="0.75" bottom="0.75" header="0.3" footer="0.3"/>
  <pageSetup paperSize="5" scale="73" fitToWidth="0" orientation="landscape" horizontalDpi="360" verticalDpi="360" r:id="rId1"/>
  <rowBreaks count="1" manualBreakCount="1">
    <brk id="39" max="46" man="1"/>
  </rowBreaks>
  <colBreaks count="3" manualBreakCount="3">
    <brk id="13" max="36" man="1"/>
    <brk id="25" max="36" man="1"/>
    <brk id="37" max="36" man="1"/>
  </colBreaks>
  <tableParts count="5"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9838-AE46-43BE-9666-C4A404116137}">
  <sheetPr codeName="Sheet16">
    <tabColor theme="7" tint="0.39997558519241921"/>
  </sheetPr>
  <dimension ref="A1:AV44"/>
  <sheetViews>
    <sheetView showGridLines="0" view="pageBreakPreview" topLeftCell="A14" zoomScale="70" zoomScaleNormal="55" zoomScaleSheetLayoutView="70" workbookViewId="0">
      <selection activeCell="H18" sqref="H18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9.453125" bestFit="1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7" width="11.7265625" customWidth="1"/>
    <col min="18" max="18" width="19.453125" bestFit="1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29" width="10.81640625" customWidth="1"/>
    <col min="30" max="30" width="19.453125" bestFit="1" customWidth="1"/>
    <col min="31" max="31" width="16.453125" customWidth="1"/>
    <col min="32" max="32" width="11.7265625" customWidth="1"/>
    <col min="33" max="33" width="76.54296875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68.7265625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420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45378</v>
      </c>
      <c r="C4" s="68"/>
      <c r="D4" s="68"/>
      <c r="E4" s="68"/>
      <c r="F4" s="68"/>
      <c r="G4" s="68"/>
      <c r="H4" s="68"/>
      <c r="J4" s="66"/>
      <c r="K4" s="66"/>
      <c r="O4" s="68">
        <f>B4</f>
        <v>45378</v>
      </c>
      <c r="P4" s="68"/>
      <c r="Q4" s="68"/>
      <c r="R4" s="68"/>
      <c r="S4" s="68"/>
      <c r="T4" s="68"/>
      <c r="U4" s="68"/>
      <c r="W4" s="66"/>
      <c r="X4" s="66"/>
      <c r="AA4" s="68">
        <f>B4</f>
        <v>45378</v>
      </c>
      <c r="AB4" s="68"/>
      <c r="AC4" s="68"/>
      <c r="AD4" s="68"/>
      <c r="AE4" s="68"/>
      <c r="AF4" s="68"/>
      <c r="AG4" s="68"/>
      <c r="AI4" s="66"/>
      <c r="AJ4" s="66"/>
      <c r="AM4" s="68">
        <f>B4</f>
        <v>45378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21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17</v>
      </c>
    </row>
    <row r="6" spans="1:48" s="1" customFormat="1" x14ac:dyDescent="0.35">
      <c r="A6"/>
      <c r="B6" s="16">
        <v>1</v>
      </c>
      <c r="C6" s="33" t="s">
        <v>15</v>
      </c>
      <c r="D6" s="34">
        <v>0.28958333333333336</v>
      </c>
      <c r="E6" s="34">
        <v>0.64722222222222225</v>
      </c>
      <c r="F6" s="32">
        <f>Table1324567891011132125293439[[#This Row],[JAM MASUK]]-Table1324567891011132125293439[[#This Row],[JAM KELUAR]]</f>
        <v>0.3576388888888889</v>
      </c>
      <c r="G6" s="33">
        <v>2</v>
      </c>
      <c r="H6" s="51" t="s">
        <v>369</v>
      </c>
      <c r="J6" s="5" t="s">
        <v>10</v>
      </c>
      <c r="K6" s="7">
        <v>24</v>
      </c>
      <c r="L6" s="28"/>
      <c r="O6" s="16">
        <v>1</v>
      </c>
      <c r="P6" s="37" t="s">
        <v>162</v>
      </c>
      <c r="Q6" s="38">
        <v>0.2986111111111111</v>
      </c>
      <c r="R6" s="38">
        <v>0.55902777777777779</v>
      </c>
      <c r="S6" s="39">
        <f>Table134567891011172226303540[[#This Row],[JAM MASUK]]-Table134567891011172226303540[[#This Row],[JAM KELUAR]]</f>
        <v>0.26041666666666669</v>
      </c>
      <c r="T6" s="37">
        <v>1</v>
      </c>
      <c r="U6" s="40" t="s">
        <v>448</v>
      </c>
      <c r="W6" s="5" t="s">
        <v>10</v>
      </c>
      <c r="X6" s="7">
        <v>21</v>
      </c>
      <c r="AA6" s="1">
        <v>11</v>
      </c>
      <c r="AB6" s="2" t="s">
        <v>276</v>
      </c>
      <c r="AC6" s="29">
        <v>0.27152777777777776</v>
      </c>
      <c r="AD6" s="29">
        <v>0.74375000000000002</v>
      </c>
      <c r="AE6" s="30">
        <f>Table1324567891012162024283338[[#This Row],[JAM MASUK]]-Table1324567891012162024283338[[#This Row],[JAM KELUAR]]</f>
        <v>0.47222222222222227</v>
      </c>
      <c r="AF6" s="2">
        <v>4</v>
      </c>
      <c r="AG6" s="18" t="s">
        <v>54</v>
      </c>
      <c r="AI6" s="5" t="s">
        <v>10</v>
      </c>
      <c r="AJ6" s="7">
        <v>30</v>
      </c>
      <c r="AM6" s="16">
        <v>1</v>
      </c>
      <c r="AN6" s="33" t="s">
        <v>191</v>
      </c>
      <c r="AO6" s="34">
        <v>0.2673611111111111</v>
      </c>
      <c r="AP6" s="34">
        <v>0.35902777777777778</v>
      </c>
      <c r="AQ6" s="32">
        <f>Table13456789101115181923273137[[#This Row],[JAM MASUK]]-Table13456789101115181923273137[[#This Row],[JAM KELUAR]]</f>
        <v>9.1666666666666674E-2</v>
      </c>
      <c r="AR6" s="33">
        <v>1</v>
      </c>
      <c r="AS6" s="17" t="s">
        <v>442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16</v>
      </c>
      <c r="D7" s="34">
        <v>0.29305555555555557</v>
      </c>
      <c r="E7" s="34">
        <v>0.7055555555555556</v>
      </c>
      <c r="F7" s="32">
        <f>Table1324567891011132125293439[[#This Row],[JAM MASUK]]-Table1324567891011132125293439[[#This Row],[JAM KELUAR]]</f>
        <v>0.41250000000000003</v>
      </c>
      <c r="G7" s="33">
        <v>2</v>
      </c>
      <c r="H7" s="50" t="s">
        <v>459</v>
      </c>
      <c r="J7" s="5" t="s">
        <v>9</v>
      </c>
      <c r="K7" s="8">
        <v>18</v>
      </c>
      <c r="L7" s="28"/>
      <c r="O7" s="16">
        <v>2</v>
      </c>
      <c r="P7" s="37" t="s">
        <v>175</v>
      </c>
      <c r="Q7" s="54">
        <v>0.46666666666666662</v>
      </c>
      <c r="R7" s="54">
        <v>0.66388888888888886</v>
      </c>
      <c r="S7" s="39">
        <f>Table134567891011172226303540[[#This Row],[JAM MASUK]]-Table134567891011172226303540[[#This Row],[JAM KELUAR]]</f>
        <v>0.19722222222222224</v>
      </c>
      <c r="T7" s="37">
        <v>1</v>
      </c>
      <c r="U7" s="40" t="s">
        <v>449</v>
      </c>
      <c r="W7" s="5" t="s">
        <v>9</v>
      </c>
      <c r="X7" s="8">
        <v>12</v>
      </c>
      <c r="AA7" s="16">
        <v>6</v>
      </c>
      <c r="AB7" s="33" t="s">
        <v>439</v>
      </c>
      <c r="AC7" s="31">
        <v>0.2902777777777778</v>
      </c>
      <c r="AD7" s="31">
        <v>0.65069444444444446</v>
      </c>
      <c r="AE7" s="32">
        <f>Table1324567891012162024283338[[#This Row],[JAM MASUK]]-Table1324567891012162024283338[[#This Row],[JAM KELUAR]]</f>
        <v>0.36041666666666666</v>
      </c>
      <c r="AF7" s="33">
        <v>3</v>
      </c>
      <c r="AG7" s="17" t="s">
        <v>273</v>
      </c>
      <c r="AI7" s="5" t="s">
        <v>9</v>
      </c>
      <c r="AJ7" s="8">
        <v>32</v>
      </c>
      <c r="AM7" s="16">
        <v>2</v>
      </c>
      <c r="AN7" s="33" t="s">
        <v>186</v>
      </c>
      <c r="AO7" s="34">
        <v>0.4284722222222222</v>
      </c>
      <c r="AP7" s="34">
        <v>0.71319444444444446</v>
      </c>
      <c r="AQ7" s="32">
        <f>Table13456789101115181923273137[[#This Row],[JAM MASUK]]-Table13456789101115181923273137[[#This Row],[JAM KELUAR]]</f>
        <v>0.28472222222222227</v>
      </c>
      <c r="AR7" s="33">
        <v>3</v>
      </c>
      <c r="AS7" s="17" t="s">
        <v>468</v>
      </c>
      <c r="AU7" s="5" t="s">
        <v>9</v>
      </c>
      <c r="AV7" s="7">
        <v>13</v>
      </c>
    </row>
    <row r="8" spans="1:48" s="1" customFormat="1" x14ac:dyDescent="0.35">
      <c r="A8"/>
      <c r="B8" s="16">
        <v>3</v>
      </c>
      <c r="C8" s="33" t="s">
        <v>73</v>
      </c>
      <c r="D8" s="34">
        <v>0.28055555555555556</v>
      </c>
      <c r="E8" s="34">
        <v>0.72569444444444453</v>
      </c>
      <c r="F8" s="32">
        <f>Table1324567891011132125293439[[#This Row],[JAM MASUK]]-Table1324567891011132125293439[[#This Row],[JAM KELUAR]]</f>
        <v>0.44513888888888897</v>
      </c>
      <c r="G8" s="33">
        <v>2</v>
      </c>
      <c r="H8" s="17" t="s">
        <v>460</v>
      </c>
      <c r="J8" s="5" t="s">
        <v>4</v>
      </c>
      <c r="K8" s="8">
        <v>1</v>
      </c>
      <c r="L8" s="28"/>
      <c r="O8" s="16">
        <v>3</v>
      </c>
      <c r="P8" s="37" t="s">
        <v>176</v>
      </c>
      <c r="Q8" s="54">
        <v>0.25347222222222221</v>
      </c>
      <c r="R8" s="54">
        <v>0.73958333333333337</v>
      </c>
      <c r="S8" s="39">
        <f>Table134567891011172226303540[[#This Row],[JAM MASUK]]-Table134567891011172226303540[[#This Row],[JAM KELUAR]]</f>
        <v>0.48611111111111116</v>
      </c>
      <c r="T8" s="37">
        <v>1</v>
      </c>
      <c r="U8" s="40" t="s">
        <v>450</v>
      </c>
      <c r="W8" s="5" t="s">
        <v>4</v>
      </c>
      <c r="X8" s="8">
        <v>3</v>
      </c>
      <c r="AA8" s="16">
        <v>4</v>
      </c>
      <c r="AB8" s="33" t="s">
        <v>440</v>
      </c>
      <c r="AC8" s="31">
        <v>0.30902777777777779</v>
      </c>
      <c r="AD8" s="31">
        <v>0.52083333333333337</v>
      </c>
      <c r="AE8" s="32">
        <f>Table1324567891012162024283338[[#This Row],[JAM MASUK]]-Table1324567891012162024283338[[#This Row],[JAM KELUAR]]</f>
        <v>0.21180555555555558</v>
      </c>
      <c r="AF8" s="33">
        <v>2</v>
      </c>
      <c r="AG8" s="17" t="s">
        <v>470</v>
      </c>
      <c r="AI8" s="5" t="s">
        <v>4</v>
      </c>
      <c r="AJ8" s="8">
        <v>0</v>
      </c>
      <c r="AM8" s="16">
        <v>3</v>
      </c>
      <c r="AN8" s="33" t="s">
        <v>188</v>
      </c>
      <c r="AO8" s="34">
        <v>0.27777777777777779</v>
      </c>
      <c r="AP8" s="34">
        <v>0.57500000000000007</v>
      </c>
      <c r="AQ8" s="32">
        <f>Table13456789101115181923273137[[#This Row],[JAM MASUK]]-Table13456789101115181923273137[[#This Row],[JAM KELUAR]]</f>
        <v>0.29722222222222228</v>
      </c>
      <c r="AR8" s="33">
        <v>3</v>
      </c>
      <c r="AS8" s="17" t="s">
        <v>77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53</v>
      </c>
      <c r="D9" s="34">
        <v>0.29236111111111113</v>
      </c>
      <c r="E9" s="34">
        <v>0.58819444444444446</v>
      </c>
      <c r="F9" s="32">
        <f>Table1324567891011132125293439[[#This Row],[JAM MASUK]]-Table1324567891011132125293439[[#This Row],[JAM KELUAR]]</f>
        <v>0.29583333333333334</v>
      </c>
      <c r="G9" s="33">
        <v>2</v>
      </c>
      <c r="H9" s="17" t="s">
        <v>318</v>
      </c>
      <c r="J9" s="5" t="s">
        <v>5</v>
      </c>
      <c r="K9" s="8">
        <v>5</v>
      </c>
      <c r="L9" s="28"/>
      <c r="O9" s="16">
        <v>4</v>
      </c>
      <c r="P9" s="37" t="s">
        <v>441</v>
      </c>
      <c r="Q9" s="54">
        <v>0.2902777777777778</v>
      </c>
      <c r="R9" s="54">
        <v>0.55902777777777779</v>
      </c>
      <c r="S9" s="39">
        <f>Table134567891011172226303540[[#This Row],[JAM MASUK]]-Table134567891011172226303540[[#This Row],[JAM KELUAR]]</f>
        <v>0.26874999999999999</v>
      </c>
      <c r="T9" s="37">
        <v>1</v>
      </c>
      <c r="U9" s="40" t="s">
        <v>451</v>
      </c>
      <c r="W9" s="5" t="s">
        <v>5</v>
      </c>
      <c r="X9" s="8">
        <v>6</v>
      </c>
      <c r="AA9" s="16">
        <v>1</v>
      </c>
      <c r="AB9" s="33" t="s">
        <v>156</v>
      </c>
      <c r="AC9" s="31">
        <v>0.65972222222222221</v>
      </c>
      <c r="AD9" s="31">
        <v>0.71180555555555547</v>
      </c>
      <c r="AE9" s="32">
        <f>Table1324567891012162024283338[[#This Row],[JAM MASUK]]-Table1324567891012162024283338[[#This Row],[JAM KELUAR]]</f>
        <v>5.2083333333333259E-2</v>
      </c>
      <c r="AF9" s="33">
        <v>1</v>
      </c>
      <c r="AG9" s="17" t="s">
        <v>443</v>
      </c>
      <c r="AI9" s="5" t="s">
        <v>5</v>
      </c>
      <c r="AJ9" s="8">
        <v>1</v>
      </c>
      <c r="AM9" s="16">
        <v>4</v>
      </c>
      <c r="AN9" s="33" t="s">
        <v>181</v>
      </c>
      <c r="AO9" s="34">
        <v>0.27847222222222223</v>
      </c>
      <c r="AP9" s="34">
        <v>0.58888888888888891</v>
      </c>
      <c r="AQ9" s="32">
        <f>Table13456789101115181923273137[[#This Row],[JAM MASUK]]-Table13456789101115181923273137[[#This Row],[JAM KELUAR]]</f>
        <v>0.31041666666666667</v>
      </c>
      <c r="AR9" s="33">
        <v>3</v>
      </c>
      <c r="AS9" s="17" t="s">
        <v>351</v>
      </c>
      <c r="AU9" s="5" t="s">
        <v>5</v>
      </c>
      <c r="AV9" s="8">
        <v>3</v>
      </c>
    </row>
    <row r="10" spans="1:48" s="1" customFormat="1" x14ac:dyDescent="0.35">
      <c r="A10"/>
      <c r="B10" s="16">
        <v>5</v>
      </c>
      <c r="C10" s="33" t="s">
        <v>32</v>
      </c>
      <c r="D10" s="34">
        <v>0.31111111111111112</v>
      </c>
      <c r="E10" s="34">
        <v>0.72499999999999998</v>
      </c>
      <c r="F10" s="32">
        <f>Table1324567891011132125293439[[#This Row],[JAM MASUK]]-Table1324567891011132125293439[[#This Row],[JAM KELUAR]]</f>
        <v>0.41388888888888886</v>
      </c>
      <c r="G10" s="33">
        <v>2</v>
      </c>
      <c r="H10" s="17" t="s">
        <v>461</v>
      </c>
      <c r="J10" s="5" t="s">
        <v>6</v>
      </c>
      <c r="K10" s="8">
        <v>0</v>
      </c>
      <c r="L10" s="28"/>
      <c r="O10" s="16">
        <v>5</v>
      </c>
      <c r="P10" s="37" t="s">
        <v>302</v>
      </c>
      <c r="Q10" s="54">
        <v>0.26180555555555557</v>
      </c>
      <c r="R10" s="54">
        <v>0.65972222222222221</v>
      </c>
      <c r="S10" s="39">
        <f>Table134567891011172226303540[[#This Row],[JAM MASUK]]-Table134567891011172226303540[[#This Row],[JAM KELUAR]]</f>
        <v>0.39791666666666664</v>
      </c>
      <c r="T10" s="37">
        <v>1</v>
      </c>
      <c r="U10" s="40" t="s">
        <v>452</v>
      </c>
      <c r="W10" s="5" t="s">
        <v>166</v>
      </c>
      <c r="X10" s="8">
        <v>0</v>
      </c>
      <c r="AA10" s="1">
        <v>12</v>
      </c>
      <c r="AB10" s="2" t="s">
        <v>203</v>
      </c>
      <c r="AC10" s="29">
        <v>0.28958333333333336</v>
      </c>
      <c r="AD10" s="29">
        <v>0.73611111111111116</v>
      </c>
      <c r="AE10" s="30">
        <f>Table1324567891012162024283338[[#This Row],[JAM MASUK]]-Table1324567891012162024283338[[#This Row],[JAM KELUAR]]</f>
        <v>0.4465277777777778</v>
      </c>
      <c r="AF10" s="2">
        <v>4</v>
      </c>
      <c r="AG10" s="18" t="s">
        <v>54</v>
      </c>
      <c r="AI10" s="5" t="s">
        <v>6</v>
      </c>
      <c r="AJ10" s="8">
        <v>22</v>
      </c>
      <c r="AM10" s="16">
        <v>5</v>
      </c>
      <c r="AN10" s="33" t="s">
        <v>187</v>
      </c>
      <c r="AO10" s="34">
        <v>0.4284722222222222</v>
      </c>
      <c r="AP10" s="34">
        <v>0.73263888888888884</v>
      </c>
      <c r="AQ10" s="32">
        <f>Table13456789101115181923273137[[#This Row],[JAM MASUK]]-Table13456789101115181923273137[[#This Row],[JAM KELUAR]]</f>
        <v>0.30416666666666664</v>
      </c>
      <c r="AR10" s="33">
        <v>4</v>
      </c>
      <c r="AS10" s="17" t="s">
        <v>369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21</v>
      </c>
      <c r="D11" s="34">
        <v>0.32916666666666666</v>
      </c>
      <c r="E11" s="34">
        <v>0.61388888888888882</v>
      </c>
      <c r="F11" s="32">
        <f>Table1324567891011132125293439[[#This Row],[JAM MASUK]]-Table1324567891011132125293439[[#This Row],[JAM KELUAR]]</f>
        <v>0.28472222222222215</v>
      </c>
      <c r="G11" s="33">
        <v>2</v>
      </c>
      <c r="H11" s="17" t="s">
        <v>462</v>
      </c>
      <c r="J11" s="9" t="s">
        <v>8</v>
      </c>
      <c r="K11" s="10">
        <f>SUM(Table1324567891011132125293439[Retase])</f>
        <v>40</v>
      </c>
      <c r="L11" s="28"/>
      <c r="O11" s="16">
        <v>6</v>
      </c>
      <c r="P11" s="37" t="s">
        <v>296</v>
      </c>
      <c r="Q11" s="38">
        <v>0.28541666666666665</v>
      </c>
      <c r="R11" s="38">
        <v>0.69236111111111109</v>
      </c>
      <c r="S11" s="39">
        <f>Table134567891011172226303540[[#This Row],[JAM MASUK]]-Table134567891011172226303540[[#This Row],[JAM KELUAR]]</f>
        <v>0.40694444444444444</v>
      </c>
      <c r="T11" s="37">
        <v>2</v>
      </c>
      <c r="U11" s="40" t="s">
        <v>453</v>
      </c>
      <c r="W11" s="9" t="s">
        <v>8</v>
      </c>
      <c r="X11" s="10">
        <f>SUM(Table134567891011172226303540[Retase])</f>
        <v>23</v>
      </c>
      <c r="AA11" s="1">
        <v>13</v>
      </c>
      <c r="AB11" s="2" t="s">
        <v>204</v>
      </c>
      <c r="AC11" s="29">
        <v>0.27361111111111108</v>
      </c>
      <c r="AD11" s="29">
        <v>0.69236111111111109</v>
      </c>
      <c r="AE11" s="30">
        <f>Table1324567891012162024283338[[#This Row],[JAM MASUK]]-Table1324567891012162024283338[[#This Row],[JAM KELUAR]]</f>
        <v>0.41875000000000001</v>
      </c>
      <c r="AF11" s="2">
        <v>4</v>
      </c>
      <c r="AG11" s="18" t="s">
        <v>54</v>
      </c>
      <c r="AI11" s="9" t="s">
        <v>8</v>
      </c>
      <c r="AJ11" s="10">
        <f>SUM(Table1324567891012162024283338[Retase])</f>
        <v>116</v>
      </c>
      <c r="AM11" s="16">
        <v>6</v>
      </c>
      <c r="AN11" s="33" t="s">
        <v>189</v>
      </c>
      <c r="AO11" s="34">
        <v>0.27986111111111112</v>
      </c>
      <c r="AP11" s="34">
        <v>0.63541666666666663</v>
      </c>
      <c r="AQ11" s="32">
        <f>Table13456789101115181923273137[[#This Row],[JAM MASUK]]-Table13456789101115181923273137[[#This Row],[JAM KELUAR]]</f>
        <v>0.35555555555555551</v>
      </c>
      <c r="AR11" s="33">
        <v>4</v>
      </c>
      <c r="AS11" s="17" t="s">
        <v>369</v>
      </c>
      <c r="AU11" s="9" t="s">
        <v>8</v>
      </c>
      <c r="AV11" s="10">
        <f>SUM(Table13456789101115181923273137[Retase])</f>
        <v>51</v>
      </c>
    </row>
    <row r="12" spans="1:48" s="1" customFormat="1" x14ac:dyDescent="0.35">
      <c r="A12"/>
      <c r="B12" s="16">
        <v>7</v>
      </c>
      <c r="C12" s="33" t="s">
        <v>22</v>
      </c>
      <c r="D12" s="34">
        <v>0.42708333333333331</v>
      </c>
      <c r="E12" s="34">
        <v>0.70208333333333339</v>
      </c>
      <c r="F12" s="32">
        <f>Table1324567891011132125293439[[#This Row],[JAM MASUK]]-Table1324567891011132125293439[[#This Row],[JAM KELUAR]]</f>
        <v>0.27500000000000008</v>
      </c>
      <c r="G12" s="33">
        <v>2</v>
      </c>
      <c r="H12" s="17" t="s">
        <v>463</v>
      </c>
      <c r="J12" s="11" t="s">
        <v>7</v>
      </c>
      <c r="K12" s="12">
        <f>K11/K7</f>
        <v>2.2222222222222223</v>
      </c>
      <c r="L12" s="28"/>
      <c r="O12" s="16">
        <v>7</v>
      </c>
      <c r="P12" s="55" t="s">
        <v>299</v>
      </c>
      <c r="Q12" s="56">
        <v>0.28472222222222221</v>
      </c>
      <c r="R12" s="56">
        <v>0.65763888888888888</v>
      </c>
      <c r="S12" s="39">
        <f>Table134567891011172226303540[[#This Row],[JAM MASUK]]-Table134567891011172226303540[[#This Row],[JAM KELUAR]]</f>
        <v>0.37291666666666667</v>
      </c>
      <c r="T12" s="37">
        <v>2</v>
      </c>
      <c r="U12" s="51" t="s">
        <v>369</v>
      </c>
      <c r="W12" s="11" t="s">
        <v>7</v>
      </c>
      <c r="X12" s="12">
        <f>X11/X7</f>
        <v>1.9166666666666667</v>
      </c>
      <c r="AA12" s="16">
        <v>7</v>
      </c>
      <c r="AB12" s="33" t="s">
        <v>205</v>
      </c>
      <c r="AC12" s="31">
        <v>0.27916666666666667</v>
      </c>
      <c r="AD12" s="31">
        <v>0.6</v>
      </c>
      <c r="AE12" s="32">
        <f>Table1324567891012162024283338[[#This Row],[JAM MASUK]]-Table1324567891012162024283338[[#This Row],[JAM KELUAR]]</f>
        <v>0.3208333333333333</v>
      </c>
      <c r="AF12" s="33">
        <v>3</v>
      </c>
      <c r="AG12" s="17" t="s">
        <v>446</v>
      </c>
      <c r="AI12" s="11" t="s">
        <v>7</v>
      </c>
      <c r="AJ12" s="12">
        <f>AJ11/AJ7</f>
        <v>3.625</v>
      </c>
      <c r="AM12" s="16">
        <v>7</v>
      </c>
      <c r="AN12" s="33" t="s">
        <v>253</v>
      </c>
      <c r="AO12" s="34">
        <v>0.25138888888888888</v>
      </c>
      <c r="AP12" s="34">
        <v>0.55902777777777779</v>
      </c>
      <c r="AQ12" s="32">
        <f>Table13456789101115181923273137[[#This Row],[JAM MASUK]]-Table13456789101115181923273137[[#This Row],[JAM KELUAR]]</f>
        <v>0.30763888888888891</v>
      </c>
      <c r="AR12" s="33">
        <v>4</v>
      </c>
      <c r="AS12" s="17" t="s">
        <v>369</v>
      </c>
      <c r="AU12" s="11" t="s">
        <v>7</v>
      </c>
      <c r="AV12" s="12">
        <f>AV11/AV7</f>
        <v>3.9230769230769229</v>
      </c>
    </row>
    <row r="13" spans="1:48" s="1" customFormat="1" x14ac:dyDescent="0.35">
      <c r="A13"/>
      <c r="B13" s="16">
        <v>8</v>
      </c>
      <c r="C13" s="33" t="s">
        <v>24</v>
      </c>
      <c r="D13" s="34">
        <v>0.29236111111111113</v>
      </c>
      <c r="E13" s="34">
        <v>0.63958333333333328</v>
      </c>
      <c r="F13" s="32">
        <f>Table1324567891011132125293439[[#This Row],[JAM MASUK]]-Table1324567891011132125293439[[#This Row],[JAM KELUAR]]</f>
        <v>0.34722222222222215</v>
      </c>
      <c r="G13" s="33">
        <v>2</v>
      </c>
      <c r="H13" s="51" t="s">
        <v>369</v>
      </c>
      <c r="J13" s="13" t="s">
        <v>11</v>
      </c>
      <c r="K13" s="14">
        <v>2.5</v>
      </c>
      <c r="L13" s="28"/>
      <c r="O13" s="16">
        <v>8</v>
      </c>
      <c r="P13" s="37" t="s">
        <v>174</v>
      </c>
      <c r="Q13" s="38">
        <v>0.25763888888888892</v>
      </c>
      <c r="R13" s="38">
        <v>0.56944444444444442</v>
      </c>
      <c r="S13" s="39">
        <f>Table134567891011172226303540[[#This Row],[JAM MASUK]]-Table134567891011172226303540[[#This Row],[JAM KELUAR]]</f>
        <v>0.3118055555555555</v>
      </c>
      <c r="T13" s="37">
        <v>2</v>
      </c>
      <c r="U13" s="40" t="s">
        <v>454</v>
      </c>
      <c r="W13" s="13" t="s">
        <v>11</v>
      </c>
      <c r="X13" s="14">
        <v>2.5</v>
      </c>
      <c r="AA13" s="16">
        <v>8</v>
      </c>
      <c r="AB13" s="33" t="s">
        <v>254</v>
      </c>
      <c r="AC13" s="31">
        <v>0.23194444444444443</v>
      </c>
      <c r="AD13" s="31">
        <v>0.52916666666666667</v>
      </c>
      <c r="AE13" s="32">
        <f>Table1324567891012162024283338[[#This Row],[JAM MASUK]]-Table1324567891012162024283338[[#This Row],[JAM KELUAR]]</f>
        <v>0.29722222222222228</v>
      </c>
      <c r="AF13" s="33">
        <v>3</v>
      </c>
      <c r="AG13" s="50" t="s">
        <v>471</v>
      </c>
      <c r="AI13" s="13" t="s">
        <v>11</v>
      </c>
      <c r="AJ13" s="14">
        <v>4</v>
      </c>
      <c r="AM13" s="16">
        <v>8</v>
      </c>
      <c r="AN13" s="33" t="s">
        <v>185</v>
      </c>
      <c r="AO13" s="34">
        <v>0.26527777777777778</v>
      </c>
      <c r="AP13" s="34">
        <v>0.72569444444444453</v>
      </c>
      <c r="AQ13" s="32">
        <f>Table13456789101115181923273137[[#This Row],[JAM MASUK]]-Table13456789101115181923273137[[#This Row],[JAM KELUAR]]</f>
        <v>0.46041666666666675</v>
      </c>
      <c r="AR13" s="33">
        <v>4</v>
      </c>
      <c r="AS13" s="17" t="s">
        <v>241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25</v>
      </c>
      <c r="D14" s="34">
        <v>0.2902777777777778</v>
      </c>
      <c r="E14" s="34">
        <v>0.60138888888888886</v>
      </c>
      <c r="F14" s="32">
        <f>Table1324567891011132125293439[[#This Row],[JAM MASUK]]-Table1324567891011132125293439[[#This Row],[JAM KELUAR]]</f>
        <v>0.31111111111111106</v>
      </c>
      <c r="G14" s="33">
        <v>2</v>
      </c>
      <c r="H14" s="17" t="s">
        <v>464</v>
      </c>
      <c r="J14" s="13" t="s">
        <v>51</v>
      </c>
      <c r="K14" s="15">
        <f>K12/K13</f>
        <v>0.88888888888888895</v>
      </c>
      <c r="L14" s="28"/>
      <c r="O14" s="1">
        <v>9</v>
      </c>
      <c r="P14" s="41" t="s">
        <v>298</v>
      </c>
      <c r="Q14" s="42">
        <v>0.26041666666666669</v>
      </c>
      <c r="R14" s="42">
        <v>0.74375000000000002</v>
      </c>
      <c r="S14" s="43">
        <f>Table134567891011172226303540[[#This Row],[JAM MASUK]]-Table134567891011172226303540[[#This Row],[JAM KELUAR]]</f>
        <v>0.48333333333333334</v>
      </c>
      <c r="T14" s="41">
        <v>3</v>
      </c>
      <c r="U14" s="44" t="s">
        <v>54</v>
      </c>
      <c r="W14" s="13" t="s">
        <v>51</v>
      </c>
      <c r="X14" s="15">
        <f>X12/X13</f>
        <v>0.76666666666666672</v>
      </c>
      <c r="AA14" s="16">
        <v>9</v>
      </c>
      <c r="AB14" s="33" t="s">
        <v>145</v>
      </c>
      <c r="AC14" s="31">
        <v>0.43333333333333335</v>
      </c>
      <c r="AD14" s="31">
        <v>0.67708333333333337</v>
      </c>
      <c r="AE14" s="32">
        <f>Table1324567891012162024283338[[#This Row],[JAM MASUK]]-Table1324567891012162024283338[[#This Row],[JAM KELUAR]]</f>
        <v>0.24375000000000002</v>
      </c>
      <c r="AF14" s="33">
        <v>3</v>
      </c>
      <c r="AG14" s="17" t="s">
        <v>430</v>
      </c>
      <c r="AI14" s="13" t="s">
        <v>51</v>
      </c>
      <c r="AJ14" s="15">
        <f>AJ12/AJ13</f>
        <v>0.90625</v>
      </c>
      <c r="AM14" s="1">
        <v>9</v>
      </c>
      <c r="AN14" s="2" t="s">
        <v>182</v>
      </c>
      <c r="AO14" s="35">
        <v>0.2722222222222222</v>
      </c>
      <c r="AP14" s="35">
        <v>0.66805555555555562</v>
      </c>
      <c r="AQ14" s="30">
        <f>Table13456789101115181923273137[[#This Row],[JAM MASUK]]-Table13456789101115181923273137[[#This Row],[JAM KELUAR]]</f>
        <v>0.39583333333333343</v>
      </c>
      <c r="AR14" s="2">
        <v>5</v>
      </c>
      <c r="AS14" s="18" t="s">
        <v>54</v>
      </c>
      <c r="AU14" s="13" t="s">
        <v>51</v>
      </c>
      <c r="AV14" s="15">
        <f>AV12/AV13</f>
        <v>0.7846153846153846</v>
      </c>
    </row>
    <row r="15" spans="1:48" x14ac:dyDescent="0.35">
      <c r="B15" s="16">
        <v>10</v>
      </c>
      <c r="C15" s="33" t="s">
        <v>26</v>
      </c>
      <c r="D15" s="34">
        <v>0.29375000000000001</v>
      </c>
      <c r="E15" s="34">
        <v>0.69791666666666663</v>
      </c>
      <c r="F15" s="32">
        <f>Table1324567891011132125293439[[#This Row],[JAM MASUK]]-Table1324567891011132125293439[[#This Row],[JAM KELUAR]]</f>
        <v>0.40416666666666662</v>
      </c>
      <c r="G15" s="33">
        <v>2</v>
      </c>
      <c r="H15" s="17" t="s">
        <v>465</v>
      </c>
      <c r="J15" s="13" t="s">
        <v>52</v>
      </c>
      <c r="K15" s="15">
        <f>K7/K6</f>
        <v>0.75</v>
      </c>
      <c r="O15" s="1">
        <v>10</v>
      </c>
      <c r="P15" s="41" t="s">
        <v>300</v>
      </c>
      <c r="Q15" s="42">
        <v>0.27499999999999997</v>
      </c>
      <c r="R15" s="42">
        <v>0.70138888888888884</v>
      </c>
      <c r="S15" s="43">
        <f>Table134567891011172226303540[[#This Row],[JAM MASUK]]-Table134567891011172226303540[[#This Row],[JAM KELUAR]]</f>
        <v>0.42638888888888887</v>
      </c>
      <c r="T15" s="41">
        <v>3</v>
      </c>
      <c r="U15" s="44" t="s">
        <v>54</v>
      </c>
      <c r="W15" s="13" t="s">
        <v>151</v>
      </c>
      <c r="X15" s="15">
        <f>X7/X6</f>
        <v>0.5714285714285714</v>
      </c>
      <c r="AA15" s="1">
        <v>14</v>
      </c>
      <c r="AB15" s="2" t="s">
        <v>255</v>
      </c>
      <c r="AC15" s="29">
        <v>0.26874999999999999</v>
      </c>
      <c r="AD15" s="29">
        <v>0.66736111111111107</v>
      </c>
      <c r="AE15" s="30">
        <f>Table1324567891012162024283338[[#This Row],[JAM MASUK]]-Table1324567891012162024283338[[#This Row],[JAM KELUAR]]</f>
        <v>0.39861111111111108</v>
      </c>
      <c r="AF15" s="2">
        <v>4</v>
      </c>
      <c r="AG15" s="18" t="s">
        <v>54</v>
      </c>
      <c r="AI15" s="13" t="s">
        <v>151</v>
      </c>
      <c r="AJ15" s="15">
        <f>AJ7/AJ6</f>
        <v>1.0666666666666667</v>
      </c>
      <c r="AM15" s="1">
        <v>10</v>
      </c>
      <c r="AN15" s="2" t="s">
        <v>184</v>
      </c>
      <c r="AO15" s="35">
        <v>0.25069444444444444</v>
      </c>
      <c r="AP15" s="35">
        <v>0.69027777777777777</v>
      </c>
      <c r="AQ15" s="30">
        <f>Table13456789101115181923273137[[#This Row],[JAM MASUK]]-Table13456789101115181923273137[[#This Row],[JAM KELUAR]]</f>
        <v>0.43958333333333333</v>
      </c>
      <c r="AR15" s="2">
        <v>5</v>
      </c>
      <c r="AS15" s="18" t="s">
        <v>54</v>
      </c>
      <c r="AU15" s="13" t="s">
        <v>151</v>
      </c>
      <c r="AV15" s="15">
        <f>AV7/AV6</f>
        <v>0.8666666666666667</v>
      </c>
    </row>
    <row r="16" spans="1:48" x14ac:dyDescent="0.35">
      <c r="B16" s="16">
        <v>11</v>
      </c>
      <c r="C16" s="33" t="s">
        <v>27</v>
      </c>
      <c r="D16" s="34">
        <v>0.26250000000000001</v>
      </c>
      <c r="E16" s="34">
        <v>0.69097222222222221</v>
      </c>
      <c r="F16" s="32">
        <f>Table1324567891011132125293439[[#This Row],[JAM MASUK]]-Table1324567891011132125293439[[#This Row],[JAM KELUAR]]</f>
        <v>0.4284722222222222</v>
      </c>
      <c r="G16" s="33">
        <v>2</v>
      </c>
      <c r="H16" s="17" t="s">
        <v>466</v>
      </c>
      <c r="O16" s="1">
        <v>11</v>
      </c>
      <c r="P16" s="41" t="s">
        <v>173</v>
      </c>
      <c r="Q16" s="42">
        <v>0.27569444444444446</v>
      </c>
      <c r="R16" s="42">
        <v>0.70208333333333339</v>
      </c>
      <c r="S16" s="43">
        <f>Table134567891011172226303540[[#This Row],[JAM MASUK]]-Table134567891011172226303540[[#This Row],[JAM KELUAR]]</f>
        <v>0.42638888888888893</v>
      </c>
      <c r="T16" s="41">
        <v>3</v>
      </c>
      <c r="U16" s="44" t="s">
        <v>54</v>
      </c>
      <c r="W16" s="21"/>
      <c r="X16" s="22"/>
      <c r="AA16" s="1">
        <v>15</v>
      </c>
      <c r="AB16" s="2" t="s">
        <v>153</v>
      </c>
      <c r="AC16" s="29">
        <v>0.25763888888888892</v>
      </c>
      <c r="AD16" s="29">
        <v>0.63888888888888895</v>
      </c>
      <c r="AE16" s="30">
        <f>Table1324567891012162024283338[[#This Row],[JAM MASUK]]-Table1324567891012162024283338[[#This Row],[JAM KELUAR]]</f>
        <v>0.38125000000000003</v>
      </c>
      <c r="AF16" s="2">
        <v>4</v>
      </c>
      <c r="AG16" s="18" t="s">
        <v>54</v>
      </c>
      <c r="AM16" s="1">
        <v>11</v>
      </c>
      <c r="AN16" s="2" t="s">
        <v>190</v>
      </c>
      <c r="AO16" s="35">
        <v>0.25694444444444448</v>
      </c>
      <c r="AP16" s="35">
        <v>0.66111111111111109</v>
      </c>
      <c r="AQ16" s="30">
        <f>Table13456789101115181923273137[[#This Row],[JAM MASUK]]-Table13456789101115181923273137[[#This Row],[JAM KELUAR]]</f>
        <v>0.40416666666666662</v>
      </c>
      <c r="AR16" s="2">
        <v>5</v>
      </c>
      <c r="AS16" s="18" t="s">
        <v>54</v>
      </c>
    </row>
    <row r="17" spans="2:47" x14ac:dyDescent="0.35">
      <c r="B17" s="16">
        <v>12</v>
      </c>
      <c r="C17" s="33" t="s">
        <v>28</v>
      </c>
      <c r="D17" s="34">
        <v>0.28333333333333333</v>
      </c>
      <c r="E17" s="34">
        <v>0.63541666666666663</v>
      </c>
      <c r="F17" s="32">
        <f>Table1324567891011132125293439[[#This Row],[JAM MASUK]]-Table1324567891011132125293439[[#This Row],[JAM KELUAR]]</f>
        <v>0.3520833333333333</v>
      </c>
      <c r="G17" s="33">
        <v>2</v>
      </c>
      <c r="H17" s="51" t="s">
        <v>369</v>
      </c>
      <c r="O17" s="1">
        <v>12</v>
      </c>
      <c r="P17" s="41" t="s">
        <v>167</v>
      </c>
      <c r="Q17" s="48">
        <v>0.2722222222222222</v>
      </c>
      <c r="R17" s="48">
        <v>0.74236111111111114</v>
      </c>
      <c r="S17" s="43">
        <f>Table134567891011172226303540[[#This Row],[JAM MASUK]]-Table134567891011172226303540[[#This Row],[JAM KELUAR]]</f>
        <v>0.47013888888888894</v>
      </c>
      <c r="T17" s="41">
        <v>3</v>
      </c>
      <c r="U17" s="44" t="s">
        <v>54</v>
      </c>
      <c r="W17" s="21"/>
      <c r="X17" s="22"/>
      <c r="AA17" s="1">
        <v>16</v>
      </c>
      <c r="AB17" s="2" t="s">
        <v>157</v>
      </c>
      <c r="AC17" s="29">
        <v>0.26874999999999999</v>
      </c>
      <c r="AD17" s="29">
        <v>0.68125000000000002</v>
      </c>
      <c r="AE17" s="30">
        <f>Table1324567891012162024283338[[#This Row],[JAM MASUK]]-Table1324567891012162024283338[[#This Row],[JAM KELUAR]]</f>
        <v>0.41250000000000003</v>
      </c>
      <c r="AF17" s="2">
        <v>4</v>
      </c>
      <c r="AG17" s="18" t="s">
        <v>54</v>
      </c>
      <c r="AM17" s="1">
        <v>12</v>
      </c>
      <c r="AN17" s="2" t="s">
        <v>252</v>
      </c>
      <c r="AO17" s="35">
        <v>0.2673611111111111</v>
      </c>
      <c r="AP17" s="35">
        <v>0.66805555555555562</v>
      </c>
      <c r="AQ17" s="30">
        <f>Table13456789101115181923273137[[#This Row],[JAM MASUK]]-Table13456789101115181923273137[[#This Row],[JAM KELUAR]]</f>
        <v>0.40069444444444452</v>
      </c>
      <c r="AR17" s="2">
        <v>5</v>
      </c>
      <c r="AS17" s="18" t="s">
        <v>54</v>
      </c>
      <c r="AU17" s="20"/>
    </row>
    <row r="18" spans="2:47" x14ac:dyDescent="0.35">
      <c r="B18" s="16">
        <v>13</v>
      </c>
      <c r="C18" s="33" t="s">
        <v>30</v>
      </c>
      <c r="D18" s="34">
        <v>0.2590277777777778</v>
      </c>
      <c r="E18" s="34">
        <v>0.64097222222222217</v>
      </c>
      <c r="F18" s="32">
        <f>Table1324567891011132125293439[[#This Row],[JAM MASUK]]-Table1324567891011132125293439[[#This Row],[JAM KELUAR]]</f>
        <v>0.38194444444444436</v>
      </c>
      <c r="G18" s="33">
        <v>2</v>
      </c>
      <c r="H18" s="51" t="s">
        <v>369</v>
      </c>
      <c r="O18" s="52"/>
      <c r="P18" s="53"/>
      <c r="Q18" s="48"/>
      <c r="R18" s="48"/>
      <c r="S18" s="49"/>
      <c r="T18" s="53"/>
      <c r="U18" s="44"/>
      <c r="W18" s="21"/>
      <c r="X18" s="22"/>
      <c r="AA18" s="1">
        <v>17</v>
      </c>
      <c r="AB18" s="2" t="s">
        <v>154</v>
      </c>
      <c r="AC18" s="29">
        <v>0.2986111111111111</v>
      </c>
      <c r="AD18" s="29">
        <v>0.68402777777777779</v>
      </c>
      <c r="AE18" s="30">
        <f>Table1324567891012162024283338[[#This Row],[JAM MASUK]]-Table1324567891012162024283338[[#This Row],[JAM KELUAR]]</f>
        <v>0.38541666666666669</v>
      </c>
      <c r="AF18" s="2">
        <v>4</v>
      </c>
      <c r="AG18" s="18" t="s">
        <v>54</v>
      </c>
      <c r="AI18" s="20"/>
      <c r="AM18" s="1">
        <v>13</v>
      </c>
      <c r="AN18" s="2" t="s">
        <v>192</v>
      </c>
      <c r="AO18" s="35">
        <v>0.28055555555555556</v>
      </c>
      <c r="AP18" s="35">
        <v>0.6958333333333333</v>
      </c>
      <c r="AQ18" s="30">
        <f>Table13456789101115181923273137[[#This Row],[JAM MASUK]]-Table13456789101115181923273137[[#This Row],[JAM KELUAR]]</f>
        <v>0.41527777777777775</v>
      </c>
      <c r="AR18" s="2">
        <v>5</v>
      </c>
      <c r="AS18" s="18" t="s">
        <v>54</v>
      </c>
    </row>
    <row r="19" spans="2:47" ht="17" customHeight="1" x14ac:dyDescent="0.45">
      <c r="B19" s="16">
        <v>14</v>
      </c>
      <c r="C19" s="33" t="s">
        <v>31</v>
      </c>
      <c r="D19" s="34">
        <v>0.42708333333333331</v>
      </c>
      <c r="E19" s="34">
        <v>0.73958333333333337</v>
      </c>
      <c r="F19" s="32">
        <f>Table1324567891011132125293439[[#This Row],[JAM MASUK]]-Table1324567891011132125293439[[#This Row],[JAM KELUAR]]</f>
        <v>0.31250000000000006</v>
      </c>
      <c r="G19" s="33">
        <v>2</v>
      </c>
      <c r="H19" s="17" t="s">
        <v>467</v>
      </c>
      <c r="O19" s="70" t="s">
        <v>399</v>
      </c>
      <c r="P19" s="70"/>
      <c r="Q19" s="70"/>
      <c r="R19" s="70"/>
      <c r="S19" s="70"/>
      <c r="T19" s="70"/>
      <c r="U19" s="70"/>
      <c r="W19" s="21"/>
      <c r="X19" s="22"/>
      <c r="AA19" s="1">
        <v>18</v>
      </c>
      <c r="AB19" s="2" t="s">
        <v>155</v>
      </c>
      <c r="AC19" s="29">
        <v>0.29236111111111113</v>
      </c>
      <c r="AD19" s="29">
        <v>0.70000000000000007</v>
      </c>
      <c r="AE19" s="30">
        <f>Table1324567891012162024283338[[#This Row],[JAM MASUK]]-Table1324567891012162024283338[[#This Row],[JAM KELUAR]]</f>
        <v>0.40763888888888894</v>
      </c>
      <c r="AF19" s="2">
        <v>4</v>
      </c>
      <c r="AG19" s="18" t="s">
        <v>54</v>
      </c>
    </row>
    <row r="20" spans="2:47" ht="15.5" x14ac:dyDescent="0.35">
      <c r="B20" s="1">
        <v>15</v>
      </c>
      <c r="C20" s="2" t="s">
        <v>373</v>
      </c>
      <c r="D20" s="35">
        <v>0.27569444444444446</v>
      </c>
      <c r="E20" s="35">
        <v>0.70138888888888884</v>
      </c>
      <c r="F20" s="30">
        <f>Table1324567891011132125293439[[#This Row],[JAM MASUK]]-Table1324567891011132125293439[[#This Row],[JAM KELUAR]]</f>
        <v>0.42569444444444438</v>
      </c>
      <c r="G20" s="2">
        <v>3</v>
      </c>
      <c r="H20" s="18" t="s">
        <v>54</v>
      </c>
      <c r="O20" s="68">
        <v>45376</v>
      </c>
      <c r="P20" s="68"/>
      <c r="Q20" s="68"/>
      <c r="R20" s="68"/>
      <c r="S20" s="68"/>
      <c r="T20" s="68"/>
      <c r="U20" s="68"/>
      <c r="W20" s="47" t="s">
        <v>160</v>
      </c>
      <c r="X20" s="47"/>
      <c r="AA20" s="16">
        <v>10</v>
      </c>
      <c r="AB20" s="33" t="s">
        <v>150</v>
      </c>
      <c r="AC20" s="31">
        <v>0.27291666666666664</v>
      </c>
      <c r="AD20" s="31">
        <v>0.70972222222222225</v>
      </c>
      <c r="AE20" s="32">
        <f>Table1324567891012162024283338[[#This Row],[JAM MASUK]]-Table1324567891012162024283338[[#This Row],[JAM KELUAR]]</f>
        <v>0.43680555555555561</v>
      </c>
      <c r="AF20" s="33">
        <v>3</v>
      </c>
      <c r="AG20" s="17" t="s">
        <v>447</v>
      </c>
    </row>
    <row r="21" spans="2:47" ht="15.5" x14ac:dyDescent="0.35">
      <c r="B21" s="1">
        <v>16</v>
      </c>
      <c r="C21" s="2" t="s">
        <v>20</v>
      </c>
      <c r="D21" s="35">
        <v>0.28888888888888892</v>
      </c>
      <c r="E21" s="35">
        <v>0.70277777777777783</v>
      </c>
      <c r="F21" s="30">
        <f>Table1324567891011132125293439[[#This Row],[JAM MASUK]]-Table1324567891011132125293439[[#This Row],[JAM KELUAR]]</f>
        <v>0.41388888888888892</v>
      </c>
      <c r="G21" s="2">
        <v>3</v>
      </c>
      <c r="H21" s="18" t="s">
        <v>54</v>
      </c>
      <c r="O21" s="2" t="s">
        <v>0</v>
      </c>
      <c r="P21" s="2" t="s">
        <v>1</v>
      </c>
      <c r="Q21" s="36" t="s">
        <v>336</v>
      </c>
      <c r="R21" s="36" t="s">
        <v>337</v>
      </c>
      <c r="S21" s="36" t="s">
        <v>338</v>
      </c>
      <c r="T21" s="2" t="s">
        <v>2</v>
      </c>
      <c r="U21" s="2" t="s">
        <v>3</v>
      </c>
      <c r="W21" s="26"/>
      <c r="X21" s="26"/>
      <c r="AA21" s="16">
        <v>2</v>
      </c>
      <c r="AB21" s="33" t="s">
        <v>244</v>
      </c>
      <c r="AC21" s="31">
        <v>0.4458333333333333</v>
      </c>
      <c r="AD21" s="31">
        <v>0.58402777777777781</v>
      </c>
      <c r="AE21" s="32">
        <f>Table1324567891012162024283338[[#This Row],[JAM MASUK]]-Table1324567891012162024283338[[#This Row],[JAM KELUAR]]</f>
        <v>0.13819444444444451</v>
      </c>
      <c r="AF21" s="33">
        <v>1</v>
      </c>
      <c r="AG21" s="17" t="s">
        <v>444</v>
      </c>
    </row>
    <row r="22" spans="2:47" x14ac:dyDescent="0.35">
      <c r="B22" s="1">
        <v>17</v>
      </c>
      <c r="C22" s="2" t="s">
        <v>23</v>
      </c>
      <c r="D22" s="35">
        <v>0.26250000000000001</v>
      </c>
      <c r="E22" s="35">
        <v>0.70972222222222225</v>
      </c>
      <c r="F22" s="30">
        <f>Table1324567891011132125293439[[#This Row],[JAM MASUK]]-Table1324567891011132125293439[[#This Row],[JAM KELUAR]]</f>
        <v>0.44722222222222224</v>
      </c>
      <c r="G22" s="2">
        <v>3</v>
      </c>
      <c r="H22" s="18" t="s">
        <v>54</v>
      </c>
      <c r="O22" s="16">
        <v>1</v>
      </c>
      <c r="P22" s="37" t="s">
        <v>216</v>
      </c>
      <c r="Q22" s="38">
        <v>0.2951388888888889</v>
      </c>
      <c r="R22" s="38">
        <v>0.40763888888888888</v>
      </c>
      <c r="S22" s="39">
        <f>Table13456789101117222630323641[[#This Row],[JAM MASUK]]-Table13456789101117222630323641[[#This Row],[JAM KELUAR]]</f>
        <v>0.11249999999999999</v>
      </c>
      <c r="T22" s="37">
        <v>1</v>
      </c>
      <c r="U22" s="40" t="s">
        <v>458</v>
      </c>
      <c r="W22" s="4" t="s">
        <v>161</v>
      </c>
      <c r="X22" s="6">
        <v>8</v>
      </c>
      <c r="AA22" s="1">
        <v>27</v>
      </c>
      <c r="AB22" s="2" t="s">
        <v>245</v>
      </c>
      <c r="AC22" s="29">
        <v>0.23263888888888887</v>
      </c>
      <c r="AD22" s="29">
        <v>0.67708333333333337</v>
      </c>
      <c r="AE22" s="30">
        <f>Table1324567891012162024283338[[#This Row],[JAM MASUK]]-Table1324567891012162024283338[[#This Row],[JAM KELUAR]]</f>
        <v>0.44444444444444453</v>
      </c>
      <c r="AF22" s="2">
        <v>5</v>
      </c>
      <c r="AG22" s="18" t="s">
        <v>54</v>
      </c>
    </row>
    <row r="23" spans="2:47" x14ac:dyDescent="0.35">
      <c r="B23" s="1">
        <v>18</v>
      </c>
      <c r="C23" s="2" t="s">
        <v>33</v>
      </c>
      <c r="D23" s="35">
        <v>0.27083333333333331</v>
      </c>
      <c r="E23" s="35">
        <v>0.70972222222222225</v>
      </c>
      <c r="F23" s="30">
        <f>Table1324567891011132125293439[[#This Row],[JAM MASUK]]-Table1324567891011132125293439[[#This Row],[JAM KELUAR]]</f>
        <v>0.43888888888888894</v>
      </c>
      <c r="G23" s="2">
        <v>3</v>
      </c>
      <c r="H23" s="18" t="s">
        <v>54</v>
      </c>
      <c r="O23" s="16">
        <v>2</v>
      </c>
      <c r="P23" s="37" t="s">
        <v>169</v>
      </c>
      <c r="Q23" s="38">
        <v>0.2986111111111111</v>
      </c>
      <c r="R23" s="38">
        <v>0.64027777777777783</v>
      </c>
      <c r="S23" s="39">
        <f>Table13456789101117222630323641[[#This Row],[JAM MASUK]]-Table13456789101117222630323641[[#This Row],[JAM KELUAR]]</f>
        <v>0.34166666666666673</v>
      </c>
      <c r="T23" s="37">
        <v>3</v>
      </c>
      <c r="U23" s="40" t="s">
        <v>407</v>
      </c>
      <c r="W23" s="5" t="s">
        <v>10</v>
      </c>
      <c r="X23" s="7">
        <v>8</v>
      </c>
      <c r="AA23" s="1">
        <v>28</v>
      </c>
      <c r="AB23" s="2" t="s">
        <v>246</v>
      </c>
      <c r="AC23" s="29">
        <v>0.20902777777777778</v>
      </c>
      <c r="AD23" s="29">
        <v>0.65625</v>
      </c>
      <c r="AE23" s="30">
        <f>Table1324567891012162024283338[[#This Row],[JAM MASUK]]-Table1324567891012162024283338[[#This Row],[JAM KELUAR]]</f>
        <v>0.44722222222222219</v>
      </c>
      <c r="AF23" s="2">
        <v>5</v>
      </c>
      <c r="AG23" s="18" t="s">
        <v>54</v>
      </c>
    </row>
    <row r="24" spans="2:47" ht="14.5" customHeight="1" x14ac:dyDescent="0.35">
      <c r="O24" s="16">
        <v>3</v>
      </c>
      <c r="P24" s="37" t="s">
        <v>171</v>
      </c>
      <c r="Q24" s="38">
        <v>0.27083333333333331</v>
      </c>
      <c r="R24" s="38">
        <v>0.57638888888888895</v>
      </c>
      <c r="S24" s="39">
        <f>Table13456789101117222630323641[[#This Row],[JAM MASUK]]-Table13456789101117222630323641[[#This Row],[JAM KELUAR]]</f>
        <v>0.30555555555555564</v>
      </c>
      <c r="T24" s="37">
        <v>3</v>
      </c>
      <c r="U24" s="40" t="s">
        <v>455</v>
      </c>
      <c r="W24" s="5" t="s">
        <v>9</v>
      </c>
      <c r="X24" s="8">
        <v>7</v>
      </c>
      <c r="AA24" s="1">
        <v>29</v>
      </c>
      <c r="AB24" s="2" t="s">
        <v>247</v>
      </c>
      <c r="AC24" s="29">
        <v>0.26319444444444445</v>
      </c>
      <c r="AD24" s="29">
        <v>0.68541666666666667</v>
      </c>
      <c r="AE24" s="30">
        <f>Table1324567891012162024283338[[#This Row],[JAM MASUK]]-Table1324567891012162024283338[[#This Row],[JAM KELUAR]]</f>
        <v>0.42222222222222222</v>
      </c>
      <c r="AF24" s="2">
        <v>5</v>
      </c>
      <c r="AG24" s="18" t="s">
        <v>54</v>
      </c>
    </row>
    <row r="25" spans="2:47" ht="14.5" customHeight="1" x14ac:dyDescent="0.35">
      <c r="O25" s="16">
        <v>4</v>
      </c>
      <c r="P25" s="37" t="s">
        <v>164</v>
      </c>
      <c r="Q25" s="38">
        <v>0.27430555555555552</v>
      </c>
      <c r="R25" s="38">
        <v>0.62291666666666667</v>
      </c>
      <c r="S25" s="39">
        <f>Table13456789101117222630323641[[#This Row],[JAM MASUK]]-Table13456789101117222630323641[[#This Row],[JAM KELUAR]]</f>
        <v>0.34861111111111115</v>
      </c>
      <c r="T25" s="37">
        <v>3</v>
      </c>
      <c r="U25" s="40" t="s">
        <v>456</v>
      </c>
      <c r="W25" s="5" t="s">
        <v>4</v>
      </c>
      <c r="X25" s="8">
        <v>0</v>
      </c>
      <c r="AA25" s="1">
        <v>19</v>
      </c>
      <c r="AB25" s="2" t="s">
        <v>341</v>
      </c>
      <c r="AC25" s="29">
        <v>0.27291666666666664</v>
      </c>
      <c r="AD25" s="29">
        <v>0.65833333333333333</v>
      </c>
      <c r="AE25" s="30">
        <f>Table1324567891012162024283338[[#This Row],[JAM MASUK]]-Table1324567891012162024283338[[#This Row],[JAM KELUAR]]</f>
        <v>0.38541666666666669</v>
      </c>
      <c r="AF25" s="2">
        <v>4</v>
      </c>
      <c r="AG25" s="18" t="s">
        <v>54</v>
      </c>
    </row>
    <row r="26" spans="2:47" ht="14.5" customHeight="1" x14ac:dyDescent="0.35">
      <c r="O26" s="16">
        <v>5</v>
      </c>
      <c r="P26" s="37" t="s">
        <v>172</v>
      </c>
      <c r="Q26" s="38">
        <v>0.27638888888888885</v>
      </c>
      <c r="R26" s="38">
        <v>0.61388888888888882</v>
      </c>
      <c r="S26" s="39">
        <f>Table13456789101117222630323641[[#This Row],[JAM MASUK]]-Table13456789101117222630323641[[#This Row],[JAM KELUAR]]</f>
        <v>0.33749999999999997</v>
      </c>
      <c r="T26" s="37">
        <v>3</v>
      </c>
      <c r="U26" s="40" t="s">
        <v>457</v>
      </c>
      <c r="W26" s="5" t="s">
        <v>5</v>
      </c>
      <c r="X26" s="8">
        <v>1</v>
      </c>
      <c r="AA26" s="1">
        <v>30</v>
      </c>
      <c r="AB26" s="2" t="s">
        <v>248</v>
      </c>
      <c r="AC26" s="29">
        <v>0.21875</v>
      </c>
      <c r="AD26" s="29">
        <v>0.68125000000000002</v>
      </c>
      <c r="AE26" s="30">
        <f>Table1324567891012162024283338[[#This Row],[JAM MASUK]]-Table1324567891012162024283338[[#This Row],[JAM KELUAR]]</f>
        <v>0.46250000000000002</v>
      </c>
      <c r="AF26" s="2">
        <v>5</v>
      </c>
      <c r="AG26" s="18" t="s">
        <v>54</v>
      </c>
    </row>
    <row r="27" spans="2:47" x14ac:dyDescent="0.35">
      <c r="O27" s="1">
        <v>6</v>
      </c>
      <c r="P27" s="41" t="s">
        <v>178</v>
      </c>
      <c r="Q27" s="42">
        <v>0.27777777777777779</v>
      </c>
      <c r="R27" s="42">
        <v>0.7090277777777777</v>
      </c>
      <c r="S27" s="43">
        <f>Table13456789101117222630323641[[#This Row],[JAM MASUK]]-Table13456789101117222630323641[[#This Row],[JAM KELUAR]]</f>
        <v>0.43124999999999991</v>
      </c>
      <c r="T27" s="41">
        <v>4</v>
      </c>
      <c r="U27" s="44" t="s">
        <v>54</v>
      </c>
      <c r="V27" s="1"/>
      <c r="W27" s="5" t="s">
        <v>166</v>
      </c>
      <c r="X27" s="8">
        <v>0</v>
      </c>
      <c r="AA27" s="16">
        <v>5</v>
      </c>
      <c r="AB27" s="33" t="s">
        <v>280</v>
      </c>
      <c r="AC27" s="31">
        <v>0.28888888888888892</v>
      </c>
      <c r="AD27" s="31">
        <v>0.67847222222222225</v>
      </c>
      <c r="AE27" s="32">
        <f>Table1324567891012162024283338[[#This Row],[JAM MASUK]]-Table1324567891012162024283338[[#This Row],[JAM KELUAR]]</f>
        <v>0.38958333333333334</v>
      </c>
      <c r="AF27" s="33">
        <v>2</v>
      </c>
      <c r="AG27" s="17" t="s">
        <v>445</v>
      </c>
    </row>
    <row r="28" spans="2:47" x14ac:dyDescent="0.35">
      <c r="O28" s="1">
        <v>7</v>
      </c>
      <c r="P28" s="41" t="s">
        <v>170</v>
      </c>
      <c r="Q28" s="42">
        <v>0.27916666666666667</v>
      </c>
      <c r="R28" s="42">
        <v>0.70972222222222225</v>
      </c>
      <c r="S28" s="43">
        <f>Table13456789101117222630323641[[#This Row],[JAM MASUK]]-Table13456789101117222630323641[[#This Row],[JAM KELUAR]]</f>
        <v>0.43055555555555558</v>
      </c>
      <c r="T28" s="41">
        <v>4</v>
      </c>
      <c r="U28" s="44" t="s">
        <v>54</v>
      </c>
      <c r="V28" s="1"/>
      <c r="W28" s="9" t="s">
        <v>8</v>
      </c>
      <c r="X28" s="10">
        <f>SUM(Table13456789101117222630323641[Retase])</f>
        <v>21</v>
      </c>
      <c r="AA28" s="1">
        <v>20</v>
      </c>
      <c r="AB28" s="2" t="s">
        <v>249</v>
      </c>
      <c r="AC28" s="29">
        <v>0.26597222222222222</v>
      </c>
      <c r="AD28" s="29">
        <v>0.65555555555555556</v>
      </c>
      <c r="AE28" s="30">
        <f>Table1324567891012162024283338[[#This Row],[JAM MASUK]]-Table1324567891012162024283338[[#This Row],[JAM KELUAR]]</f>
        <v>0.38958333333333334</v>
      </c>
      <c r="AF28" s="2">
        <v>4</v>
      </c>
      <c r="AG28" s="18" t="s">
        <v>54</v>
      </c>
    </row>
    <row r="29" spans="2:47" x14ac:dyDescent="0.35">
      <c r="V29" s="1"/>
      <c r="W29" s="11" t="s">
        <v>7</v>
      </c>
      <c r="X29" s="12">
        <f>X28/X24</f>
        <v>3</v>
      </c>
      <c r="AA29" s="16">
        <v>3</v>
      </c>
      <c r="AB29" s="33" t="s">
        <v>250</v>
      </c>
      <c r="AC29" s="31">
        <v>0.27013888888888887</v>
      </c>
      <c r="AD29" s="31">
        <v>0.38055555555555554</v>
      </c>
      <c r="AE29" s="32">
        <f>Table1324567891012162024283338[[#This Row],[JAM MASUK]]-Table1324567891012162024283338[[#This Row],[JAM KELUAR]]</f>
        <v>0.11041666666666666</v>
      </c>
      <c r="AF29" s="33">
        <v>1</v>
      </c>
      <c r="AG29" s="17" t="s">
        <v>469</v>
      </c>
    </row>
    <row r="30" spans="2:47" x14ac:dyDescent="0.35">
      <c r="V30" s="1"/>
      <c r="W30" s="13" t="s">
        <v>11</v>
      </c>
      <c r="X30" s="14">
        <v>4</v>
      </c>
      <c r="AA30" s="1">
        <v>21</v>
      </c>
      <c r="AB30" s="2" t="s">
        <v>208</v>
      </c>
      <c r="AC30" s="29">
        <v>0.25972222222222224</v>
      </c>
      <c r="AD30" s="29">
        <v>0.62291666666666667</v>
      </c>
      <c r="AE30" s="30">
        <f>Table1324567891012162024283338[[#This Row],[JAM MASUK]]-Table1324567891012162024283338[[#This Row],[JAM KELUAR]]</f>
        <v>0.36319444444444443</v>
      </c>
      <c r="AF30" s="2">
        <v>4</v>
      </c>
      <c r="AG30" s="18" t="s">
        <v>54</v>
      </c>
    </row>
    <row r="31" spans="2:47" x14ac:dyDescent="0.35">
      <c r="V31" s="1"/>
      <c r="W31" s="13" t="s">
        <v>51</v>
      </c>
      <c r="X31" s="15">
        <f>X29/X30</f>
        <v>0.75</v>
      </c>
      <c r="AA31" s="1">
        <v>22</v>
      </c>
      <c r="AB31" s="2" t="s">
        <v>209</v>
      </c>
      <c r="AC31" s="29">
        <v>0.27569444444444446</v>
      </c>
      <c r="AD31" s="29">
        <v>0.72083333333333333</v>
      </c>
      <c r="AE31" s="30">
        <f>Table1324567891012162024283338[[#This Row],[JAM MASUK]]-Table1324567891012162024283338[[#This Row],[JAM KELUAR]]</f>
        <v>0.44513888888888886</v>
      </c>
      <c r="AF31" s="2">
        <v>4</v>
      </c>
      <c r="AG31" s="18" t="s">
        <v>54</v>
      </c>
    </row>
    <row r="32" spans="2:47" x14ac:dyDescent="0.35">
      <c r="V32" s="1"/>
      <c r="W32" s="13" t="s">
        <v>151</v>
      </c>
      <c r="X32" s="15">
        <f>X24/X23</f>
        <v>0.875</v>
      </c>
      <c r="AA32" s="1">
        <v>23</v>
      </c>
      <c r="AB32" s="2" t="s">
        <v>210</v>
      </c>
      <c r="AC32" s="29">
        <v>0.26666666666666666</v>
      </c>
      <c r="AD32" s="29">
        <v>0.64236111111111105</v>
      </c>
      <c r="AE32" s="30">
        <f>Table1324567891012162024283338[[#This Row],[JAM MASUK]]-Table1324567891012162024283338[[#This Row],[JAM KELUAR]]</f>
        <v>0.37569444444444439</v>
      </c>
      <c r="AF32" s="2">
        <v>4</v>
      </c>
      <c r="AG32" s="18" t="s">
        <v>54</v>
      </c>
    </row>
    <row r="33" spans="1:33" x14ac:dyDescent="0.35">
      <c r="V33" s="1"/>
      <c r="AA33" s="1">
        <v>31</v>
      </c>
      <c r="AB33" s="2" t="s">
        <v>212</v>
      </c>
      <c r="AC33" s="29">
        <v>0.28263888888888888</v>
      </c>
      <c r="AD33" s="29">
        <v>0.72291666666666676</v>
      </c>
      <c r="AE33" s="30">
        <f>Table1324567891012162024283338[[#This Row],[JAM MASUK]]-Table1324567891012162024283338[[#This Row],[JAM KELUAR]]</f>
        <v>0.44027777777777788</v>
      </c>
      <c r="AF33" s="2">
        <v>5</v>
      </c>
      <c r="AG33" s="18" t="s">
        <v>54</v>
      </c>
    </row>
    <row r="34" spans="1:33" x14ac:dyDescent="0.35">
      <c r="V34" s="1"/>
      <c r="AA34" s="1">
        <v>32</v>
      </c>
      <c r="AB34" s="2" t="s">
        <v>251</v>
      </c>
      <c r="AC34" s="29">
        <v>0.25208333333333333</v>
      </c>
      <c r="AD34" s="29">
        <v>0.6972222222222223</v>
      </c>
      <c r="AE34" s="30">
        <f>Table1324567891012162024283338[[#This Row],[JAM MASUK]]-Table1324567891012162024283338[[#This Row],[JAM KELUAR]]</f>
        <v>0.44513888888888897</v>
      </c>
      <c r="AF34" s="2">
        <v>5</v>
      </c>
      <c r="AG34" s="18" t="s">
        <v>54</v>
      </c>
    </row>
    <row r="35" spans="1:33" x14ac:dyDescent="0.35">
      <c r="V35" s="1"/>
      <c r="AA35" s="1">
        <v>24</v>
      </c>
      <c r="AB35" s="2" t="s">
        <v>281</v>
      </c>
      <c r="AC35" s="29">
        <v>0.25277777777777777</v>
      </c>
      <c r="AD35" s="29">
        <v>0.63472222222222219</v>
      </c>
      <c r="AE35" s="30">
        <f>Table1324567891012162024283338[[#This Row],[JAM MASUK]]-Table1324567891012162024283338[[#This Row],[JAM KELUAR]]</f>
        <v>0.38194444444444442</v>
      </c>
      <c r="AF35" s="2">
        <v>4</v>
      </c>
      <c r="AG35" s="18" t="s">
        <v>54</v>
      </c>
    </row>
    <row r="36" spans="1:33" x14ac:dyDescent="0.35">
      <c r="V36" s="1"/>
      <c r="AA36" s="1">
        <v>25</v>
      </c>
      <c r="AB36" s="2" t="s">
        <v>211</v>
      </c>
      <c r="AC36" s="29">
        <v>0.27291666666666664</v>
      </c>
      <c r="AD36" s="29">
        <v>0.7006944444444444</v>
      </c>
      <c r="AE36" s="30">
        <f>Table1324567891012162024283338[[#This Row],[JAM MASUK]]-Table1324567891012162024283338[[#This Row],[JAM KELUAR]]</f>
        <v>0.42777777777777776</v>
      </c>
      <c r="AF36" s="2">
        <v>4</v>
      </c>
      <c r="AG36" s="18" t="s">
        <v>54</v>
      </c>
    </row>
    <row r="37" spans="1:33" x14ac:dyDescent="0.35">
      <c r="AA37" s="1">
        <v>26</v>
      </c>
      <c r="AB37" s="2" t="s">
        <v>282</v>
      </c>
      <c r="AC37" s="29">
        <v>0.28541666666666665</v>
      </c>
      <c r="AD37" s="29">
        <v>0.67361111111111116</v>
      </c>
      <c r="AE37" s="30">
        <f>Table1324567891012162024283338[[#This Row],[JAM MASUK]]-Table1324567891012162024283338[[#This Row],[JAM KELUAR]]</f>
        <v>0.38819444444444451</v>
      </c>
      <c r="AF37" s="2">
        <v>4</v>
      </c>
      <c r="AG37" s="18" t="s">
        <v>54</v>
      </c>
    </row>
    <row r="38" spans="1:33" x14ac:dyDescent="0.35">
      <c r="W38" s="21"/>
      <c r="X38" s="22"/>
    </row>
    <row r="39" spans="1:33" x14ac:dyDescent="0.35">
      <c r="P39" s="21"/>
      <c r="Q39" s="22"/>
    </row>
    <row r="40" spans="1:33" ht="21" x14ac:dyDescent="0.5">
      <c r="A40" s="25"/>
      <c r="P40" s="21"/>
      <c r="Q40" s="22"/>
    </row>
    <row r="41" spans="1:33" x14ac:dyDescent="0.35">
      <c r="P41" s="21"/>
      <c r="Q41" s="22"/>
    </row>
    <row r="42" spans="1:33" x14ac:dyDescent="0.35">
      <c r="P42" s="21"/>
      <c r="Q42" s="22"/>
    </row>
    <row r="43" spans="1:33" x14ac:dyDescent="0.35">
      <c r="P43" s="21"/>
      <c r="Q43" s="22"/>
    </row>
    <row r="44" spans="1:33" x14ac:dyDescent="0.35">
      <c r="P44" s="21"/>
      <c r="Q44" s="22"/>
    </row>
  </sheetData>
  <mergeCells count="18">
    <mergeCell ref="O19:U19"/>
    <mergeCell ref="O20:U20"/>
    <mergeCell ref="AM3:AS3"/>
    <mergeCell ref="AU3:AV4"/>
    <mergeCell ref="B4:H4"/>
    <mergeCell ref="O4:U4"/>
    <mergeCell ref="AA4:AG4"/>
    <mergeCell ref="AM4:AS4"/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</mergeCells>
  <phoneticPr fontId="16" type="noConversion"/>
  <pageMargins left="0.12" right="0.12" top="0.75" bottom="0.75" header="0.3" footer="0.3"/>
  <pageSetup paperSize="5" scale="73" fitToWidth="0" orientation="landscape" horizontalDpi="360" verticalDpi="360" r:id="rId1"/>
  <rowBreaks count="1" manualBreakCount="1">
    <brk id="39" max="46" man="1"/>
  </rowBreaks>
  <colBreaks count="3" manualBreakCount="3">
    <brk id="13" max="37" man="1"/>
    <brk id="25" max="37" man="1"/>
    <brk id="37" max="37" man="1"/>
  </colBreaks>
  <tableParts count="5"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D069-2E9A-4D13-91D5-7649DDD4FAB9}">
  <sheetPr codeName="Sheet17">
    <tabColor theme="7" tint="0.39997558519241921"/>
  </sheetPr>
  <dimension ref="A1:AV42"/>
  <sheetViews>
    <sheetView showGridLines="0" view="pageBreakPreview" zoomScale="85" zoomScaleNormal="55" zoomScaleSheetLayoutView="85" workbookViewId="0">
      <selection activeCell="P7" sqref="P7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9.453125" bestFit="1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7" width="11.7265625" customWidth="1"/>
    <col min="18" max="18" width="19.453125" bestFit="1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29" width="10.81640625" customWidth="1"/>
    <col min="30" max="30" width="19.453125" bestFit="1" customWidth="1"/>
    <col min="31" max="31" width="16.453125" customWidth="1"/>
    <col min="32" max="32" width="11.7265625" customWidth="1"/>
    <col min="33" max="33" width="76.54296875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68.7265625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420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45379</v>
      </c>
      <c r="C4" s="68"/>
      <c r="D4" s="68"/>
      <c r="E4" s="68"/>
      <c r="F4" s="68"/>
      <c r="G4" s="68"/>
      <c r="H4" s="68"/>
      <c r="J4" s="66"/>
      <c r="K4" s="66"/>
      <c r="O4" s="68">
        <f>B4</f>
        <v>45379</v>
      </c>
      <c r="P4" s="68"/>
      <c r="Q4" s="68"/>
      <c r="R4" s="68"/>
      <c r="S4" s="68"/>
      <c r="T4" s="68"/>
      <c r="U4" s="68"/>
      <c r="W4" s="66"/>
      <c r="X4" s="66"/>
      <c r="AA4" s="68">
        <f>B4</f>
        <v>45379</v>
      </c>
      <c r="AB4" s="68"/>
      <c r="AC4" s="68"/>
      <c r="AD4" s="68"/>
      <c r="AE4" s="68"/>
      <c r="AF4" s="68"/>
      <c r="AG4" s="68"/>
      <c r="AI4" s="66"/>
      <c r="AJ4" s="66"/>
      <c r="AM4" s="68">
        <f>B4</f>
        <v>45379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21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15</v>
      </c>
    </row>
    <row r="6" spans="1:48" s="1" customFormat="1" x14ac:dyDescent="0.35">
      <c r="A6"/>
      <c r="B6" s="16">
        <v>1</v>
      </c>
      <c r="C6" s="33" t="s">
        <v>32</v>
      </c>
      <c r="D6" s="34">
        <v>0.27777777777777779</v>
      </c>
      <c r="E6" s="34">
        <v>0.47916666666666669</v>
      </c>
      <c r="F6" s="32">
        <f>Table132456789101113212529343944[[#This Row],[JAM MASUK]]-Table132456789101113212529343944[[#This Row],[JAM KELUAR]]</f>
        <v>0.2013888888888889</v>
      </c>
      <c r="G6" s="33">
        <v>1</v>
      </c>
      <c r="H6" s="40" t="s">
        <v>523</v>
      </c>
      <c r="J6" s="5" t="s">
        <v>10</v>
      </c>
      <c r="K6" s="7">
        <v>24</v>
      </c>
      <c r="L6" s="28"/>
      <c r="O6" s="16">
        <v>1</v>
      </c>
      <c r="P6" s="37" t="s">
        <v>295</v>
      </c>
      <c r="Q6" s="38">
        <v>0.28958333333333336</v>
      </c>
      <c r="R6" s="38">
        <v>0.48749999999999999</v>
      </c>
      <c r="S6" s="39">
        <f>Table13456789101117222630354045[[#This Row],[JAM MASUK]]-Table13456789101117222630354045[[#This Row],[JAM KELUAR]]</f>
        <v>0.19791666666666663</v>
      </c>
      <c r="T6" s="37">
        <v>1</v>
      </c>
      <c r="U6" s="40" t="s">
        <v>514</v>
      </c>
      <c r="W6" s="5" t="s">
        <v>10</v>
      </c>
      <c r="X6" s="7">
        <v>21</v>
      </c>
      <c r="AA6" s="16">
        <v>1</v>
      </c>
      <c r="AB6" s="33" t="s">
        <v>472</v>
      </c>
      <c r="AC6" s="31">
        <v>0.28541666666666665</v>
      </c>
      <c r="AD6" s="31">
        <v>0.4152777777777778</v>
      </c>
      <c r="AE6" s="32">
        <f>Table132456789101216202428333843[[#This Row],[JAM MASUK]]-Table132456789101216202428333843[[#This Row],[JAM KELUAR]]</f>
        <v>0.12986111111111115</v>
      </c>
      <c r="AF6" s="33">
        <v>1</v>
      </c>
      <c r="AG6" s="17" t="s">
        <v>504</v>
      </c>
      <c r="AI6" s="5" t="s">
        <v>10</v>
      </c>
      <c r="AJ6" s="7">
        <v>30</v>
      </c>
      <c r="AM6" s="16">
        <v>1</v>
      </c>
      <c r="AN6" s="33" t="s">
        <v>181</v>
      </c>
      <c r="AO6" s="34">
        <v>0.3888888888888889</v>
      </c>
      <c r="AP6" s="34">
        <v>0.53263888888888888</v>
      </c>
      <c r="AQ6" s="32">
        <f>Table1345678910111518192327313742[[#This Row],[JAM MASUK]]-Table1345678910111518192327313742[[#This Row],[JAM KELUAR]]</f>
        <v>0.14374999999999999</v>
      </c>
      <c r="AR6" s="33">
        <v>1</v>
      </c>
      <c r="AS6" s="17" t="s">
        <v>351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28</v>
      </c>
      <c r="D7" s="34">
        <v>0.2590277777777778</v>
      </c>
      <c r="E7" s="34">
        <v>0.46875</v>
      </c>
      <c r="F7" s="32">
        <f>Table132456789101113212529343944[[#This Row],[JAM MASUK]]-Table132456789101113212529343944[[#This Row],[JAM KELUAR]]</f>
        <v>0.2097222222222222</v>
      </c>
      <c r="G7" s="33">
        <v>1</v>
      </c>
      <c r="H7" s="17" t="s">
        <v>524</v>
      </c>
      <c r="J7" s="5" t="s">
        <v>9</v>
      </c>
      <c r="K7" s="8">
        <v>16</v>
      </c>
      <c r="L7" s="28"/>
      <c r="O7" s="16">
        <v>2</v>
      </c>
      <c r="P7" s="37" t="s">
        <v>300</v>
      </c>
      <c r="Q7" s="54">
        <v>0.2298611111111111</v>
      </c>
      <c r="R7" s="54">
        <v>0.41250000000000003</v>
      </c>
      <c r="S7" s="39">
        <f>Table13456789101117222630354045[[#This Row],[JAM MASUK]]-Table13456789101117222630354045[[#This Row],[JAM KELUAR]]</f>
        <v>0.18263888888888893</v>
      </c>
      <c r="T7" s="37">
        <v>1</v>
      </c>
      <c r="U7" s="40" t="s">
        <v>515</v>
      </c>
      <c r="W7" s="5" t="s">
        <v>9</v>
      </c>
      <c r="X7" s="8">
        <v>12</v>
      </c>
      <c r="AA7" s="16">
        <v>2</v>
      </c>
      <c r="AB7" s="33" t="s">
        <v>475</v>
      </c>
      <c r="AC7" s="31">
        <v>0.3</v>
      </c>
      <c r="AD7" s="31">
        <v>0.44791666666666669</v>
      </c>
      <c r="AE7" s="32">
        <f>Table132456789101216202428333843[[#This Row],[JAM MASUK]]-Table132456789101216202428333843[[#This Row],[JAM KELUAR]]</f>
        <v>0.1479166666666667</v>
      </c>
      <c r="AF7" s="33">
        <v>1</v>
      </c>
      <c r="AG7" s="17" t="s">
        <v>513</v>
      </c>
      <c r="AI7" s="5" t="s">
        <v>9</v>
      </c>
      <c r="AJ7" s="8">
        <v>30</v>
      </c>
      <c r="AM7" s="16">
        <v>2</v>
      </c>
      <c r="AN7" s="33" t="s">
        <v>191</v>
      </c>
      <c r="AO7" s="34">
        <v>0.2986111111111111</v>
      </c>
      <c r="AP7" s="34">
        <v>0.52500000000000002</v>
      </c>
      <c r="AQ7" s="32">
        <f>Table1345678910111518192327313742[[#This Row],[JAM MASUK]]-Table1345678910111518192327313742[[#This Row],[JAM KELUAR]]</f>
        <v>0.22638888888888892</v>
      </c>
      <c r="AR7" s="33">
        <v>2</v>
      </c>
      <c r="AS7" s="17" t="s">
        <v>442</v>
      </c>
      <c r="AU7" s="5" t="s">
        <v>9</v>
      </c>
      <c r="AV7" s="7">
        <v>13</v>
      </c>
    </row>
    <row r="8" spans="1:48" s="1" customFormat="1" x14ac:dyDescent="0.35">
      <c r="A8"/>
      <c r="B8" s="16">
        <v>3</v>
      </c>
      <c r="C8" s="33" t="s">
        <v>503</v>
      </c>
      <c r="D8" s="34">
        <v>0.29236111111111113</v>
      </c>
      <c r="E8" s="34">
        <v>0.61249999999999993</v>
      </c>
      <c r="F8" s="32">
        <f>Table132456789101113212529343944[[#This Row],[JAM MASUK]]-Table132456789101113212529343944[[#This Row],[JAM KELUAR]]</f>
        <v>0.32013888888888881</v>
      </c>
      <c r="G8" s="33">
        <v>2</v>
      </c>
      <c r="H8" s="17" t="s">
        <v>520</v>
      </c>
      <c r="J8" s="5" t="s">
        <v>4</v>
      </c>
      <c r="K8" s="8">
        <v>1</v>
      </c>
      <c r="L8" s="28"/>
      <c r="O8" s="16">
        <v>3</v>
      </c>
      <c r="P8" s="37" t="s">
        <v>296</v>
      </c>
      <c r="Q8" s="54">
        <v>0.28958333333333336</v>
      </c>
      <c r="R8" s="54">
        <v>0.63541666666666663</v>
      </c>
      <c r="S8" s="39">
        <f>Table13456789101117222630354045[[#This Row],[JAM MASUK]]-Table13456789101117222630354045[[#This Row],[JAM KELUAR]]</f>
        <v>0.34583333333333327</v>
      </c>
      <c r="T8" s="37">
        <v>2</v>
      </c>
      <c r="U8" s="17" t="s">
        <v>520</v>
      </c>
      <c r="W8" s="5" t="s">
        <v>4</v>
      </c>
      <c r="X8" s="8">
        <v>3</v>
      </c>
      <c r="AA8" s="16">
        <v>3</v>
      </c>
      <c r="AB8" s="33" t="s">
        <v>490</v>
      </c>
      <c r="AC8" s="31">
        <v>0.27847222222222223</v>
      </c>
      <c r="AD8" s="31">
        <v>0.4826388888888889</v>
      </c>
      <c r="AE8" s="32">
        <f>Table132456789101216202428333843[[#This Row],[JAM MASUK]]-Table132456789101216202428333843[[#This Row],[JAM KELUAR]]</f>
        <v>0.20416666666666666</v>
      </c>
      <c r="AF8" s="33">
        <v>1</v>
      </c>
      <c r="AG8" s="17" t="s">
        <v>505</v>
      </c>
      <c r="AI8" s="5" t="s">
        <v>4</v>
      </c>
      <c r="AJ8" s="8">
        <v>0</v>
      </c>
      <c r="AM8" s="16">
        <v>3</v>
      </c>
      <c r="AN8" s="33" t="s">
        <v>187</v>
      </c>
      <c r="AO8" s="34">
        <v>0.28263888888888888</v>
      </c>
      <c r="AP8" s="34">
        <v>0.56944444444444442</v>
      </c>
      <c r="AQ8" s="32">
        <f>Table1345678910111518192327313742[[#This Row],[JAM MASUK]]-Table1345678910111518192327313742[[#This Row],[JAM KELUAR]]</f>
        <v>0.28680555555555554</v>
      </c>
      <c r="AR8" s="33">
        <v>3</v>
      </c>
      <c r="AS8" s="17" t="s">
        <v>520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16</v>
      </c>
      <c r="D9" s="34">
        <v>0.2986111111111111</v>
      </c>
      <c r="E9" s="34">
        <v>0.59583333333333333</v>
      </c>
      <c r="F9" s="32">
        <f>Table132456789101113212529343944[[#This Row],[JAM MASUK]]-Table132456789101113212529343944[[#This Row],[JAM KELUAR]]</f>
        <v>0.29722222222222222</v>
      </c>
      <c r="G9" s="33">
        <v>2</v>
      </c>
      <c r="H9" s="17" t="s">
        <v>520</v>
      </c>
      <c r="J9" s="5" t="s">
        <v>5</v>
      </c>
      <c r="K9" s="8">
        <v>7</v>
      </c>
      <c r="L9" s="28"/>
      <c r="O9" s="16">
        <v>4</v>
      </c>
      <c r="P9" s="37" t="s">
        <v>298</v>
      </c>
      <c r="Q9" s="54">
        <v>0.37847222222222227</v>
      </c>
      <c r="R9" s="54">
        <v>0.6430555555555556</v>
      </c>
      <c r="S9" s="39">
        <f>Table13456789101117222630354045[[#This Row],[JAM MASUK]]-Table13456789101117222630354045[[#This Row],[JAM KELUAR]]</f>
        <v>0.26458333333333334</v>
      </c>
      <c r="T9" s="37">
        <v>3</v>
      </c>
      <c r="U9" s="17" t="s">
        <v>520</v>
      </c>
      <c r="W9" s="5" t="s">
        <v>5</v>
      </c>
      <c r="X9" s="8">
        <v>6</v>
      </c>
      <c r="AA9" s="16">
        <v>4</v>
      </c>
      <c r="AB9" s="33" t="s">
        <v>481</v>
      </c>
      <c r="AC9" s="31">
        <v>0.24722222222222223</v>
      </c>
      <c r="AD9" s="31">
        <v>0.45624999999999999</v>
      </c>
      <c r="AE9" s="32">
        <f>Table132456789101216202428333843[[#This Row],[JAM MASUK]]-Table132456789101216202428333843[[#This Row],[JAM KELUAR]]</f>
        <v>0.20902777777777776</v>
      </c>
      <c r="AF9" s="33">
        <v>2</v>
      </c>
      <c r="AG9" s="17" t="s">
        <v>506</v>
      </c>
      <c r="AI9" s="5" t="s">
        <v>5</v>
      </c>
      <c r="AJ9" s="8">
        <v>1</v>
      </c>
      <c r="AM9" s="16">
        <v>4</v>
      </c>
      <c r="AN9" s="33" t="s">
        <v>188</v>
      </c>
      <c r="AO9" s="34">
        <v>0.28958333333333336</v>
      </c>
      <c r="AP9" s="34">
        <v>0.59097222222222223</v>
      </c>
      <c r="AQ9" s="32">
        <f>Table1345678910111518192327313742[[#This Row],[JAM MASUK]]-Table1345678910111518192327313742[[#This Row],[JAM KELUAR]]</f>
        <v>0.30138888888888887</v>
      </c>
      <c r="AR9" s="33">
        <v>3</v>
      </c>
      <c r="AS9" s="17" t="s">
        <v>520</v>
      </c>
      <c r="AU9" s="5" t="s">
        <v>5</v>
      </c>
      <c r="AV9" s="8">
        <v>1</v>
      </c>
    </row>
    <row r="10" spans="1:48" s="1" customFormat="1" x14ac:dyDescent="0.35">
      <c r="A10"/>
      <c r="B10" s="16">
        <v>5</v>
      </c>
      <c r="C10" s="33" t="s">
        <v>373</v>
      </c>
      <c r="D10" s="34">
        <v>0.29097222222222224</v>
      </c>
      <c r="E10" s="34">
        <v>0.59652777777777777</v>
      </c>
      <c r="F10" s="32">
        <f>Table132456789101113212529343944[[#This Row],[JAM MASUK]]-Table132456789101113212529343944[[#This Row],[JAM KELUAR]]</f>
        <v>0.30555555555555552</v>
      </c>
      <c r="G10" s="33">
        <v>2</v>
      </c>
      <c r="H10" s="17" t="s">
        <v>525</v>
      </c>
      <c r="J10" s="5" t="s">
        <v>6</v>
      </c>
      <c r="K10" s="8">
        <v>0</v>
      </c>
      <c r="L10" s="28"/>
      <c r="O10" s="16">
        <v>5</v>
      </c>
      <c r="P10" s="37" t="s">
        <v>173</v>
      </c>
      <c r="Q10" s="54">
        <v>0.25486111111111109</v>
      </c>
      <c r="R10" s="54">
        <v>0.61875000000000002</v>
      </c>
      <c r="S10" s="39">
        <f>Table13456789101117222630354045[[#This Row],[JAM MASUK]]-Table13456789101117222630354045[[#This Row],[JAM KELUAR]]</f>
        <v>0.36388888888888893</v>
      </c>
      <c r="T10" s="37">
        <v>2</v>
      </c>
      <c r="U10" s="40" t="s">
        <v>516</v>
      </c>
      <c r="W10" s="5" t="s">
        <v>166</v>
      </c>
      <c r="X10" s="8">
        <v>0</v>
      </c>
      <c r="AA10" s="16">
        <v>5</v>
      </c>
      <c r="AB10" s="33" t="s">
        <v>483</v>
      </c>
      <c r="AC10" s="31">
        <v>0.3263888888888889</v>
      </c>
      <c r="AD10" s="31">
        <v>0.57222222222222219</v>
      </c>
      <c r="AE10" s="32">
        <f>Table132456789101216202428333843[[#This Row],[JAM MASUK]]-Table132456789101216202428333843[[#This Row],[JAM KELUAR]]</f>
        <v>0.24583333333333329</v>
      </c>
      <c r="AF10" s="33">
        <v>2</v>
      </c>
      <c r="AG10" s="17" t="s">
        <v>519</v>
      </c>
      <c r="AI10" s="5" t="s">
        <v>6</v>
      </c>
      <c r="AJ10" s="8">
        <v>24</v>
      </c>
      <c r="AM10" s="16">
        <v>5</v>
      </c>
      <c r="AN10" s="33" t="s">
        <v>253</v>
      </c>
      <c r="AO10" s="34">
        <v>0.23958333333333334</v>
      </c>
      <c r="AP10" s="34">
        <v>0.50972222222222219</v>
      </c>
      <c r="AQ10" s="32">
        <f>Table1345678910111518192327313742[[#This Row],[JAM MASUK]]-Table1345678910111518192327313742[[#This Row],[JAM KELUAR]]</f>
        <v>0.27013888888888882</v>
      </c>
      <c r="AR10" s="33">
        <v>3</v>
      </c>
      <c r="AS10" s="17" t="s">
        <v>520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21</v>
      </c>
      <c r="D11" s="34">
        <v>0.2951388888888889</v>
      </c>
      <c r="E11" s="34">
        <v>0.61458333333333337</v>
      </c>
      <c r="F11" s="32">
        <f>Table132456789101113212529343944[[#This Row],[JAM MASUK]]-Table132456789101113212529343944[[#This Row],[JAM KELUAR]]</f>
        <v>0.31944444444444448</v>
      </c>
      <c r="G11" s="33">
        <v>2</v>
      </c>
      <c r="H11" s="17" t="s">
        <v>520</v>
      </c>
      <c r="J11" s="9" t="s">
        <v>8</v>
      </c>
      <c r="K11" s="10">
        <f>SUM(Table132456789101113212529343944[Retase])</f>
        <v>34</v>
      </c>
      <c r="L11" s="28"/>
      <c r="O11" s="16">
        <v>6</v>
      </c>
      <c r="P11" s="37" t="s">
        <v>165</v>
      </c>
      <c r="Q11" s="38">
        <v>0.28888888888888892</v>
      </c>
      <c r="R11" s="38">
        <v>0.62569444444444444</v>
      </c>
      <c r="S11" s="39">
        <f>Table13456789101117222630354045[[#This Row],[JAM MASUK]]-Table13456789101117222630354045[[#This Row],[JAM KELUAR]]</f>
        <v>0.33680555555555552</v>
      </c>
      <c r="T11" s="37">
        <v>2</v>
      </c>
      <c r="U11" s="17" t="s">
        <v>520</v>
      </c>
      <c r="W11" s="9" t="s">
        <v>8</v>
      </c>
      <c r="X11" s="10">
        <f>SUM(Table13456789101117222630354045[Retase])</f>
        <v>25</v>
      </c>
      <c r="AA11" s="16">
        <v>6</v>
      </c>
      <c r="AB11" s="33" t="s">
        <v>486</v>
      </c>
      <c r="AC11" s="31">
        <v>0.20902777777777778</v>
      </c>
      <c r="AD11" s="31">
        <v>0.48333333333333334</v>
      </c>
      <c r="AE11" s="32">
        <f>Table132456789101216202428333843[[#This Row],[JAM MASUK]]-Table132456789101216202428333843[[#This Row],[JAM KELUAR]]</f>
        <v>0.27430555555555558</v>
      </c>
      <c r="AF11" s="33">
        <v>2</v>
      </c>
      <c r="AG11" s="50" t="s">
        <v>507</v>
      </c>
      <c r="AI11" s="9" t="s">
        <v>8</v>
      </c>
      <c r="AJ11" s="10">
        <f>SUM(Table132456789101216202428333843[Retase])</f>
        <v>82</v>
      </c>
      <c r="AM11" s="16">
        <v>6</v>
      </c>
      <c r="AN11" s="33" t="s">
        <v>185</v>
      </c>
      <c r="AO11" s="34">
        <v>0.20833333333333334</v>
      </c>
      <c r="AP11" s="34">
        <v>0.53125</v>
      </c>
      <c r="AQ11" s="32">
        <f>Table1345678910111518192327313742[[#This Row],[JAM MASUK]]-Table1345678910111518192327313742[[#This Row],[JAM KELUAR]]</f>
        <v>0.32291666666666663</v>
      </c>
      <c r="AR11" s="33">
        <v>3</v>
      </c>
      <c r="AS11" s="17" t="s">
        <v>522</v>
      </c>
      <c r="AU11" s="9" t="s">
        <v>8</v>
      </c>
      <c r="AV11" s="10">
        <f>SUM(Table1345678910111518192327313742[Retase])</f>
        <v>46</v>
      </c>
    </row>
    <row r="12" spans="1:48" s="1" customFormat="1" x14ac:dyDescent="0.35">
      <c r="A12"/>
      <c r="B12" s="16">
        <v>7</v>
      </c>
      <c r="C12" s="33" t="s">
        <v>22</v>
      </c>
      <c r="D12" s="34">
        <v>0.29236111111111113</v>
      </c>
      <c r="E12" s="34">
        <v>0.62638888888888888</v>
      </c>
      <c r="F12" s="32">
        <f>Table132456789101113212529343944[[#This Row],[JAM MASUK]]-Table132456789101113212529343944[[#This Row],[JAM KELUAR]]</f>
        <v>0.33402777777777776</v>
      </c>
      <c r="G12" s="33">
        <v>2</v>
      </c>
      <c r="H12" s="17" t="s">
        <v>520</v>
      </c>
      <c r="J12" s="11" t="s">
        <v>7</v>
      </c>
      <c r="K12" s="12">
        <f>K11/K7</f>
        <v>2.125</v>
      </c>
      <c r="L12" s="28"/>
      <c r="O12" s="16">
        <v>7</v>
      </c>
      <c r="P12" s="55" t="s">
        <v>163</v>
      </c>
      <c r="Q12" s="56">
        <v>0.28819444444444448</v>
      </c>
      <c r="R12" s="56">
        <v>0.63680555555555551</v>
      </c>
      <c r="S12" s="39">
        <f>Table13456789101117222630354045[[#This Row],[JAM MASUK]]-Table13456789101117222630354045[[#This Row],[JAM KELUAR]]</f>
        <v>0.34861111111111104</v>
      </c>
      <c r="T12" s="37">
        <v>2</v>
      </c>
      <c r="U12" s="40" t="s">
        <v>517</v>
      </c>
      <c r="W12" s="11" t="s">
        <v>7</v>
      </c>
      <c r="X12" s="12">
        <f>X11/X7</f>
        <v>2.0833333333333335</v>
      </c>
      <c r="AA12" s="16">
        <v>7</v>
      </c>
      <c r="AB12" s="33" t="s">
        <v>487</v>
      </c>
      <c r="AC12" s="31">
        <v>0.21458333333333335</v>
      </c>
      <c r="AD12" s="31">
        <v>0.42986111111111108</v>
      </c>
      <c r="AE12" s="32">
        <f>Table132456789101216202428333843[[#This Row],[JAM MASUK]]-Table132456789101216202428333843[[#This Row],[JAM KELUAR]]</f>
        <v>0.21527777777777773</v>
      </c>
      <c r="AF12" s="33">
        <v>2</v>
      </c>
      <c r="AG12" s="17" t="s">
        <v>508</v>
      </c>
      <c r="AI12" s="11" t="s">
        <v>7</v>
      </c>
      <c r="AJ12" s="12">
        <f>AJ11/AJ7</f>
        <v>2.7333333333333334</v>
      </c>
      <c r="AM12" s="16">
        <v>7</v>
      </c>
      <c r="AN12" s="33" t="s">
        <v>192</v>
      </c>
      <c r="AO12" s="34">
        <v>0.27430555555555552</v>
      </c>
      <c r="AP12" s="34">
        <v>0.61597222222222225</v>
      </c>
      <c r="AQ12" s="32">
        <f>Table1345678910111518192327313742[[#This Row],[JAM MASUK]]-Table1345678910111518192327313742[[#This Row],[JAM KELUAR]]</f>
        <v>0.34166666666666673</v>
      </c>
      <c r="AR12" s="33">
        <v>3</v>
      </c>
      <c r="AS12" s="17" t="s">
        <v>520</v>
      </c>
      <c r="AU12" s="11" t="s">
        <v>7</v>
      </c>
      <c r="AV12" s="12">
        <f>AV11/AV7</f>
        <v>3.5384615384615383</v>
      </c>
    </row>
    <row r="13" spans="1:48" s="1" customFormat="1" x14ac:dyDescent="0.35">
      <c r="A13"/>
      <c r="B13" s="16">
        <v>8</v>
      </c>
      <c r="C13" s="33" t="s">
        <v>33</v>
      </c>
      <c r="D13" s="34">
        <v>0.26874999999999999</v>
      </c>
      <c r="E13" s="34">
        <v>0.62152777777777779</v>
      </c>
      <c r="F13" s="32">
        <f>Table132456789101113212529343944[[#This Row],[JAM MASUK]]-Table132456789101113212529343944[[#This Row],[JAM KELUAR]]</f>
        <v>0.3527777777777778</v>
      </c>
      <c r="G13" s="33">
        <v>2</v>
      </c>
      <c r="H13" s="40" t="s">
        <v>526</v>
      </c>
      <c r="J13" s="13" t="s">
        <v>11</v>
      </c>
      <c r="K13" s="14">
        <v>2.5</v>
      </c>
      <c r="L13" s="28"/>
      <c r="O13" s="16">
        <v>8</v>
      </c>
      <c r="P13" s="37" t="s">
        <v>167</v>
      </c>
      <c r="Q13" s="38">
        <v>0.23124999999999998</v>
      </c>
      <c r="R13" s="38">
        <v>0.61597222222222225</v>
      </c>
      <c r="S13" s="39">
        <f>Table13456789101117222630354045[[#This Row],[JAM MASUK]]-Table13456789101117222630354045[[#This Row],[JAM KELUAR]]</f>
        <v>0.3847222222222223</v>
      </c>
      <c r="T13" s="37">
        <v>2</v>
      </c>
      <c r="U13" s="40" t="s">
        <v>518</v>
      </c>
      <c r="W13" s="13" t="s">
        <v>11</v>
      </c>
      <c r="X13" s="14">
        <v>2.5</v>
      </c>
      <c r="AA13" s="16">
        <v>8</v>
      </c>
      <c r="AB13" s="33" t="s">
        <v>492</v>
      </c>
      <c r="AC13" s="31">
        <v>0.26527777777777778</v>
      </c>
      <c r="AD13" s="31">
        <v>0.53888888888888886</v>
      </c>
      <c r="AE13" s="32">
        <f>Table132456789101216202428333843[[#This Row],[JAM MASUK]]-Table132456789101216202428333843[[#This Row],[JAM KELUAR]]</f>
        <v>0.27361111111111108</v>
      </c>
      <c r="AF13" s="33">
        <v>2</v>
      </c>
      <c r="AG13" s="17" t="s">
        <v>519</v>
      </c>
      <c r="AI13" s="13" t="s">
        <v>11</v>
      </c>
      <c r="AJ13" s="14">
        <v>4</v>
      </c>
      <c r="AM13" s="16">
        <v>8</v>
      </c>
      <c r="AN13" s="33" t="s">
        <v>182</v>
      </c>
      <c r="AO13" s="34">
        <v>0.2673611111111111</v>
      </c>
      <c r="AP13" s="34">
        <v>0.63680555555555551</v>
      </c>
      <c r="AQ13" s="32">
        <f>Table1345678910111518192327313742[[#This Row],[JAM MASUK]]-Table1345678910111518192327313742[[#This Row],[JAM KELUAR]]</f>
        <v>0.36944444444444441</v>
      </c>
      <c r="AR13" s="33">
        <v>4</v>
      </c>
      <c r="AS13" s="17" t="s">
        <v>521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24</v>
      </c>
      <c r="D14" s="34">
        <v>0.28263888888888888</v>
      </c>
      <c r="E14" s="34">
        <v>0.59930555555555554</v>
      </c>
      <c r="F14" s="32">
        <f>Table132456789101113212529343944[[#This Row],[JAM MASUK]]-Table132456789101113212529343944[[#This Row],[JAM KELUAR]]</f>
        <v>0.31666666666666665</v>
      </c>
      <c r="G14" s="33">
        <v>2</v>
      </c>
      <c r="H14" s="17" t="s">
        <v>520</v>
      </c>
      <c r="J14" s="13" t="s">
        <v>51</v>
      </c>
      <c r="K14" s="15">
        <f>K12/K13</f>
        <v>0.85</v>
      </c>
      <c r="L14" s="28"/>
      <c r="O14" s="16">
        <v>9</v>
      </c>
      <c r="P14" s="37" t="s">
        <v>176</v>
      </c>
      <c r="Q14" s="38">
        <v>0.24305555555555555</v>
      </c>
      <c r="R14" s="38">
        <v>0.60277777777777775</v>
      </c>
      <c r="S14" s="39">
        <f>Table13456789101117222630354045[[#This Row],[JAM MASUK]]-Table13456789101117222630354045[[#This Row],[JAM KELUAR]]</f>
        <v>0.35972222222222217</v>
      </c>
      <c r="T14" s="37">
        <v>3</v>
      </c>
      <c r="U14" s="17" t="s">
        <v>520</v>
      </c>
      <c r="W14" s="13" t="s">
        <v>51</v>
      </c>
      <c r="X14" s="15">
        <f>X12/X13</f>
        <v>0.83333333333333337</v>
      </c>
      <c r="AA14" s="16">
        <v>9</v>
      </c>
      <c r="AB14" s="33" t="s">
        <v>495</v>
      </c>
      <c r="AC14" s="31">
        <v>0.28263888888888888</v>
      </c>
      <c r="AD14" s="31">
        <v>0.53888888888888886</v>
      </c>
      <c r="AE14" s="32">
        <f>Table132456789101216202428333843[[#This Row],[JAM MASUK]]-Table132456789101216202428333843[[#This Row],[JAM KELUAR]]</f>
        <v>0.25624999999999998</v>
      </c>
      <c r="AF14" s="33">
        <v>2</v>
      </c>
      <c r="AG14" s="17" t="s">
        <v>509</v>
      </c>
      <c r="AI14" s="13" t="s">
        <v>51</v>
      </c>
      <c r="AJ14" s="15">
        <f>AJ12/AJ13</f>
        <v>0.68333333333333335</v>
      </c>
      <c r="AM14" s="16">
        <v>9</v>
      </c>
      <c r="AN14" s="33" t="s">
        <v>189</v>
      </c>
      <c r="AO14" s="34">
        <v>0.27916666666666667</v>
      </c>
      <c r="AP14" s="34">
        <v>0.61805555555555558</v>
      </c>
      <c r="AQ14" s="32">
        <f>Table1345678910111518192327313742[[#This Row],[JAM MASUK]]-Table1345678910111518192327313742[[#This Row],[JAM KELUAR]]</f>
        <v>0.33888888888888891</v>
      </c>
      <c r="AR14" s="33">
        <v>4</v>
      </c>
      <c r="AS14" s="17" t="s">
        <v>520</v>
      </c>
      <c r="AU14" s="13" t="s">
        <v>51</v>
      </c>
      <c r="AV14" s="15">
        <f>AV12/AV13</f>
        <v>0.70769230769230762</v>
      </c>
    </row>
    <row r="15" spans="1:48" x14ac:dyDescent="0.35">
      <c r="B15" s="16">
        <v>10</v>
      </c>
      <c r="C15" s="33" t="s">
        <v>26</v>
      </c>
      <c r="D15" s="34">
        <v>0.27361111111111108</v>
      </c>
      <c r="E15" s="34">
        <v>0.68333333333333324</v>
      </c>
      <c r="F15" s="32">
        <f>Table132456789101113212529343944[[#This Row],[JAM MASUK]]-Table132456789101113212529343944[[#This Row],[JAM KELUAR]]</f>
        <v>0.40972222222222215</v>
      </c>
      <c r="G15" s="33">
        <v>2</v>
      </c>
      <c r="H15" s="50" t="s">
        <v>527</v>
      </c>
      <c r="J15" s="13" t="s">
        <v>52</v>
      </c>
      <c r="K15" s="15">
        <f>K7/K6</f>
        <v>0.66666666666666663</v>
      </c>
      <c r="O15" s="16">
        <v>10</v>
      </c>
      <c r="P15" s="37" t="s">
        <v>441</v>
      </c>
      <c r="Q15" s="38">
        <v>0.26458333333333334</v>
      </c>
      <c r="R15" s="38">
        <v>0.58402777777777781</v>
      </c>
      <c r="S15" s="39">
        <f>Table13456789101117222630354045[[#This Row],[JAM MASUK]]-Table13456789101117222630354045[[#This Row],[JAM KELUAR]]</f>
        <v>0.31944444444444448</v>
      </c>
      <c r="T15" s="37">
        <v>2</v>
      </c>
      <c r="U15" s="17" t="s">
        <v>520</v>
      </c>
      <c r="W15" s="13" t="s">
        <v>151</v>
      </c>
      <c r="X15" s="15">
        <f>X7/X6</f>
        <v>0.5714285714285714</v>
      </c>
      <c r="AA15" s="16">
        <v>10</v>
      </c>
      <c r="AB15" s="33" t="s">
        <v>501</v>
      </c>
      <c r="AC15" s="31">
        <v>0.25347222222222221</v>
      </c>
      <c r="AD15" s="31">
        <v>0.47986111111111113</v>
      </c>
      <c r="AE15" s="32">
        <f>Table132456789101216202428333843[[#This Row],[JAM MASUK]]-Table132456789101216202428333843[[#This Row],[JAM KELUAR]]</f>
        <v>0.22638888888888892</v>
      </c>
      <c r="AF15" s="33">
        <v>2</v>
      </c>
      <c r="AG15" s="17" t="s">
        <v>519</v>
      </c>
      <c r="AI15" s="13" t="s">
        <v>151</v>
      </c>
      <c r="AJ15" s="15">
        <f>AJ7/AJ6</f>
        <v>1</v>
      </c>
      <c r="AM15" s="1">
        <v>10</v>
      </c>
      <c r="AN15" s="2" t="s">
        <v>186</v>
      </c>
      <c r="AO15" s="35">
        <v>0.24305555555555555</v>
      </c>
      <c r="AP15" s="35">
        <v>0.64722222222222225</v>
      </c>
      <c r="AQ15" s="30">
        <f>Table1345678910111518192327313742[[#This Row],[JAM MASUK]]-Table1345678910111518192327313742[[#This Row],[JAM KELUAR]]</f>
        <v>0.40416666666666667</v>
      </c>
      <c r="AR15" s="2">
        <v>5</v>
      </c>
      <c r="AS15" s="18" t="s">
        <v>54</v>
      </c>
      <c r="AU15" s="13" t="s">
        <v>151</v>
      </c>
      <c r="AV15" s="15">
        <f>AV7/AV6</f>
        <v>0.8666666666666667</v>
      </c>
    </row>
    <row r="16" spans="1:48" x14ac:dyDescent="0.35">
      <c r="B16" s="16">
        <v>11</v>
      </c>
      <c r="C16" s="33" t="s">
        <v>27</v>
      </c>
      <c r="D16" s="34">
        <v>0.25069444444444444</v>
      </c>
      <c r="E16" s="34">
        <v>0.57291666666666663</v>
      </c>
      <c r="F16" s="32">
        <f>Table132456789101113212529343944[[#This Row],[JAM MASUK]]-Table132456789101113212529343944[[#This Row],[JAM KELUAR]]</f>
        <v>0.32222222222222219</v>
      </c>
      <c r="G16" s="33">
        <v>2</v>
      </c>
      <c r="H16" s="17" t="s">
        <v>520</v>
      </c>
      <c r="O16" s="16">
        <v>11</v>
      </c>
      <c r="P16" s="37" t="s">
        <v>301</v>
      </c>
      <c r="Q16" s="38">
        <v>0.28541666666666665</v>
      </c>
      <c r="R16" s="38">
        <v>0.64722222222222225</v>
      </c>
      <c r="S16" s="39">
        <f>Table13456789101117222630354045[[#This Row],[JAM MASUK]]-Table13456789101117222630354045[[#This Row],[JAM KELUAR]]</f>
        <v>0.3618055555555556</v>
      </c>
      <c r="T16" s="37">
        <v>2</v>
      </c>
      <c r="U16" s="17" t="s">
        <v>520</v>
      </c>
      <c r="W16" s="21"/>
      <c r="X16" s="22"/>
      <c r="AA16" s="16">
        <v>11</v>
      </c>
      <c r="AB16" s="33" t="s">
        <v>473</v>
      </c>
      <c r="AC16" s="31">
        <v>0.27083333333333331</v>
      </c>
      <c r="AD16" s="31">
        <v>0.60486111111111118</v>
      </c>
      <c r="AE16" s="32">
        <f>Table132456789101216202428333843[[#This Row],[JAM MASUK]]-Table132456789101216202428333843[[#This Row],[JAM KELUAR]]</f>
        <v>0.33402777777777787</v>
      </c>
      <c r="AF16" s="33">
        <v>3</v>
      </c>
      <c r="AG16" s="17" t="s">
        <v>519</v>
      </c>
      <c r="AM16" s="1">
        <v>11</v>
      </c>
      <c r="AN16" s="2" t="s">
        <v>184</v>
      </c>
      <c r="AO16" s="35">
        <v>0.24444444444444446</v>
      </c>
      <c r="AP16" s="35">
        <v>0.62847222222222221</v>
      </c>
      <c r="AQ16" s="30">
        <f>Table1345678910111518192327313742[[#This Row],[JAM MASUK]]-Table1345678910111518192327313742[[#This Row],[JAM KELUAR]]</f>
        <v>0.38402777777777775</v>
      </c>
      <c r="AR16" s="2">
        <v>5</v>
      </c>
      <c r="AS16" s="18" t="s">
        <v>54</v>
      </c>
    </row>
    <row r="17" spans="2:47" x14ac:dyDescent="0.35">
      <c r="B17" s="16">
        <v>12</v>
      </c>
      <c r="C17" s="33" t="s">
        <v>31</v>
      </c>
      <c r="D17" s="34">
        <v>0.26180555555555557</v>
      </c>
      <c r="E17" s="34">
        <v>0.63958333333333328</v>
      </c>
      <c r="F17" s="32">
        <f>Table132456789101113212529343944[[#This Row],[JAM MASUK]]-Table132456789101113212529343944[[#This Row],[JAM KELUAR]]</f>
        <v>0.37777777777777771</v>
      </c>
      <c r="G17" s="33">
        <v>2</v>
      </c>
      <c r="H17" s="40" t="s">
        <v>528</v>
      </c>
      <c r="O17" s="1">
        <v>12</v>
      </c>
      <c r="P17" s="41" t="s">
        <v>302</v>
      </c>
      <c r="Q17" s="48">
        <v>0.24444444444444446</v>
      </c>
      <c r="R17" s="48">
        <v>0.66736111111111107</v>
      </c>
      <c r="S17" s="43">
        <f>Table13456789101117222630354045[[#This Row],[JAM MASUK]]-Table13456789101117222630354045[[#This Row],[JAM KELUAR]]</f>
        <v>0.42291666666666661</v>
      </c>
      <c r="T17" s="41">
        <v>3</v>
      </c>
      <c r="U17" s="44" t="s">
        <v>54</v>
      </c>
      <c r="W17" s="21"/>
      <c r="X17" s="22"/>
      <c r="AA17" s="16">
        <v>12</v>
      </c>
      <c r="AB17" s="33" t="s">
        <v>474</v>
      </c>
      <c r="AC17" s="31">
        <v>0.28958333333333336</v>
      </c>
      <c r="AD17" s="31">
        <v>0.58402777777777781</v>
      </c>
      <c r="AE17" s="32">
        <f>Table132456789101216202428333843[[#This Row],[JAM MASUK]]-Table132456789101216202428333843[[#This Row],[JAM KELUAR]]</f>
        <v>0.29444444444444445</v>
      </c>
      <c r="AF17" s="33">
        <v>3</v>
      </c>
      <c r="AG17" s="17" t="s">
        <v>519</v>
      </c>
      <c r="AM17" s="1">
        <v>12</v>
      </c>
      <c r="AN17" s="2" t="s">
        <v>190</v>
      </c>
      <c r="AO17" s="35">
        <v>0.22916666666666666</v>
      </c>
      <c r="AP17" s="35">
        <v>0.64097222222222217</v>
      </c>
      <c r="AQ17" s="30">
        <f>Table1345678910111518192327313742[[#This Row],[JAM MASUK]]-Table1345678910111518192327313742[[#This Row],[JAM KELUAR]]</f>
        <v>0.41180555555555554</v>
      </c>
      <c r="AR17" s="2">
        <v>5</v>
      </c>
      <c r="AS17" s="18" t="s">
        <v>54</v>
      </c>
      <c r="AU17" s="20"/>
    </row>
    <row r="18" spans="2:47" x14ac:dyDescent="0.35">
      <c r="B18" s="1">
        <v>13</v>
      </c>
      <c r="C18" s="2" t="s">
        <v>15</v>
      </c>
      <c r="D18" s="35">
        <v>0.21319444444444444</v>
      </c>
      <c r="E18" s="35">
        <v>0.65972222222222221</v>
      </c>
      <c r="F18" s="30">
        <f>Table132456789101113212529343944[[#This Row],[JAM MASUK]]-Table132456789101113212529343944[[#This Row],[JAM KELUAR]]</f>
        <v>0.44652777777777775</v>
      </c>
      <c r="G18" s="2">
        <v>3</v>
      </c>
      <c r="H18" s="57" t="s">
        <v>54</v>
      </c>
      <c r="O18" s="52"/>
      <c r="P18" s="53"/>
      <c r="Q18" s="48"/>
      <c r="R18" s="48"/>
      <c r="S18" s="49"/>
      <c r="T18" s="53"/>
      <c r="U18" s="44"/>
      <c r="W18" s="21"/>
      <c r="X18" s="22"/>
      <c r="AA18" s="16">
        <v>13</v>
      </c>
      <c r="AB18" s="33" t="s">
        <v>476</v>
      </c>
      <c r="AC18" s="31">
        <v>0.28125</v>
      </c>
      <c r="AD18" s="31">
        <v>0.57291666666666663</v>
      </c>
      <c r="AE18" s="32">
        <f>Table132456789101216202428333843[[#This Row],[JAM MASUK]]-Table132456789101216202428333843[[#This Row],[JAM KELUAR]]</f>
        <v>0.29166666666666663</v>
      </c>
      <c r="AF18" s="33">
        <v>3</v>
      </c>
      <c r="AG18" s="17" t="s">
        <v>519</v>
      </c>
      <c r="AI18" s="20"/>
      <c r="AM18" s="1">
        <v>13</v>
      </c>
      <c r="AN18" s="2" t="s">
        <v>252</v>
      </c>
      <c r="AO18" s="35">
        <v>0.27152777777777776</v>
      </c>
      <c r="AP18" s="35">
        <v>0.64930555555555558</v>
      </c>
      <c r="AQ18" s="30">
        <f>Table1345678910111518192327313742[[#This Row],[JAM MASUK]]-Table1345678910111518192327313742[[#This Row],[JAM KELUAR]]</f>
        <v>0.37777777777777782</v>
      </c>
      <c r="AR18" s="2">
        <v>5</v>
      </c>
      <c r="AS18" s="18" t="s">
        <v>54</v>
      </c>
    </row>
    <row r="19" spans="2:47" ht="17" customHeight="1" x14ac:dyDescent="0.45">
      <c r="B19" s="1">
        <v>14</v>
      </c>
      <c r="C19" s="2" t="s">
        <v>23</v>
      </c>
      <c r="D19" s="35">
        <v>0.25833333333333336</v>
      </c>
      <c r="E19" s="35">
        <v>0.64722222222222225</v>
      </c>
      <c r="F19" s="30">
        <f>Table132456789101113212529343944[[#This Row],[JAM MASUK]]-Table132456789101113212529343944[[#This Row],[JAM KELUAR]]</f>
        <v>0.3888888888888889</v>
      </c>
      <c r="G19" s="2">
        <v>3</v>
      </c>
      <c r="H19" s="57" t="s">
        <v>54</v>
      </c>
      <c r="O19" s="70" t="s">
        <v>399</v>
      </c>
      <c r="P19" s="70"/>
      <c r="Q19" s="70"/>
      <c r="R19" s="70"/>
      <c r="S19" s="70"/>
      <c r="T19" s="70"/>
      <c r="U19" s="70"/>
      <c r="W19" s="21"/>
      <c r="X19" s="22"/>
      <c r="AA19" s="16">
        <v>14</v>
      </c>
      <c r="AB19" s="33" t="s">
        <v>477</v>
      </c>
      <c r="AC19" s="31">
        <v>0.21319444444444444</v>
      </c>
      <c r="AD19" s="31">
        <v>0.55555555555555558</v>
      </c>
      <c r="AE19" s="32">
        <f>Table132456789101216202428333843[[#This Row],[JAM MASUK]]-Table132456789101216202428333843[[#This Row],[JAM KELUAR]]</f>
        <v>0.34236111111111112</v>
      </c>
      <c r="AF19" s="33">
        <v>3</v>
      </c>
      <c r="AG19" s="17" t="s">
        <v>519</v>
      </c>
    </row>
    <row r="20" spans="2:47" ht="15.5" x14ac:dyDescent="0.35">
      <c r="B20" s="1">
        <v>15</v>
      </c>
      <c r="C20" s="2" t="s">
        <v>25</v>
      </c>
      <c r="D20" s="35">
        <v>0.20972222222222223</v>
      </c>
      <c r="E20" s="35">
        <v>0.63194444444444442</v>
      </c>
      <c r="F20" s="30">
        <f>Table132456789101113212529343944[[#This Row],[JAM MASUK]]-Table132456789101113212529343944[[#This Row],[JAM KELUAR]]</f>
        <v>0.42222222222222217</v>
      </c>
      <c r="G20" s="2">
        <v>3</v>
      </c>
      <c r="H20" s="57" t="s">
        <v>54</v>
      </c>
      <c r="O20" s="68">
        <v>45376</v>
      </c>
      <c r="P20" s="68"/>
      <c r="Q20" s="68"/>
      <c r="R20" s="68"/>
      <c r="S20" s="68"/>
      <c r="T20" s="68"/>
      <c r="U20" s="68"/>
      <c r="W20" s="47" t="s">
        <v>160</v>
      </c>
      <c r="X20" s="47"/>
      <c r="AA20" s="16">
        <v>15</v>
      </c>
      <c r="AB20" s="33" t="s">
        <v>479</v>
      </c>
      <c r="AC20" s="31">
        <v>0.22569444444444445</v>
      </c>
      <c r="AD20" s="31">
        <v>0.55902777777777779</v>
      </c>
      <c r="AE20" s="32">
        <f>Table132456789101216202428333843[[#This Row],[JAM MASUK]]-Table132456789101216202428333843[[#This Row],[JAM KELUAR]]</f>
        <v>0.33333333333333337</v>
      </c>
      <c r="AF20" s="33">
        <v>3</v>
      </c>
      <c r="AG20" s="17" t="s">
        <v>519</v>
      </c>
    </row>
    <row r="21" spans="2:47" ht="15.5" x14ac:dyDescent="0.35">
      <c r="B21" s="1">
        <v>16</v>
      </c>
      <c r="C21" s="2" t="s">
        <v>30</v>
      </c>
      <c r="D21" s="35">
        <v>0.24513888888888888</v>
      </c>
      <c r="E21" s="35">
        <v>0.68333333333333324</v>
      </c>
      <c r="F21" s="30">
        <f>Table132456789101113212529343944[[#This Row],[JAM MASUK]]-Table132456789101113212529343944[[#This Row],[JAM KELUAR]]</f>
        <v>0.43819444444444433</v>
      </c>
      <c r="G21" s="2">
        <v>3</v>
      </c>
      <c r="H21" s="57" t="s">
        <v>54</v>
      </c>
      <c r="O21" s="2" t="s">
        <v>0</v>
      </c>
      <c r="P21" s="2" t="s">
        <v>1</v>
      </c>
      <c r="Q21" s="36" t="s">
        <v>336</v>
      </c>
      <c r="R21" s="36" t="s">
        <v>337</v>
      </c>
      <c r="S21" s="36" t="s">
        <v>338</v>
      </c>
      <c r="T21" s="2" t="s">
        <v>2</v>
      </c>
      <c r="U21" s="2" t="s">
        <v>3</v>
      </c>
      <c r="W21" s="26"/>
      <c r="X21" s="26"/>
      <c r="AA21" s="16">
        <v>16</v>
      </c>
      <c r="AB21" s="33" t="s">
        <v>482</v>
      </c>
      <c r="AC21" s="31">
        <v>0.29305555555555557</v>
      </c>
      <c r="AD21" s="31">
        <v>0.65555555555555556</v>
      </c>
      <c r="AE21" s="32">
        <f>Table132456789101216202428333843[[#This Row],[JAM MASUK]]-Table132456789101216202428333843[[#This Row],[JAM KELUAR]]</f>
        <v>0.36249999999999999</v>
      </c>
      <c r="AF21" s="33">
        <v>3</v>
      </c>
      <c r="AG21" s="17" t="s">
        <v>519</v>
      </c>
    </row>
    <row r="22" spans="2:47" x14ac:dyDescent="0.35">
      <c r="O22" s="16">
        <v>1</v>
      </c>
      <c r="P22" s="37" t="s">
        <v>169</v>
      </c>
      <c r="Q22" s="38">
        <v>0.28541666666666665</v>
      </c>
      <c r="R22" s="38">
        <v>0.52083333333333337</v>
      </c>
      <c r="S22" s="39">
        <f>Table1345678910111722263032364146[[#This Row],[JAM MASUK]]-Table1345678910111722263032364146[[#This Row],[JAM KELUAR]]</f>
        <v>0.23541666666666672</v>
      </c>
      <c r="T22" s="37">
        <v>2</v>
      </c>
      <c r="U22" s="17" t="s">
        <v>520</v>
      </c>
      <c r="W22" s="4" t="s">
        <v>161</v>
      </c>
      <c r="X22" s="6">
        <v>8</v>
      </c>
      <c r="AA22" s="16">
        <v>17</v>
      </c>
      <c r="AB22" s="33" t="s">
        <v>484</v>
      </c>
      <c r="AC22" s="31">
        <v>0.27291666666666664</v>
      </c>
      <c r="AD22" s="31">
        <v>0.57638888888888895</v>
      </c>
      <c r="AE22" s="32">
        <f>Table132456789101216202428333843[[#This Row],[JAM MASUK]]-Table132456789101216202428333843[[#This Row],[JAM KELUAR]]</f>
        <v>0.30347222222222231</v>
      </c>
      <c r="AF22" s="33">
        <v>3</v>
      </c>
      <c r="AG22" s="17" t="s">
        <v>510</v>
      </c>
    </row>
    <row r="23" spans="2:47" x14ac:dyDescent="0.35">
      <c r="O23" s="16">
        <v>2</v>
      </c>
      <c r="P23" s="37" t="s">
        <v>178</v>
      </c>
      <c r="Q23" s="38">
        <v>0.24722222222222223</v>
      </c>
      <c r="R23" s="38">
        <v>0.59861111111111109</v>
      </c>
      <c r="S23" s="39">
        <f>Table1345678910111722263032364146[[#This Row],[JAM MASUK]]-Table1345678910111722263032364146[[#This Row],[JAM KELUAR]]</f>
        <v>0.35138888888888886</v>
      </c>
      <c r="T23" s="37">
        <v>3</v>
      </c>
      <c r="U23" s="17" t="s">
        <v>520</v>
      </c>
      <c r="W23" s="5" t="s">
        <v>10</v>
      </c>
      <c r="X23" s="7">
        <v>8</v>
      </c>
      <c r="AA23" s="16">
        <v>18</v>
      </c>
      <c r="AB23" s="33" t="s">
        <v>488</v>
      </c>
      <c r="AC23" s="31">
        <v>0.23055555555555554</v>
      </c>
      <c r="AD23" s="31">
        <v>0.59791666666666665</v>
      </c>
      <c r="AE23" s="32">
        <f>Table132456789101216202428333843[[#This Row],[JAM MASUK]]-Table132456789101216202428333843[[#This Row],[JAM KELUAR]]</f>
        <v>0.36736111111111114</v>
      </c>
      <c r="AF23" s="33">
        <v>3</v>
      </c>
      <c r="AG23" s="17" t="s">
        <v>511</v>
      </c>
    </row>
    <row r="24" spans="2:47" ht="14.5" customHeight="1" x14ac:dyDescent="0.35">
      <c r="O24" s="16">
        <v>3</v>
      </c>
      <c r="P24" s="37" t="s">
        <v>170</v>
      </c>
      <c r="Q24" s="38">
        <v>0.28611111111111115</v>
      </c>
      <c r="R24" s="38">
        <v>0.59513888888888888</v>
      </c>
      <c r="S24" s="39">
        <f>Table1345678910111722263032364146[[#This Row],[JAM MASUK]]-Table1345678910111722263032364146[[#This Row],[JAM KELUAR]]</f>
        <v>0.30902777777777773</v>
      </c>
      <c r="T24" s="37">
        <v>3</v>
      </c>
      <c r="U24" s="17" t="s">
        <v>520</v>
      </c>
      <c r="W24" s="5" t="s">
        <v>9</v>
      </c>
      <c r="X24" s="8">
        <v>5</v>
      </c>
      <c r="AA24" s="16">
        <v>19</v>
      </c>
      <c r="AB24" s="33" t="s">
        <v>489</v>
      </c>
      <c r="AC24" s="31">
        <v>0.26180555555555557</v>
      </c>
      <c r="AD24" s="31">
        <v>0.62986111111111109</v>
      </c>
      <c r="AE24" s="32">
        <f>Table132456789101216202428333843[[#This Row],[JAM MASUK]]-Table132456789101216202428333843[[#This Row],[JAM KELUAR]]</f>
        <v>0.36805555555555552</v>
      </c>
      <c r="AF24" s="33">
        <v>3</v>
      </c>
      <c r="AG24" s="17" t="s">
        <v>519</v>
      </c>
    </row>
    <row r="25" spans="2:47" ht="14.5" customHeight="1" x14ac:dyDescent="0.35">
      <c r="O25" s="16">
        <v>4</v>
      </c>
      <c r="P25" s="37" t="s">
        <v>164</v>
      </c>
      <c r="Q25" s="38">
        <v>0.29305555555555557</v>
      </c>
      <c r="R25" s="38">
        <v>0.62777777777777777</v>
      </c>
      <c r="S25" s="39">
        <f>Table1345678910111722263032364146[[#This Row],[JAM MASUK]]-Table1345678910111722263032364146[[#This Row],[JAM KELUAR]]</f>
        <v>0.3347222222222222</v>
      </c>
      <c r="T25" s="37">
        <v>3</v>
      </c>
      <c r="U25" s="17" t="s">
        <v>520</v>
      </c>
      <c r="W25" s="5" t="s">
        <v>4</v>
      </c>
      <c r="X25" s="8">
        <v>0</v>
      </c>
      <c r="AA25" s="16">
        <v>20</v>
      </c>
      <c r="AB25" s="33" t="s">
        <v>491</v>
      </c>
      <c r="AC25" s="31">
        <v>0.24652777777777779</v>
      </c>
      <c r="AD25" s="31">
        <v>0.61249999999999993</v>
      </c>
      <c r="AE25" s="32">
        <f>Table132456789101216202428333843[[#This Row],[JAM MASUK]]-Table132456789101216202428333843[[#This Row],[JAM KELUAR]]</f>
        <v>0.36597222222222214</v>
      </c>
      <c r="AF25" s="33">
        <v>3</v>
      </c>
      <c r="AG25" s="17" t="s">
        <v>519</v>
      </c>
    </row>
    <row r="26" spans="2:47" ht="14.5" customHeight="1" x14ac:dyDescent="0.35">
      <c r="O26" s="16">
        <v>5</v>
      </c>
      <c r="P26" s="37" t="s">
        <v>177</v>
      </c>
      <c r="Q26" s="38">
        <v>0.2638888888888889</v>
      </c>
      <c r="R26" s="38">
        <v>0.56041666666666667</v>
      </c>
      <c r="S26" s="39">
        <f>Table1345678910111722263032364146[[#This Row],[JAM MASUK]]-Table1345678910111722263032364146[[#This Row],[JAM KELUAR]]</f>
        <v>0.29652777777777778</v>
      </c>
      <c r="T26" s="37">
        <v>3</v>
      </c>
      <c r="U26" s="17" t="s">
        <v>520</v>
      </c>
      <c r="W26" s="5" t="s">
        <v>5</v>
      </c>
      <c r="X26" s="8">
        <v>3</v>
      </c>
      <c r="AA26" s="16">
        <v>21</v>
      </c>
      <c r="AB26" s="33" t="s">
        <v>494</v>
      </c>
      <c r="AC26" s="31">
        <v>0.24444444444444446</v>
      </c>
      <c r="AD26" s="31">
        <v>0.58680555555555558</v>
      </c>
      <c r="AE26" s="32">
        <f>Table132456789101216202428333843[[#This Row],[JAM MASUK]]-Table132456789101216202428333843[[#This Row],[JAM KELUAR]]</f>
        <v>0.34236111111111112</v>
      </c>
      <c r="AF26" s="33">
        <v>3</v>
      </c>
      <c r="AG26" s="17" t="s">
        <v>519</v>
      </c>
    </row>
    <row r="27" spans="2:47" x14ac:dyDescent="0.35">
      <c r="V27" s="1"/>
      <c r="W27" s="5" t="s">
        <v>166</v>
      </c>
      <c r="X27" s="8">
        <v>0</v>
      </c>
      <c r="AA27" s="16">
        <v>22</v>
      </c>
      <c r="AB27" s="33" t="s">
        <v>497</v>
      </c>
      <c r="AC27" s="31">
        <v>0.27430555555555552</v>
      </c>
      <c r="AD27" s="31">
        <v>0.62986111111111109</v>
      </c>
      <c r="AE27" s="32">
        <f>Table132456789101216202428333843[[#This Row],[JAM MASUK]]-Table132456789101216202428333843[[#This Row],[JAM KELUAR]]</f>
        <v>0.35555555555555557</v>
      </c>
      <c r="AF27" s="33">
        <v>3</v>
      </c>
      <c r="AG27" s="17" t="s">
        <v>519</v>
      </c>
    </row>
    <row r="28" spans="2:47" x14ac:dyDescent="0.35">
      <c r="V28" s="1"/>
      <c r="W28" s="9" t="s">
        <v>8</v>
      </c>
      <c r="X28" s="10">
        <f>SUM(Table1345678910111722263032364146[Retase])</f>
        <v>14</v>
      </c>
      <c r="AA28" s="16">
        <v>23</v>
      </c>
      <c r="AB28" s="33" t="s">
        <v>498</v>
      </c>
      <c r="AC28" s="31">
        <v>0.26180555555555557</v>
      </c>
      <c r="AD28" s="31">
        <v>0.63472222222222219</v>
      </c>
      <c r="AE28" s="32">
        <f>Table132456789101216202428333843[[#This Row],[JAM MASUK]]-Table132456789101216202428333843[[#This Row],[JAM KELUAR]]</f>
        <v>0.37291666666666662</v>
      </c>
      <c r="AF28" s="33">
        <v>3</v>
      </c>
      <c r="AG28" s="17" t="s">
        <v>519</v>
      </c>
    </row>
    <row r="29" spans="2:47" x14ac:dyDescent="0.35">
      <c r="V29" s="1"/>
      <c r="W29" s="11" t="s">
        <v>7</v>
      </c>
      <c r="X29" s="12">
        <f>X28/X24</f>
        <v>2.8</v>
      </c>
      <c r="AA29" s="16">
        <v>24</v>
      </c>
      <c r="AB29" s="33" t="s">
        <v>499</v>
      </c>
      <c r="AC29" s="31">
        <v>0.28472222222222221</v>
      </c>
      <c r="AD29" s="31">
        <v>0.6333333333333333</v>
      </c>
      <c r="AE29" s="32">
        <f>Table132456789101216202428333843[[#This Row],[JAM MASUK]]-Table132456789101216202428333843[[#This Row],[JAM KELUAR]]</f>
        <v>0.34861111111111109</v>
      </c>
      <c r="AF29" s="33">
        <v>3</v>
      </c>
      <c r="AG29" s="17" t="s">
        <v>505</v>
      </c>
    </row>
    <row r="30" spans="2:47" x14ac:dyDescent="0.35">
      <c r="V30" s="1"/>
      <c r="W30" s="13" t="s">
        <v>11</v>
      </c>
      <c r="X30" s="14">
        <v>4</v>
      </c>
      <c r="AA30" s="16">
        <v>25</v>
      </c>
      <c r="AB30" s="33" t="s">
        <v>500</v>
      </c>
      <c r="AC30" s="31">
        <v>0.26041666666666669</v>
      </c>
      <c r="AD30" s="31">
        <v>0.63055555555555554</v>
      </c>
      <c r="AE30" s="32">
        <f>Table132456789101216202428333843[[#This Row],[JAM MASUK]]-Table132456789101216202428333843[[#This Row],[JAM KELUAR]]</f>
        <v>0.37013888888888885</v>
      </c>
      <c r="AF30" s="33">
        <v>3</v>
      </c>
      <c r="AG30" s="17" t="s">
        <v>512</v>
      </c>
    </row>
    <row r="31" spans="2:47" x14ac:dyDescent="0.35">
      <c r="V31" s="1"/>
      <c r="W31" s="13" t="s">
        <v>51</v>
      </c>
      <c r="X31" s="15">
        <f>X29/X30</f>
        <v>0.7</v>
      </c>
      <c r="AA31" s="1">
        <v>26</v>
      </c>
      <c r="AB31" s="2" t="s">
        <v>478</v>
      </c>
      <c r="AC31" s="29">
        <v>0.23611111111111113</v>
      </c>
      <c r="AD31" s="29">
        <v>0.64027777777777783</v>
      </c>
      <c r="AE31" s="30">
        <f>Table132456789101216202428333843[[#This Row],[JAM MASUK]]-Table132456789101216202428333843[[#This Row],[JAM KELUAR]]</f>
        <v>0.40416666666666667</v>
      </c>
      <c r="AF31" s="2">
        <v>4</v>
      </c>
      <c r="AG31" s="18" t="s">
        <v>54</v>
      </c>
    </row>
    <row r="32" spans="2:47" x14ac:dyDescent="0.35">
      <c r="V32" s="1"/>
      <c r="W32" s="13" t="s">
        <v>151</v>
      </c>
      <c r="X32" s="15">
        <f>X24/X23</f>
        <v>0.625</v>
      </c>
      <c r="AA32" s="1">
        <v>27</v>
      </c>
      <c r="AB32" s="2" t="s">
        <v>480</v>
      </c>
      <c r="AC32" s="29">
        <v>0.21875</v>
      </c>
      <c r="AD32" s="29">
        <v>0.63541666666666663</v>
      </c>
      <c r="AE32" s="30">
        <f>Table132456789101216202428333843[[#This Row],[JAM MASUK]]-Table132456789101216202428333843[[#This Row],[JAM KELUAR]]</f>
        <v>0.41666666666666663</v>
      </c>
      <c r="AF32" s="2">
        <v>4</v>
      </c>
      <c r="AG32" s="18" t="s">
        <v>54</v>
      </c>
    </row>
    <row r="33" spans="1:33" x14ac:dyDescent="0.35">
      <c r="V33" s="1"/>
      <c r="AA33" s="1">
        <v>28</v>
      </c>
      <c r="AB33" s="2" t="s">
        <v>485</v>
      </c>
      <c r="AC33" s="29">
        <v>0.21666666666666667</v>
      </c>
      <c r="AD33" s="29">
        <v>0.61458333333333337</v>
      </c>
      <c r="AE33" s="30">
        <f>Table132456789101216202428333843[[#This Row],[JAM MASUK]]-Table132456789101216202428333843[[#This Row],[JAM KELUAR]]</f>
        <v>0.3979166666666667</v>
      </c>
      <c r="AF33" s="2">
        <v>4</v>
      </c>
      <c r="AG33" s="18" t="s">
        <v>54</v>
      </c>
    </row>
    <row r="34" spans="1:33" x14ac:dyDescent="0.35">
      <c r="V34" s="1"/>
      <c r="AA34" s="1">
        <v>29</v>
      </c>
      <c r="AB34" s="2" t="s">
        <v>493</v>
      </c>
      <c r="AC34" s="29">
        <v>0.20902777777777778</v>
      </c>
      <c r="AD34" s="29">
        <v>0.62708333333333333</v>
      </c>
      <c r="AE34" s="30">
        <f>Table132456789101216202428333843[[#This Row],[JAM MASUK]]-Table132456789101216202428333843[[#This Row],[JAM KELUAR]]</f>
        <v>0.41805555555555551</v>
      </c>
      <c r="AF34" s="2">
        <v>4</v>
      </c>
      <c r="AG34" s="18" t="s">
        <v>54</v>
      </c>
    </row>
    <row r="35" spans="1:33" x14ac:dyDescent="0.35">
      <c r="V35" s="1"/>
      <c r="AA35" s="1">
        <v>30</v>
      </c>
      <c r="AB35" s="2" t="s">
        <v>496</v>
      </c>
      <c r="AC35" s="29">
        <v>0.22291666666666665</v>
      </c>
      <c r="AD35" s="29">
        <v>0.61944444444444446</v>
      </c>
      <c r="AE35" s="30">
        <f>Table132456789101216202428333843[[#This Row],[JAM MASUK]]-Table132456789101216202428333843[[#This Row],[JAM KELUAR]]</f>
        <v>0.39652777777777781</v>
      </c>
      <c r="AF35" s="2">
        <v>4</v>
      </c>
      <c r="AG35" s="18" t="s">
        <v>54</v>
      </c>
    </row>
    <row r="36" spans="1:33" x14ac:dyDescent="0.35">
      <c r="V36" s="1"/>
    </row>
    <row r="37" spans="1:33" x14ac:dyDescent="0.35">
      <c r="P37" s="21"/>
      <c r="Q37" s="22"/>
    </row>
    <row r="38" spans="1:33" x14ac:dyDescent="0.35">
      <c r="P38" s="21"/>
      <c r="Q38" s="22"/>
      <c r="W38" s="21"/>
      <c r="X38" s="22"/>
    </row>
    <row r="39" spans="1:33" x14ac:dyDescent="0.35">
      <c r="P39" s="21"/>
      <c r="Q39" s="22"/>
    </row>
    <row r="40" spans="1:33" ht="21" x14ac:dyDescent="0.5">
      <c r="A40" s="25"/>
      <c r="P40" s="21"/>
      <c r="Q40" s="22"/>
    </row>
    <row r="41" spans="1:33" x14ac:dyDescent="0.35">
      <c r="P41" s="21"/>
      <c r="Q41" s="22"/>
    </row>
    <row r="42" spans="1:33" x14ac:dyDescent="0.35">
      <c r="P42" s="21"/>
      <c r="Q42" s="22"/>
    </row>
  </sheetData>
  <mergeCells count="18"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  <mergeCell ref="O19:U19"/>
    <mergeCell ref="O20:U20"/>
    <mergeCell ref="AM3:AS3"/>
    <mergeCell ref="AU3:AV4"/>
    <mergeCell ref="B4:H4"/>
    <mergeCell ref="O4:U4"/>
    <mergeCell ref="AA4:AG4"/>
    <mergeCell ref="AM4:AS4"/>
  </mergeCells>
  <pageMargins left="0.12" right="0.12" top="0.75" bottom="0.75" header="0.3" footer="0.3"/>
  <pageSetup paperSize="5" scale="73" fitToWidth="0" orientation="landscape" horizontalDpi="360" verticalDpi="360" r:id="rId1"/>
  <rowBreaks count="1" manualBreakCount="1">
    <brk id="39" max="46" man="1"/>
  </rowBreaks>
  <colBreaks count="3" manualBreakCount="3">
    <brk id="13" max="37" man="1"/>
    <brk id="25" max="37" man="1"/>
    <brk id="37" max="37" man="1"/>
  </colBreaks>
  <tableParts count="5"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47CE-8410-4BD1-B86F-AE0427E30623}">
  <sheetPr codeName="Sheet18">
    <tabColor theme="7" tint="0.39997558519241921"/>
  </sheetPr>
  <dimension ref="A1:AV40"/>
  <sheetViews>
    <sheetView showGridLines="0" view="pageBreakPreview" topLeftCell="K1" zoomScale="70" zoomScaleNormal="55" zoomScaleSheetLayoutView="70" workbookViewId="0">
      <selection activeCell="P10" sqref="P10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9.453125" bestFit="1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7" width="11.7265625" customWidth="1"/>
    <col min="18" max="18" width="19.453125" bestFit="1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29" width="10.81640625" customWidth="1"/>
    <col min="30" max="30" width="19.453125" bestFit="1" customWidth="1"/>
    <col min="31" max="31" width="16.453125" customWidth="1"/>
    <col min="32" max="32" width="11.7265625" customWidth="1"/>
    <col min="33" max="33" width="99.453125" bestFit="1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99.453125" bestFit="1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420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45379</v>
      </c>
      <c r="C4" s="68"/>
      <c r="D4" s="68"/>
      <c r="E4" s="68"/>
      <c r="F4" s="68"/>
      <c r="G4" s="68"/>
      <c r="H4" s="68"/>
      <c r="J4" s="66"/>
      <c r="K4" s="66"/>
      <c r="O4" s="68">
        <f>B4</f>
        <v>45379</v>
      </c>
      <c r="P4" s="68"/>
      <c r="Q4" s="68"/>
      <c r="R4" s="68"/>
      <c r="S4" s="68"/>
      <c r="T4" s="68"/>
      <c r="U4" s="68"/>
      <c r="W4" s="66"/>
      <c r="X4" s="66"/>
      <c r="AA4" s="68">
        <f>B4</f>
        <v>45379</v>
      </c>
      <c r="AB4" s="68"/>
      <c r="AC4" s="68"/>
      <c r="AD4" s="68"/>
      <c r="AE4" s="68"/>
      <c r="AF4" s="68"/>
      <c r="AG4" s="68"/>
      <c r="AI4" s="66"/>
      <c r="AJ4" s="66"/>
      <c r="AM4" s="68">
        <f>B4</f>
        <v>45379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2" t="s">
        <v>337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24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21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15</v>
      </c>
    </row>
    <row r="6" spans="1:48" s="1" customFormat="1" x14ac:dyDescent="0.35">
      <c r="A6"/>
      <c r="B6" s="16">
        <v>1</v>
      </c>
      <c r="C6" s="33" t="s">
        <v>24</v>
      </c>
      <c r="D6" s="34">
        <v>0.3756944444444445</v>
      </c>
      <c r="E6" s="34">
        <v>0.61041666666666672</v>
      </c>
      <c r="F6" s="32">
        <f>Table13245678910111321252934394449[[#This Row],[JAM MASUK]]-Table13245678910111321252934394449[[#This Row],[JAM KELUAR]]</f>
        <v>0.23472222222222222</v>
      </c>
      <c r="G6" s="33">
        <v>1</v>
      </c>
      <c r="H6" s="40" t="s">
        <v>567</v>
      </c>
      <c r="J6" s="5" t="s">
        <v>10</v>
      </c>
      <c r="K6" s="7">
        <v>24</v>
      </c>
      <c r="L6" s="28"/>
      <c r="O6" s="16">
        <v>1</v>
      </c>
      <c r="P6" s="37" t="s">
        <v>297</v>
      </c>
      <c r="Q6" s="58">
        <v>0.29930555555555555</v>
      </c>
      <c r="R6" s="58">
        <v>0.46527777777777773</v>
      </c>
      <c r="S6" s="39">
        <f>Table1345678910111722263035404550[[#This Row],[JAM MASUK]]-Table1345678910111722263035404550[[#This Row],[JAM KELUAR]]</f>
        <v>0.16597222222222219</v>
      </c>
      <c r="T6" s="37">
        <v>1</v>
      </c>
      <c r="U6" s="40" t="s">
        <v>553</v>
      </c>
      <c r="W6" s="5" t="s">
        <v>10</v>
      </c>
      <c r="X6" s="7">
        <v>21</v>
      </c>
      <c r="AA6" s="16">
        <v>1</v>
      </c>
      <c r="AB6" s="33" t="s">
        <v>153</v>
      </c>
      <c r="AC6" s="31">
        <v>0.21875</v>
      </c>
      <c r="AD6" s="31">
        <v>0.43055555555555558</v>
      </c>
      <c r="AE6" s="32">
        <f>Table13245678910121620242833384348[[#This Row],[JAM MASUK]]-Table13245678910121620242833384348[[#This Row],[JAM KELUAR]]</f>
        <v>0.21180555555555558</v>
      </c>
      <c r="AF6" s="33">
        <v>1</v>
      </c>
      <c r="AG6" s="17" t="s">
        <v>541</v>
      </c>
      <c r="AI6" s="5" t="s">
        <v>10</v>
      </c>
      <c r="AJ6" s="7">
        <v>30</v>
      </c>
      <c r="AM6" s="16">
        <v>1</v>
      </c>
      <c r="AN6" s="33" t="s">
        <v>253</v>
      </c>
      <c r="AO6" s="34">
        <v>0.24791666666666667</v>
      </c>
      <c r="AP6" s="34">
        <v>0.37083333333333335</v>
      </c>
      <c r="AQ6" s="32">
        <f>Table134567891011151819232731374247[[#This Row],[JAM MASUK]]-Table134567891011151819232731374247[[#This Row],[JAM KELUAR]]</f>
        <v>0.12291666666666667</v>
      </c>
      <c r="AR6" s="33">
        <v>1</v>
      </c>
      <c r="AS6" s="17" t="s">
        <v>539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28</v>
      </c>
      <c r="D7" s="34">
        <v>0.28263888888888888</v>
      </c>
      <c r="E7" s="34">
        <v>0.49791666666666662</v>
      </c>
      <c r="F7" s="32">
        <f>Table13245678910111321252934394449[[#This Row],[JAM MASUK]]-Table13245678910111321252934394449[[#This Row],[JAM KELUAR]]</f>
        <v>0.21527777777777773</v>
      </c>
      <c r="G7" s="33">
        <v>1</v>
      </c>
      <c r="H7" s="50" t="s">
        <v>568</v>
      </c>
      <c r="J7" s="5" t="s">
        <v>9</v>
      </c>
      <c r="K7" s="8">
        <v>19</v>
      </c>
      <c r="L7" s="28"/>
      <c r="O7" s="16">
        <v>2</v>
      </c>
      <c r="P7" s="37" t="s">
        <v>163</v>
      </c>
      <c r="Q7" s="58">
        <v>0.27430555555555552</v>
      </c>
      <c r="R7" s="58">
        <v>0.73749999999999993</v>
      </c>
      <c r="S7" s="39">
        <f>Table1345678910111722263035404550[[#This Row],[JAM MASUK]]-Table1345678910111722263035404550[[#This Row],[JAM KELUAR]]</f>
        <v>0.46319444444444441</v>
      </c>
      <c r="T7" s="37">
        <v>1</v>
      </c>
      <c r="U7" s="40" t="s">
        <v>554</v>
      </c>
      <c r="W7" s="5" t="s">
        <v>9</v>
      </c>
      <c r="X7" s="8">
        <v>13</v>
      </c>
      <c r="AA7" s="16">
        <v>2</v>
      </c>
      <c r="AB7" s="33" t="s">
        <v>244</v>
      </c>
      <c r="AC7" s="31">
        <v>0.24583333333333335</v>
      </c>
      <c r="AD7" s="31">
        <v>0.45416666666666666</v>
      </c>
      <c r="AE7" s="32">
        <f>Table13245678910121620242833384348[[#This Row],[JAM MASUK]]-Table13245678910121620242833384348[[#This Row],[JAM KELUAR]]</f>
        <v>0.20833333333333331</v>
      </c>
      <c r="AF7" s="33">
        <v>1</v>
      </c>
      <c r="AG7" s="17" t="s">
        <v>564</v>
      </c>
      <c r="AI7" s="5" t="s">
        <v>9</v>
      </c>
      <c r="AJ7" s="8">
        <v>29</v>
      </c>
      <c r="AM7" s="16">
        <v>2</v>
      </c>
      <c r="AN7" s="33" t="s">
        <v>182</v>
      </c>
      <c r="AO7" s="34">
        <v>0.27569444444444446</v>
      </c>
      <c r="AP7" s="34">
        <v>0.4777777777777778</v>
      </c>
      <c r="AQ7" s="32">
        <f>Table134567891011151819232731374247[[#This Row],[JAM MASUK]]-Table134567891011151819232731374247[[#This Row],[JAM KELUAR]]</f>
        <v>0.20208333333333334</v>
      </c>
      <c r="AR7" s="33">
        <v>2</v>
      </c>
      <c r="AS7" s="17" t="s">
        <v>540</v>
      </c>
      <c r="AU7" s="5" t="s">
        <v>9</v>
      </c>
      <c r="AV7" s="7">
        <v>10</v>
      </c>
    </row>
    <row r="8" spans="1:48" s="1" customFormat="1" x14ac:dyDescent="0.35">
      <c r="A8"/>
      <c r="B8" s="16">
        <v>3</v>
      </c>
      <c r="C8" s="33" t="s">
        <v>373</v>
      </c>
      <c r="D8" s="34">
        <v>0.27152777777777776</v>
      </c>
      <c r="E8" s="34">
        <v>0.62291666666666667</v>
      </c>
      <c r="F8" s="32">
        <f>Table13245678910111321252934394449[[#This Row],[JAM MASUK]]-Table13245678910111321252934394449[[#This Row],[JAM KELUAR]]</f>
        <v>0.35138888888888892</v>
      </c>
      <c r="G8" s="33">
        <v>2</v>
      </c>
      <c r="H8" s="17" t="s">
        <v>569</v>
      </c>
      <c r="J8" s="5" t="s">
        <v>4</v>
      </c>
      <c r="K8" s="8">
        <v>1</v>
      </c>
      <c r="L8" s="28"/>
      <c r="O8" s="16">
        <v>3</v>
      </c>
      <c r="P8" s="37" t="s">
        <v>167</v>
      </c>
      <c r="Q8" s="58">
        <v>0.25277777777777777</v>
      </c>
      <c r="R8" s="58">
        <v>0.5625</v>
      </c>
      <c r="S8" s="39">
        <f>Table1345678910111722263035404550[[#This Row],[JAM MASUK]]-Table1345678910111722263035404550[[#This Row],[JAM KELUAR]]</f>
        <v>0.30972222222222223</v>
      </c>
      <c r="T8" s="37">
        <v>1</v>
      </c>
      <c r="U8" s="17" t="s">
        <v>555</v>
      </c>
      <c r="W8" s="5" t="s">
        <v>4</v>
      </c>
      <c r="X8" s="8">
        <v>3</v>
      </c>
      <c r="AA8" s="16">
        <v>3</v>
      </c>
      <c r="AB8" s="33" t="s">
        <v>277</v>
      </c>
      <c r="AC8" s="31">
        <v>0.3347222222222222</v>
      </c>
      <c r="AD8" s="31">
        <v>0.62291666666666667</v>
      </c>
      <c r="AE8" s="32">
        <f>Table13245678910121620242833384348[[#This Row],[JAM MASUK]]-Table13245678910121620242833384348[[#This Row],[JAM KELUAR]]</f>
        <v>0.28819444444444448</v>
      </c>
      <c r="AF8" s="33">
        <v>2</v>
      </c>
      <c r="AG8" s="17" t="s">
        <v>542</v>
      </c>
      <c r="AI8" s="5" t="s">
        <v>4</v>
      </c>
      <c r="AJ8" s="8">
        <v>0</v>
      </c>
      <c r="AM8" s="16">
        <v>3</v>
      </c>
      <c r="AN8" s="33" t="s">
        <v>188</v>
      </c>
      <c r="AO8" s="34">
        <v>0.28958333333333336</v>
      </c>
      <c r="AP8" s="34">
        <v>0.47222222222222227</v>
      </c>
      <c r="AQ8" s="32">
        <f>Table134567891011151819232731374247[[#This Row],[JAM MASUK]]-Table134567891011151819232731374247[[#This Row],[JAM KELUAR]]</f>
        <v>0.18263888888888891</v>
      </c>
      <c r="AR8" s="33">
        <v>2</v>
      </c>
      <c r="AS8" s="17" t="s">
        <v>566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20</v>
      </c>
      <c r="D9" s="34">
        <v>0.24513888888888888</v>
      </c>
      <c r="E9" s="34">
        <v>0.63680555555555551</v>
      </c>
      <c r="F9" s="32">
        <f>Table13245678910111321252934394449[[#This Row],[JAM MASUK]]-Table13245678910111321252934394449[[#This Row],[JAM KELUAR]]</f>
        <v>0.39166666666666661</v>
      </c>
      <c r="G9" s="33">
        <v>2</v>
      </c>
      <c r="H9" s="40" t="s">
        <v>274</v>
      </c>
      <c r="J9" s="5" t="s">
        <v>5</v>
      </c>
      <c r="K9" s="8">
        <v>4</v>
      </c>
      <c r="L9" s="28"/>
      <c r="O9" s="16">
        <v>4</v>
      </c>
      <c r="P9" s="37" t="s">
        <v>168</v>
      </c>
      <c r="Q9" s="58">
        <v>0.44861111111111113</v>
      </c>
      <c r="R9" s="58">
        <v>0.65416666666666667</v>
      </c>
      <c r="S9" s="39">
        <f>Table1345678910111722263035404550[[#This Row],[JAM MASUK]]-Table1345678910111722263035404550[[#This Row],[JAM KELUAR]]</f>
        <v>0.20555555555555555</v>
      </c>
      <c r="T9" s="37">
        <v>1</v>
      </c>
      <c r="U9" s="17" t="s">
        <v>556</v>
      </c>
      <c r="W9" s="5" t="s">
        <v>5</v>
      </c>
      <c r="X9" s="8">
        <v>5</v>
      </c>
      <c r="AA9" s="16">
        <v>4</v>
      </c>
      <c r="AB9" s="33" t="s">
        <v>203</v>
      </c>
      <c r="AC9" s="31">
        <v>0.30208333333333331</v>
      </c>
      <c r="AD9" s="31">
        <v>0.67361111111111116</v>
      </c>
      <c r="AE9" s="32">
        <f>Table13245678910121620242833384348[[#This Row],[JAM MASUK]]-Table13245678910121620242833384348[[#This Row],[JAM KELUAR]]</f>
        <v>0.37152777777777785</v>
      </c>
      <c r="AF9" s="33">
        <v>2</v>
      </c>
      <c r="AG9" s="17" t="s">
        <v>563</v>
      </c>
      <c r="AI9" s="5" t="s">
        <v>5</v>
      </c>
      <c r="AJ9" s="8">
        <v>1</v>
      </c>
      <c r="AM9" s="1">
        <v>4</v>
      </c>
      <c r="AN9" s="2" t="s">
        <v>192</v>
      </c>
      <c r="AO9" s="35">
        <v>0.26041666666666669</v>
      </c>
      <c r="AP9" s="35">
        <v>0.67291666666666661</v>
      </c>
      <c r="AQ9" s="30">
        <f>Table134567891011151819232731374247[[#This Row],[JAM MASUK]]-Table134567891011151819232731374247[[#This Row],[JAM KELUAR]]</f>
        <v>0.41249999999999992</v>
      </c>
      <c r="AR9" s="2">
        <v>3</v>
      </c>
      <c r="AS9" s="18" t="s">
        <v>563</v>
      </c>
      <c r="AU9" s="5" t="s">
        <v>5</v>
      </c>
      <c r="AV9" s="8">
        <v>4</v>
      </c>
    </row>
    <row r="10" spans="1:48" s="1" customFormat="1" x14ac:dyDescent="0.35">
      <c r="A10"/>
      <c r="B10" s="16">
        <v>5</v>
      </c>
      <c r="C10" s="33" t="s">
        <v>23</v>
      </c>
      <c r="D10" s="34">
        <v>0.25555555555555559</v>
      </c>
      <c r="E10" s="34">
        <v>0.59930555555555554</v>
      </c>
      <c r="F10" s="32">
        <f>Table13245678910111321252934394449[[#This Row],[JAM MASUK]]-Table13245678910111321252934394449[[#This Row],[JAM KELUAR]]</f>
        <v>0.34374999999999994</v>
      </c>
      <c r="G10" s="33">
        <v>2</v>
      </c>
      <c r="H10" s="17" t="s">
        <v>570</v>
      </c>
      <c r="J10" s="5" t="s">
        <v>6</v>
      </c>
      <c r="K10" s="8">
        <v>0</v>
      </c>
      <c r="L10" s="28"/>
      <c r="O10" s="16">
        <v>5</v>
      </c>
      <c r="P10" s="37" t="s">
        <v>441</v>
      </c>
      <c r="Q10" s="58">
        <v>0.26180555555555557</v>
      </c>
      <c r="R10" s="58">
        <v>0.52083333333333337</v>
      </c>
      <c r="S10" s="39">
        <f>Table1345678910111722263035404550[[#This Row],[JAM MASUK]]-Table1345678910111722263035404550[[#This Row],[JAM KELUAR]]</f>
        <v>0.2590277777777778</v>
      </c>
      <c r="T10" s="37">
        <v>1</v>
      </c>
      <c r="U10" s="40" t="s">
        <v>557</v>
      </c>
      <c r="W10" s="5" t="s">
        <v>166</v>
      </c>
      <c r="X10" s="8">
        <v>0</v>
      </c>
      <c r="AA10" s="16">
        <v>5</v>
      </c>
      <c r="AB10" s="33" t="s">
        <v>204</v>
      </c>
      <c r="AC10" s="31">
        <v>0.28611111111111115</v>
      </c>
      <c r="AD10" s="31">
        <v>0.66736111111111107</v>
      </c>
      <c r="AE10" s="32">
        <f>Table13245678910121620242833384348[[#This Row],[JAM MASUK]]-Table13245678910121620242833384348[[#This Row],[JAM KELUAR]]</f>
        <v>0.38124999999999992</v>
      </c>
      <c r="AF10" s="33">
        <v>2</v>
      </c>
      <c r="AG10" s="17" t="s">
        <v>563</v>
      </c>
      <c r="AI10" s="5" t="s">
        <v>6</v>
      </c>
      <c r="AJ10" s="8">
        <v>25</v>
      </c>
      <c r="AM10" s="1">
        <v>5</v>
      </c>
      <c r="AN10" s="2" t="s">
        <v>186</v>
      </c>
      <c r="AO10" s="35">
        <v>0.2388888888888889</v>
      </c>
      <c r="AP10" s="35">
        <v>0.70972222222222225</v>
      </c>
      <c r="AQ10" s="30">
        <f>Table134567891011151819232731374247[[#This Row],[JAM MASUK]]-Table134567891011151819232731374247[[#This Row],[JAM KELUAR]]</f>
        <v>0.47083333333333333</v>
      </c>
      <c r="AR10" s="2">
        <v>4</v>
      </c>
      <c r="AS10" s="18" t="s">
        <v>563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532</v>
      </c>
      <c r="D11" s="34">
        <v>0.26666666666666666</v>
      </c>
      <c r="E11" s="34">
        <v>0.64513888888888882</v>
      </c>
      <c r="F11" s="32">
        <f>Table13245678910111321252934394449[[#This Row],[JAM MASUK]]-Table13245678910111321252934394449[[#This Row],[JAM KELUAR]]</f>
        <v>0.37847222222222215</v>
      </c>
      <c r="G11" s="33">
        <v>2</v>
      </c>
      <c r="H11" s="17" t="s">
        <v>571</v>
      </c>
      <c r="J11" s="9" t="s">
        <v>8</v>
      </c>
      <c r="K11" s="10">
        <f>SUM(Table13245678910111321252934394449[Retase])</f>
        <v>38</v>
      </c>
      <c r="L11" s="28"/>
      <c r="O11" s="16">
        <v>6</v>
      </c>
      <c r="P11" s="37" t="s">
        <v>296</v>
      </c>
      <c r="Q11" s="58">
        <v>0.29652777777777778</v>
      </c>
      <c r="R11" s="58">
        <v>0.73819444444444438</v>
      </c>
      <c r="S11" s="39">
        <f>Table1345678910111722263035404550[[#This Row],[JAM MASUK]]-Table1345678910111722263035404550[[#This Row],[JAM KELUAR]]</f>
        <v>0.4416666666666666</v>
      </c>
      <c r="T11" s="37">
        <v>2</v>
      </c>
      <c r="U11" s="17" t="s">
        <v>558</v>
      </c>
      <c r="W11" s="9" t="s">
        <v>8</v>
      </c>
      <c r="X11" s="10">
        <f>SUM(Table1345678910111722263035404550[Retase])</f>
        <v>21</v>
      </c>
      <c r="AA11" s="16">
        <v>6</v>
      </c>
      <c r="AB11" s="33" t="s">
        <v>145</v>
      </c>
      <c r="AC11" s="31">
        <v>0.24930555555555556</v>
      </c>
      <c r="AD11" s="31">
        <v>0.63958333333333328</v>
      </c>
      <c r="AE11" s="32">
        <f>Table13245678910121620242833384348[[#This Row],[JAM MASUK]]-Table13245678910121620242833384348[[#This Row],[JAM KELUAR]]</f>
        <v>0.39027777777777772</v>
      </c>
      <c r="AF11" s="33">
        <v>2</v>
      </c>
      <c r="AG11" s="17" t="s">
        <v>563</v>
      </c>
      <c r="AI11" s="9" t="s">
        <v>8</v>
      </c>
      <c r="AJ11" s="10">
        <f>SUM(Table13245678910121620242833384348[Retase])</f>
        <v>83</v>
      </c>
      <c r="AM11" s="1">
        <v>6</v>
      </c>
      <c r="AN11" s="2" t="s">
        <v>187</v>
      </c>
      <c r="AO11" s="35">
        <v>0.23750000000000002</v>
      </c>
      <c r="AP11" s="35">
        <v>0.74513888888888891</v>
      </c>
      <c r="AQ11" s="30">
        <f>Table134567891011151819232731374247[[#This Row],[JAM MASUK]]-Table134567891011151819232731374247[[#This Row],[JAM KELUAR]]</f>
        <v>0.50763888888888886</v>
      </c>
      <c r="AR11" s="2">
        <v>5</v>
      </c>
      <c r="AS11" s="18" t="s">
        <v>54</v>
      </c>
      <c r="AU11" s="9" t="s">
        <v>8</v>
      </c>
      <c r="AV11" s="10">
        <f>SUM(Table134567891011151819232731374247[Retase])</f>
        <v>37</v>
      </c>
    </row>
    <row r="12" spans="1:48" s="1" customFormat="1" x14ac:dyDescent="0.35">
      <c r="A12"/>
      <c r="B12" s="16">
        <v>7</v>
      </c>
      <c r="C12" s="33" t="s">
        <v>533</v>
      </c>
      <c r="D12" s="34">
        <v>0.22222222222222221</v>
      </c>
      <c r="E12" s="34">
        <v>0.59097222222222223</v>
      </c>
      <c r="F12" s="32">
        <f>Table13245678910111321252934394449[[#This Row],[JAM MASUK]]-Table13245678910111321252934394449[[#This Row],[JAM KELUAR]]</f>
        <v>0.36875000000000002</v>
      </c>
      <c r="G12" s="33">
        <v>2</v>
      </c>
      <c r="H12" s="17" t="s">
        <v>572</v>
      </c>
      <c r="J12" s="11" t="s">
        <v>7</v>
      </c>
      <c r="K12" s="12">
        <f>K11/K7</f>
        <v>2</v>
      </c>
      <c r="L12" s="28"/>
      <c r="O12" s="16">
        <v>7</v>
      </c>
      <c r="P12" s="37" t="s">
        <v>300</v>
      </c>
      <c r="Q12" s="58">
        <v>0.34027777777777773</v>
      </c>
      <c r="R12" s="58">
        <v>0.68819444444444444</v>
      </c>
      <c r="S12" s="39">
        <f>Table1345678910111722263035404550[[#This Row],[JAM MASUK]]-Table1345678910111722263035404550[[#This Row],[JAM KELUAR]]</f>
        <v>0.34791666666666671</v>
      </c>
      <c r="T12" s="37">
        <v>2</v>
      </c>
      <c r="U12" s="40" t="s">
        <v>559</v>
      </c>
      <c r="W12" s="11" t="s">
        <v>7</v>
      </c>
      <c r="X12" s="12">
        <f>X11/X7</f>
        <v>1.6153846153846154</v>
      </c>
      <c r="AA12" s="16">
        <v>7</v>
      </c>
      <c r="AB12" s="33" t="s">
        <v>155</v>
      </c>
      <c r="AC12" s="31">
        <v>0.27013888888888887</v>
      </c>
      <c r="AD12" s="31">
        <v>0.6430555555555556</v>
      </c>
      <c r="AE12" s="32">
        <f>Table13245678910121620242833384348[[#This Row],[JAM MASUK]]-Table13245678910121620242833384348[[#This Row],[JAM KELUAR]]</f>
        <v>0.37291666666666673</v>
      </c>
      <c r="AF12" s="33">
        <v>2</v>
      </c>
      <c r="AG12" s="17" t="s">
        <v>563</v>
      </c>
      <c r="AI12" s="11" t="s">
        <v>7</v>
      </c>
      <c r="AJ12" s="12">
        <f>AJ11/AJ7</f>
        <v>2.8620689655172415</v>
      </c>
      <c r="AM12" s="1">
        <v>7</v>
      </c>
      <c r="AN12" s="2" t="s">
        <v>189</v>
      </c>
      <c r="AO12" s="35">
        <v>0.29236111111111113</v>
      </c>
      <c r="AP12" s="35">
        <v>0.67708333333333337</v>
      </c>
      <c r="AQ12" s="30">
        <f>Table134567891011151819232731374247[[#This Row],[JAM MASUK]]-Table134567891011151819232731374247[[#This Row],[JAM KELUAR]]</f>
        <v>0.38472222222222224</v>
      </c>
      <c r="AR12" s="2">
        <v>5</v>
      </c>
      <c r="AS12" s="18" t="s">
        <v>54</v>
      </c>
      <c r="AU12" s="11" t="s">
        <v>7</v>
      </c>
      <c r="AV12" s="12">
        <f>AV11/AV7</f>
        <v>3.7</v>
      </c>
    </row>
    <row r="13" spans="1:48" s="1" customFormat="1" x14ac:dyDescent="0.35">
      <c r="A13"/>
      <c r="B13" s="16">
        <v>8</v>
      </c>
      <c r="C13" s="33" t="s">
        <v>534</v>
      </c>
      <c r="D13" s="34">
        <v>0.2986111111111111</v>
      </c>
      <c r="E13" s="34">
        <v>0.67638888888888893</v>
      </c>
      <c r="F13" s="32">
        <f>Table13245678910111321252934394449[[#This Row],[JAM MASUK]]-Table13245678910111321252934394449[[#This Row],[JAM KELUAR]]</f>
        <v>0.37777777777777782</v>
      </c>
      <c r="G13" s="33">
        <v>2</v>
      </c>
      <c r="H13" s="40" t="s">
        <v>573</v>
      </c>
      <c r="J13" s="13" t="s">
        <v>11</v>
      </c>
      <c r="K13" s="14">
        <v>2.5</v>
      </c>
      <c r="L13" s="28"/>
      <c r="O13" s="16">
        <v>8</v>
      </c>
      <c r="P13" s="37" t="s">
        <v>173</v>
      </c>
      <c r="Q13" s="58">
        <v>0.24652777777777779</v>
      </c>
      <c r="R13" s="58">
        <v>0.69097222222222221</v>
      </c>
      <c r="S13" s="39">
        <f>Table1345678910111722263035404550[[#This Row],[JAM MASUK]]-Table1345678910111722263035404550[[#This Row],[JAM KELUAR]]</f>
        <v>0.44444444444444442</v>
      </c>
      <c r="T13" s="37">
        <v>2</v>
      </c>
      <c r="U13" s="40" t="s">
        <v>560</v>
      </c>
      <c r="W13" s="13" t="s">
        <v>11</v>
      </c>
      <c r="X13" s="14">
        <v>2.5</v>
      </c>
      <c r="AA13" s="16">
        <v>8</v>
      </c>
      <c r="AB13" s="33" t="s">
        <v>150</v>
      </c>
      <c r="AC13" s="31">
        <v>0.23055555555555554</v>
      </c>
      <c r="AD13" s="31">
        <v>0.69791666666666663</v>
      </c>
      <c r="AE13" s="32">
        <f>Table13245678910121620242833384348[[#This Row],[JAM MASUK]]-Table13245678910121620242833384348[[#This Row],[JAM KELUAR]]</f>
        <v>0.46736111111111112</v>
      </c>
      <c r="AF13" s="33">
        <v>2</v>
      </c>
      <c r="AG13" s="17" t="s">
        <v>543</v>
      </c>
      <c r="AI13" s="13" t="s">
        <v>11</v>
      </c>
      <c r="AJ13" s="14">
        <v>4</v>
      </c>
      <c r="AM13" s="1">
        <v>8</v>
      </c>
      <c r="AN13" s="2" t="s">
        <v>184</v>
      </c>
      <c r="AO13" s="35">
        <v>0.22569444444444445</v>
      </c>
      <c r="AP13" s="35">
        <v>0.68055555555555547</v>
      </c>
      <c r="AQ13" s="30">
        <f>Table134567891011151819232731374247[[#This Row],[JAM MASUK]]-Table134567891011151819232731374247[[#This Row],[JAM KELUAR]]</f>
        <v>0.45486111111111105</v>
      </c>
      <c r="AR13" s="2">
        <v>5</v>
      </c>
      <c r="AS13" s="18" t="s">
        <v>54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502</v>
      </c>
      <c r="D14" s="34">
        <v>0.26458333333333334</v>
      </c>
      <c r="E14" s="34">
        <v>0.62569444444444444</v>
      </c>
      <c r="F14" s="32">
        <f>Table13245678910111321252934394449[[#This Row],[JAM MASUK]]-Table13245678910111321252934394449[[#This Row],[JAM KELUAR]]</f>
        <v>0.3611111111111111</v>
      </c>
      <c r="G14" s="33">
        <v>2</v>
      </c>
      <c r="H14" s="17" t="s">
        <v>574</v>
      </c>
      <c r="J14" s="13" t="s">
        <v>51</v>
      </c>
      <c r="K14" s="15">
        <f>K12/K13</f>
        <v>0.8</v>
      </c>
      <c r="L14" s="28"/>
      <c r="O14" s="16">
        <v>9</v>
      </c>
      <c r="P14" s="37" t="s">
        <v>162</v>
      </c>
      <c r="Q14" s="58">
        <v>0.24305555555555555</v>
      </c>
      <c r="R14" s="58">
        <v>0.65347222222222223</v>
      </c>
      <c r="S14" s="39">
        <f>Table1345678910111722263035404550[[#This Row],[JAM MASUK]]-Table1345678910111722263035404550[[#This Row],[JAM KELUAR]]</f>
        <v>0.41041666666666665</v>
      </c>
      <c r="T14" s="37">
        <v>2</v>
      </c>
      <c r="U14" s="17" t="s">
        <v>561</v>
      </c>
      <c r="W14" s="13" t="s">
        <v>51</v>
      </c>
      <c r="X14" s="15">
        <f>X12/X13</f>
        <v>0.64615384615384619</v>
      </c>
      <c r="AA14" s="16">
        <v>9</v>
      </c>
      <c r="AB14" s="33" t="s">
        <v>248</v>
      </c>
      <c r="AC14" s="31">
        <v>0.20138888888888887</v>
      </c>
      <c r="AD14" s="31">
        <v>0.44444444444444442</v>
      </c>
      <c r="AE14" s="32">
        <f>Table13245678910121620242833384348[[#This Row],[JAM MASUK]]-Table13245678910121620242833384348[[#This Row],[JAM KELUAR]]</f>
        <v>0.24305555555555555</v>
      </c>
      <c r="AF14" s="33">
        <v>2</v>
      </c>
      <c r="AG14" s="17" t="s">
        <v>565</v>
      </c>
      <c r="AI14" s="13" t="s">
        <v>51</v>
      </c>
      <c r="AJ14" s="15">
        <f>AJ12/AJ13</f>
        <v>0.71551724137931039</v>
      </c>
      <c r="AM14" s="1">
        <v>9</v>
      </c>
      <c r="AN14" s="2" t="s">
        <v>190</v>
      </c>
      <c r="AO14" s="35">
        <v>0.23541666666666669</v>
      </c>
      <c r="AP14" s="35">
        <v>0.70277777777777783</v>
      </c>
      <c r="AQ14" s="30">
        <f>Table134567891011151819232731374247[[#This Row],[JAM MASUK]]-Table134567891011151819232731374247[[#This Row],[JAM KELUAR]]</f>
        <v>0.46736111111111112</v>
      </c>
      <c r="AR14" s="2">
        <v>5</v>
      </c>
      <c r="AS14" s="18" t="s">
        <v>54</v>
      </c>
      <c r="AU14" s="13" t="s">
        <v>51</v>
      </c>
      <c r="AV14" s="15">
        <f>AV12/AV13</f>
        <v>0.74</v>
      </c>
    </row>
    <row r="15" spans="1:48" x14ac:dyDescent="0.35">
      <c r="B15" s="16">
        <v>10</v>
      </c>
      <c r="C15" s="33" t="s">
        <v>535</v>
      </c>
      <c r="D15" s="34">
        <v>0.20486111111111113</v>
      </c>
      <c r="E15" s="34">
        <v>0.60138888888888886</v>
      </c>
      <c r="F15" s="32">
        <f>Table13245678910111321252934394449[[#This Row],[JAM MASUK]]-Table13245678910111321252934394449[[#This Row],[JAM KELUAR]]</f>
        <v>0.3965277777777777</v>
      </c>
      <c r="G15" s="33">
        <v>2</v>
      </c>
      <c r="H15" s="40" t="s">
        <v>274</v>
      </c>
      <c r="J15" s="13" t="s">
        <v>52</v>
      </c>
      <c r="K15" s="15">
        <f>K7/K6</f>
        <v>0.79166666666666663</v>
      </c>
      <c r="O15" s="16">
        <v>10</v>
      </c>
      <c r="P15" s="37" t="s">
        <v>165</v>
      </c>
      <c r="Q15" s="58">
        <v>0.29652777777777778</v>
      </c>
      <c r="R15" s="58">
        <v>0.72222222222222221</v>
      </c>
      <c r="S15" s="39">
        <f>Table1345678910111722263035404550[[#This Row],[JAM MASUK]]-Table1345678910111722263035404550[[#This Row],[JAM KELUAR]]</f>
        <v>0.42569444444444443</v>
      </c>
      <c r="T15" s="37">
        <v>2</v>
      </c>
      <c r="U15" s="17" t="s">
        <v>274</v>
      </c>
      <c r="W15" s="13" t="s">
        <v>151</v>
      </c>
      <c r="X15" s="15">
        <f>X7/X6</f>
        <v>0.61904761904761907</v>
      </c>
      <c r="AA15" s="16">
        <v>10</v>
      </c>
      <c r="AB15" s="33" t="s">
        <v>282</v>
      </c>
      <c r="AC15" s="31">
        <v>0.27430555555555552</v>
      </c>
      <c r="AD15" s="31">
        <v>0.64374999999999993</v>
      </c>
      <c r="AE15" s="32">
        <f>Table13245678910121620242833384348[[#This Row],[JAM MASUK]]-Table13245678910121620242833384348[[#This Row],[JAM KELUAR]]</f>
        <v>0.36944444444444441</v>
      </c>
      <c r="AF15" s="33">
        <v>2</v>
      </c>
      <c r="AG15" s="17" t="s">
        <v>563</v>
      </c>
      <c r="AI15" s="13" t="s">
        <v>151</v>
      </c>
      <c r="AJ15" s="15">
        <f>AJ7/AJ6</f>
        <v>0.96666666666666667</v>
      </c>
      <c r="AM15" s="1">
        <v>10</v>
      </c>
      <c r="AN15" s="2" t="s">
        <v>252</v>
      </c>
      <c r="AO15" s="35">
        <v>0.25763888888888892</v>
      </c>
      <c r="AP15" s="35">
        <v>0.6777777777777777</v>
      </c>
      <c r="AQ15" s="30">
        <f>Table134567891011151819232731374247[[#This Row],[JAM MASUK]]-Table134567891011151819232731374247[[#This Row],[JAM KELUAR]]</f>
        <v>0.42013888888888878</v>
      </c>
      <c r="AR15" s="2">
        <v>5</v>
      </c>
      <c r="AS15" s="18" t="s">
        <v>54</v>
      </c>
      <c r="AU15" s="13" t="s">
        <v>151</v>
      </c>
      <c r="AV15" s="15">
        <f>AV7/AV6</f>
        <v>0.66666666666666663</v>
      </c>
    </row>
    <row r="16" spans="1:48" x14ac:dyDescent="0.35">
      <c r="B16" s="16">
        <v>11</v>
      </c>
      <c r="C16" s="33" t="s">
        <v>531</v>
      </c>
      <c r="D16" s="34">
        <v>0.26250000000000001</v>
      </c>
      <c r="E16" s="34">
        <v>0.68611111111111101</v>
      </c>
      <c r="F16" s="32">
        <f>Table13245678910111321252934394449[[#This Row],[JAM MASUK]]-Table13245678910111321252934394449[[#This Row],[JAM KELUAR]]</f>
        <v>0.42361111111111099</v>
      </c>
      <c r="G16" s="33">
        <v>2</v>
      </c>
      <c r="H16" s="40" t="s">
        <v>274</v>
      </c>
      <c r="O16" s="16">
        <v>11</v>
      </c>
      <c r="P16" s="37" t="s">
        <v>176</v>
      </c>
      <c r="Q16" s="58">
        <v>0.28541666666666665</v>
      </c>
      <c r="R16" s="58">
        <v>0.67708333333333337</v>
      </c>
      <c r="S16" s="39">
        <f>Table1345678910111722263035404550[[#This Row],[JAM MASUK]]-Table1345678910111722263035404550[[#This Row],[JAM KELUAR]]</f>
        <v>0.39166666666666672</v>
      </c>
      <c r="T16" s="37">
        <v>2</v>
      </c>
      <c r="U16" s="17" t="s">
        <v>562</v>
      </c>
      <c r="W16" s="21"/>
      <c r="X16" s="22"/>
      <c r="AA16" s="16">
        <v>11</v>
      </c>
      <c r="AB16" s="33" t="s">
        <v>148</v>
      </c>
      <c r="AC16" s="31">
        <v>0.22916666666666666</v>
      </c>
      <c r="AD16" s="31">
        <v>0.68125000000000002</v>
      </c>
      <c r="AE16" s="32">
        <f>Table13245678910121620242833384348[[#This Row],[JAM MASUK]]-Table13245678910121620242833384348[[#This Row],[JAM KELUAR]]</f>
        <v>0.45208333333333339</v>
      </c>
      <c r="AF16" s="33">
        <v>3</v>
      </c>
      <c r="AG16" s="17" t="s">
        <v>563</v>
      </c>
    </row>
    <row r="17" spans="2:47" x14ac:dyDescent="0.35">
      <c r="B17" s="16">
        <v>12</v>
      </c>
      <c r="C17" s="33" t="s">
        <v>536</v>
      </c>
      <c r="D17" s="34">
        <v>0.25763888888888892</v>
      </c>
      <c r="E17" s="34">
        <v>0.59444444444444444</v>
      </c>
      <c r="F17" s="32">
        <f>Table13245678910111321252934394449[[#This Row],[JAM MASUK]]-Table13245678910111321252934394449[[#This Row],[JAM KELUAR]]</f>
        <v>0.33680555555555552</v>
      </c>
      <c r="G17" s="33">
        <v>2</v>
      </c>
      <c r="H17" s="40" t="s">
        <v>575</v>
      </c>
      <c r="O17" s="16">
        <v>12</v>
      </c>
      <c r="P17" s="37" t="s">
        <v>301</v>
      </c>
      <c r="Q17" s="58">
        <v>0.26458333333333334</v>
      </c>
      <c r="R17" s="58">
        <v>0.73888888888888893</v>
      </c>
      <c r="S17" s="39">
        <f>Table1345678910111722263035404550[[#This Row],[JAM MASUK]]-Table1345678910111722263035404550[[#This Row],[JAM KELUAR]]</f>
        <v>0.47430555555555559</v>
      </c>
      <c r="T17" s="37">
        <v>2</v>
      </c>
      <c r="U17" s="40" t="s">
        <v>274</v>
      </c>
      <c r="W17" s="21"/>
      <c r="X17" s="22"/>
      <c r="AA17" s="16">
        <v>12</v>
      </c>
      <c r="AB17" s="33" t="s">
        <v>529</v>
      </c>
      <c r="AC17" s="31">
        <v>0.2986111111111111</v>
      </c>
      <c r="AD17" s="31">
        <v>0.73055555555555562</v>
      </c>
      <c r="AE17" s="32">
        <f>Table13245678910121620242833384348[[#This Row],[JAM MASUK]]-Table13245678910121620242833384348[[#This Row],[JAM KELUAR]]</f>
        <v>0.43194444444444452</v>
      </c>
      <c r="AF17" s="33">
        <v>3</v>
      </c>
      <c r="AG17" s="17" t="s">
        <v>563</v>
      </c>
      <c r="AU17" s="20"/>
    </row>
    <row r="18" spans="2:47" x14ac:dyDescent="0.35">
      <c r="B18" s="16">
        <v>13</v>
      </c>
      <c r="C18" s="33" t="s">
        <v>537</v>
      </c>
      <c r="D18" s="34">
        <v>0.22500000000000001</v>
      </c>
      <c r="E18" s="34">
        <v>0.59375</v>
      </c>
      <c r="F18" s="32">
        <f>Table13245678910111321252934394449[[#This Row],[JAM MASUK]]-Table13245678910111321252934394449[[#This Row],[JAM KELUAR]]</f>
        <v>0.36875000000000002</v>
      </c>
      <c r="G18" s="33">
        <v>2</v>
      </c>
      <c r="H18" s="40" t="s">
        <v>576</v>
      </c>
      <c r="O18" s="16">
        <v>13</v>
      </c>
      <c r="P18" s="37" t="s">
        <v>302</v>
      </c>
      <c r="Q18" s="58">
        <v>0.24305555555555555</v>
      </c>
      <c r="R18" s="58">
        <v>0.70624999999999993</v>
      </c>
      <c r="S18" s="39">
        <f>Table1345678910111722263035404550[[#This Row],[JAM MASUK]]-Table1345678910111722263035404550[[#This Row],[JAM KELUAR]]</f>
        <v>0.46319444444444435</v>
      </c>
      <c r="T18" s="37">
        <v>2</v>
      </c>
      <c r="U18" s="40" t="s">
        <v>274</v>
      </c>
      <c r="W18" s="21"/>
      <c r="X18" s="22"/>
      <c r="AA18" s="16">
        <v>13</v>
      </c>
      <c r="AB18" s="33" t="s">
        <v>205</v>
      </c>
      <c r="AC18" s="31">
        <v>0.28819444444444448</v>
      </c>
      <c r="AD18" s="31">
        <v>0.71875</v>
      </c>
      <c r="AE18" s="32">
        <f>Table13245678910121620242833384348[[#This Row],[JAM MASUK]]-Table13245678910121620242833384348[[#This Row],[JAM KELUAR]]</f>
        <v>0.43055555555555552</v>
      </c>
      <c r="AF18" s="33">
        <v>3</v>
      </c>
      <c r="AG18" s="17" t="s">
        <v>563</v>
      </c>
      <c r="AI18" s="20"/>
    </row>
    <row r="19" spans="2:47" ht="17" customHeight="1" x14ac:dyDescent="0.35">
      <c r="B19" s="16">
        <v>14</v>
      </c>
      <c r="C19" s="33" t="s">
        <v>26</v>
      </c>
      <c r="D19" s="34">
        <v>0.24652777777777779</v>
      </c>
      <c r="E19" s="34">
        <v>0.67499999999999993</v>
      </c>
      <c r="F19" s="32">
        <f>Table13245678910111321252934394449[[#This Row],[JAM MASUK]]-Table13245678910111321252934394449[[#This Row],[JAM KELUAR]]</f>
        <v>0.42847222222222214</v>
      </c>
      <c r="G19" s="33">
        <v>2</v>
      </c>
      <c r="H19" s="40" t="s">
        <v>274</v>
      </c>
      <c r="AA19" s="16">
        <v>14</v>
      </c>
      <c r="AB19" s="33" t="s">
        <v>149</v>
      </c>
      <c r="AC19" s="31">
        <v>0.2673611111111111</v>
      </c>
      <c r="AD19" s="31">
        <v>0.73472222222222217</v>
      </c>
      <c r="AE19" s="32">
        <f>Table13245678910121620242833384348[[#This Row],[JAM MASUK]]-Table13245678910121620242833384348[[#This Row],[JAM KELUAR]]</f>
        <v>0.46736111111111106</v>
      </c>
      <c r="AF19" s="33">
        <v>3</v>
      </c>
      <c r="AG19" s="17" t="s">
        <v>563</v>
      </c>
    </row>
    <row r="20" spans="2:47" x14ac:dyDescent="0.35">
      <c r="B20" s="16">
        <v>15</v>
      </c>
      <c r="C20" s="33" t="s">
        <v>27</v>
      </c>
      <c r="D20" s="34">
        <v>0.25694444444444448</v>
      </c>
      <c r="E20" s="34">
        <v>0.6333333333333333</v>
      </c>
      <c r="F20" s="32">
        <f>Table13245678910111321252934394449[[#This Row],[JAM MASUK]]-Table13245678910111321252934394449[[#This Row],[JAM KELUAR]]</f>
        <v>0.37638888888888883</v>
      </c>
      <c r="G20" s="33">
        <v>2</v>
      </c>
      <c r="H20" s="40" t="s">
        <v>577</v>
      </c>
      <c r="AA20" s="16">
        <v>15</v>
      </c>
      <c r="AB20" s="33" t="s">
        <v>254</v>
      </c>
      <c r="AC20" s="31">
        <v>0.21388888888888891</v>
      </c>
      <c r="AD20" s="31">
        <v>0.6479166666666667</v>
      </c>
      <c r="AE20" s="32">
        <f>Table13245678910121620242833384348[[#This Row],[JAM MASUK]]-Table13245678910121620242833384348[[#This Row],[JAM KELUAR]]</f>
        <v>0.43402777777777779</v>
      </c>
      <c r="AF20" s="33">
        <v>3</v>
      </c>
      <c r="AG20" s="17" t="s">
        <v>563</v>
      </c>
    </row>
    <row r="21" spans="2:47" ht="18.5" x14ac:dyDescent="0.45">
      <c r="B21" s="16">
        <v>16</v>
      </c>
      <c r="C21" s="33" t="s">
        <v>30</v>
      </c>
      <c r="D21" s="34">
        <v>0.24791666666666667</v>
      </c>
      <c r="E21" s="34">
        <v>0.62708333333333333</v>
      </c>
      <c r="F21" s="32">
        <f>Table13245678910111321252934394449[[#This Row],[JAM MASUK]]-Table13245678910111321252934394449[[#This Row],[JAM KELUAR]]</f>
        <v>0.37916666666666665</v>
      </c>
      <c r="G21" s="33">
        <v>2</v>
      </c>
      <c r="H21" s="40" t="s">
        <v>274</v>
      </c>
      <c r="O21" s="70" t="s">
        <v>399</v>
      </c>
      <c r="P21" s="70"/>
      <c r="Q21" s="70"/>
      <c r="R21" s="70"/>
      <c r="S21" s="70"/>
      <c r="T21" s="70"/>
      <c r="U21" s="70"/>
      <c r="W21" s="21"/>
      <c r="X21" s="22"/>
      <c r="AA21" s="16">
        <v>16</v>
      </c>
      <c r="AB21" s="33" t="s">
        <v>255</v>
      </c>
      <c r="AC21" s="31">
        <v>0.23402777777777781</v>
      </c>
      <c r="AD21" s="31">
        <v>0.71180555555555547</v>
      </c>
      <c r="AE21" s="32">
        <f>Table13245678910121620242833384348[[#This Row],[JAM MASUK]]-Table13245678910121620242833384348[[#This Row],[JAM KELUAR]]</f>
        <v>0.47777777777777763</v>
      </c>
      <c r="AF21" s="33">
        <v>3</v>
      </c>
      <c r="AG21" s="17" t="s">
        <v>563</v>
      </c>
    </row>
    <row r="22" spans="2:47" ht="15.5" x14ac:dyDescent="0.35">
      <c r="B22" s="16">
        <v>17</v>
      </c>
      <c r="C22" s="33" t="s">
        <v>31</v>
      </c>
      <c r="D22" s="34">
        <v>0.28472222222222221</v>
      </c>
      <c r="E22" s="34">
        <v>0.71180555555555547</v>
      </c>
      <c r="F22" s="32">
        <f>Table13245678910111321252934394449[[#This Row],[JAM MASUK]]-Table13245678910111321252934394449[[#This Row],[JAM KELUAR]]</f>
        <v>0.42708333333333326</v>
      </c>
      <c r="G22" s="33">
        <v>2</v>
      </c>
      <c r="H22" s="40" t="s">
        <v>274</v>
      </c>
      <c r="O22" s="68">
        <v>45376</v>
      </c>
      <c r="P22" s="68"/>
      <c r="Q22" s="68"/>
      <c r="R22" s="68"/>
      <c r="S22" s="68"/>
      <c r="T22" s="68"/>
      <c r="U22" s="68"/>
      <c r="W22" s="47" t="s">
        <v>160</v>
      </c>
      <c r="X22" s="47"/>
      <c r="AA22" s="16">
        <v>17</v>
      </c>
      <c r="AB22" s="33" t="s">
        <v>157</v>
      </c>
      <c r="AC22" s="31">
        <v>0.23194444444444443</v>
      </c>
      <c r="AD22" s="31">
        <v>0.70833333333333337</v>
      </c>
      <c r="AE22" s="32">
        <f>Table13245678910121620242833384348[[#This Row],[JAM MASUK]]-Table13245678910121620242833384348[[#This Row],[JAM KELUAR]]</f>
        <v>0.47638888888888897</v>
      </c>
      <c r="AF22" s="33">
        <v>3</v>
      </c>
      <c r="AG22" s="17" t="s">
        <v>563</v>
      </c>
    </row>
    <row r="23" spans="2:47" ht="15.5" x14ac:dyDescent="0.35">
      <c r="B23" s="1">
        <v>18</v>
      </c>
      <c r="C23" s="2" t="s">
        <v>25</v>
      </c>
      <c r="D23" s="35">
        <v>0.20625000000000002</v>
      </c>
      <c r="E23" s="35">
        <v>0.63541666666666663</v>
      </c>
      <c r="F23" s="30">
        <f>Table13245678910111321252934394449[[#This Row],[JAM MASUK]]-Table13245678910111321252934394449[[#This Row],[JAM KELUAR]]</f>
        <v>0.42916666666666659</v>
      </c>
      <c r="G23" s="2">
        <v>3</v>
      </c>
      <c r="H23" s="57" t="s">
        <v>54</v>
      </c>
      <c r="O23" s="2" t="s">
        <v>0</v>
      </c>
      <c r="P23" s="2" t="s">
        <v>1</v>
      </c>
      <c r="Q23" s="36" t="s">
        <v>336</v>
      </c>
      <c r="R23" s="36" t="s">
        <v>337</v>
      </c>
      <c r="S23" s="36" t="s">
        <v>338</v>
      </c>
      <c r="T23" s="2" t="s">
        <v>2</v>
      </c>
      <c r="U23" s="2" t="s">
        <v>3</v>
      </c>
      <c r="W23" s="26"/>
      <c r="X23" s="26"/>
      <c r="AA23" s="16">
        <v>18</v>
      </c>
      <c r="AB23" s="33" t="s">
        <v>530</v>
      </c>
      <c r="AC23" s="31">
        <v>0.23680555555555557</v>
      </c>
      <c r="AD23" s="31">
        <v>0.6333333333333333</v>
      </c>
      <c r="AE23" s="32">
        <f>Table13245678910121620242833384348[[#This Row],[JAM MASUK]]-Table13245678910121620242833384348[[#This Row],[JAM KELUAR]]</f>
        <v>0.3965277777777777</v>
      </c>
      <c r="AF23" s="33">
        <v>3</v>
      </c>
      <c r="AG23" s="17" t="s">
        <v>544</v>
      </c>
    </row>
    <row r="24" spans="2:47" ht="14.5" customHeight="1" x14ac:dyDescent="0.35">
      <c r="B24" s="1">
        <v>19</v>
      </c>
      <c r="C24" s="2" t="s">
        <v>538</v>
      </c>
      <c r="D24" s="35">
        <v>0.29791666666666666</v>
      </c>
      <c r="E24" s="35">
        <v>0.72361111111111109</v>
      </c>
      <c r="F24" s="30">
        <f>Table13245678910111321252934394449[[#This Row],[JAM MASUK]]-Table13245678910111321252934394449[[#This Row],[JAM KELUAR]]</f>
        <v>0.42569444444444443</v>
      </c>
      <c r="G24" s="2">
        <v>3</v>
      </c>
      <c r="H24" s="57" t="s">
        <v>54</v>
      </c>
      <c r="O24" s="1">
        <v>8</v>
      </c>
      <c r="P24" s="41" t="s">
        <v>178</v>
      </c>
      <c r="Q24" s="59">
        <v>0.26041666666666669</v>
      </c>
      <c r="R24" s="59">
        <v>0.73888888888888893</v>
      </c>
      <c r="S24" s="43">
        <f>Table134567891011172226303236414651[[#This Row],[JAM MASUK]]-Table134567891011172226303236414651[[#This Row],[JAM KELUAR]]</f>
        <v>0.47847222222222224</v>
      </c>
      <c r="T24" s="41">
        <v>4</v>
      </c>
      <c r="U24" s="18" t="s">
        <v>54</v>
      </c>
      <c r="W24" s="4" t="s">
        <v>161</v>
      </c>
      <c r="X24" s="6">
        <f>SUM(X26:X29)</f>
        <v>8</v>
      </c>
      <c r="AA24" s="16">
        <v>19</v>
      </c>
      <c r="AB24" s="33" t="s">
        <v>249</v>
      </c>
      <c r="AC24" s="31">
        <v>0.25347222222222221</v>
      </c>
      <c r="AD24" s="31">
        <v>0.62638888888888888</v>
      </c>
      <c r="AE24" s="32">
        <f>Table13245678910121620242833384348[[#This Row],[JAM MASUK]]-Table13245678910121620242833384348[[#This Row],[JAM KELUAR]]</f>
        <v>0.37291666666666667</v>
      </c>
      <c r="AF24" s="33">
        <v>3</v>
      </c>
      <c r="AG24" s="17" t="s">
        <v>563</v>
      </c>
    </row>
    <row r="25" spans="2:47" ht="14.5" customHeight="1" x14ac:dyDescent="0.35">
      <c r="O25" s="16">
        <v>1</v>
      </c>
      <c r="P25" s="37" t="s">
        <v>216</v>
      </c>
      <c r="Q25" s="58">
        <v>0.27916666666666667</v>
      </c>
      <c r="R25" s="58">
        <v>0.70347222222222217</v>
      </c>
      <c r="S25" s="39">
        <f>Table134567891011172226303236414651[[#This Row],[JAM MASUK]]-Table134567891011172226303236414651[[#This Row],[JAM KELUAR]]</f>
        <v>0.42430555555555549</v>
      </c>
      <c r="T25" s="37">
        <v>3</v>
      </c>
      <c r="U25" s="17" t="s">
        <v>546</v>
      </c>
      <c r="W25" s="5" t="s">
        <v>10</v>
      </c>
      <c r="X25" s="7">
        <v>8</v>
      </c>
      <c r="AA25" s="16">
        <v>20</v>
      </c>
      <c r="AB25" s="33" t="s">
        <v>208</v>
      </c>
      <c r="AC25" s="31">
        <v>0.25069444444444444</v>
      </c>
      <c r="AD25" s="31">
        <v>0.62361111111111112</v>
      </c>
      <c r="AE25" s="32">
        <f>Table13245678910121620242833384348[[#This Row],[JAM MASUK]]-Table13245678910121620242833384348[[#This Row],[JAM KELUAR]]</f>
        <v>0.37291666666666667</v>
      </c>
      <c r="AF25" s="33">
        <v>3</v>
      </c>
      <c r="AG25" s="17" t="s">
        <v>563</v>
      </c>
    </row>
    <row r="26" spans="2:47" ht="14.5" customHeight="1" x14ac:dyDescent="0.35">
      <c r="O26" s="16">
        <v>2</v>
      </c>
      <c r="P26" s="37" t="s">
        <v>169</v>
      </c>
      <c r="Q26" s="58">
        <v>0.27430555555555552</v>
      </c>
      <c r="R26" s="58">
        <v>0.65833333333333333</v>
      </c>
      <c r="S26" s="39">
        <f>Table134567891011172226303236414651[[#This Row],[JAM MASUK]]-Table134567891011172226303236414651[[#This Row],[JAM KELUAR]]</f>
        <v>0.3840277777777778</v>
      </c>
      <c r="T26" s="37">
        <v>3</v>
      </c>
      <c r="U26" s="17" t="s">
        <v>547</v>
      </c>
      <c r="W26" s="5" t="s">
        <v>9</v>
      </c>
      <c r="X26" s="8">
        <v>8</v>
      </c>
      <c r="AA26" s="16">
        <v>21</v>
      </c>
      <c r="AB26" s="33" t="s">
        <v>251</v>
      </c>
      <c r="AC26" s="31">
        <v>0.2388888888888889</v>
      </c>
      <c r="AD26" s="31">
        <v>0.62847222222222221</v>
      </c>
      <c r="AE26" s="32">
        <f>Table13245678910121620242833384348[[#This Row],[JAM MASUK]]-Table13245678910121620242833384348[[#This Row],[JAM KELUAR]]</f>
        <v>0.38958333333333328</v>
      </c>
      <c r="AF26" s="33">
        <v>3</v>
      </c>
      <c r="AG26" s="17" t="s">
        <v>545</v>
      </c>
    </row>
    <row r="27" spans="2:47" x14ac:dyDescent="0.35">
      <c r="O27" s="16">
        <v>3</v>
      </c>
      <c r="P27" s="37" t="s">
        <v>170</v>
      </c>
      <c r="Q27" s="58">
        <v>0.27777777777777779</v>
      </c>
      <c r="R27" s="58">
        <v>0.67013888888888884</v>
      </c>
      <c r="S27" s="39">
        <f>Table134567891011172226303236414651[[#This Row],[JAM MASUK]]-Table134567891011172226303236414651[[#This Row],[JAM KELUAR]]</f>
        <v>0.39236111111111105</v>
      </c>
      <c r="T27" s="37">
        <v>3</v>
      </c>
      <c r="U27" s="17" t="s">
        <v>548</v>
      </c>
      <c r="W27" s="5" t="s">
        <v>4</v>
      </c>
      <c r="X27" s="8">
        <v>0</v>
      </c>
      <c r="AA27" s="1">
        <v>22</v>
      </c>
      <c r="AB27" s="2" t="s">
        <v>246</v>
      </c>
      <c r="AC27" s="29">
        <v>0.21111111111111111</v>
      </c>
      <c r="AD27" s="29">
        <v>0.70208333333333339</v>
      </c>
      <c r="AE27" s="30">
        <f>Table13245678910121620242833384348[[#This Row],[JAM MASUK]]-Table13245678910121620242833384348[[#This Row],[JAM KELUAR]]</f>
        <v>0.49097222222222225</v>
      </c>
      <c r="AF27" s="2">
        <v>4</v>
      </c>
      <c r="AG27" s="18" t="s">
        <v>54</v>
      </c>
    </row>
    <row r="28" spans="2:47" x14ac:dyDescent="0.35">
      <c r="O28" s="16">
        <v>4</v>
      </c>
      <c r="P28" s="37" t="s">
        <v>171</v>
      </c>
      <c r="Q28" s="58">
        <v>0.32291666666666669</v>
      </c>
      <c r="R28" s="58">
        <v>0.66666666666666663</v>
      </c>
      <c r="S28" s="39">
        <f>Table134567891011172226303236414651[[#This Row],[JAM MASUK]]-Table134567891011172226303236414651[[#This Row],[JAM KELUAR]]</f>
        <v>0.34374999999999994</v>
      </c>
      <c r="T28" s="37">
        <v>3</v>
      </c>
      <c r="U28" s="17" t="s">
        <v>549</v>
      </c>
      <c r="W28" s="5" t="s">
        <v>5</v>
      </c>
      <c r="X28" s="8">
        <v>0</v>
      </c>
      <c r="AA28" s="1">
        <v>23</v>
      </c>
      <c r="AB28" s="2" t="s">
        <v>247</v>
      </c>
      <c r="AC28" s="29">
        <v>0.21597222222222223</v>
      </c>
      <c r="AD28" s="29">
        <v>0.69791666666666663</v>
      </c>
      <c r="AE28" s="30">
        <f>Table13245678910121620242833384348[[#This Row],[JAM MASUK]]-Table13245678910121620242833384348[[#This Row],[JAM KELUAR]]</f>
        <v>0.4819444444444444</v>
      </c>
      <c r="AF28" s="2">
        <v>4</v>
      </c>
      <c r="AG28" s="18" t="s">
        <v>54</v>
      </c>
    </row>
    <row r="29" spans="2:47" x14ac:dyDescent="0.35">
      <c r="O29" s="16">
        <v>5</v>
      </c>
      <c r="P29" s="37" t="s">
        <v>164</v>
      </c>
      <c r="Q29" s="58">
        <v>0.27569444444444446</v>
      </c>
      <c r="R29" s="58">
        <v>0.6875</v>
      </c>
      <c r="S29" s="39">
        <f>Table134567891011172226303236414651[[#This Row],[JAM MASUK]]-Table134567891011172226303236414651[[#This Row],[JAM KELUAR]]</f>
        <v>0.41180555555555554</v>
      </c>
      <c r="T29" s="37">
        <v>3</v>
      </c>
      <c r="U29" s="40" t="s">
        <v>550</v>
      </c>
      <c r="V29" s="1"/>
      <c r="W29" s="5" t="s">
        <v>166</v>
      </c>
      <c r="X29" s="8">
        <v>0</v>
      </c>
      <c r="AA29" s="1">
        <v>24</v>
      </c>
      <c r="AB29" s="2" t="s">
        <v>341</v>
      </c>
      <c r="AC29" s="29">
        <v>0.21180555555555555</v>
      </c>
      <c r="AD29" s="29">
        <v>0.72638888888888886</v>
      </c>
      <c r="AE29" s="30">
        <f>Table13245678910121620242833384348[[#This Row],[JAM MASUK]]-Table13245678910121620242833384348[[#This Row],[JAM KELUAR]]</f>
        <v>0.51458333333333328</v>
      </c>
      <c r="AF29" s="2">
        <v>4</v>
      </c>
      <c r="AG29" s="18" t="s">
        <v>54</v>
      </c>
    </row>
    <row r="30" spans="2:47" x14ac:dyDescent="0.35">
      <c r="O30" s="16">
        <v>6</v>
      </c>
      <c r="P30" s="37" t="s">
        <v>172</v>
      </c>
      <c r="Q30" s="58">
        <v>0.27152777777777776</v>
      </c>
      <c r="R30" s="58">
        <v>0.65277777777777779</v>
      </c>
      <c r="S30" s="39">
        <f>Table134567891011172226303236414651[[#This Row],[JAM MASUK]]-Table134567891011172226303236414651[[#This Row],[JAM KELUAR]]</f>
        <v>0.38125000000000003</v>
      </c>
      <c r="T30" s="37">
        <v>3</v>
      </c>
      <c r="U30" s="40" t="s">
        <v>551</v>
      </c>
      <c r="V30" s="1"/>
      <c r="W30" s="9" t="s">
        <v>8</v>
      </c>
      <c r="X30" s="10">
        <f>SUM(Table134567891011172226303236414651[Retase])</f>
        <v>25</v>
      </c>
      <c r="AA30" s="1">
        <v>25</v>
      </c>
      <c r="AB30" s="2" t="s">
        <v>250</v>
      </c>
      <c r="AC30" s="29">
        <v>0.21249999999999999</v>
      </c>
      <c r="AD30" s="29">
        <v>0.67986111111111114</v>
      </c>
      <c r="AE30" s="30">
        <f>Table13245678910121620242833384348[[#This Row],[JAM MASUK]]-Table13245678910121620242833384348[[#This Row],[JAM KELUAR]]</f>
        <v>0.46736111111111112</v>
      </c>
      <c r="AF30" s="2">
        <v>4</v>
      </c>
      <c r="AG30" s="18" t="s">
        <v>54</v>
      </c>
    </row>
    <row r="31" spans="2:47" x14ac:dyDescent="0.35">
      <c r="O31" s="16">
        <v>7</v>
      </c>
      <c r="P31" s="37" t="s">
        <v>177</v>
      </c>
      <c r="Q31" s="58">
        <v>0.23611111111111113</v>
      </c>
      <c r="R31" s="58">
        <v>0.68402777777777779</v>
      </c>
      <c r="S31" s="39">
        <f>Table134567891011172226303236414651[[#This Row],[JAM MASUK]]-Table134567891011172226303236414651[[#This Row],[JAM KELUAR]]</f>
        <v>0.44791666666666663</v>
      </c>
      <c r="T31" s="37">
        <v>3</v>
      </c>
      <c r="U31" s="40" t="s">
        <v>552</v>
      </c>
      <c r="V31" s="1"/>
      <c r="W31" s="11" t="s">
        <v>7</v>
      </c>
      <c r="X31" s="12">
        <f>X30/X26</f>
        <v>3.125</v>
      </c>
      <c r="AA31" s="1">
        <v>26</v>
      </c>
      <c r="AB31" s="2" t="s">
        <v>209</v>
      </c>
      <c r="AC31" s="29">
        <v>0.23124999999999998</v>
      </c>
      <c r="AD31" s="29">
        <v>0.68055555555555547</v>
      </c>
      <c r="AE31" s="30">
        <f>Table13245678910121620242833384348[[#This Row],[JAM MASUK]]-Table13245678910121620242833384348[[#This Row],[JAM KELUAR]]</f>
        <v>0.44930555555555551</v>
      </c>
      <c r="AF31" s="2">
        <v>4</v>
      </c>
      <c r="AG31" s="18" t="s">
        <v>54</v>
      </c>
    </row>
    <row r="32" spans="2:47" x14ac:dyDescent="0.35">
      <c r="V32" s="1"/>
      <c r="W32" s="13" t="s">
        <v>11</v>
      </c>
      <c r="X32" s="14">
        <v>4</v>
      </c>
      <c r="AA32" s="1">
        <v>27</v>
      </c>
      <c r="AB32" s="2" t="s">
        <v>210</v>
      </c>
      <c r="AC32" s="29">
        <v>0.21111111111111111</v>
      </c>
      <c r="AD32" s="29">
        <v>0.69652777777777775</v>
      </c>
      <c r="AE32" s="30">
        <f>Table13245678910121620242833384348[[#This Row],[JAM MASUK]]-Table13245678910121620242833384348[[#This Row],[JAM KELUAR]]</f>
        <v>0.48541666666666661</v>
      </c>
      <c r="AF32" s="2">
        <v>4</v>
      </c>
      <c r="AG32" s="18" t="s">
        <v>54</v>
      </c>
    </row>
    <row r="33" spans="1:33" x14ac:dyDescent="0.35">
      <c r="V33" s="1"/>
      <c r="W33" s="13" t="s">
        <v>51</v>
      </c>
      <c r="X33" s="15">
        <f>X31/X32</f>
        <v>0.78125</v>
      </c>
      <c r="AA33" s="1">
        <v>28</v>
      </c>
      <c r="AB33" s="2" t="s">
        <v>212</v>
      </c>
      <c r="AC33" s="29">
        <v>0.27152777777777776</v>
      </c>
      <c r="AD33" s="29">
        <v>0.7090277777777777</v>
      </c>
      <c r="AE33" s="30">
        <f>Table13245678910121620242833384348[[#This Row],[JAM MASUK]]-Table13245678910121620242833384348[[#This Row],[JAM KELUAR]]</f>
        <v>0.43749999999999994</v>
      </c>
      <c r="AF33" s="2">
        <v>4</v>
      </c>
      <c r="AG33" s="18" t="s">
        <v>54</v>
      </c>
    </row>
    <row r="34" spans="1:33" x14ac:dyDescent="0.35">
      <c r="V34" s="1"/>
      <c r="W34" s="13" t="s">
        <v>151</v>
      </c>
      <c r="X34" s="15">
        <f>X26/X25</f>
        <v>1</v>
      </c>
      <c r="AA34" s="1">
        <v>29</v>
      </c>
      <c r="AB34" s="2" t="s">
        <v>281</v>
      </c>
      <c r="AC34" s="29">
        <v>0.23958333333333334</v>
      </c>
      <c r="AD34" s="29">
        <v>0.71180555555555547</v>
      </c>
      <c r="AE34" s="30">
        <f>Table13245678910121620242833384348[[#This Row],[JAM MASUK]]-Table13245678910121620242833384348[[#This Row],[JAM KELUAR]]</f>
        <v>0.4722222222222221</v>
      </c>
      <c r="AF34" s="2">
        <v>4</v>
      </c>
      <c r="AG34" s="18" t="s">
        <v>54</v>
      </c>
    </row>
    <row r="35" spans="1:33" x14ac:dyDescent="0.35">
      <c r="V35" s="1"/>
    </row>
    <row r="36" spans="1:33" x14ac:dyDescent="0.35">
      <c r="V36" s="1"/>
    </row>
    <row r="37" spans="1:33" x14ac:dyDescent="0.35">
      <c r="P37" s="21"/>
      <c r="Q37" s="22"/>
    </row>
    <row r="38" spans="1:33" x14ac:dyDescent="0.35">
      <c r="P38" s="21"/>
      <c r="Q38" s="22"/>
      <c r="W38" s="21"/>
      <c r="X38" s="22"/>
    </row>
    <row r="40" spans="1:33" ht="21" x14ac:dyDescent="0.5">
      <c r="A40" s="25"/>
    </row>
  </sheetData>
  <mergeCells count="18"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  <mergeCell ref="O21:U21"/>
    <mergeCell ref="O22:U22"/>
    <mergeCell ref="AM3:AS3"/>
    <mergeCell ref="AU3:AV4"/>
    <mergeCell ref="B4:H4"/>
    <mergeCell ref="O4:U4"/>
    <mergeCell ref="AA4:AG4"/>
    <mergeCell ref="AM4:AS4"/>
  </mergeCells>
  <phoneticPr fontId="16" type="noConversion"/>
  <pageMargins left="0.12" right="0.12" top="0.75" bottom="0.75" header="0.3" footer="0.3"/>
  <pageSetup paperSize="5" scale="66" fitToWidth="0" orientation="landscape" horizontalDpi="360" verticalDpi="360" r:id="rId1"/>
  <rowBreaks count="1" manualBreakCount="1">
    <brk id="39" max="46" man="1"/>
  </rowBreaks>
  <colBreaks count="3" manualBreakCount="3">
    <brk id="13" max="37" man="1"/>
    <brk id="25" max="37" man="1"/>
    <brk id="37" max="37" man="1"/>
  </colBreaks>
  <tableParts count="5"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605B-1F2A-4AAC-845A-EA3F7F1D9B16}">
  <sheetPr codeName="Sheet19">
    <tabColor theme="7" tint="0.39997558519241921"/>
  </sheetPr>
  <dimension ref="A1:AV40"/>
  <sheetViews>
    <sheetView showGridLines="0" view="pageBreakPreview" topLeftCell="J4" zoomScale="70" zoomScaleNormal="55" zoomScaleSheetLayoutView="70" workbookViewId="0">
      <selection activeCell="J10" sqref="J10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9.453125" bestFit="1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7" width="11.7265625" customWidth="1"/>
    <col min="18" max="18" width="19.453125" bestFit="1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29" width="10.81640625" customWidth="1"/>
    <col min="30" max="30" width="19.453125" bestFit="1" customWidth="1"/>
    <col min="31" max="31" width="16.453125" customWidth="1"/>
    <col min="32" max="32" width="11.7265625" customWidth="1"/>
    <col min="33" max="33" width="82.36328125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82.36328125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420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45381</v>
      </c>
      <c r="C4" s="68"/>
      <c r="D4" s="68"/>
      <c r="E4" s="68"/>
      <c r="F4" s="68"/>
      <c r="G4" s="68"/>
      <c r="H4" s="68"/>
      <c r="J4" s="66"/>
      <c r="K4" s="66"/>
      <c r="O4" s="68">
        <f>B4</f>
        <v>45381</v>
      </c>
      <c r="P4" s="68"/>
      <c r="Q4" s="68"/>
      <c r="R4" s="68"/>
      <c r="S4" s="68"/>
      <c r="T4" s="68"/>
      <c r="U4" s="68"/>
      <c r="W4" s="66"/>
      <c r="X4" s="66"/>
      <c r="AA4" s="68">
        <f>B4</f>
        <v>45381</v>
      </c>
      <c r="AB4" s="68"/>
      <c r="AC4" s="68"/>
      <c r="AD4" s="68"/>
      <c r="AE4" s="68"/>
      <c r="AF4" s="68"/>
      <c r="AG4" s="68"/>
      <c r="AI4" s="66"/>
      <c r="AJ4" s="66"/>
      <c r="AM4" s="68">
        <f>B4</f>
        <v>45381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61" t="s">
        <v>578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23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18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15</v>
      </c>
    </row>
    <row r="6" spans="1:48" s="1" customFormat="1" x14ac:dyDescent="0.35">
      <c r="A6"/>
      <c r="B6" s="16">
        <v>1</v>
      </c>
      <c r="C6" s="33" t="s">
        <v>28</v>
      </c>
      <c r="D6" s="34">
        <v>0.41736111111111113</v>
      </c>
      <c r="E6" s="34">
        <v>0.58402777777777781</v>
      </c>
      <c r="F6" s="32">
        <f>Table1324567891011132125293439444954[[#This Row],[14:25]]-Table1324567891011132125293439444954[[#This Row],[JAM KELUAR]]</f>
        <v>0.16666666666666669</v>
      </c>
      <c r="G6" s="33">
        <v>1</v>
      </c>
      <c r="H6" s="51" t="s">
        <v>568</v>
      </c>
      <c r="J6" s="5" t="s">
        <v>10</v>
      </c>
      <c r="K6" s="7">
        <v>23</v>
      </c>
      <c r="L6" s="28"/>
      <c r="O6" s="16">
        <v>1</v>
      </c>
      <c r="P6" s="37" t="s">
        <v>299</v>
      </c>
      <c r="Q6" s="38">
        <v>0.30208333333333331</v>
      </c>
      <c r="R6" s="58">
        <v>0.52222222222222225</v>
      </c>
      <c r="S6" s="39">
        <f>Table134567891011172226303540455055[[#This Row],[JAM MASUK]]-Table134567891011172226303540455055[[#This Row],[JAM KELUAR]]</f>
        <v>0.22013888888888894</v>
      </c>
      <c r="T6" s="37">
        <v>1</v>
      </c>
      <c r="U6" s="40" t="s">
        <v>595</v>
      </c>
      <c r="W6" s="5" t="s">
        <v>10</v>
      </c>
      <c r="X6" s="7">
        <v>18</v>
      </c>
      <c r="AA6" s="16">
        <v>1</v>
      </c>
      <c r="AB6" s="33" t="s">
        <v>155</v>
      </c>
      <c r="AC6" s="34">
        <v>0.28472222222222221</v>
      </c>
      <c r="AD6" s="31">
        <v>0.54722222222222217</v>
      </c>
      <c r="AE6" s="32">
        <f>Table1324567891012162024283338434853[[#This Row],[JAM MASUK]]-Table1324567891012162024283338434853[[#This Row],[JAM KELUAR]]</f>
        <v>0.26249999999999996</v>
      </c>
      <c r="AF6" s="33">
        <v>1</v>
      </c>
      <c r="AG6" s="17" t="s">
        <v>579</v>
      </c>
      <c r="AI6" s="5" t="s">
        <v>10</v>
      </c>
      <c r="AJ6" s="7">
        <v>20</v>
      </c>
      <c r="AM6" s="16">
        <v>1</v>
      </c>
      <c r="AN6" s="33" t="s">
        <v>184</v>
      </c>
      <c r="AO6" s="34">
        <v>0.43055555555555558</v>
      </c>
      <c r="AP6" s="34">
        <v>0.65763888888888888</v>
      </c>
      <c r="AQ6" s="32">
        <f>Table13456789101115181923273137424752[[#This Row],[JAM MASUK]]-Table13456789101115181923273137424752[[#This Row],[JAM KELUAR]]</f>
        <v>0.2270833333333333</v>
      </c>
      <c r="AR6" s="33">
        <v>2</v>
      </c>
      <c r="AS6" s="17" t="s">
        <v>607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373</v>
      </c>
      <c r="D7" s="34">
        <v>0.28263888888888888</v>
      </c>
      <c r="E7" s="34">
        <v>0.60069444444444442</v>
      </c>
      <c r="F7" s="32">
        <f>Table1324567891011132125293439444954[[#This Row],[14:25]]-Table1324567891011132125293439444954[[#This Row],[JAM KELUAR]]</f>
        <v>0.31805555555555554</v>
      </c>
      <c r="G7" s="33">
        <v>2</v>
      </c>
      <c r="H7" s="17" t="s">
        <v>588</v>
      </c>
      <c r="J7" s="5" t="s">
        <v>9</v>
      </c>
      <c r="K7" s="8">
        <v>22</v>
      </c>
      <c r="L7" s="28"/>
      <c r="O7" s="16">
        <v>2</v>
      </c>
      <c r="P7" s="37" t="s">
        <v>162</v>
      </c>
      <c r="Q7" s="38">
        <v>0.33124999999999999</v>
      </c>
      <c r="R7" s="58">
        <v>0.5444444444444444</v>
      </c>
      <c r="S7" s="39">
        <f>Table134567891011172226303540455055[[#This Row],[JAM MASUK]]-Table134567891011172226303540455055[[#This Row],[JAM KELUAR]]</f>
        <v>0.21319444444444441</v>
      </c>
      <c r="T7" s="37">
        <v>1</v>
      </c>
      <c r="U7" s="40" t="s">
        <v>596</v>
      </c>
      <c r="W7" s="5" t="s">
        <v>9</v>
      </c>
      <c r="X7" s="8">
        <v>15</v>
      </c>
      <c r="AA7" s="16">
        <v>2</v>
      </c>
      <c r="AB7" s="33" t="s">
        <v>153</v>
      </c>
      <c r="AC7" s="34">
        <v>0.2388888888888889</v>
      </c>
      <c r="AD7" s="31">
        <v>0.55069444444444449</v>
      </c>
      <c r="AE7" s="32">
        <f>Table1324567891012162024283338434853[[#This Row],[JAM MASUK]]-Table1324567891012162024283338434853[[#This Row],[JAM KELUAR]]</f>
        <v>0.31180555555555556</v>
      </c>
      <c r="AF7" s="33">
        <v>2</v>
      </c>
      <c r="AG7" s="17" t="s">
        <v>580</v>
      </c>
      <c r="AI7" s="5" t="s">
        <v>9</v>
      </c>
      <c r="AJ7" s="8">
        <v>21</v>
      </c>
      <c r="AM7" s="16">
        <v>2</v>
      </c>
      <c r="AN7" s="33" t="s">
        <v>190</v>
      </c>
      <c r="AO7" s="34">
        <v>0.2298611111111111</v>
      </c>
      <c r="AP7" s="34">
        <v>0.54513888888888895</v>
      </c>
      <c r="AQ7" s="32">
        <f>Table13456789101115181923273137424752[[#This Row],[JAM MASUK]]-Table13456789101115181923273137424752[[#This Row],[JAM KELUAR]]</f>
        <v>0.31527777777777788</v>
      </c>
      <c r="AR7" s="33">
        <v>3</v>
      </c>
      <c r="AS7" s="17" t="s">
        <v>585</v>
      </c>
      <c r="AU7" s="5" t="s">
        <v>9</v>
      </c>
      <c r="AV7" s="7">
        <v>13</v>
      </c>
    </row>
    <row r="8" spans="1:48" s="1" customFormat="1" x14ac:dyDescent="0.35">
      <c r="A8"/>
      <c r="B8" s="16">
        <v>3</v>
      </c>
      <c r="C8" s="33" t="s">
        <v>21</v>
      </c>
      <c r="D8" s="34">
        <v>0.2986111111111111</v>
      </c>
      <c r="E8" s="34">
        <v>0.6958333333333333</v>
      </c>
      <c r="F8" s="32">
        <f>Table1324567891011132125293439444954[[#This Row],[14:25]]-Table1324567891011132125293439444954[[#This Row],[JAM KELUAR]]</f>
        <v>0.3972222222222222</v>
      </c>
      <c r="G8" s="33">
        <v>2</v>
      </c>
      <c r="H8" s="17" t="s">
        <v>369</v>
      </c>
      <c r="J8" s="5" t="s">
        <v>4</v>
      </c>
      <c r="K8" s="8">
        <v>0</v>
      </c>
      <c r="L8" s="28"/>
      <c r="O8" s="16">
        <v>3</v>
      </c>
      <c r="P8" s="37" t="s">
        <v>441</v>
      </c>
      <c r="Q8" s="38">
        <v>0.20902777777777778</v>
      </c>
      <c r="R8" s="58">
        <v>0.53749999999999998</v>
      </c>
      <c r="S8" s="39">
        <f>Table134567891011172226303540455055[[#This Row],[JAM MASUK]]-Table134567891011172226303540455055[[#This Row],[JAM KELUAR]]</f>
        <v>0.32847222222222217</v>
      </c>
      <c r="T8" s="37">
        <v>1</v>
      </c>
      <c r="U8" s="17" t="s">
        <v>602</v>
      </c>
      <c r="W8" s="5" t="s">
        <v>4</v>
      </c>
      <c r="X8" s="8">
        <v>0</v>
      </c>
      <c r="AA8" s="16">
        <v>3</v>
      </c>
      <c r="AB8" s="33" t="s">
        <v>248</v>
      </c>
      <c r="AC8" s="34">
        <v>0.19791666666666666</v>
      </c>
      <c r="AD8" s="31">
        <v>0.7680555555555556</v>
      </c>
      <c r="AE8" s="32">
        <f>Table1324567891012162024283338434853[[#This Row],[JAM MASUK]]-Table1324567891012162024283338434853[[#This Row],[JAM KELUAR]]</f>
        <v>0.57013888888888897</v>
      </c>
      <c r="AF8" s="33">
        <v>2</v>
      </c>
      <c r="AG8" s="17" t="s">
        <v>581</v>
      </c>
      <c r="AI8" s="5" t="s">
        <v>4</v>
      </c>
      <c r="AJ8" s="8">
        <v>0</v>
      </c>
      <c r="AM8" s="16">
        <v>3</v>
      </c>
      <c r="AN8" s="33" t="s">
        <v>189</v>
      </c>
      <c r="AO8" s="34">
        <v>0.29236111111111113</v>
      </c>
      <c r="AP8" s="34">
        <v>0.64097222222222217</v>
      </c>
      <c r="AQ8" s="32">
        <f>Table13456789101115181923273137424752[[#This Row],[JAM MASUK]]-Table13456789101115181923273137424752[[#This Row],[JAM KELUAR]]</f>
        <v>0.34861111111111104</v>
      </c>
      <c r="AR8" s="33">
        <v>4</v>
      </c>
      <c r="AS8" s="17" t="s">
        <v>369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22</v>
      </c>
      <c r="D9" s="34">
        <v>0.29930555555555555</v>
      </c>
      <c r="E9" s="34">
        <v>0.70624999999999993</v>
      </c>
      <c r="F9" s="32">
        <f>Table1324567891011132125293439444954[[#This Row],[14:25]]-Table1324567891011132125293439444954[[#This Row],[JAM KELUAR]]</f>
        <v>0.40694444444444439</v>
      </c>
      <c r="G9" s="33">
        <v>2</v>
      </c>
      <c r="H9" s="40" t="s">
        <v>589</v>
      </c>
      <c r="J9" s="5" t="s">
        <v>5</v>
      </c>
      <c r="K9" s="8">
        <v>1</v>
      </c>
      <c r="L9" s="28"/>
      <c r="O9" s="16">
        <v>4</v>
      </c>
      <c r="P9" s="37" t="s">
        <v>295</v>
      </c>
      <c r="Q9" s="38">
        <v>0.37152777777777773</v>
      </c>
      <c r="R9" s="58">
        <v>0.71527777777777779</v>
      </c>
      <c r="S9" s="39">
        <f>Table134567891011172226303540455055[[#This Row],[JAM MASUK]]-Table134567891011172226303540455055[[#This Row],[JAM KELUAR]]</f>
        <v>0.34375000000000006</v>
      </c>
      <c r="T9" s="37">
        <v>2</v>
      </c>
      <c r="U9" s="17" t="s">
        <v>597</v>
      </c>
      <c r="W9" s="5" t="s">
        <v>5</v>
      </c>
      <c r="X9" s="8">
        <v>3</v>
      </c>
      <c r="AA9" s="16">
        <v>4</v>
      </c>
      <c r="AB9" s="33" t="s">
        <v>251</v>
      </c>
      <c r="AC9" s="34">
        <v>0.29930555555555555</v>
      </c>
      <c r="AD9" s="31">
        <v>0.69097222222222221</v>
      </c>
      <c r="AE9" s="32">
        <f>Table1324567891012162024283338434853[[#This Row],[JAM MASUK]]-Table1324567891012162024283338434853[[#This Row],[JAM KELUAR]]</f>
        <v>0.39166666666666666</v>
      </c>
      <c r="AF9" s="33">
        <v>2</v>
      </c>
      <c r="AG9" s="17" t="s">
        <v>582</v>
      </c>
      <c r="AI9" s="5" t="s">
        <v>5</v>
      </c>
      <c r="AJ9" s="8">
        <v>1</v>
      </c>
      <c r="AM9" s="16">
        <v>4</v>
      </c>
      <c r="AN9" s="33" t="s">
        <v>181</v>
      </c>
      <c r="AO9" s="34">
        <v>0.29930555555555555</v>
      </c>
      <c r="AP9" s="34">
        <v>0.63541666666666663</v>
      </c>
      <c r="AQ9" s="32">
        <f>Table13456789101115181923273137424752[[#This Row],[JAM MASUK]]-Table13456789101115181923273137424752[[#This Row],[JAM KELUAR]]</f>
        <v>0.33611111111111108</v>
      </c>
      <c r="AR9" s="33">
        <v>4</v>
      </c>
      <c r="AS9" s="17" t="s">
        <v>369</v>
      </c>
      <c r="AU9" s="5" t="s">
        <v>5</v>
      </c>
      <c r="AV9" s="8">
        <v>1</v>
      </c>
    </row>
    <row r="10" spans="1:48" s="1" customFormat="1" x14ac:dyDescent="0.35">
      <c r="A10"/>
      <c r="B10" s="16">
        <v>5</v>
      </c>
      <c r="C10" s="33" t="s">
        <v>33</v>
      </c>
      <c r="D10" s="34">
        <v>0.25347222222222221</v>
      </c>
      <c r="E10" s="34">
        <v>0.64236111111111105</v>
      </c>
      <c r="F10" s="32">
        <f>Table1324567891011132125293439444954[[#This Row],[14:25]]-Table1324567891011132125293439444954[[#This Row],[JAM KELUAR]]</f>
        <v>0.38888888888888884</v>
      </c>
      <c r="G10" s="33">
        <v>2</v>
      </c>
      <c r="H10" s="17" t="s">
        <v>369</v>
      </c>
      <c r="J10" s="5" t="s">
        <v>6</v>
      </c>
      <c r="K10" s="8">
        <v>0</v>
      </c>
      <c r="L10" s="28"/>
      <c r="O10" s="16">
        <v>5</v>
      </c>
      <c r="P10" s="37" t="s">
        <v>296</v>
      </c>
      <c r="Q10" s="38">
        <v>0.2902777777777778</v>
      </c>
      <c r="R10" s="58">
        <v>0.70694444444444438</v>
      </c>
      <c r="S10" s="39">
        <f>Table134567891011172226303540455055[[#This Row],[JAM MASUK]]-Table134567891011172226303540455055[[#This Row],[JAM KELUAR]]</f>
        <v>0.41666666666666657</v>
      </c>
      <c r="T10" s="37">
        <v>2</v>
      </c>
      <c r="U10" s="17" t="s">
        <v>369</v>
      </c>
      <c r="W10" s="5" t="s">
        <v>166</v>
      </c>
      <c r="X10" s="8">
        <v>0</v>
      </c>
      <c r="AA10" s="16">
        <v>5</v>
      </c>
      <c r="AB10" s="33" t="s">
        <v>145</v>
      </c>
      <c r="AC10" s="34">
        <v>0.23263888888888887</v>
      </c>
      <c r="AD10" s="31">
        <v>0.68402777777777779</v>
      </c>
      <c r="AE10" s="32">
        <f>Table1324567891012162024283338434853[[#This Row],[JAM MASUK]]-Table1324567891012162024283338434853[[#This Row],[JAM KELUAR]]</f>
        <v>0.45138888888888895</v>
      </c>
      <c r="AF10" s="33">
        <v>3</v>
      </c>
      <c r="AG10" s="17" t="s">
        <v>583</v>
      </c>
      <c r="AI10" s="5" t="s">
        <v>6</v>
      </c>
      <c r="AJ10" s="8">
        <v>33</v>
      </c>
      <c r="AM10" s="16">
        <v>5</v>
      </c>
      <c r="AN10" s="33" t="s">
        <v>191</v>
      </c>
      <c r="AO10" s="34">
        <v>0.25486111111111109</v>
      </c>
      <c r="AP10" s="34">
        <v>0.64097222222222217</v>
      </c>
      <c r="AQ10" s="32">
        <f>Table13456789101115181923273137424752[[#This Row],[JAM MASUK]]-Table13456789101115181923273137424752[[#This Row],[JAM KELUAR]]</f>
        <v>0.38611111111111107</v>
      </c>
      <c r="AR10" s="33">
        <v>4</v>
      </c>
      <c r="AS10" s="17" t="s">
        <v>586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24</v>
      </c>
      <c r="D11" s="34">
        <v>0.29236111111111113</v>
      </c>
      <c r="E11" s="34">
        <v>0.63541666666666663</v>
      </c>
      <c r="F11" s="32">
        <f>Table1324567891011132125293439444954[[#This Row],[14:25]]-Table1324567891011132125293439444954[[#This Row],[JAM KELUAR]]</f>
        <v>0.3430555555555555</v>
      </c>
      <c r="G11" s="33">
        <v>2</v>
      </c>
      <c r="H11" s="17" t="s">
        <v>590</v>
      </c>
      <c r="J11" s="9" t="s">
        <v>8</v>
      </c>
      <c r="K11" s="10">
        <f>SUM(Table1324567891011132125293439444954[Retase])</f>
        <v>54</v>
      </c>
      <c r="L11" s="28"/>
      <c r="O11" s="16">
        <v>6</v>
      </c>
      <c r="P11" s="37" t="s">
        <v>173</v>
      </c>
      <c r="Q11" s="38">
        <v>0.28333333333333333</v>
      </c>
      <c r="R11" s="58">
        <v>0.70486111111111116</v>
      </c>
      <c r="S11" s="39">
        <f>Table134567891011172226303540455055[[#This Row],[JAM MASUK]]-Table134567891011172226303540455055[[#This Row],[JAM KELUAR]]</f>
        <v>0.42152777777777783</v>
      </c>
      <c r="T11" s="37">
        <v>2</v>
      </c>
      <c r="U11" s="17" t="s">
        <v>369</v>
      </c>
      <c r="W11" s="9" t="s">
        <v>8</v>
      </c>
      <c r="X11" s="10">
        <f>SUM(Table134567891011172226303540455055[Retase])</f>
        <v>31</v>
      </c>
      <c r="AA11" s="16">
        <v>6</v>
      </c>
      <c r="AB11" s="33" t="s">
        <v>150</v>
      </c>
      <c r="AC11" s="34">
        <v>0.22569444444444445</v>
      </c>
      <c r="AD11" s="31">
        <v>0.6645833333333333</v>
      </c>
      <c r="AE11" s="32">
        <f>Table1324567891012162024283338434853[[#This Row],[JAM MASUK]]-Table1324567891012162024283338434853[[#This Row],[JAM KELUAR]]</f>
        <v>0.43888888888888888</v>
      </c>
      <c r="AF11" s="33">
        <v>3</v>
      </c>
      <c r="AG11" s="17" t="s">
        <v>584</v>
      </c>
      <c r="AI11" s="9" t="s">
        <v>8</v>
      </c>
      <c r="AJ11" s="10">
        <f>SUM(Table1324567891012162024283338434853[Retase])</f>
        <v>74</v>
      </c>
      <c r="AM11" s="16">
        <v>6</v>
      </c>
      <c r="AN11" s="33" t="s">
        <v>252</v>
      </c>
      <c r="AO11" s="34">
        <v>0.26458333333333334</v>
      </c>
      <c r="AP11" s="34">
        <v>0.57152777777777775</v>
      </c>
      <c r="AQ11" s="32">
        <f>Table13456789101115181923273137424752[[#This Row],[JAM MASUK]]-Table13456789101115181923273137424752[[#This Row],[JAM KELUAR]]</f>
        <v>0.30694444444444441</v>
      </c>
      <c r="AR11" s="33">
        <v>4</v>
      </c>
      <c r="AS11" s="17" t="s">
        <v>587</v>
      </c>
      <c r="AU11" s="9" t="s">
        <v>8</v>
      </c>
      <c r="AV11" s="10">
        <f>SUM(Table13456789101115181923273137424752[Retase])</f>
        <v>56</v>
      </c>
    </row>
    <row r="12" spans="1:48" s="1" customFormat="1" x14ac:dyDescent="0.35">
      <c r="A12"/>
      <c r="B12" s="16">
        <v>7</v>
      </c>
      <c r="C12" s="33" t="s">
        <v>536</v>
      </c>
      <c r="D12" s="34">
        <v>0.2638888888888889</v>
      </c>
      <c r="E12" s="34">
        <v>0.59791666666666665</v>
      </c>
      <c r="F12" s="32">
        <f>Table1324567891011132125293439444954[[#This Row],[14:25]]-Table1324567891011132125293439444954[[#This Row],[JAM KELUAR]]</f>
        <v>0.33402777777777776</v>
      </c>
      <c r="G12" s="33">
        <v>2</v>
      </c>
      <c r="H12" s="17" t="s">
        <v>591</v>
      </c>
      <c r="J12" s="11" t="s">
        <v>7</v>
      </c>
      <c r="K12" s="12">
        <f>K11/K7</f>
        <v>2.4545454545454546</v>
      </c>
      <c r="L12" s="28"/>
      <c r="O12" s="16">
        <v>7</v>
      </c>
      <c r="P12" s="37" t="s">
        <v>174</v>
      </c>
      <c r="Q12" s="38">
        <v>0.30555555555555552</v>
      </c>
      <c r="R12" s="58">
        <v>0.7090277777777777</v>
      </c>
      <c r="S12" s="39">
        <f>Table134567891011172226303540455055[[#This Row],[JAM MASUK]]-Table134567891011172226303540455055[[#This Row],[JAM KELUAR]]</f>
        <v>0.40347222222222218</v>
      </c>
      <c r="T12" s="37">
        <v>2</v>
      </c>
      <c r="U12" s="40" t="s">
        <v>598</v>
      </c>
      <c r="W12" s="11" t="s">
        <v>7</v>
      </c>
      <c r="X12" s="12">
        <f>X11/X7</f>
        <v>2.0666666666666669</v>
      </c>
      <c r="AA12" s="1">
        <v>7</v>
      </c>
      <c r="AB12" s="2" t="s">
        <v>203</v>
      </c>
      <c r="AC12" s="35">
        <v>0.2951388888888889</v>
      </c>
      <c r="AD12" s="29">
        <v>0.71805555555555556</v>
      </c>
      <c r="AE12" s="30">
        <f>Table1324567891012162024283338434853[[#This Row],[JAM MASUK]]-Table1324567891012162024283338434853[[#This Row],[JAM KELUAR]]</f>
        <v>0.42291666666666666</v>
      </c>
      <c r="AF12" s="2">
        <v>4</v>
      </c>
      <c r="AG12" s="18" t="s">
        <v>54</v>
      </c>
      <c r="AI12" s="11" t="s">
        <v>7</v>
      </c>
      <c r="AJ12" s="12">
        <f>AJ11/AJ7</f>
        <v>3.5238095238095237</v>
      </c>
      <c r="AM12" s="1">
        <v>7</v>
      </c>
      <c r="AN12" s="2" t="s">
        <v>186</v>
      </c>
      <c r="AO12" s="35">
        <v>0.24444444444444446</v>
      </c>
      <c r="AP12" s="35">
        <v>0.67847222222222225</v>
      </c>
      <c r="AQ12" s="30">
        <f>Table13456789101115181923273137424752[[#This Row],[JAM MASUK]]-Table13456789101115181923273137424752[[#This Row],[JAM KELUAR]]</f>
        <v>0.43402777777777779</v>
      </c>
      <c r="AR12" s="2">
        <v>5</v>
      </c>
      <c r="AS12" s="18" t="s">
        <v>54</v>
      </c>
      <c r="AU12" s="11" t="s">
        <v>7</v>
      </c>
      <c r="AV12" s="12">
        <f>AV11/AV7</f>
        <v>4.3076923076923075</v>
      </c>
    </row>
    <row r="13" spans="1:48" s="1" customFormat="1" x14ac:dyDescent="0.35">
      <c r="A13"/>
      <c r="B13" s="16">
        <v>8</v>
      </c>
      <c r="C13" s="33" t="s">
        <v>538</v>
      </c>
      <c r="D13" s="34">
        <v>0.22222222222222221</v>
      </c>
      <c r="E13" s="34">
        <v>0.70624999999999993</v>
      </c>
      <c r="F13" s="32">
        <f>Table1324567891011132125293439444954[[#This Row],[14:25]]-Table1324567891011132125293439444954[[#This Row],[JAM KELUAR]]</f>
        <v>0.48402777777777772</v>
      </c>
      <c r="G13" s="33">
        <v>2</v>
      </c>
      <c r="H13" s="40" t="s">
        <v>592</v>
      </c>
      <c r="J13" s="13" t="s">
        <v>11</v>
      </c>
      <c r="K13" s="14">
        <v>2.5</v>
      </c>
      <c r="L13" s="28"/>
      <c r="O13" s="16">
        <v>8</v>
      </c>
      <c r="P13" s="37" t="s">
        <v>165</v>
      </c>
      <c r="Q13" s="38">
        <v>0.27430555555555552</v>
      </c>
      <c r="R13" s="58">
        <v>0.71597222222222223</v>
      </c>
      <c r="S13" s="39">
        <f>Table134567891011172226303540455055[[#This Row],[JAM MASUK]]-Table134567891011172226303540455055[[#This Row],[JAM KELUAR]]</f>
        <v>0.44166666666666671</v>
      </c>
      <c r="T13" s="37">
        <v>2</v>
      </c>
      <c r="U13" s="40" t="s">
        <v>599</v>
      </c>
      <c r="W13" s="13" t="s">
        <v>11</v>
      </c>
      <c r="X13" s="14">
        <v>2.5</v>
      </c>
      <c r="AA13" s="1">
        <v>8</v>
      </c>
      <c r="AB13" s="2" t="s">
        <v>148</v>
      </c>
      <c r="AC13" s="35">
        <v>0.21805555555555556</v>
      </c>
      <c r="AD13" s="29">
        <v>0.67708333333333337</v>
      </c>
      <c r="AE13" s="30">
        <f>Table1324567891012162024283338434853[[#This Row],[JAM MASUK]]-Table1324567891012162024283338434853[[#This Row],[JAM KELUAR]]</f>
        <v>0.45902777777777781</v>
      </c>
      <c r="AF13" s="2">
        <v>4</v>
      </c>
      <c r="AG13" s="18" t="s">
        <v>54</v>
      </c>
      <c r="AI13" s="13" t="s">
        <v>11</v>
      </c>
      <c r="AJ13" s="14">
        <v>4</v>
      </c>
      <c r="AM13" s="1">
        <v>8</v>
      </c>
      <c r="AN13" s="2" t="s">
        <v>182</v>
      </c>
      <c r="AO13" s="35">
        <v>0.25972222222222224</v>
      </c>
      <c r="AP13" s="35">
        <v>0.69930555555555562</v>
      </c>
      <c r="AQ13" s="30">
        <f>Table13456789101115181923273137424752[[#This Row],[JAM MASUK]]-Table13456789101115181923273137424752[[#This Row],[JAM KELUAR]]</f>
        <v>0.43958333333333338</v>
      </c>
      <c r="AR13" s="2">
        <v>5</v>
      </c>
      <c r="AS13" s="18" t="s">
        <v>54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26</v>
      </c>
      <c r="D14" s="34">
        <v>0.24097222222222223</v>
      </c>
      <c r="E14" s="34">
        <v>0.68055555555555547</v>
      </c>
      <c r="F14" s="32">
        <f>Table1324567891011132125293439444954[[#This Row],[14:25]]-Table1324567891011132125293439444954[[#This Row],[JAM KELUAR]]</f>
        <v>0.43958333333333321</v>
      </c>
      <c r="G14" s="33">
        <v>2</v>
      </c>
      <c r="H14" s="50" t="s">
        <v>593</v>
      </c>
      <c r="J14" s="13" t="s">
        <v>51</v>
      </c>
      <c r="K14" s="15">
        <f>K12/K13</f>
        <v>0.98181818181818181</v>
      </c>
      <c r="L14" s="28"/>
      <c r="O14" s="16">
        <v>9</v>
      </c>
      <c r="P14" s="37" t="s">
        <v>167</v>
      </c>
      <c r="Q14" s="38">
        <v>0.24097222222222223</v>
      </c>
      <c r="R14" s="58">
        <v>0.70624999999999993</v>
      </c>
      <c r="S14" s="39">
        <f>Table134567891011172226303540455055[[#This Row],[JAM MASUK]]-Table134567891011172226303540455055[[#This Row],[JAM KELUAR]]</f>
        <v>0.46527777777777768</v>
      </c>
      <c r="T14" s="37">
        <v>2</v>
      </c>
      <c r="U14" s="17" t="s">
        <v>600</v>
      </c>
      <c r="W14" s="13" t="s">
        <v>51</v>
      </c>
      <c r="X14" s="15">
        <f>X12/X13</f>
        <v>0.82666666666666677</v>
      </c>
      <c r="AA14" s="1">
        <v>9</v>
      </c>
      <c r="AB14" s="2" t="s">
        <v>204</v>
      </c>
      <c r="AC14" s="35">
        <v>0.28958333333333336</v>
      </c>
      <c r="AD14" s="29">
        <v>0.69791666666666663</v>
      </c>
      <c r="AE14" s="30">
        <f>Table1324567891012162024283338434853[[#This Row],[JAM MASUK]]-Table1324567891012162024283338434853[[#This Row],[JAM KELUAR]]</f>
        <v>0.40833333333333327</v>
      </c>
      <c r="AF14" s="2">
        <v>4</v>
      </c>
      <c r="AG14" s="18" t="s">
        <v>54</v>
      </c>
      <c r="AI14" s="13" t="s">
        <v>51</v>
      </c>
      <c r="AJ14" s="15">
        <f>AJ12/AJ13</f>
        <v>0.88095238095238093</v>
      </c>
      <c r="AM14" s="1">
        <v>9</v>
      </c>
      <c r="AN14" s="2" t="s">
        <v>187</v>
      </c>
      <c r="AO14" s="35">
        <v>0.23750000000000002</v>
      </c>
      <c r="AP14" s="35">
        <v>0.65625</v>
      </c>
      <c r="AQ14" s="30">
        <f>Table13456789101115181923273137424752[[#This Row],[JAM MASUK]]-Table13456789101115181923273137424752[[#This Row],[JAM KELUAR]]</f>
        <v>0.41874999999999996</v>
      </c>
      <c r="AR14" s="2">
        <v>5</v>
      </c>
      <c r="AS14" s="18" t="s">
        <v>54</v>
      </c>
      <c r="AU14" s="13" t="s">
        <v>51</v>
      </c>
      <c r="AV14" s="15">
        <f>AV12/AV13</f>
        <v>0.86153846153846148</v>
      </c>
    </row>
    <row r="15" spans="1:48" x14ac:dyDescent="0.35">
      <c r="B15" s="16">
        <v>10</v>
      </c>
      <c r="C15" s="33" t="s">
        <v>30</v>
      </c>
      <c r="D15" s="34">
        <v>0.25555555555555559</v>
      </c>
      <c r="E15" s="34">
        <v>0.6645833333333333</v>
      </c>
      <c r="F15" s="32">
        <f>Table1324567891011132125293439444954[[#This Row],[14:25]]-Table1324567891011132125293439444954[[#This Row],[JAM KELUAR]]</f>
        <v>0.40902777777777771</v>
      </c>
      <c r="G15" s="33">
        <v>2</v>
      </c>
      <c r="H15" s="40" t="s">
        <v>594</v>
      </c>
      <c r="J15" s="13" t="s">
        <v>52</v>
      </c>
      <c r="K15" s="15">
        <f>K7/K6</f>
        <v>0.95652173913043481</v>
      </c>
      <c r="O15" s="16">
        <v>10</v>
      </c>
      <c r="P15" s="37" t="s">
        <v>168</v>
      </c>
      <c r="Q15" s="38">
        <v>0.26874999999999999</v>
      </c>
      <c r="R15" s="58">
        <v>0.66111111111111109</v>
      </c>
      <c r="S15" s="39">
        <f>Table134567891011172226303540455055[[#This Row],[JAM MASUK]]-Table134567891011172226303540455055[[#This Row],[JAM KELUAR]]</f>
        <v>0.3923611111111111</v>
      </c>
      <c r="T15" s="37">
        <v>2</v>
      </c>
      <c r="U15" s="17" t="s">
        <v>369</v>
      </c>
      <c r="W15" s="13" t="s">
        <v>151</v>
      </c>
      <c r="X15" s="15">
        <f>X7/X6</f>
        <v>0.83333333333333337</v>
      </c>
      <c r="AA15" s="1">
        <v>10</v>
      </c>
      <c r="AB15" s="2" t="s">
        <v>149</v>
      </c>
      <c r="AC15" s="35">
        <v>0.26250000000000001</v>
      </c>
      <c r="AD15" s="29">
        <v>0.69444444444444453</v>
      </c>
      <c r="AE15" s="30">
        <f>Table1324567891012162024283338434853[[#This Row],[JAM MASUK]]-Table1324567891012162024283338434853[[#This Row],[JAM KELUAR]]</f>
        <v>0.43194444444444452</v>
      </c>
      <c r="AF15" s="2">
        <v>4</v>
      </c>
      <c r="AG15" s="18" t="s">
        <v>54</v>
      </c>
      <c r="AI15" s="13" t="s">
        <v>151</v>
      </c>
      <c r="AJ15" s="15">
        <f>AJ7/AJ6</f>
        <v>1.05</v>
      </c>
      <c r="AM15" s="1">
        <v>10</v>
      </c>
      <c r="AN15" s="2" t="s">
        <v>188</v>
      </c>
      <c r="AO15" s="35">
        <v>0.29236111111111113</v>
      </c>
      <c r="AP15" s="35">
        <v>0.65763888888888888</v>
      </c>
      <c r="AQ15" s="30">
        <f>Table13456789101115181923273137424752[[#This Row],[JAM MASUK]]-Table13456789101115181923273137424752[[#This Row],[JAM KELUAR]]</f>
        <v>0.36527777777777776</v>
      </c>
      <c r="AR15" s="2">
        <v>5</v>
      </c>
      <c r="AS15" s="18" t="s">
        <v>54</v>
      </c>
      <c r="AU15" s="13" t="s">
        <v>151</v>
      </c>
      <c r="AV15" s="15">
        <f>AV7/AV6</f>
        <v>0.8666666666666667</v>
      </c>
    </row>
    <row r="16" spans="1:48" x14ac:dyDescent="0.35">
      <c r="B16" s="16">
        <v>11</v>
      </c>
      <c r="C16" s="33" t="s">
        <v>31</v>
      </c>
      <c r="D16" s="34">
        <v>0.24791666666666667</v>
      </c>
      <c r="E16" s="34">
        <v>0.65347222222222223</v>
      </c>
      <c r="F16" s="32">
        <f>Table1324567891011132125293439444954[[#This Row],[14:25]]-Table1324567891011132125293439444954[[#This Row],[JAM KELUAR]]</f>
        <v>0.40555555555555556</v>
      </c>
      <c r="G16" s="33">
        <v>2</v>
      </c>
      <c r="H16" s="17" t="s">
        <v>369</v>
      </c>
      <c r="O16" s="16">
        <v>11</v>
      </c>
      <c r="P16" s="37" t="s">
        <v>301</v>
      </c>
      <c r="Q16" s="38">
        <v>0.23958333333333334</v>
      </c>
      <c r="R16" s="58">
        <v>0.67638888888888893</v>
      </c>
      <c r="S16" s="39">
        <f>Table134567891011172226303540455055[[#This Row],[JAM MASUK]]-Table134567891011172226303540455055[[#This Row],[JAM KELUAR]]</f>
        <v>0.43680555555555556</v>
      </c>
      <c r="T16" s="37">
        <v>2</v>
      </c>
      <c r="U16" s="17" t="s">
        <v>601</v>
      </c>
      <c r="W16" s="21"/>
      <c r="X16" s="22"/>
      <c r="AA16" s="1">
        <v>11</v>
      </c>
      <c r="AB16" s="2" t="s">
        <v>255</v>
      </c>
      <c r="AC16" s="35">
        <v>0.23680555555555557</v>
      </c>
      <c r="AD16" s="29">
        <v>0.65763888888888888</v>
      </c>
      <c r="AE16" s="30">
        <f>Table1324567891012162024283338434853[[#This Row],[JAM MASUK]]-Table1324567891012162024283338434853[[#This Row],[JAM KELUAR]]</f>
        <v>0.42083333333333328</v>
      </c>
      <c r="AF16" s="2">
        <v>4</v>
      </c>
      <c r="AG16" s="18" t="s">
        <v>54</v>
      </c>
      <c r="AM16" s="1">
        <v>11</v>
      </c>
      <c r="AN16" s="2" t="s">
        <v>253</v>
      </c>
      <c r="AO16" s="35">
        <v>0.25763888888888892</v>
      </c>
      <c r="AP16" s="35">
        <v>0.68541666666666667</v>
      </c>
      <c r="AQ16" s="30">
        <f>Table13456789101115181923273137424752[[#This Row],[JAM MASUK]]-Table13456789101115181923273137424752[[#This Row],[JAM KELUAR]]</f>
        <v>0.42777777777777776</v>
      </c>
      <c r="AR16" s="2">
        <v>5</v>
      </c>
      <c r="AS16" s="18" t="s">
        <v>54</v>
      </c>
    </row>
    <row r="17" spans="2:47" x14ac:dyDescent="0.35">
      <c r="B17" s="1">
        <v>12</v>
      </c>
      <c r="C17" s="2" t="s">
        <v>20</v>
      </c>
      <c r="D17" s="35">
        <v>0.25069444444444444</v>
      </c>
      <c r="E17" s="35">
        <v>0.70486111111111116</v>
      </c>
      <c r="F17" s="30">
        <f>Table1324567891011132125293439444954[[#This Row],[14:25]]-Table1324567891011132125293439444954[[#This Row],[JAM KELUAR]]</f>
        <v>0.45416666666666672</v>
      </c>
      <c r="G17" s="2">
        <v>3</v>
      </c>
      <c r="H17" s="57" t="s">
        <v>54</v>
      </c>
      <c r="O17" s="1">
        <v>12</v>
      </c>
      <c r="P17" s="41" t="s">
        <v>298</v>
      </c>
      <c r="Q17" s="42">
        <v>0.25277777777777777</v>
      </c>
      <c r="R17" s="59">
        <v>0.72569444444444453</v>
      </c>
      <c r="S17" s="43">
        <f>Table134567891011172226303540455055[[#This Row],[JAM MASUK]]-Table134567891011172226303540455055[[#This Row],[JAM KELUAR]]</f>
        <v>0.47291666666666676</v>
      </c>
      <c r="T17" s="41">
        <v>3</v>
      </c>
      <c r="U17" s="18" t="s">
        <v>54</v>
      </c>
      <c r="W17" s="21"/>
      <c r="X17" s="22"/>
      <c r="AA17" s="1">
        <v>12</v>
      </c>
      <c r="AB17" s="2" t="s">
        <v>157</v>
      </c>
      <c r="AC17" s="35">
        <v>0.22500000000000001</v>
      </c>
      <c r="AD17" s="29">
        <v>0.75486111111111109</v>
      </c>
      <c r="AE17" s="30">
        <f>Table1324567891012162024283338434853[[#This Row],[JAM MASUK]]-Table1324567891012162024283338434853[[#This Row],[JAM KELUAR]]</f>
        <v>0.52986111111111112</v>
      </c>
      <c r="AF17" s="2">
        <v>4</v>
      </c>
      <c r="AG17" s="18" t="s">
        <v>54</v>
      </c>
      <c r="AM17" s="1">
        <v>12</v>
      </c>
      <c r="AN17" s="2" t="s">
        <v>185</v>
      </c>
      <c r="AO17" s="35">
        <v>0.1986111111111111</v>
      </c>
      <c r="AP17" s="35">
        <v>0.67291666666666661</v>
      </c>
      <c r="AQ17" s="30">
        <f>Table13456789101115181923273137424752[[#This Row],[JAM MASUK]]-Table13456789101115181923273137424752[[#This Row],[JAM KELUAR]]</f>
        <v>0.47430555555555554</v>
      </c>
      <c r="AR17" s="2">
        <v>5</v>
      </c>
      <c r="AS17" s="18" t="s">
        <v>54</v>
      </c>
      <c r="AU17" s="20"/>
    </row>
    <row r="18" spans="2:47" x14ac:dyDescent="0.35">
      <c r="B18" s="1">
        <v>13</v>
      </c>
      <c r="C18" s="2" t="s">
        <v>23</v>
      </c>
      <c r="D18" s="35">
        <v>0.26458333333333334</v>
      </c>
      <c r="E18" s="35">
        <v>0.71875</v>
      </c>
      <c r="F18" s="30">
        <f>Table1324567891011132125293439444954[[#This Row],[14:25]]-Table1324567891011132125293439444954[[#This Row],[JAM KELUAR]]</f>
        <v>0.45416666666666666</v>
      </c>
      <c r="G18" s="2">
        <v>3</v>
      </c>
      <c r="H18" s="57" t="s">
        <v>54</v>
      </c>
      <c r="O18" s="1">
        <v>13</v>
      </c>
      <c r="P18" s="41" t="s">
        <v>300</v>
      </c>
      <c r="Q18" s="42">
        <v>0.25763888888888892</v>
      </c>
      <c r="R18" s="59">
        <v>0.79999999999999993</v>
      </c>
      <c r="S18" s="43">
        <f>Table134567891011172226303540455055[[#This Row],[JAM MASUK]]-Table134567891011172226303540455055[[#This Row],[JAM KELUAR]]</f>
        <v>0.54236111111111107</v>
      </c>
      <c r="T18" s="41">
        <v>3</v>
      </c>
      <c r="U18" s="44" t="s">
        <v>54</v>
      </c>
      <c r="W18" s="21"/>
      <c r="X18" s="22"/>
      <c r="AA18" s="1">
        <v>13</v>
      </c>
      <c r="AB18" s="2" t="s">
        <v>154</v>
      </c>
      <c r="AC18" s="35">
        <v>0.27361111111111108</v>
      </c>
      <c r="AD18" s="29">
        <v>0.72291666666666676</v>
      </c>
      <c r="AE18" s="30">
        <f>Table1324567891012162024283338434853[[#This Row],[JAM MASUK]]-Table1324567891012162024283338434853[[#This Row],[JAM KELUAR]]</f>
        <v>0.44930555555555568</v>
      </c>
      <c r="AF18" s="2">
        <v>4</v>
      </c>
      <c r="AG18" s="18" t="s">
        <v>54</v>
      </c>
      <c r="AI18" s="20"/>
      <c r="AM18" s="1">
        <v>13</v>
      </c>
      <c r="AN18" s="2" t="s">
        <v>192</v>
      </c>
      <c r="AO18" s="35">
        <v>0.24444444444444446</v>
      </c>
      <c r="AP18" s="35">
        <v>0.7284722222222223</v>
      </c>
      <c r="AQ18" s="30">
        <f>Table13456789101115181923273137424752[[#This Row],[JAM MASUK]]-Table13456789101115181923273137424752[[#This Row],[JAM KELUAR]]</f>
        <v>0.48402777777777783</v>
      </c>
      <c r="AR18" s="2">
        <v>5</v>
      </c>
      <c r="AS18" s="18" t="s">
        <v>54</v>
      </c>
    </row>
    <row r="19" spans="2:47" ht="17" customHeight="1" x14ac:dyDescent="0.35">
      <c r="B19" s="1">
        <v>14</v>
      </c>
      <c r="C19" s="2" t="s">
        <v>532</v>
      </c>
      <c r="D19" s="35">
        <v>0.27916666666666667</v>
      </c>
      <c r="E19" s="35">
        <v>0.7270833333333333</v>
      </c>
      <c r="F19" s="30">
        <f>Table1324567891011132125293439444954[[#This Row],[14:25]]-Table1324567891011132125293439444954[[#This Row],[JAM KELUAR]]</f>
        <v>0.44791666666666663</v>
      </c>
      <c r="G19" s="2">
        <v>3</v>
      </c>
      <c r="H19" s="57" t="s">
        <v>54</v>
      </c>
      <c r="O19" s="1">
        <v>14</v>
      </c>
      <c r="P19" s="41" t="s">
        <v>176</v>
      </c>
      <c r="Q19" s="42">
        <v>0.21736111111111112</v>
      </c>
      <c r="R19" s="59">
        <v>0.75902777777777775</v>
      </c>
      <c r="S19" s="43">
        <f>Table134567891011172226303540455055[[#This Row],[JAM MASUK]]-Table134567891011172226303540455055[[#This Row],[JAM KELUAR]]</f>
        <v>0.54166666666666663</v>
      </c>
      <c r="T19" s="41">
        <v>3</v>
      </c>
      <c r="U19" s="18" t="s">
        <v>54</v>
      </c>
      <c r="AA19" s="1">
        <v>14</v>
      </c>
      <c r="AB19" s="2" t="s">
        <v>244</v>
      </c>
      <c r="AC19" s="35">
        <v>0.2673611111111111</v>
      </c>
      <c r="AD19" s="29">
        <v>0.72152777777777777</v>
      </c>
      <c r="AE19" s="30">
        <f>Table1324567891012162024283338434853[[#This Row],[JAM MASUK]]-Table1324567891012162024283338434853[[#This Row],[JAM KELUAR]]</f>
        <v>0.45416666666666666</v>
      </c>
      <c r="AF19" s="2">
        <v>4</v>
      </c>
      <c r="AG19" s="18" t="s">
        <v>54</v>
      </c>
    </row>
    <row r="20" spans="2:47" x14ac:dyDescent="0.35">
      <c r="B20" s="1">
        <v>15</v>
      </c>
      <c r="C20" s="2" t="s">
        <v>533</v>
      </c>
      <c r="D20" s="35">
        <v>0.24097222222222223</v>
      </c>
      <c r="E20" s="35">
        <v>0.65694444444444444</v>
      </c>
      <c r="F20" s="30">
        <f>Table1324567891011132125293439444954[[#This Row],[14:25]]-Table1324567891011132125293439444954[[#This Row],[JAM KELUAR]]</f>
        <v>0.41597222222222219</v>
      </c>
      <c r="G20" s="2">
        <v>3</v>
      </c>
      <c r="H20" s="57" t="s">
        <v>54</v>
      </c>
      <c r="O20" s="1">
        <v>15</v>
      </c>
      <c r="P20" s="41" t="s">
        <v>302</v>
      </c>
      <c r="Q20" s="42">
        <v>0.22916666666666666</v>
      </c>
      <c r="R20" s="42">
        <v>0.70833333333333337</v>
      </c>
      <c r="S20" s="43">
        <f>Table134567891011172226303540455055[[#This Row],[JAM MASUK]]-Table134567891011172226303540455055[[#This Row],[JAM KELUAR]]</f>
        <v>0.47916666666666674</v>
      </c>
      <c r="T20" s="41">
        <v>3</v>
      </c>
      <c r="U20" s="18" t="s">
        <v>54</v>
      </c>
      <c r="AA20" s="1">
        <v>15</v>
      </c>
      <c r="AB20" s="2" t="s">
        <v>245</v>
      </c>
      <c r="AC20" s="35">
        <v>0.22013888888888888</v>
      </c>
      <c r="AD20" s="29">
        <v>0.68263888888888891</v>
      </c>
      <c r="AE20" s="30">
        <f>Table1324567891012162024283338434853[[#This Row],[JAM MASUK]]-Table1324567891012162024283338434853[[#This Row],[JAM KELUAR]]</f>
        <v>0.46250000000000002</v>
      </c>
      <c r="AF20" s="2">
        <v>4</v>
      </c>
      <c r="AG20" s="18" t="s">
        <v>54</v>
      </c>
    </row>
    <row r="21" spans="2:47" x14ac:dyDescent="0.35">
      <c r="B21" s="1">
        <v>16</v>
      </c>
      <c r="C21" s="2" t="s">
        <v>534</v>
      </c>
      <c r="D21" s="35">
        <v>0.23194444444444443</v>
      </c>
      <c r="E21" s="35">
        <v>0.68402777777777779</v>
      </c>
      <c r="F21" s="30">
        <f>Table1324567891011132125293439444954[[#This Row],[14:25]]-Table1324567891011132125293439444954[[#This Row],[JAM KELUAR]]</f>
        <v>0.45208333333333339</v>
      </c>
      <c r="G21" s="2">
        <v>3</v>
      </c>
      <c r="H21" s="57" t="s">
        <v>54</v>
      </c>
      <c r="W21" s="21"/>
      <c r="X21" s="22"/>
      <c r="AA21" s="1">
        <v>16</v>
      </c>
      <c r="AB21" s="2" t="s">
        <v>246</v>
      </c>
      <c r="AC21" s="35">
        <v>0.21180555555555555</v>
      </c>
      <c r="AD21" s="29">
        <v>0.65277777777777779</v>
      </c>
      <c r="AE21" s="30">
        <f>Table1324567891012162024283338434853[[#This Row],[JAM MASUK]]-Table1324567891012162024283338434853[[#This Row],[JAM KELUAR]]</f>
        <v>0.44097222222222221</v>
      </c>
      <c r="AF21" s="2">
        <v>4</v>
      </c>
      <c r="AG21" s="18" t="s">
        <v>54</v>
      </c>
    </row>
    <row r="22" spans="2:47" ht="18.5" x14ac:dyDescent="0.45">
      <c r="B22" s="1">
        <v>17</v>
      </c>
      <c r="C22" s="2" t="s">
        <v>502</v>
      </c>
      <c r="D22" s="35">
        <v>0.2590277777777778</v>
      </c>
      <c r="E22" s="35">
        <v>0.70972222222222225</v>
      </c>
      <c r="F22" s="30">
        <f>Table1324567891011132125293439444954[[#This Row],[14:25]]-Table1324567891011132125293439444954[[#This Row],[JAM KELUAR]]</f>
        <v>0.45069444444444445</v>
      </c>
      <c r="G22" s="2">
        <v>3</v>
      </c>
      <c r="H22" s="57" t="s">
        <v>54</v>
      </c>
      <c r="O22" s="70" t="s">
        <v>399</v>
      </c>
      <c r="P22" s="70"/>
      <c r="Q22" s="70"/>
      <c r="R22" s="70"/>
      <c r="S22" s="70"/>
      <c r="T22" s="70"/>
      <c r="U22" s="70"/>
      <c r="W22" s="47" t="s">
        <v>160</v>
      </c>
      <c r="X22" s="47"/>
      <c r="AA22" s="1">
        <v>17</v>
      </c>
      <c r="AB22" s="2" t="s">
        <v>247</v>
      </c>
      <c r="AC22" s="35">
        <v>0.21597222222222223</v>
      </c>
      <c r="AD22" s="29">
        <v>0.7090277777777777</v>
      </c>
      <c r="AE22" s="30">
        <f>Table1324567891012162024283338434853[[#This Row],[JAM MASUK]]-Table1324567891012162024283338434853[[#This Row],[JAM KELUAR]]</f>
        <v>0.49305555555555547</v>
      </c>
      <c r="AF22" s="2">
        <v>4</v>
      </c>
      <c r="AG22" s="18" t="s">
        <v>54</v>
      </c>
    </row>
    <row r="23" spans="2:47" ht="15.5" x14ac:dyDescent="0.35">
      <c r="B23" s="1">
        <v>18</v>
      </c>
      <c r="C23" s="2" t="s">
        <v>535</v>
      </c>
      <c r="D23" s="35">
        <v>0.20138888888888887</v>
      </c>
      <c r="E23" s="35">
        <v>0.65972222222222221</v>
      </c>
      <c r="F23" s="30">
        <f>Table1324567891011132125293439444954[[#This Row],[14:25]]-Table1324567891011132125293439444954[[#This Row],[JAM KELUAR]]</f>
        <v>0.45833333333333337</v>
      </c>
      <c r="G23" s="2">
        <v>3</v>
      </c>
      <c r="H23" s="57" t="s">
        <v>54</v>
      </c>
      <c r="O23" s="68">
        <f>B4</f>
        <v>45381</v>
      </c>
      <c r="P23" s="68"/>
      <c r="Q23" s="68"/>
      <c r="R23" s="68"/>
      <c r="S23" s="68"/>
      <c r="T23" s="68"/>
      <c r="U23" s="68"/>
      <c r="W23" s="26"/>
      <c r="X23" s="26"/>
      <c r="AA23" s="1">
        <v>18</v>
      </c>
      <c r="AB23" s="2" t="s">
        <v>341</v>
      </c>
      <c r="AC23" s="35">
        <v>0.21875</v>
      </c>
      <c r="AD23" s="29">
        <v>0.70277777777777783</v>
      </c>
      <c r="AE23" s="30">
        <f>Table1324567891012162024283338434853[[#This Row],[JAM MASUK]]-Table1324567891012162024283338434853[[#This Row],[JAM KELUAR]]</f>
        <v>0.48402777777777783</v>
      </c>
      <c r="AF23" s="2">
        <v>4</v>
      </c>
      <c r="AG23" s="18" t="s">
        <v>54</v>
      </c>
    </row>
    <row r="24" spans="2:47" ht="14.5" customHeight="1" x14ac:dyDescent="0.35">
      <c r="B24" s="1">
        <v>19</v>
      </c>
      <c r="C24" s="2" t="s">
        <v>531</v>
      </c>
      <c r="D24" s="35">
        <v>0.25277777777777777</v>
      </c>
      <c r="E24" s="35">
        <v>0.68125000000000002</v>
      </c>
      <c r="F24" s="30">
        <f>Table1324567891011132125293439444954[[#This Row],[14:25]]-Table1324567891011132125293439444954[[#This Row],[JAM KELUAR]]</f>
        <v>0.42847222222222225</v>
      </c>
      <c r="G24" s="2">
        <v>3</v>
      </c>
      <c r="H24" s="57" t="s">
        <v>54</v>
      </c>
      <c r="O24" s="2" t="s">
        <v>0</v>
      </c>
      <c r="P24" s="2" t="s">
        <v>1</v>
      </c>
      <c r="Q24" s="36" t="s">
        <v>336</v>
      </c>
      <c r="R24" s="36" t="s">
        <v>337</v>
      </c>
      <c r="S24" s="36" t="s">
        <v>338</v>
      </c>
      <c r="T24" s="2" t="s">
        <v>2</v>
      </c>
      <c r="U24" s="2" t="s">
        <v>3</v>
      </c>
      <c r="W24" s="4" t="s">
        <v>161</v>
      </c>
      <c r="X24" s="6">
        <f>SUM(X26:X29)</f>
        <v>8</v>
      </c>
      <c r="AA24" s="1">
        <v>19</v>
      </c>
      <c r="AB24" s="2" t="s">
        <v>250</v>
      </c>
      <c r="AC24" s="35">
        <v>0.2986111111111111</v>
      </c>
      <c r="AD24" s="29">
        <v>0.71805555555555556</v>
      </c>
      <c r="AE24" s="30">
        <f>Table1324567891012162024283338434853[[#This Row],[JAM MASUK]]-Table1324567891012162024283338434853[[#This Row],[JAM KELUAR]]</f>
        <v>0.41944444444444445</v>
      </c>
      <c r="AF24" s="2">
        <v>4</v>
      </c>
      <c r="AG24" s="18" t="s">
        <v>54</v>
      </c>
    </row>
    <row r="25" spans="2:47" ht="14.5" customHeight="1" x14ac:dyDescent="0.35">
      <c r="B25" s="1">
        <v>20</v>
      </c>
      <c r="C25" s="2" t="s">
        <v>537</v>
      </c>
      <c r="D25" s="35">
        <v>0.22291666666666665</v>
      </c>
      <c r="E25" s="35">
        <v>0.69444444444444453</v>
      </c>
      <c r="F25" s="30">
        <f>Table1324567891011132125293439444954[[#This Row],[14:25]]-Table1324567891011132125293439444954[[#This Row],[JAM KELUAR]]</f>
        <v>0.47152777777777788</v>
      </c>
      <c r="G25" s="2">
        <v>3</v>
      </c>
      <c r="H25" s="57" t="s">
        <v>54</v>
      </c>
      <c r="O25" s="16">
        <v>1</v>
      </c>
      <c r="P25" s="37" t="s">
        <v>169</v>
      </c>
      <c r="Q25" s="38">
        <v>0.27847222222222223</v>
      </c>
      <c r="R25" s="58">
        <v>0.63958333333333328</v>
      </c>
      <c r="S25" s="39">
        <f>Table13456789101117222630323641465156[[#This Row],[JAM MASUK]]-Table13456789101117222630323641465156[[#This Row],[JAM KELUAR]]</f>
        <v>0.36111111111111105</v>
      </c>
      <c r="T25" s="37">
        <v>2</v>
      </c>
      <c r="U25" s="17" t="s">
        <v>603</v>
      </c>
      <c r="W25" s="5" t="s">
        <v>10</v>
      </c>
      <c r="X25" s="7">
        <v>8</v>
      </c>
      <c r="AA25" s="1">
        <v>20</v>
      </c>
      <c r="AB25" s="2" t="s">
        <v>212</v>
      </c>
      <c r="AC25" s="35">
        <v>0.29236111111111113</v>
      </c>
      <c r="AD25" s="29">
        <v>0.72499999999999998</v>
      </c>
      <c r="AE25" s="30">
        <f>Table1324567891012162024283338434853[[#This Row],[JAM MASUK]]-Table1324567891012162024283338434853[[#This Row],[JAM KELUAR]]</f>
        <v>0.43263888888888885</v>
      </c>
      <c r="AF25" s="2">
        <v>4</v>
      </c>
      <c r="AG25" s="18" t="s">
        <v>54</v>
      </c>
    </row>
    <row r="26" spans="2:47" ht="14.5" customHeight="1" x14ac:dyDescent="0.35">
      <c r="B26" s="1">
        <v>21</v>
      </c>
      <c r="C26" s="2" t="s">
        <v>25</v>
      </c>
      <c r="D26" s="35">
        <v>0.20208333333333331</v>
      </c>
      <c r="E26" s="35">
        <v>0.63472222222222219</v>
      </c>
      <c r="F26" s="30">
        <f>Table1324567891011132125293439444954[[#This Row],[14:25]]-Table1324567891011132125293439444954[[#This Row],[JAM KELUAR]]</f>
        <v>0.43263888888888891</v>
      </c>
      <c r="G26" s="2">
        <v>3</v>
      </c>
      <c r="H26" s="57" t="s">
        <v>54</v>
      </c>
      <c r="O26" s="16">
        <v>2</v>
      </c>
      <c r="P26" s="37" t="s">
        <v>164</v>
      </c>
      <c r="Q26" s="38">
        <v>0.34166666666666662</v>
      </c>
      <c r="R26" s="58">
        <v>0.56041666666666667</v>
      </c>
      <c r="S26" s="39">
        <f>Table13456789101117222630323641465156[[#This Row],[JAM MASUK]]-Table13456789101117222630323641465156[[#This Row],[JAM KELUAR]]</f>
        <v>0.21875000000000006</v>
      </c>
      <c r="T26" s="37">
        <v>2</v>
      </c>
      <c r="U26" s="17" t="s">
        <v>604</v>
      </c>
      <c r="W26" s="5" t="s">
        <v>9</v>
      </c>
      <c r="X26" s="8">
        <v>7</v>
      </c>
      <c r="AA26" s="1">
        <v>21</v>
      </c>
      <c r="AB26" s="2" t="s">
        <v>254</v>
      </c>
      <c r="AC26" s="35">
        <v>0.21388888888888891</v>
      </c>
      <c r="AD26" s="29">
        <v>0.6875</v>
      </c>
      <c r="AE26" s="30">
        <f>Table1324567891012162024283338434853[[#This Row],[JAM MASUK]]-Table1324567891012162024283338434853[[#This Row],[JAM KELUAR]]</f>
        <v>0.47361111111111109</v>
      </c>
      <c r="AF26" s="2">
        <v>5</v>
      </c>
      <c r="AG26" s="18" t="s">
        <v>54</v>
      </c>
    </row>
    <row r="27" spans="2:47" x14ac:dyDescent="0.35">
      <c r="B27" s="1">
        <v>22</v>
      </c>
      <c r="C27" s="2" t="s">
        <v>27</v>
      </c>
      <c r="D27" s="35">
        <v>0.25</v>
      </c>
      <c r="E27" s="35">
        <v>0.69791666666666663</v>
      </c>
      <c r="F27" s="30">
        <f>Table1324567891011132125293439444954[[#This Row],[14:25]]-Table1324567891011132125293439444954[[#This Row],[JAM KELUAR]]</f>
        <v>0.44791666666666663</v>
      </c>
      <c r="G27" s="2">
        <v>3</v>
      </c>
      <c r="H27" s="57" t="s">
        <v>54</v>
      </c>
      <c r="O27" s="16">
        <v>3</v>
      </c>
      <c r="P27" s="37" t="s">
        <v>172</v>
      </c>
      <c r="Q27" s="38">
        <v>0.28263888888888888</v>
      </c>
      <c r="R27" s="58">
        <v>0.54999999999999993</v>
      </c>
      <c r="S27" s="39">
        <f>Table13456789101117222630323641465156[[#This Row],[JAM MASUK]]-Table13456789101117222630323641465156[[#This Row],[JAM KELUAR]]</f>
        <v>0.26736111111111105</v>
      </c>
      <c r="T27" s="37">
        <v>2</v>
      </c>
      <c r="U27" s="17" t="s">
        <v>605</v>
      </c>
      <c r="W27" s="5" t="s">
        <v>4</v>
      </c>
      <c r="X27" s="8">
        <v>0</v>
      </c>
    </row>
    <row r="28" spans="2:47" x14ac:dyDescent="0.35">
      <c r="O28" s="16">
        <v>4</v>
      </c>
      <c r="P28" s="37" t="s">
        <v>178</v>
      </c>
      <c r="Q28" s="38">
        <v>0.26458333333333334</v>
      </c>
      <c r="R28" s="58">
        <v>0.6875</v>
      </c>
      <c r="S28" s="39">
        <f>Table13456789101117222630323641465156[[#This Row],[JAM MASUK]]-Table13456789101117222630323641465156[[#This Row],[JAM KELUAR]]</f>
        <v>0.42291666666666666</v>
      </c>
      <c r="T28" s="37">
        <v>3</v>
      </c>
      <c r="U28" s="40" t="s">
        <v>606</v>
      </c>
      <c r="W28" s="5" t="s">
        <v>5</v>
      </c>
      <c r="X28" s="8">
        <v>1</v>
      </c>
    </row>
    <row r="29" spans="2:47" x14ac:dyDescent="0.35">
      <c r="O29" s="16">
        <v>5</v>
      </c>
      <c r="P29" s="37" t="s">
        <v>170</v>
      </c>
      <c r="Q29" s="38">
        <v>0.26597222222222222</v>
      </c>
      <c r="R29" s="58">
        <v>0.61597222222222225</v>
      </c>
      <c r="S29" s="39">
        <f>Table13456789101117222630323641465156[[#This Row],[JAM MASUK]]-Table13456789101117222630323641465156[[#This Row],[JAM KELUAR]]</f>
        <v>0.35000000000000003</v>
      </c>
      <c r="T29" s="37">
        <v>3</v>
      </c>
      <c r="U29" s="40" t="s">
        <v>395</v>
      </c>
      <c r="V29" s="1"/>
      <c r="W29" s="5" t="s">
        <v>166</v>
      </c>
      <c r="X29" s="8">
        <v>0</v>
      </c>
    </row>
    <row r="30" spans="2:47" x14ac:dyDescent="0.35">
      <c r="O30" s="16">
        <v>6</v>
      </c>
      <c r="P30" s="37" t="s">
        <v>177</v>
      </c>
      <c r="Q30" s="38">
        <v>0.23611111111111113</v>
      </c>
      <c r="R30" s="38">
        <v>0.54305555555555551</v>
      </c>
      <c r="S30" s="60">
        <f>Table13456789101117222630323641465156[[#This Row],[JAM MASUK]]-Table13456789101117222630323641465156[[#This Row],[JAM KELUAR]]</f>
        <v>0.30694444444444435</v>
      </c>
      <c r="T30" s="37">
        <v>3</v>
      </c>
      <c r="U30" s="40" t="s">
        <v>395</v>
      </c>
      <c r="V30" s="1"/>
      <c r="W30" s="9" t="s">
        <v>8</v>
      </c>
      <c r="X30" s="10">
        <f>SUM(Table13456789101117222630323641465156[Retase])</f>
        <v>19</v>
      </c>
    </row>
    <row r="31" spans="2:47" x14ac:dyDescent="0.35">
      <c r="O31" s="1">
        <v>7</v>
      </c>
      <c r="P31" s="41" t="s">
        <v>171</v>
      </c>
      <c r="Q31" s="42">
        <v>0.28472222222222221</v>
      </c>
      <c r="R31" s="59">
        <v>0.68263888888888891</v>
      </c>
      <c r="S31" s="43">
        <f>Table13456789101117222630323641465156[[#This Row],[JAM MASUK]]-Table13456789101117222630323641465156[[#This Row],[JAM KELUAR]]</f>
        <v>0.3979166666666667</v>
      </c>
      <c r="T31" s="41">
        <v>4</v>
      </c>
      <c r="U31" s="44" t="s">
        <v>54</v>
      </c>
      <c r="V31" s="1"/>
      <c r="W31" s="11" t="s">
        <v>7</v>
      </c>
      <c r="X31" s="12">
        <f>X30/X26</f>
        <v>2.7142857142857144</v>
      </c>
    </row>
    <row r="32" spans="2:47" x14ac:dyDescent="0.35">
      <c r="V32" s="1"/>
      <c r="W32" s="13" t="s">
        <v>11</v>
      </c>
      <c r="X32" s="14">
        <v>4</v>
      </c>
    </row>
    <row r="33" spans="1:24" x14ac:dyDescent="0.35">
      <c r="V33" s="1"/>
      <c r="W33" s="13" t="s">
        <v>51</v>
      </c>
      <c r="X33" s="15">
        <f>X31/X32</f>
        <v>0.6785714285714286</v>
      </c>
    </row>
    <row r="34" spans="1:24" x14ac:dyDescent="0.35">
      <c r="V34" s="1"/>
      <c r="W34" s="13" t="s">
        <v>151</v>
      </c>
      <c r="X34" s="15">
        <f>X26/X25</f>
        <v>0.875</v>
      </c>
    </row>
    <row r="35" spans="1:24" x14ac:dyDescent="0.35">
      <c r="V35" s="1"/>
    </row>
    <row r="36" spans="1:24" x14ac:dyDescent="0.35">
      <c r="P36" s="21"/>
      <c r="Q36" s="22"/>
      <c r="V36" s="1"/>
    </row>
    <row r="37" spans="1:24" x14ac:dyDescent="0.35">
      <c r="P37" s="21"/>
      <c r="Q37" s="22"/>
    </row>
    <row r="38" spans="1:24" x14ac:dyDescent="0.35">
      <c r="W38" s="21"/>
      <c r="X38" s="22"/>
    </row>
    <row r="40" spans="1:24" ht="21" x14ac:dyDescent="0.5">
      <c r="A40" s="25"/>
    </row>
  </sheetData>
  <mergeCells count="18"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  <mergeCell ref="O22:U22"/>
    <mergeCell ref="O23:U23"/>
    <mergeCell ref="AM3:AS3"/>
    <mergeCell ref="AU3:AV4"/>
    <mergeCell ref="B4:H4"/>
    <mergeCell ref="O4:U4"/>
    <mergeCell ref="AA4:AG4"/>
    <mergeCell ref="AM4:AS4"/>
  </mergeCells>
  <pageMargins left="0.12" right="0.12" top="0.75" bottom="0.75" header="0.3" footer="0.3"/>
  <pageSetup paperSize="5" scale="70" fitToWidth="0" orientation="landscape" horizontalDpi="360" verticalDpi="360" r:id="rId1"/>
  <rowBreaks count="1" manualBreakCount="1">
    <brk id="39" max="46" man="1"/>
  </rowBreaks>
  <colBreaks count="3" manualBreakCount="3">
    <brk id="13" max="33" man="1"/>
    <brk id="25" max="33" man="1"/>
    <brk id="37" max="33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8E4B-4787-44C6-8895-1768A2E9FE64}">
  <sheetPr codeName="Sheet2">
    <tabColor theme="7" tint="0.39997558519241921"/>
  </sheetPr>
  <dimension ref="A2:H22"/>
  <sheetViews>
    <sheetView showGridLines="0" zoomScale="115" zoomScaleNormal="115" workbookViewId="0">
      <selection activeCell="B3" sqref="B3:E3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70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16</v>
      </c>
      <c r="D5" s="16">
        <v>2</v>
      </c>
      <c r="E5" s="17" t="s">
        <v>55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53</v>
      </c>
      <c r="D6" s="16">
        <v>2</v>
      </c>
      <c r="E6" s="17" t="s">
        <v>56</v>
      </c>
      <c r="G6" s="5" t="s">
        <v>9</v>
      </c>
      <c r="H6" s="8">
        <v>18</v>
      </c>
    </row>
    <row r="7" spans="1:8" s="1" customFormat="1" x14ac:dyDescent="0.35">
      <c r="A7"/>
      <c r="B7" s="16">
        <v>3</v>
      </c>
      <c r="C7" s="16" t="s">
        <v>19</v>
      </c>
      <c r="D7" s="16">
        <v>2</v>
      </c>
      <c r="E7" s="17" t="s">
        <v>57</v>
      </c>
      <c r="G7" s="5" t="s">
        <v>4</v>
      </c>
      <c r="H7" s="8">
        <v>0</v>
      </c>
    </row>
    <row r="8" spans="1:8" s="1" customFormat="1" x14ac:dyDescent="0.35">
      <c r="A8"/>
      <c r="B8" s="16">
        <v>4</v>
      </c>
      <c r="C8" s="16" t="s">
        <v>32</v>
      </c>
      <c r="D8" s="16">
        <v>2</v>
      </c>
      <c r="E8" s="17" t="s">
        <v>58</v>
      </c>
      <c r="G8" s="5" t="s">
        <v>5</v>
      </c>
      <c r="H8" s="8">
        <v>6</v>
      </c>
    </row>
    <row r="9" spans="1:8" s="1" customFormat="1" x14ac:dyDescent="0.35">
      <c r="A9"/>
      <c r="B9" s="16">
        <v>5</v>
      </c>
      <c r="C9" s="16" t="s">
        <v>20</v>
      </c>
      <c r="D9" s="16">
        <v>1</v>
      </c>
      <c r="E9" s="17" t="s">
        <v>59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21</v>
      </c>
      <c r="D10" s="16">
        <v>2</v>
      </c>
      <c r="E10" s="17" t="s">
        <v>60</v>
      </c>
      <c r="G10" s="9" t="s">
        <v>8</v>
      </c>
      <c r="H10" s="10">
        <v>30</v>
      </c>
    </row>
    <row r="11" spans="1:8" s="1" customFormat="1" x14ac:dyDescent="0.35">
      <c r="A11"/>
      <c r="B11" s="16">
        <v>7</v>
      </c>
      <c r="C11" s="16" t="s">
        <v>22</v>
      </c>
      <c r="D11" s="16">
        <v>2</v>
      </c>
      <c r="E11" s="17" t="s">
        <v>61</v>
      </c>
      <c r="G11" s="11" t="s">
        <v>7</v>
      </c>
      <c r="H11" s="12">
        <f>H10/H6</f>
        <v>1.6666666666666667</v>
      </c>
    </row>
    <row r="12" spans="1:8" s="1" customFormat="1" x14ac:dyDescent="0.35">
      <c r="A12"/>
      <c r="B12" s="16">
        <v>8</v>
      </c>
      <c r="C12" s="16" t="s">
        <v>23</v>
      </c>
      <c r="D12" s="16">
        <v>1</v>
      </c>
      <c r="E12" s="17" t="s">
        <v>35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33</v>
      </c>
      <c r="D13" s="16">
        <v>2</v>
      </c>
      <c r="E13" s="17" t="s">
        <v>35</v>
      </c>
      <c r="G13" s="13" t="s">
        <v>51</v>
      </c>
      <c r="H13" s="15">
        <f>H11/H12</f>
        <v>0.66666666666666674</v>
      </c>
    </row>
    <row r="14" spans="1:8" x14ac:dyDescent="0.35">
      <c r="B14" s="16">
        <v>10</v>
      </c>
      <c r="C14" s="16" t="s">
        <v>24</v>
      </c>
      <c r="D14" s="16">
        <v>1</v>
      </c>
      <c r="E14" s="17" t="s">
        <v>62</v>
      </c>
      <c r="G14" s="13" t="s">
        <v>52</v>
      </c>
      <c r="H14" s="15">
        <f>H6/H5</f>
        <v>0.75</v>
      </c>
    </row>
    <row r="15" spans="1:8" x14ac:dyDescent="0.35">
      <c r="B15" s="16">
        <v>11</v>
      </c>
      <c r="C15" s="16" t="s">
        <v>25</v>
      </c>
      <c r="D15" s="16">
        <v>1</v>
      </c>
      <c r="E15" s="17" t="s">
        <v>63</v>
      </c>
    </row>
    <row r="16" spans="1:8" x14ac:dyDescent="0.35">
      <c r="B16" s="16">
        <v>12</v>
      </c>
      <c r="C16" s="16" t="s">
        <v>26</v>
      </c>
      <c r="D16" s="16">
        <v>2</v>
      </c>
      <c r="E16" s="17" t="s">
        <v>64</v>
      </c>
    </row>
    <row r="17" spans="2:5" x14ac:dyDescent="0.35">
      <c r="B17" s="16">
        <v>13</v>
      </c>
      <c r="C17" s="16" t="s">
        <v>27</v>
      </c>
      <c r="D17" s="16">
        <v>2</v>
      </c>
      <c r="E17" s="17" t="s">
        <v>65</v>
      </c>
    </row>
    <row r="18" spans="2:5" x14ac:dyDescent="0.35">
      <c r="B18" s="16">
        <v>14</v>
      </c>
      <c r="C18" s="16" t="s">
        <v>28</v>
      </c>
      <c r="D18" s="16">
        <v>1</v>
      </c>
      <c r="E18" s="17" t="s">
        <v>66</v>
      </c>
    </row>
    <row r="19" spans="2:5" x14ac:dyDescent="0.35">
      <c r="B19" s="16">
        <v>15</v>
      </c>
      <c r="C19" s="16" t="s">
        <v>29</v>
      </c>
      <c r="D19" s="16">
        <v>2</v>
      </c>
      <c r="E19" s="17" t="s">
        <v>67</v>
      </c>
    </row>
    <row r="20" spans="2:5" x14ac:dyDescent="0.35">
      <c r="B20" s="16">
        <v>16</v>
      </c>
      <c r="C20" s="16" t="s">
        <v>30</v>
      </c>
      <c r="D20" s="16">
        <v>1</v>
      </c>
      <c r="E20" s="17" t="s">
        <v>68</v>
      </c>
    </row>
    <row r="21" spans="2:5" x14ac:dyDescent="0.35">
      <c r="B21" s="16">
        <v>17</v>
      </c>
      <c r="C21" s="16" t="s">
        <v>31</v>
      </c>
      <c r="D21" s="16">
        <v>1</v>
      </c>
      <c r="E21" s="17" t="s">
        <v>69</v>
      </c>
    </row>
    <row r="22" spans="2:5" x14ac:dyDescent="0.35">
      <c r="B22" s="1">
        <v>18</v>
      </c>
      <c r="C22" s="1" t="s">
        <v>15</v>
      </c>
      <c r="D22" s="1">
        <v>3</v>
      </c>
      <c r="E22" s="1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3CA0-865C-4CEC-A452-70B76046DE22}">
  <sheetPr codeName="Sheet20">
    <tabColor theme="7" tint="0.39997558519241921"/>
  </sheetPr>
  <dimension ref="A1:AV40"/>
  <sheetViews>
    <sheetView showGridLines="0" tabSelected="1" view="pageBreakPreview" topLeftCell="B13" zoomScale="70" zoomScaleNormal="55" zoomScaleSheetLayoutView="70" workbookViewId="0">
      <selection activeCell="J28" sqref="J28"/>
    </sheetView>
  </sheetViews>
  <sheetFormatPr defaultRowHeight="14.5" x14ac:dyDescent="0.35"/>
  <cols>
    <col min="1" max="1" width="2.81640625" customWidth="1"/>
    <col min="2" max="2" width="6" customWidth="1"/>
    <col min="3" max="3" width="10.7265625" customWidth="1"/>
    <col min="4" max="4" width="14" customWidth="1"/>
    <col min="5" max="5" width="19.453125" bestFit="1" customWidth="1"/>
    <col min="6" max="6" width="17.1796875" customWidth="1"/>
    <col min="7" max="7" width="9" customWidth="1"/>
    <col min="8" max="8" width="64.7265625" customWidth="1"/>
    <col min="9" max="9" width="3.1796875" customWidth="1"/>
    <col min="10" max="10" width="27.7265625" customWidth="1"/>
    <col min="11" max="11" width="18.08984375" customWidth="1"/>
    <col min="12" max="12" width="0.26953125" style="27" hidden="1" customWidth="1"/>
    <col min="13" max="14" width="1.36328125" customWidth="1"/>
    <col min="15" max="15" width="6.81640625" customWidth="1"/>
    <col min="16" max="16" width="11.7265625" bestFit="1" customWidth="1"/>
    <col min="17" max="17" width="11.7265625" customWidth="1"/>
    <col min="18" max="18" width="19.453125" bestFit="1" customWidth="1"/>
    <col min="19" max="19" width="16.453125" customWidth="1"/>
    <col min="20" max="20" width="11.7265625" customWidth="1"/>
    <col min="21" max="21" width="74.26953125" customWidth="1"/>
    <col min="22" max="22" width="1.453125" customWidth="1"/>
    <col min="23" max="23" width="26.36328125" bestFit="1" customWidth="1"/>
    <col min="24" max="24" width="16.453125" customWidth="1"/>
    <col min="25" max="25" width="1.81640625" customWidth="1"/>
    <col min="26" max="26" width="2" customWidth="1"/>
    <col min="27" max="27" width="5.7265625" customWidth="1"/>
    <col min="28" max="29" width="10.81640625" customWidth="1"/>
    <col min="30" max="30" width="19.453125" bestFit="1" customWidth="1"/>
    <col min="31" max="31" width="16.453125" customWidth="1"/>
    <col min="32" max="32" width="11.7265625" customWidth="1"/>
    <col min="33" max="33" width="82.36328125" customWidth="1"/>
    <col min="34" max="34" width="1.81640625" customWidth="1"/>
    <col min="35" max="35" width="26.36328125" customWidth="1"/>
    <col min="36" max="36" width="14" customWidth="1"/>
    <col min="37" max="37" width="1.81640625" customWidth="1"/>
    <col min="38" max="38" width="2" customWidth="1"/>
    <col min="39" max="39" width="7.36328125" customWidth="1"/>
    <col min="40" max="40" width="14.453125" bestFit="1" customWidth="1"/>
    <col min="41" max="43" width="14.453125" customWidth="1"/>
    <col min="44" max="44" width="12.81640625" customWidth="1"/>
    <col min="45" max="45" width="82.36328125" customWidth="1"/>
    <col min="46" max="46" width="2.54296875" customWidth="1"/>
    <col min="47" max="47" width="27.1796875" customWidth="1"/>
    <col min="48" max="48" width="10" customWidth="1"/>
    <col min="49" max="49" width="17.90625" customWidth="1"/>
    <col min="50" max="50" width="15.81640625" customWidth="1"/>
  </cols>
  <sheetData>
    <row r="1" spans="1:48" ht="21" x14ac:dyDescent="0.5">
      <c r="B1" s="69" t="s">
        <v>194</v>
      </c>
      <c r="C1" s="69"/>
      <c r="D1" s="69"/>
      <c r="E1" s="69"/>
      <c r="F1" s="69"/>
      <c r="G1" s="69"/>
      <c r="H1" s="69"/>
      <c r="I1" s="69"/>
      <c r="J1" s="69"/>
      <c r="K1" s="69"/>
      <c r="O1" s="69" t="s">
        <v>195</v>
      </c>
      <c r="P1" s="69"/>
      <c r="Q1" s="69"/>
      <c r="R1" s="69"/>
      <c r="S1" s="69"/>
      <c r="T1" s="69"/>
      <c r="U1" s="69"/>
      <c r="V1" s="69"/>
      <c r="W1" s="69"/>
      <c r="X1" s="69"/>
      <c r="AA1" s="69" t="s">
        <v>158</v>
      </c>
      <c r="AB1" s="69"/>
      <c r="AC1" s="69"/>
      <c r="AD1" s="69"/>
      <c r="AE1" s="69"/>
      <c r="AF1" s="69"/>
      <c r="AG1" s="69"/>
      <c r="AH1" s="69"/>
      <c r="AI1" s="69"/>
      <c r="AJ1" s="69"/>
      <c r="AM1" s="69" t="s">
        <v>196</v>
      </c>
      <c r="AN1" s="69"/>
      <c r="AO1" s="69"/>
      <c r="AP1" s="69"/>
      <c r="AQ1" s="69"/>
      <c r="AR1" s="69"/>
      <c r="AS1" s="69"/>
      <c r="AT1" s="69"/>
      <c r="AU1" s="69"/>
      <c r="AV1" s="69"/>
    </row>
    <row r="3" spans="1:48" ht="18.5" x14ac:dyDescent="0.45">
      <c r="B3" s="67" t="s">
        <v>49</v>
      </c>
      <c r="C3" s="67"/>
      <c r="D3" s="67"/>
      <c r="E3" s="67"/>
      <c r="F3" s="67"/>
      <c r="G3" s="67"/>
      <c r="H3" s="67"/>
      <c r="J3" s="65" t="s">
        <v>50</v>
      </c>
      <c r="K3" s="65"/>
      <c r="O3" s="70" t="s">
        <v>420</v>
      </c>
      <c r="P3" s="70"/>
      <c r="Q3" s="70"/>
      <c r="R3" s="70"/>
      <c r="S3" s="70"/>
      <c r="T3" s="70"/>
      <c r="U3" s="70"/>
      <c r="W3" s="65" t="s">
        <v>160</v>
      </c>
      <c r="X3" s="65"/>
      <c r="AA3" s="67" t="s">
        <v>143</v>
      </c>
      <c r="AB3" s="67"/>
      <c r="AC3" s="67"/>
      <c r="AD3" s="67"/>
      <c r="AE3" s="67"/>
      <c r="AF3" s="67"/>
      <c r="AG3" s="67"/>
      <c r="AI3" s="65" t="s">
        <v>144</v>
      </c>
      <c r="AJ3" s="65"/>
      <c r="AM3" s="67" t="s">
        <v>179</v>
      </c>
      <c r="AN3" s="67"/>
      <c r="AO3" s="67"/>
      <c r="AP3" s="67"/>
      <c r="AQ3" s="67"/>
      <c r="AR3" s="67"/>
      <c r="AS3" s="67"/>
      <c r="AU3" s="65" t="s">
        <v>180</v>
      </c>
      <c r="AV3" s="65"/>
    </row>
    <row r="4" spans="1:48" x14ac:dyDescent="0.35">
      <c r="B4" s="68">
        <v>45382</v>
      </c>
      <c r="C4" s="68"/>
      <c r="D4" s="68"/>
      <c r="E4" s="68"/>
      <c r="F4" s="68"/>
      <c r="G4" s="68"/>
      <c r="H4" s="68"/>
      <c r="J4" s="66"/>
      <c r="K4" s="66"/>
      <c r="O4" s="68">
        <f>B4</f>
        <v>45382</v>
      </c>
      <c r="P4" s="68"/>
      <c r="Q4" s="68"/>
      <c r="R4" s="68"/>
      <c r="S4" s="68"/>
      <c r="T4" s="68"/>
      <c r="U4" s="68"/>
      <c r="W4" s="66"/>
      <c r="X4" s="66"/>
      <c r="AA4" s="68">
        <f>B4</f>
        <v>45382</v>
      </c>
      <c r="AB4" s="68"/>
      <c r="AC4" s="68"/>
      <c r="AD4" s="68"/>
      <c r="AE4" s="68"/>
      <c r="AF4" s="68"/>
      <c r="AG4" s="68"/>
      <c r="AI4" s="66"/>
      <c r="AJ4" s="66"/>
      <c r="AM4" s="68">
        <f>B4</f>
        <v>45382</v>
      </c>
      <c r="AN4" s="68"/>
      <c r="AO4" s="68"/>
      <c r="AP4" s="68"/>
      <c r="AQ4" s="68"/>
      <c r="AR4" s="68"/>
      <c r="AS4" s="68"/>
      <c r="AU4" s="66"/>
      <c r="AV4" s="66"/>
    </row>
    <row r="5" spans="1:48" s="1" customFormat="1" x14ac:dyDescent="0.35">
      <c r="A5"/>
      <c r="B5" s="2" t="s">
        <v>0</v>
      </c>
      <c r="C5" s="2" t="s">
        <v>1</v>
      </c>
      <c r="D5" s="2" t="s">
        <v>336</v>
      </c>
      <c r="E5" s="61" t="s">
        <v>578</v>
      </c>
      <c r="F5" s="2" t="s">
        <v>338</v>
      </c>
      <c r="G5" s="2" t="s">
        <v>2</v>
      </c>
      <c r="H5" s="2" t="s">
        <v>3</v>
      </c>
      <c r="J5" s="4" t="s">
        <v>48</v>
      </c>
      <c r="K5" s="6">
        <f>SUM(K7:K10)</f>
        <v>23</v>
      </c>
      <c r="L5" s="28"/>
      <c r="O5" s="2" t="s">
        <v>0</v>
      </c>
      <c r="P5" s="2" t="s">
        <v>1</v>
      </c>
      <c r="Q5" s="36" t="s">
        <v>336</v>
      </c>
      <c r="R5" s="36" t="s">
        <v>337</v>
      </c>
      <c r="S5" s="36" t="s">
        <v>338</v>
      </c>
      <c r="T5" s="2" t="s">
        <v>2</v>
      </c>
      <c r="U5" s="2" t="s">
        <v>3</v>
      </c>
      <c r="W5" s="4" t="s">
        <v>161</v>
      </c>
      <c r="X5" s="6">
        <f>SUM(X7:X10)</f>
        <v>18</v>
      </c>
      <c r="AA5" s="2" t="s">
        <v>0</v>
      </c>
      <c r="AB5" s="2" t="s">
        <v>1</v>
      </c>
      <c r="AC5" s="2" t="s">
        <v>336</v>
      </c>
      <c r="AD5" s="2" t="s">
        <v>337</v>
      </c>
      <c r="AE5" s="2" t="s">
        <v>338</v>
      </c>
      <c r="AF5" s="2" t="s">
        <v>2</v>
      </c>
      <c r="AG5" s="2" t="s">
        <v>3</v>
      </c>
      <c r="AI5" s="4" t="s">
        <v>48</v>
      </c>
      <c r="AJ5" s="6">
        <f>SUM(AJ7:AJ10)</f>
        <v>55</v>
      </c>
      <c r="AM5" s="2" t="s">
        <v>0</v>
      </c>
      <c r="AN5" s="2" t="s">
        <v>1</v>
      </c>
      <c r="AO5" s="2" t="s">
        <v>336</v>
      </c>
      <c r="AP5" s="2" t="s">
        <v>337</v>
      </c>
      <c r="AQ5" s="2" t="s">
        <v>338</v>
      </c>
      <c r="AR5" s="2" t="s">
        <v>2</v>
      </c>
      <c r="AS5" s="2" t="s">
        <v>3</v>
      </c>
      <c r="AU5" s="4" t="s">
        <v>48</v>
      </c>
      <c r="AV5" s="6">
        <f>SUM(AV7:AV10)</f>
        <v>15</v>
      </c>
    </row>
    <row r="6" spans="1:48" s="1" customFormat="1" x14ac:dyDescent="0.35">
      <c r="A6"/>
      <c r="B6" s="16">
        <v>1</v>
      </c>
      <c r="C6" s="33" t="s">
        <v>20</v>
      </c>
      <c r="D6" s="34">
        <v>0.28958333333333336</v>
      </c>
      <c r="E6" s="34">
        <v>0.43541666666666662</v>
      </c>
      <c r="F6" s="32">
        <f>Table132456789101113212529343944495461[[#This Row],[14:25]]-Table132456789101113212529343944495461[[#This Row],[JAM KELUAR]]</f>
        <v>0.14583333333333326</v>
      </c>
      <c r="G6" s="33">
        <v>1</v>
      </c>
      <c r="H6" s="40" t="s">
        <v>619</v>
      </c>
      <c r="J6" s="5" t="s">
        <v>10</v>
      </c>
      <c r="K6" s="7">
        <v>23</v>
      </c>
      <c r="L6" s="28"/>
      <c r="O6" s="62">
        <v>1</v>
      </c>
      <c r="P6" s="37" t="s">
        <v>297</v>
      </c>
      <c r="Q6" s="38">
        <v>0.32430555555555557</v>
      </c>
      <c r="R6" s="58" t="s">
        <v>342</v>
      </c>
      <c r="S6" s="39"/>
      <c r="T6" s="37">
        <v>0</v>
      </c>
      <c r="U6" s="40" t="s">
        <v>628</v>
      </c>
      <c r="W6" s="5" t="s">
        <v>10</v>
      </c>
      <c r="X6" s="7">
        <v>18</v>
      </c>
      <c r="AA6" s="16">
        <v>1</v>
      </c>
      <c r="AB6" s="33" t="s">
        <v>209</v>
      </c>
      <c r="AC6" s="34">
        <v>0.23055555555555554</v>
      </c>
      <c r="AD6" s="31">
        <v>0.6333333333333333</v>
      </c>
      <c r="AE6" s="32">
        <f>Table132456789101216202428333843485360[[#This Row],[JAM MASUK]]-Table132456789101216202428333843485360[[#This Row],[JAM KELUAR]]</f>
        <v>0.40277777777777779</v>
      </c>
      <c r="AF6" s="33">
        <v>2</v>
      </c>
      <c r="AG6" s="17" t="s">
        <v>613</v>
      </c>
      <c r="AI6" s="5" t="s">
        <v>10</v>
      </c>
      <c r="AJ6" s="7">
        <v>20</v>
      </c>
      <c r="AM6" s="16">
        <v>1</v>
      </c>
      <c r="AN6" s="33" t="s">
        <v>187</v>
      </c>
      <c r="AO6" s="34">
        <v>0.22430555555555556</v>
      </c>
      <c r="AP6" s="34">
        <v>0.49305555555555558</v>
      </c>
      <c r="AQ6" s="32">
        <f>Table1345678910111518192327313742475259[[#This Row],[JAM MASUK]]-Table1345678910111518192327313742475259[[#This Row],[JAM KELUAR]]</f>
        <v>0.26875000000000004</v>
      </c>
      <c r="AR6" s="33">
        <v>2</v>
      </c>
      <c r="AS6" s="17" t="s">
        <v>608</v>
      </c>
      <c r="AU6" s="5" t="s">
        <v>10</v>
      </c>
      <c r="AV6" s="7">
        <v>15</v>
      </c>
    </row>
    <row r="7" spans="1:48" s="1" customFormat="1" x14ac:dyDescent="0.35">
      <c r="A7"/>
      <c r="B7" s="16">
        <v>2</v>
      </c>
      <c r="C7" s="33" t="s">
        <v>373</v>
      </c>
      <c r="D7" s="34">
        <v>0.28055555555555556</v>
      </c>
      <c r="E7" s="34">
        <v>0.56597222222222221</v>
      </c>
      <c r="F7" s="32">
        <f>Table132456789101113212529343944495461[[#This Row],[14:25]]-Table132456789101113212529343944495461[[#This Row],[JAM KELUAR]]</f>
        <v>0.28541666666666665</v>
      </c>
      <c r="G7" s="33">
        <v>2</v>
      </c>
      <c r="H7" s="50" t="s">
        <v>620</v>
      </c>
      <c r="J7" s="5" t="s">
        <v>9</v>
      </c>
      <c r="K7" s="8">
        <v>22</v>
      </c>
      <c r="L7" s="28"/>
      <c r="O7" s="16">
        <v>2</v>
      </c>
      <c r="P7" s="37" t="s">
        <v>162</v>
      </c>
      <c r="Q7" s="38">
        <v>0.24583333333333335</v>
      </c>
      <c r="R7" s="58">
        <v>0.54375000000000007</v>
      </c>
      <c r="S7" s="39">
        <f t="shared" ref="S7:S20" si="0">R7-Q7</f>
        <v>0.29791666666666672</v>
      </c>
      <c r="T7" s="37">
        <v>1</v>
      </c>
      <c r="U7" s="17" t="s">
        <v>629</v>
      </c>
      <c r="W7" s="5" t="s">
        <v>9</v>
      </c>
      <c r="X7" s="8">
        <v>15</v>
      </c>
      <c r="AA7" s="16">
        <v>2</v>
      </c>
      <c r="AB7" s="33" t="s">
        <v>204</v>
      </c>
      <c r="AC7" s="34">
        <v>0.27430555555555552</v>
      </c>
      <c r="AD7" s="31">
        <v>0.70833333333333337</v>
      </c>
      <c r="AE7" s="32">
        <f>Table132456789101216202428333843485360[[#This Row],[JAM MASUK]]-Table132456789101216202428333843485360[[#This Row],[JAM KELUAR]]</f>
        <v>0.43402777777777785</v>
      </c>
      <c r="AF7" s="33">
        <v>3</v>
      </c>
      <c r="AG7" s="17" t="s">
        <v>614</v>
      </c>
      <c r="AI7" s="5" t="s">
        <v>9</v>
      </c>
      <c r="AJ7" s="8">
        <v>21</v>
      </c>
      <c r="AM7" s="16">
        <v>2</v>
      </c>
      <c r="AN7" s="33" t="s">
        <v>253</v>
      </c>
      <c r="AO7" s="34">
        <v>0.22916666666666666</v>
      </c>
      <c r="AP7" s="34">
        <v>0.49513888888888885</v>
      </c>
      <c r="AQ7" s="32">
        <f>Table1345678910111518192327313742475259[[#This Row],[JAM MASUK]]-Table1345678910111518192327313742475259[[#This Row],[JAM KELUAR]]</f>
        <v>0.26597222222222217</v>
      </c>
      <c r="AR7" s="33">
        <v>3</v>
      </c>
      <c r="AS7" s="17" t="s">
        <v>612</v>
      </c>
      <c r="AU7" s="5" t="s">
        <v>9</v>
      </c>
      <c r="AV7" s="7">
        <v>13</v>
      </c>
    </row>
    <row r="8" spans="1:48" s="1" customFormat="1" x14ac:dyDescent="0.35">
      <c r="A8"/>
      <c r="B8" s="16">
        <v>3</v>
      </c>
      <c r="C8" s="33" t="s">
        <v>21</v>
      </c>
      <c r="D8" s="34">
        <v>0.27986111111111112</v>
      </c>
      <c r="E8" s="34">
        <v>0.72916666666666663</v>
      </c>
      <c r="F8" s="32">
        <f>Table132456789101113212529343944495461[[#This Row],[14:25]]-Table132456789101113212529343944495461[[#This Row],[JAM KELUAR]]</f>
        <v>0.44930555555555551</v>
      </c>
      <c r="G8" s="33">
        <v>2</v>
      </c>
      <c r="H8" s="17" t="s">
        <v>621</v>
      </c>
      <c r="J8" s="5" t="s">
        <v>4</v>
      </c>
      <c r="K8" s="8">
        <v>0</v>
      </c>
      <c r="L8" s="28"/>
      <c r="O8" s="16">
        <v>3</v>
      </c>
      <c r="P8" s="37" t="s">
        <v>168</v>
      </c>
      <c r="Q8" s="38">
        <v>0.3527777777777778</v>
      </c>
      <c r="R8" s="58">
        <v>0.56597222222222221</v>
      </c>
      <c r="S8" s="39">
        <f t="shared" si="0"/>
        <v>0.21319444444444441</v>
      </c>
      <c r="T8" s="37">
        <v>1</v>
      </c>
      <c r="U8" s="17"/>
      <c r="W8" s="5" t="s">
        <v>4</v>
      </c>
      <c r="X8" s="8">
        <v>0</v>
      </c>
      <c r="AA8" s="16">
        <v>3</v>
      </c>
      <c r="AB8" s="33" t="s">
        <v>149</v>
      </c>
      <c r="AC8" s="34">
        <v>0.24722222222222223</v>
      </c>
      <c r="AD8" s="31">
        <v>0.6</v>
      </c>
      <c r="AE8" s="32">
        <f>Table132456789101216202428333843485360[[#This Row],[JAM MASUK]]-Table132456789101216202428333843485360[[#This Row],[JAM KELUAR]]</f>
        <v>0.35277777777777775</v>
      </c>
      <c r="AF8" s="33">
        <v>3</v>
      </c>
      <c r="AG8" s="17" t="s">
        <v>615</v>
      </c>
      <c r="AI8" s="5" t="s">
        <v>4</v>
      </c>
      <c r="AJ8" s="8">
        <v>0</v>
      </c>
      <c r="AM8" s="16">
        <v>3</v>
      </c>
      <c r="AN8" s="33" t="s">
        <v>190</v>
      </c>
      <c r="AO8" s="34">
        <v>0.4145833333333333</v>
      </c>
      <c r="AP8" s="34">
        <v>0.67986111111111114</v>
      </c>
      <c r="AQ8" s="32">
        <f>Table1345678910111518192327313742475259[[#This Row],[JAM MASUK]]-Table1345678910111518192327313742475259[[#This Row],[JAM KELUAR]]</f>
        <v>0.26527777777777783</v>
      </c>
      <c r="AR8" s="33">
        <v>3</v>
      </c>
      <c r="AS8" s="17" t="s">
        <v>609</v>
      </c>
      <c r="AU8" s="5" t="s">
        <v>4</v>
      </c>
      <c r="AV8" s="8">
        <v>1</v>
      </c>
    </row>
    <row r="9" spans="1:48" s="1" customFormat="1" x14ac:dyDescent="0.35">
      <c r="A9"/>
      <c r="B9" s="16">
        <v>4</v>
      </c>
      <c r="C9" s="33" t="s">
        <v>22</v>
      </c>
      <c r="D9" s="34">
        <v>0.29236111111111113</v>
      </c>
      <c r="E9" s="34">
        <v>0.6</v>
      </c>
      <c r="F9" s="32">
        <f>Table132456789101113212529343944495461[[#This Row],[14:25]]-Table132456789101113212529343944495461[[#This Row],[JAM KELUAR]]</f>
        <v>0.30763888888888885</v>
      </c>
      <c r="G9" s="33">
        <v>2</v>
      </c>
      <c r="H9" s="40" t="s">
        <v>622</v>
      </c>
      <c r="J9" s="5" t="s">
        <v>5</v>
      </c>
      <c r="K9" s="8">
        <v>1</v>
      </c>
      <c r="L9" s="28"/>
      <c r="O9" s="62">
        <v>4</v>
      </c>
      <c r="P9" s="37" t="s">
        <v>176</v>
      </c>
      <c r="Q9" s="38">
        <v>0.4381944444444445</v>
      </c>
      <c r="R9" s="58">
        <v>0.74861111111111101</v>
      </c>
      <c r="S9" s="39">
        <f t="shared" si="0"/>
        <v>0.31041666666666651</v>
      </c>
      <c r="T9" s="37">
        <v>1</v>
      </c>
      <c r="U9" s="17" t="s">
        <v>630</v>
      </c>
      <c r="W9" s="5" t="s">
        <v>5</v>
      </c>
      <c r="X9" s="8">
        <v>3</v>
      </c>
      <c r="AA9" s="16">
        <v>4</v>
      </c>
      <c r="AB9" s="33" t="s">
        <v>206</v>
      </c>
      <c r="AC9" s="34">
        <v>0.22500000000000001</v>
      </c>
      <c r="AD9" s="31">
        <v>0.59652777777777777</v>
      </c>
      <c r="AE9" s="32">
        <f>Table132456789101216202428333843485360[[#This Row],[JAM MASUK]]-Table132456789101216202428333843485360[[#This Row],[JAM KELUAR]]</f>
        <v>0.37152777777777779</v>
      </c>
      <c r="AF9" s="33">
        <v>3</v>
      </c>
      <c r="AG9" s="17" t="s">
        <v>616</v>
      </c>
      <c r="AI9" s="5" t="s">
        <v>5</v>
      </c>
      <c r="AJ9" s="8">
        <v>1</v>
      </c>
      <c r="AM9" s="16">
        <v>4</v>
      </c>
      <c r="AN9" s="33" t="s">
        <v>186</v>
      </c>
      <c r="AO9" s="34">
        <v>0.24097222222222223</v>
      </c>
      <c r="AP9" s="34">
        <v>0.67361111111111116</v>
      </c>
      <c r="AQ9" s="32">
        <f>Table1345678910111518192327313742475259[[#This Row],[JAM MASUK]]-Table1345678910111518192327313742475259[[#This Row],[JAM KELUAR]]</f>
        <v>0.43263888888888891</v>
      </c>
      <c r="AR9" s="33">
        <v>4</v>
      </c>
      <c r="AS9" s="17" t="s">
        <v>610</v>
      </c>
      <c r="AU9" s="5" t="s">
        <v>5</v>
      </c>
      <c r="AV9" s="8">
        <v>1</v>
      </c>
    </row>
    <row r="10" spans="1:48" s="1" customFormat="1" x14ac:dyDescent="0.35">
      <c r="A10"/>
      <c r="B10" s="16">
        <v>5</v>
      </c>
      <c r="C10" s="33" t="s">
        <v>33</v>
      </c>
      <c r="D10" s="34">
        <v>0.2951388888888889</v>
      </c>
      <c r="E10" s="34">
        <v>0.67152777777777783</v>
      </c>
      <c r="F10" s="32">
        <f>Table132456789101113212529343944495461[[#This Row],[14:25]]-Table132456789101113212529343944495461[[#This Row],[JAM KELUAR]]</f>
        <v>0.37638888888888894</v>
      </c>
      <c r="G10" s="33">
        <v>2</v>
      </c>
      <c r="H10" s="17" t="s">
        <v>623</v>
      </c>
      <c r="J10" s="5" t="s">
        <v>6</v>
      </c>
      <c r="K10" s="8">
        <v>0</v>
      </c>
      <c r="L10" s="28"/>
      <c r="O10" s="16">
        <v>5</v>
      </c>
      <c r="P10" s="37" t="s">
        <v>295</v>
      </c>
      <c r="Q10" s="38">
        <v>0.27847222222222223</v>
      </c>
      <c r="R10" s="58">
        <v>0.65763888888888888</v>
      </c>
      <c r="S10" s="39">
        <f t="shared" si="0"/>
        <v>0.37916666666666665</v>
      </c>
      <c r="T10" s="37">
        <v>2</v>
      </c>
      <c r="U10" s="17"/>
      <c r="W10" s="5" t="s">
        <v>166</v>
      </c>
      <c r="X10" s="8">
        <v>0</v>
      </c>
      <c r="AA10" s="16">
        <v>5</v>
      </c>
      <c r="AB10" s="33" t="s">
        <v>255</v>
      </c>
      <c r="AC10" s="34">
        <v>0.26180555555555557</v>
      </c>
      <c r="AD10" s="31">
        <v>0.6118055555555556</v>
      </c>
      <c r="AE10" s="32">
        <f>Table132456789101216202428333843485360[[#This Row],[JAM MASUK]]-Table132456789101216202428333843485360[[#This Row],[JAM KELUAR]]</f>
        <v>0.35000000000000003</v>
      </c>
      <c r="AF10" s="33">
        <v>3</v>
      </c>
      <c r="AG10" s="17" t="s">
        <v>617</v>
      </c>
      <c r="AI10" s="5" t="s">
        <v>6</v>
      </c>
      <c r="AJ10" s="8">
        <v>33</v>
      </c>
      <c r="AM10" s="16">
        <v>5</v>
      </c>
      <c r="AN10" s="33" t="s">
        <v>191</v>
      </c>
      <c r="AO10" s="34">
        <v>0.28125</v>
      </c>
      <c r="AP10" s="34">
        <v>0.67847222222222225</v>
      </c>
      <c r="AQ10" s="32">
        <f>Table1345678910111518192327313742475259[[#This Row],[JAM MASUK]]-Table1345678910111518192327313742475259[[#This Row],[JAM KELUAR]]</f>
        <v>0.39722222222222225</v>
      </c>
      <c r="AR10" s="33">
        <v>4</v>
      </c>
      <c r="AS10" s="17" t="s">
        <v>611</v>
      </c>
      <c r="AU10" s="5" t="s">
        <v>6</v>
      </c>
      <c r="AV10" s="8">
        <v>0</v>
      </c>
    </row>
    <row r="11" spans="1:48" s="1" customFormat="1" x14ac:dyDescent="0.35">
      <c r="A11"/>
      <c r="B11" s="16">
        <v>6</v>
      </c>
      <c r="C11" s="33" t="s">
        <v>532</v>
      </c>
      <c r="D11" s="34">
        <v>0.28750000000000003</v>
      </c>
      <c r="E11" s="34">
        <v>0.58402777777777781</v>
      </c>
      <c r="F11" s="32">
        <f>Table132456789101113212529343944495461[[#This Row],[14:25]]-Table132456789101113212529343944495461[[#This Row],[JAM KELUAR]]</f>
        <v>0.29652777777777778</v>
      </c>
      <c r="G11" s="33">
        <v>2</v>
      </c>
      <c r="H11" s="17"/>
      <c r="J11" s="9" t="s">
        <v>8</v>
      </c>
      <c r="K11" s="10">
        <f>SUM(Table132456789101113212529343944495461[Retase])</f>
        <v>53</v>
      </c>
      <c r="L11" s="28"/>
      <c r="O11" s="16">
        <v>6</v>
      </c>
      <c r="P11" s="37" t="s">
        <v>296</v>
      </c>
      <c r="Q11" s="38">
        <v>0.3520833333333333</v>
      </c>
      <c r="R11" s="58">
        <v>0.74236111111111114</v>
      </c>
      <c r="S11" s="39">
        <f t="shared" si="0"/>
        <v>0.39027777777777783</v>
      </c>
      <c r="T11" s="37">
        <v>2</v>
      </c>
      <c r="U11" s="17" t="s">
        <v>631</v>
      </c>
      <c r="W11" s="9" t="s">
        <v>8</v>
      </c>
      <c r="X11" s="10">
        <f>SUM(Table13456789101117222630354045505562[Retase])</f>
        <v>26</v>
      </c>
      <c r="AA11" s="16">
        <v>6</v>
      </c>
      <c r="AB11" s="33" t="s">
        <v>155</v>
      </c>
      <c r="AC11" s="34">
        <v>0.31944444444444448</v>
      </c>
      <c r="AD11" s="31">
        <v>0.68819444444444444</v>
      </c>
      <c r="AE11" s="32">
        <f>Table132456789101216202428333843485360[[#This Row],[JAM MASUK]]-Table132456789101216202428333843485360[[#This Row],[JAM KELUAR]]</f>
        <v>0.36874999999999997</v>
      </c>
      <c r="AF11" s="33">
        <v>3</v>
      </c>
      <c r="AG11" s="17" t="s">
        <v>618</v>
      </c>
      <c r="AI11" s="9" t="s">
        <v>8</v>
      </c>
      <c r="AJ11" s="10">
        <f>SUM(Table132456789101216202428333843485360[Retase])</f>
        <v>76</v>
      </c>
      <c r="AM11" s="1">
        <v>6</v>
      </c>
      <c r="AN11" s="2" t="s">
        <v>184</v>
      </c>
      <c r="AO11" s="35">
        <v>0.32291666666666669</v>
      </c>
      <c r="AP11" s="35">
        <v>0.7416666666666667</v>
      </c>
      <c r="AQ11" s="30">
        <f>Table1345678910111518192327313742475259[[#This Row],[JAM MASUK]]-Table1345678910111518192327313742475259[[#This Row],[JAM KELUAR]]</f>
        <v>0.41875000000000001</v>
      </c>
      <c r="AR11" s="2">
        <v>5</v>
      </c>
      <c r="AS11" s="18" t="s">
        <v>54</v>
      </c>
      <c r="AU11" s="9" t="s">
        <v>8</v>
      </c>
      <c r="AV11" s="10">
        <f>SUM(Table1345678910111518192327313742475259[Retase])</f>
        <v>37</v>
      </c>
    </row>
    <row r="12" spans="1:48" s="1" customFormat="1" x14ac:dyDescent="0.35">
      <c r="A12"/>
      <c r="B12" s="16">
        <v>7</v>
      </c>
      <c r="C12" s="33" t="s">
        <v>535</v>
      </c>
      <c r="D12" s="34">
        <v>0.27291666666666664</v>
      </c>
      <c r="E12" s="34">
        <v>0.53611111111111109</v>
      </c>
      <c r="F12" s="32">
        <f>Table132456789101113212529343944495461[[#This Row],[14:25]]-Table132456789101113212529343944495461[[#This Row],[JAM KELUAR]]</f>
        <v>0.26319444444444445</v>
      </c>
      <c r="G12" s="33">
        <v>2</v>
      </c>
      <c r="H12" s="50" t="s">
        <v>89</v>
      </c>
      <c r="J12" s="11" t="s">
        <v>7</v>
      </c>
      <c r="K12" s="12">
        <f>K11/K7</f>
        <v>2.4090909090909092</v>
      </c>
      <c r="L12" s="28"/>
      <c r="O12" s="62">
        <v>7</v>
      </c>
      <c r="P12" s="37" t="s">
        <v>298</v>
      </c>
      <c r="Q12" s="38">
        <v>0.28125</v>
      </c>
      <c r="R12" s="58">
        <v>0.68888888888888899</v>
      </c>
      <c r="S12" s="39">
        <f t="shared" si="0"/>
        <v>0.40763888888888899</v>
      </c>
      <c r="T12" s="37">
        <v>2</v>
      </c>
      <c r="U12" s="40" t="s">
        <v>632</v>
      </c>
      <c r="W12" s="11" t="s">
        <v>7</v>
      </c>
      <c r="X12" s="12">
        <f>X11/X7</f>
        <v>1.7333333333333334</v>
      </c>
      <c r="AA12" s="1">
        <v>7</v>
      </c>
      <c r="AB12" s="2" t="s">
        <v>203</v>
      </c>
      <c r="AC12" s="35">
        <v>0.27430555555555552</v>
      </c>
      <c r="AD12" s="29">
        <v>0.73055555555555562</v>
      </c>
      <c r="AE12" s="30">
        <f>Table132456789101216202428333843485360[[#This Row],[JAM MASUK]]-Table132456789101216202428333843485360[[#This Row],[JAM KELUAR]]</f>
        <v>0.4562500000000001</v>
      </c>
      <c r="AF12" s="2">
        <v>4</v>
      </c>
      <c r="AG12" s="18" t="s">
        <v>54</v>
      </c>
      <c r="AI12" s="11" t="s">
        <v>7</v>
      </c>
      <c r="AJ12" s="12">
        <f>AJ11/AJ7</f>
        <v>3.6190476190476191</v>
      </c>
      <c r="AM12" s="1">
        <v>7</v>
      </c>
      <c r="AN12" s="2" t="s">
        <v>185</v>
      </c>
      <c r="AO12" s="35">
        <v>0.21249999999999999</v>
      </c>
      <c r="AP12" s="35">
        <v>0.74097222222222225</v>
      </c>
      <c r="AQ12" s="30">
        <f>Table1345678910111518192327313742475259[[#This Row],[JAM MASUK]]-Table1345678910111518192327313742475259[[#This Row],[JAM KELUAR]]</f>
        <v>0.52847222222222223</v>
      </c>
      <c r="AR12" s="2">
        <v>5</v>
      </c>
      <c r="AS12" s="18" t="s">
        <v>54</v>
      </c>
      <c r="AU12" s="11" t="s">
        <v>7</v>
      </c>
      <c r="AV12" s="12">
        <f>AV11/AV7</f>
        <v>2.8461538461538463</v>
      </c>
    </row>
    <row r="13" spans="1:48" s="1" customFormat="1" x14ac:dyDescent="0.35">
      <c r="A13"/>
      <c r="B13" s="16">
        <v>8</v>
      </c>
      <c r="C13" s="33" t="s">
        <v>536</v>
      </c>
      <c r="D13" s="34">
        <v>0.3659722222222222</v>
      </c>
      <c r="E13" s="34">
        <v>0.64027777777777783</v>
      </c>
      <c r="F13" s="32">
        <f>Table132456789101113212529343944495461[[#This Row],[14:25]]-Table132456789101113212529343944495461[[#This Row],[JAM KELUAR]]</f>
        <v>0.27430555555555564</v>
      </c>
      <c r="G13" s="33">
        <v>2</v>
      </c>
      <c r="H13" s="40" t="s">
        <v>624</v>
      </c>
      <c r="J13" s="13" t="s">
        <v>11</v>
      </c>
      <c r="K13" s="14">
        <v>2.5</v>
      </c>
      <c r="L13" s="28"/>
      <c r="O13" s="16">
        <v>8</v>
      </c>
      <c r="P13" s="37" t="s">
        <v>300</v>
      </c>
      <c r="Q13" s="38">
        <v>0.3125</v>
      </c>
      <c r="R13" s="58">
        <v>0.67013888888888884</v>
      </c>
      <c r="S13" s="39">
        <f t="shared" si="0"/>
        <v>0.35763888888888884</v>
      </c>
      <c r="T13" s="37">
        <v>2</v>
      </c>
      <c r="U13" s="40" t="s">
        <v>633</v>
      </c>
      <c r="W13" s="13" t="s">
        <v>11</v>
      </c>
      <c r="X13" s="14">
        <v>2.5</v>
      </c>
      <c r="AA13" s="1">
        <v>8</v>
      </c>
      <c r="AB13" s="2" t="s">
        <v>154</v>
      </c>
      <c r="AC13" s="35">
        <v>0.3263888888888889</v>
      </c>
      <c r="AD13" s="29">
        <v>0.70416666666666661</v>
      </c>
      <c r="AE13" s="30">
        <f>Table132456789101216202428333843485360[[#This Row],[JAM MASUK]]-Table132456789101216202428333843485360[[#This Row],[JAM KELUAR]]</f>
        <v>0.37777777777777771</v>
      </c>
      <c r="AF13" s="2">
        <v>4</v>
      </c>
      <c r="AG13" s="18" t="s">
        <v>54</v>
      </c>
      <c r="AI13" s="13" t="s">
        <v>11</v>
      </c>
      <c r="AJ13" s="14">
        <v>4</v>
      </c>
      <c r="AM13" s="1">
        <v>8</v>
      </c>
      <c r="AN13" s="2" t="s">
        <v>252</v>
      </c>
      <c r="AO13" s="35">
        <v>0.25486111111111109</v>
      </c>
      <c r="AP13" s="35">
        <v>0.67708333333333337</v>
      </c>
      <c r="AQ13" s="30">
        <f>Table1345678910111518192327313742475259[[#This Row],[JAM MASUK]]-Table1345678910111518192327313742475259[[#This Row],[JAM KELUAR]]</f>
        <v>0.42222222222222228</v>
      </c>
      <c r="AR13" s="2">
        <v>5</v>
      </c>
      <c r="AS13" s="18" t="s">
        <v>54</v>
      </c>
      <c r="AU13" s="13" t="s">
        <v>11</v>
      </c>
      <c r="AV13" s="14">
        <v>5</v>
      </c>
    </row>
    <row r="14" spans="1:48" s="1" customFormat="1" x14ac:dyDescent="0.35">
      <c r="A14"/>
      <c r="B14" s="16">
        <v>9</v>
      </c>
      <c r="C14" s="33" t="s">
        <v>25</v>
      </c>
      <c r="D14" s="34">
        <v>0.20347222222222219</v>
      </c>
      <c r="E14" s="34">
        <v>0.52083333333333337</v>
      </c>
      <c r="F14" s="32">
        <f>Table132456789101113212529343944495461[[#This Row],[14:25]]-Table132456789101113212529343944495461[[#This Row],[JAM KELUAR]]</f>
        <v>0.3173611111111112</v>
      </c>
      <c r="G14" s="33">
        <v>2</v>
      </c>
      <c r="H14" s="50" t="s">
        <v>625</v>
      </c>
      <c r="J14" s="13" t="s">
        <v>51</v>
      </c>
      <c r="K14" s="15">
        <f>K12/K13</f>
        <v>0.96363636363636362</v>
      </c>
      <c r="L14" s="28"/>
      <c r="O14" s="16">
        <v>9</v>
      </c>
      <c r="P14" s="37" t="s">
        <v>173</v>
      </c>
      <c r="Q14" s="38">
        <v>0.27430555555555552</v>
      </c>
      <c r="R14" s="58">
        <v>0.65486111111111112</v>
      </c>
      <c r="S14" s="39">
        <f t="shared" si="0"/>
        <v>0.38055555555555559</v>
      </c>
      <c r="T14" s="37">
        <v>2</v>
      </c>
      <c r="U14" s="17" t="s">
        <v>634</v>
      </c>
      <c r="W14" s="13" t="s">
        <v>51</v>
      </c>
      <c r="X14" s="15">
        <f>X12/X13</f>
        <v>0.69333333333333336</v>
      </c>
      <c r="AA14" s="1">
        <v>9</v>
      </c>
      <c r="AB14" s="2" t="s">
        <v>245</v>
      </c>
      <c r="AC14" s="35">
        <v>0.3</v>
      </c>
      <c r="AD14" s="29">
        <v>0.71805555555555556</v>
      </c>
      <c r="AE14" s="30">
        <f>Table132456789101216202428333843485360[[#This Row],[JAM MASUK]]-Table132456789101216202428333843485360[[#This Row],[JAM KELUAR]]</f>
        <v>0.41805555555555557</v>
      </c>
      <c r="AF14" s="2">
        <v>4</v>
      </c>
      <c r="AG14" s="18" t="s">
        <v>54</v>
      </c>
      <c r="AI14" s="13" t="s">
        <v>51</v>
      </c>
      <c r="AJ14" s="15">
        <f>AJ12/AJ13</f>
        <v>0.90476190476190477</v>
      </c>
      <c r="AM14" s="1">
        <v>9</v>
      </c>
      <c r="AN14" s="2" t="s">
        <v>181</v>
      </c>
      <c r="AO14" s="35">
        <v>0.2986111111111111</v>
      </c>
      <c r="AP14" s="35">
        <v>0.74375000000000002</v>
      </c>
      <c r="AQ14" s="30">
        <f>Table1345678910111518192327313742475259[[#This Row],[JAM MASUK]]-Table1345678910111518192327313742475259[[#This Row],[JAM KELUAR]]</f>
        <v>0.44513888888888892</v>
      </c>
      <c r="AR14" s="2">
        <v>6</v>
      </c>
      <c r="AS14" s="18" t="s">
        <v>54</v>
      </c>
      <c r="AU14" s="13" t="s">
        <v>51</v>
      </c>
      <c r="AV14" s="15">
        <f>AV12/AV13</f>
        <v>0.56923076923076921</v>
      </c>
    </row>
    <row r="15" spans="1:48" x14ac:dyDescent="0.35">
      <c r="B15" s="16">
        <v>10</v>
      </c>
      <c r="C15" s="33" t="s">
        <v>26</v>
      </c>
      <c r="D15" s="34">
        <v>0.3125</v>
      </c>
      <c r="E15" s="34">
        <v>0.6972222222222223</v>
      </c>
      <c r="F15" s="32">
        <f>Table132456789101113212529343944495461[[#This Row],[14:25]]-Table132456789101113212529343944495461[[#This Row],[JAM KELUAR]]</f>
        <v>0.3847222222222223</v>
      </c>
      <c r="G15" s="33">
        <v>2</v>
      </c>
      <c r="H15" s="51" t="s">
        <v>626</v>
      </c>
      <c r="J15" s="13" t="s">
        <v>52</v>
      </c>
      <c r="K15" s="15">
        <f>K7/K6</f>
        <v>0.95652173913043481</v>
      </c>
      <c r="O15" s="62">
        <v>10</v>
      </c>
      <c r="P15" s="55" t="s">
        <v>174</v>
      </c>
      <c r="Q15" s="56">
        <v>0.21805555555555556</v>
      </c>
      <c r="R15" s="63">
        <v>0.60555555555555551</v>
      </c>
      <c r="S15" s="39">
        <f t="shared" si="0"/>
        <v>0.38749999999999996</v>
      </c>
      <c r="T15" s="55">
        <v>2</v>
      </c>
      <c r="U15" s="17" t="s">
        <v>635</v>
      </c>
      <c r="W15" s="13" t="s">
        <v>151</v>
      </c>
      <c r="X15" s="15">
        <f>X7/X6</f>
        <v>0.83333333333333337</v>
      </c>
      <c r="AA15" s="1">
        <v>10</v>
      </c>
      <c r="AB15" s="2" t="s">
        <v>280</v>
      </c>
      <c r="AC15" s="35">
        <v>0.25694444444444448</v>
      </c>
      <c r="AD15" s="29">
        <v>0.69930555555555562</v>
      </c>
      <c r="AE15" s="30">
        <f>Table132456789101216202428333843485360[[#This Row],[JAM MASUK]]-Table132456789101216202428333843485360[[#This Row],[JAM KELUAR]]</f>
        <v>0.44236111111111115</v>
      </c>
      <c r="AF15" s="2">
        <v>4</v>
      </c>
      <c r="AG15" s="18" t="s">
        <v>54</v>
      </c>
      <c r="AI15" s="13" t="s">
        <v>151</v>
      </c>
      <c r="AJ15" s="15">
        <f>AJ7/AJ6</f>
        <v>1.05</v>
      </c>
      <c r="AU15" s="13" t="s">
        <v>151</v>
      </c>
      <c r="AV15" s="15">
        <f>AV7/AV6</f>
        <v>0.8666666666666667</v>
      </c>
    </row>
    <row r="16" spans="1:48" x14ac:dyDescent="0.35">
      <c r="B16" s="16">
        <v>11</v>
      </c>
      <c r="C16" s="33" t="s">
        <v>29</v>
      </c>
      <c r="D16" s="34">
        <v>0.26041666666666669</v>
      </c>
      <c r="E16" s="34">
        <v>0.67013888888888884</v>
      </c>
      <c r="F16" s="32">
        <f>Table132456789101113212529343944495461[[#This Row],[14:25]]-Table132456789101113212529343944495461[[#This Row],[JAM KELUAR]]</f>
        <v>0.40972222222222215</v>
      </c>
      <c r="G16" s="33">
        <v>2</v>
      </c>
      <c r="H16" s="50"/>
      <c r="O16" s="16">
        <v>11</v>
      </c>
      <c r="P16" s="37" t="s">
        <v>165</v>
      </c>
      <c r="Q16" s="38">
        <v>0.34722222222222227</v>
      </c>
      <c r="R16" s="58">
        <v>0.69930555555555562</v>
      </c>
      <c r="S16" s="39">
        <f t="shared" si="0"/>
        <v>0.35208333333333336</v>
      </c>
      <c r="T16" s="37">
        <v>2</v>
      </c>
      <c r="U16" s="17"/>
      <c r="W16" s="21"/>
      <c r="X16" s="22"/>
      <c r="AA16" s="1">
        <v>11</v>
      </c>
      <c r="AB16" s="2" t="s">
        <v>249</v>
      </c>
      <c r="AC16" s="35">
        <v>0.2590277777777778</v>
      </c>
      <c r="AD16" s="29">
        <v>0.67152777777777783</v>
      </c>
      <c r="AE16" s="30">
        <f>Table132456789101216202428333843485360[[#This Row],[JAM MASUK]]-Table132456789101216202428333843485360[[#This Row],[JAM KELUAR]]</f>
        <v>0.41250000000000003</v>
      </c>
      <c r="AF16" s="2">
        <v>4</v>
      </c>
      <c r="AG16" s="18" t="s">
        <v>54</v>
      </c>
    </row>
    <row r="17" spans="2:47" x14ac:dyDescent="0.35">
      <c r="B17" s="16">
        <v>12</v>
      </c>
      <c r="C17" s="33" t="s">
        <v>31</v>
      </c>
      <c r="D17" s="34">
        <v>0.33333333333333331</v>
      </c>
      <c r="E17" s="34">
        <v>0.66041666666666665</v>
      </c>
      <c r="F17" s="32">
        <f>Table132456789101113212529343944495461[[#This Row],[14:25]]-Table132456789101113212529343944495461[[#This Row],[JAM KELUAR]]</f>
        <v>0.32708333333333334</v>
      </c>
      <c r="G17" s="33">
        <v>2</v>
      </c>
      <c r="H17" s="51" t="s">
        <v>627</v>
      </c>
      <c r="O17" s="16">
        <v>12</v>
      </c>
      <c r="P17" s="37" t="s">
        <v>163</v>
      </c>
      <c r="Q17" s="38">
        <v>0.27152777777777776</v>
      </c>
      <c r="R17" s="38">
        <v>0.70624999999999993</v>
      </c>
      <c r="S17" s="39">
        <f t="shared" si="0"/>
        <v>0.43472222222222218</v>
      </c>
      <c r="T17" s="37">
        <v>2</v>
      </c>
      <c r="U17" s="17"/>
      <c r="W17" s="21"/>
      <c r="X17" s="22"/>
      <c r="AA17" s="1">
        <v>12</v>
      </c>
      <c r="AB17" s="2" t="s">
        <v>208</v>
      </c>
      <c r="AC17" s="35">
        <v>0.26874999999999999</v>
      </c>
      <c r="AD17" s="29">
        <v>0.68888888888888899</v>
      </c>
      <c r="AE17" s="30">
        <f>Table132456789101216202428333843485360[[#This Row],[JAM MASUK]]-Table132456789101216202428333843485360[[#This Row],[JAM KELUAR]]</f>
        <v>0.42013888888888901</v>
      </c>
      <c r="AF17" s="2">
        <v>4</v>
      </c>
      <c r="AG17" s="18" t="s">
        <v>54</v>
      </c>
      <c r="AU17" s="20"/>
    </row>
    <row r="18" spans="2:47" x14ac:dyDescent="0.35">
      <c r="B18" s="1">
        <v>13</v>
      </c>
      <c r="C18" s="2" t="s">
        <v>23</v>
      </c>
      <c r="D18" s="35">
        <v>0.25347222222222221</v>
      </c>
      <c r="E18" s="35">
        <v>0.64930555555555558</v>
      </c>
      <c r="F18" s="30">
        <f>Table132456789101113212529343944495461[[#This Row],[14:25]]-Table132456789101113212529343944495461[[#This Row],[JAM KELUAR]]</f>
        <v>0.39583333333333337</v>
      </c>
      <c r="G18" s="2">
        <v>3</v>
      </c>
      <c r="H18" s="44" t="s">
        <v>54</v>
      </c>
      <c r="O18" s="62">
        <v>13</v>
      </c>
      <c r="P18" s="37" t="s">
        <v>167</v>
      </c>
      <c r="Q18" s="38">
        <v>0.33819444444444446</v>
      </c>
      <c r="R18" s="58">
        <v>0.69097222222222221</v>
      </c>
      <c r="S18" s="39">
        <f t="shared" si="0"/>
        <v>0.35277777777777775</v>
      </c>
      <c r="T18" s="37">
        <v>2</v>
      </c>
      <c r="U18" s="40" t="s">
        <v>636</v>
      </c>
      <c r="W18" s="21"/>
      <c r="X18" s="22"/>
      <c r="AA18" s="1">
        <v>13</v>
      </c>
      <c r="AB18" s="2" t="s">
        <v>212</v>
      </c>
      <c r="AC18" s="35">
        <v>0.23750000000000002</v>
      </c>
      <c r="AD18" s="29">
        <v>0.64930555555555558</v>
      </c>
      <c r="AE18" s="30">
        <f>Table132456789101216202428333843485360[[#This Row],[JAM MASUK]]-Table132456789101216202428333843485360[[#This Row],[JAM KELUAR]]</f>
        <v>0.41180555555555554</v>
      </c>
      <c r="AF18" s="2">
        <v>4</v>
      </c>
      <c r="AG18" s="18" t="s">
        <v>54</v>
      </c>
      <c r="AI18" s="20"/>
    </row>
    <row r="19" spans="2:47" ht="17" customHeight="1" x14ac:dyDescent="0.35">
      <c r="B19" s="1">
        <v>14</v>
      </c>
      <c r="C19" s="2" t="s">
        <v>24</v>
      </c>
      <c r="D19" s="35">
        <v>0.29305555555555557</v>
      </c>
      <c r="E19" s="35">
        <v>0.71527777777777779</v>
      </c>
      <c r="F19" s="30">
        <f>Table132456789101113212529343944495461[[#This Row],[14:25]]-Table132456789101113212529343944495461[[#This Row],[JAM KELUAR]]</f>
        <v>0.42222222222222222</v>
      </c>
      <c r="G19" s="2">
        <v>3</v>
      </c>
      <c r="H19" s="44" t="s">
        <v>54</v>
      </c>
      <c r="O19" s="16">
        <v>14</v>
      </c>
      <c r="P19" s="37" t="s">
        <v>301</v>
      </c>
      <c r="Q19" s="38">
        <v>0.25486111111111109</v>
      </c>
      <c r="R19" s="58">
        <v>0.64374999999999993</v>
      </c>
      <c r="S19" s="39">
        <f t="shared" si="0"/>
        <v>0.38888888888888884</v>
      </c>
      <c r="T19" s="37">
        <v>2</v>
      </c>
      <c r="U19" s="17" t="s">
        <v>637</v>
      </c>
      <c r="AA19" s="1">
        <v>14</v>
      </c>
      <c r="AB19" s="2" t="s">
        <v>251</v>
      </c>
      <c r="AC19" s="35">
        <v>0.2722222222222222</v>
      </c>
      <c r="AD19" s="29">
        <v>0.6972222222222223</v>
      </c>
      <c r="AE19" s="30">
        <f>Table132456789101216202428333843485360[[#This Row],[JAM MASUK]]-Table132456789101216202428333843485360[[#This Row],[JAM KELUAR]]</f>
        <v>0.4250000000000001</v>
      </c>
      <c r="AF19" s="2">
        <v>4</v>
      </c>
      <c r="AG19" s="18" t="s">
        <v>54</v>
      </c>
    </row>
    <row r="20" spans="2:47" x14ac:dyDescent="0.35">
      <c r="B20" s="1">
        <v>15</v>
      </c>
      <c r="C20" s="2" t="s">
        <v>533</v>
      </c>
      <c r="D20" s="35">
        <v>0.21736111111111112</v>
      </c>
      <c r="E20" s="35">
        <v>0.62847222222222221</v>
      </c>
      <c r="F20" s="30">
        <f>Table132456789101113212529343944495461[[#This Row],[14:25]]-Table132456789101113212529343944495461[[#This Row],[JAM KELUAR]]</f>
        <v>0.41111111111111109</v>
      </c>
      <c r="G20" s="2">
        <v>3</v>
      </c>
      <c r="H20" s="44" t="s">
        <v>54</v>
      </c>
      <c r="O20" s="1">
        <v>15</v>
      </c>
      <c r="P20" s="41" t="s">
        <v>302</v>
      </c>
      <c r="Q20" s="42">
        <v>0.22291666666666665</v>
      </c>
      <c r="R20" s="59">
        <v>0.69791666666666663</v>
      </c>
      <c r="S20" s="43">
        <f t="shared" si="0"/>
        <v>0.47499999999999998</v>
      </c>
      <c r="T20" s="41">
        <v>3</v>
      </c>
      <c r="U20" s="44" t="s">
        <v>54</v>
      </c>
      <c r="AA20" s="1">
        <v>15</v>
      </c>
      <c r="AB20" s="2" t="s">
        <v>281</v>
      </c>
      <c r="AC20" s="35">
        <v>0.24652777777777779</v>
      </c>
      <c r="AD20" s="29">
        <v>0.67361111111111116</v>
      </c>
      <c r="AE20" s="30">
        <f>Table132456789101216202428333843485360[[#This Row],[JAM MASUK]]-Table132456789101216202428333843485360[[#This Row],[JAM KELUAR]]</f>
        <v>0.42708333333333337</v>
      </c>
      <c r="AF20" s="2">
        <v>4</v>
      </c>
      <c r="AG20" s="18" t="s">
        <v>54</v>
      </c>
    </row>
    <row r="21" spans="2:47" x14ac:dyDescent="0.35">
      <c r="B21" s="1">
        <v>16</v>
      </c>
      <c r="C21" s="2" t="s">
        <v>534</v>
      </c>
      <c r="D21" s="35">
        <v>0.24097222222222223</v>
      </c>
      <c r="E21" s="35">
        <v>0.68194444444444446</v>
      </c>
      <c r="F21" s="30">
        <f>Table132456789101113212529343944495461[[#This Row],[14:25]]-Table132456789101113212529343944495461[[#This Row],[JAM KELUAR]]</f>
        <v>0.44097222222222221</v>
      </c>
      <c r="G21" s="2">
        <v>3</v>
      </c>
      <c r="H21" s="44" t="s">
        <v>54</v>
      </c>
      <c r="AA21" s="1">
        <v>16</v>
      </c>
      <c r="AB21" s="2" t="s">
        <v>211</v>
      </c>
      <c r="AC21" s="35">
        <v>0.22083333333333333</v>
      </c>
      <c r="AD21" s="29">
        <v>0.65</v>
      </c>
      <c r="AE21" s="30">
        <f>Table132456789101216202428333843485360[[#This Row],[JAM MASUK]]-Table132456789101216202428333843485360[[#This Row],[JAM KELUAR]]</f>
        <v>0.4291666666666667</v>
      </c>
      <c r="AF21" s="2">
        <v>4</v>
      </c>
      <c r="AG21" s="18" t="s">
        <v>54</v>
      </c>
    </row>
    <row r="22" spans="2:47" x14ac:dyDescent="0.35">
      <c r="B22" s="1">
        <v>17</v>
      </c>
      <c r="C22" s="2" t="s">
        <v>502</v>
      </c>
      <c r="D22" s="35">
        <v>0.25347222222222221</v>
      </c>
      <c r="E22" s="35">
        <v>0.67083333333333339</v>
      </c>
      <c r="F22" s="30">
        <f>Table132456789101113212529343944495461[[#This Row],[14:25]]-Table132456789101113212529343944495461[[#This Row],[JAM KELUAR]]</f>
        <v>0.41736111111111118</v>
      </c>
      <c r="G22" s="2">
        <v>3</v>
      </c>
      <c r="H22" s="44" t="s">
        <v>54</v>
      </c>
      <c r="AA22" s="1">
        <v>17</v>
      </c>
      <c r="AB22" s="2" t="s">
        <v>282</v>
      </c>
      <c r="AC22" s="35">
        <v>0.27916666666666667</v>
      </c>
      <c r="AD22" s="29">
        <v>0.70000000000000007</v>
      </c>
      <c r="AE22" s="30">
        <f>Table132456789101216202428333843485360[[#This Row],[JAM MASUK]]-Table132456789101216202428333843485360[[#This Row],[JAM KELUAR]]</f>
        <v>0.42083333333333339</v>
      </c>
      <c r="AF22" s="2">
        <v>4</v>
      </c>
      <c r="AG22" s="18" t="s">
        <v>54</v>
      </c>
    </row>
    <row r="23" spans="2:47" ht="18.5" x14ac:dyDescent="0.45">
      <c r="B23" s="1">
        <v>18</v>
      </c>
      <c r="C23" s="2" t="s">
        <v>531</v>
      </c>
      <c r="D23" s="35">
        <v>0.27291666666666664</v>
      </c>
      <c r="E23" s="35">
        <v>0.68402777777777779</v>
      </c>
      <c r="F23" s="30">
        <f>Table132456789101113212529343944495461[[#This Row],[14:25]]-Table132456789101113212529343944495461[[#This Row],[JAM KELUAR]]</f>
        <v>0.41111111111111115</v>
      </c>
      <c r="G23" s="2">
        <v>3</v>
      </c>
      <c r="H23" s="44" t="s">
        <v>54</v>
      </c>
      <c r="O23" s="70" t="s">
        <v>399</v>
      </c>
      <c r="P23" s="70"/>
      <c r="Q23" s="70"/>
      <c r="R23" s="70"/>
      <c r="S23" s="70"/>
      <c r="T23" s="70"/>
      <c r="U23" s="70"/>
      <c r="W23" s="47" t="s">
        <v>160</v>
      </c>
      <c r="X23" s="47"/>
      <c r="AA23" s="1">
        <v>18</v>
      </c>
      <c r="AB23" s="2" t="s">
        <v>148</v>
      </c>
      <c r="AC23" s="35">
        <v>0.23194444444444443</v>
      </c>
      <c r="AD23" s="29">
        <v>0.72569444444444453</v>
      </c>
      <c r="AE23" s="30">
        <f>Table132456789101216202428333843485360[[#This Row],[JAM MASUK]]-Table132456789101216202428333843485360[[#This Row],[JAM KELUAR]]</f>
        <v>0.49375000000000013</v>
      </c>
      <c r="AF23" s="2">
        <v>5</v>
      </c>
      <c r="AG23" s="18" t="s">
        <v>54</v>
      </c>
    </row>
    <row r="24" spans="2:47" ht="14.5" customHeight="1" x14ac:dyDescent="0.35">
      <c r="B24" s="1">
        <v>19</v>
      </c>
      <c r="C24" s="2" t="s">
        <v>537</v>
      </c>
      <c r="D24" s="35">
        <v>0.23263888888888887</v>
      </c>
      <c r="E24" s="35">
        <v>0.67222222222222217</v>
      </c>
      <c r="F24" s="30">
        <f>Table132456789101113212529343944495461[[#This Row],[14:25]]-Table132456789101113212529343944495461[[#This Row],[JAM KELUAR]]</f>
        <v>0.43958333333333333</v>
      </c>
      <c r="G24" s="2">
        <v>3</v>
      </c>
      <c r="H24" s="44" t="s">
        <v>54</v>
      </c>
      <c r="O24" s="68">
        <f>B4</f>
        <v>45382</v>
      </c>
      <c r="P24" s="68"/>
      <c r="Q24" s="68"/>
      <c r="R24" s="68"/>
      <c r="S24" s="68"/>
      <c r="T24" s="68"/>
      <c r="U24" s="68"/>
      <c r="W24" s="26"/>
      <c r="X24" s="26"/>
      <c r="AA24" s="1">
        <v>19</v>
      </c>
      <c r="AB24" s="2" t="s">
        <v>250</v>
      </c>
      <c r="AC24" s="35">
        <v>0.20625000000000002</v>
      </c>
      <c r="AD24" s="29">
        <v>0.71180555555555547</v>
      </c>
      <c r="AE24" s="30">
        <f>Table132456789101216202428333843485360[[#This Row],[JAM MASUK]]-Table132456789101216202428333843485360[[#This Row],[JAM KELUAR]]</f>
        <v>0.50555555555555542</v>
      </c>
      <c r="AF24" s="2">
        <v>5</v>
      </c>
      <c r="AG24" s="18" t="s">
        <v>54</v>
      </c>
    </row>
    <row r="25" spans="2:47" ht="14.5" customHeight="1" x14ac:dyDescent="0.35">
      <c r="B25" s="1">
        <v>20</v>
      </c>
      <c r="C25" s="2" t="s">
        <v>538</v>
      </c>
      <c r="D25" s="35">
        <v>0.19444444444444445</v>
      </c>
      <c r="E25" s="35">
        <v>0.64583333333333337</v>
      </c>
      <c r="F25" s="30">
        <f>Table132456789101113212529343944495461[[#This Row],[14:25]]-Table132456789101113212529343944495461[[#This Row],[JAM KELUAR]]</f>
        <v>0.45138888888888895</v>
      </c>
      <c r="G25" s="2">
        <v>3</v>
      </c>
      <c r="H25" s="44" t="s">
        <v>54</v>
      </c>
      <c r="O25" s="2" t="s">
        <v>0</v>
      </c>
      <c r="P25" s="2" t="s">
        <v>1</v>
      </c>
      <c r="Q25" s="36" t="s">
        <v>336</v>
      </c>
      <c r="R25" s="36" t="s">
        <v>337</v>
      </c>
      <c r="S25" s="36" t="s">
        <v>338</v>
      </c>
      <c r="T25" s="2" t="s">
        <v>2</v>
      </c>
      <c r="U25" s="2" t="s">
        <v>3</v>
      </c>
      <c r="W25" s="4" t="s">
        <v>161</v>
      </c>
      <c r="X25" s="6">
        <f>SUM(X27:X30)</f>
        <v>8</v>
      </c>
      <c r="AA25" s="1">
        <v>20</v>
      </c>
      <c r="AB25" s="2" t="s">
        <v>210</v>
      </c>
      <c r="AC25" s="35">
        <v>0.22083333333333333</v>
      </c>
      <c r="AD25" s="29">
        <v>0.73125000000000007</v>
      </c>
      <c r="AE25" s="30">
        <f>Table132456789101216202428333843485360[[#This Row],[JAM MASUK]]-Table132456789101216202428333843485360[[#This Row],[JAM KELUAR]]</f>
        <v>0.51041666666666674</v>
      </c>
      <c r="AF25" s="2">
        <v>5</v>
      </c>
      <c r="AG25" s="18" t="s">
        <v>54</v>
      </c>
    </row>
    <row r="26" spans="2:47" ht="14.5" customHeight="1" x14ac:dyDescent="0.35">
      <c r="B26" s="1">
        <v>21</v>
      </c>
      <c r="C26" s="2" t="s">
        <v>27</v>
      </c>
      <c r="D26" s="35">
        <v>0.25486111111111109</v>
      </c>
      <c r="E26" s="35">
        <v>0.70624999999999993</v>
      </c>
      <c r="F26" s="30">
        <f>Table132456789101113212529343944495461[[#This Row],[14:25]]-Table132456789101113212529343944495461[[#This Row],[JAM KELUAR]]</f>
        <v>0.45138888888888884</v>
      </c>
      <c r="G26" s="2">
        <v>3</v>
      </c>
      <c r="H26" s="44" t="s">
        <v>54</v>
      </c>
      <c r="O26" s="16">
        <v>1</v>
      </c>
      <c r="P26" s="37" t="s">
        <v>169</v>
      </c>
      <c r="Q26" s="38">
        <v>0.39930555555555558</v>
      </c>
      <c r="R26" s="58">
        <v>0.50416666666666665</v>
      </c>
      <c r="S26" s="39">
        <f t="shared" ref="S26:S31" si="1">R26-Q26</f>
        <v>0.10486111111111107</v>
      </c>
      <c r="T26" s="37">
        <v>1</v>
      </c>
      <c r="U26" s="17"/>
      <c r="W26" s="5" t="s">
        <v>10</v>
      </c>
      <c r="X26" s="7">
        <v>8</v>
      </c>
    </row>
    <row r="27" spans="2:47" x14ac:dyDescent="0.35">
      <c r="B27" s="1">
        <v>22</v>
      </c>
      <c r="C27" s="2" t="s">
        <v>30</v>
      </c>
      <c r="D27" s="35">
        <v>0.26666666666666666</v>
      </c>
      <c r="E27" s="35">
        <v>0.6958333333333333</v>
      </c>
      <c r="F27" s="30">
        <f>Table132456789101113212529343944495461[[#This Row],[14:25]]-Table132456789101113212529343944495461[[#This Row],[JAM KELUAR]]</f>
        <v>0.42916666666666664</v>
      </c>
      <c r="G27" s="2">
        <v>3</v>
      </c>
      <c r="H27" s="44" t="s">
        <v>54</v>
      </c>
      <c r="O27" s="16">
        <v>2</v>
      </c>
      <c r="P27" s="37" t="s">
        <v>178</v>
      </c>
      <c r="Q27" s="38">
        <v>0.25069444444444444</v>
      </c>
      <c r="R27" s="58">
        <v>0.44305555555555554</v>
      </c>
      <c r="S27" s="39">
        <f t="shared" si="1"/>
        <v>0.19236111111111109</v>
      </c>
      <c r="T27" s="37">
        <v>2</v>
      </c>
      <c r="U27" s="17" t="s">
        <v>638</v>
      </c>
      <c r="W27" s="5" t="s">
        <v>9</v>
      </c>
      <c r="X27" s="8">
        <v>6</v>
      </c>
    </row>
    <row r="28" spans="2:47" x14ac:dyDescent="0.35">
      <c r="O28" s="16">
        <v>3</v>
      </c>
      <c r="P28" s="37" t="s">
        <v>171</v>
      </c>
      <c r="Q28" s="38">
        <v>0.40138888888888885</v>
      </c>
      <c r="R28" s="58">
        <v>0.72152777777777777</v>
      </c>
      <c r="S28" s="39">
        <f t="shared" si="1"/>
        <v>0.32013888888888892</v>
      </c>
      <c r="T28" s="37">
        <v>3</v>
      </c>
      <c r="U28" s="40" t="s">
        <v>639</v>
      </c>
      <c r="W28" s="5" t="s">
        <v>4</v>
      </c>
      <c r="X28" s="8">
        <v>0</v>
      </c>
    </row>
    <row r="29" spans="2:47" x14ac:dyDescent="0.35">
      <c r="O29" s="16">
        <v>4</v>
      </c>
      <c r="P29" s="37" t="s">
        <v>177</v>
      </c>
      <c r="Q29" s="38">
        <v>0.3</v>
      </c>
      <c r="R29" s="58">
        <v>0.60347222222222219</v>
      </c>
      <c r="S29" s="39">
        <f t="shared" si="1"/>
        <v>0.3034722222222222</v>
      </c>
      <c r="T29" s="37">
        <v>3</v>
      </c>
      <c r="U29" s="40" t="s">
        <v>640</v>
      </c>
      <c r="W29" s="5" t="s">
        <v>5</v>
      </c>
      <c r="X29" s="8">
        <v>2</v>
      </c>
    </row>
    <row r="30" spans="2:47" x14ac:dyDescent="0.35">
      <c r="O30" s="1">
        <v>5</v>
      </c>
      <c r="P30" s="41" t="s">
        <v>170</v>
      </c>
      <c r="Q30" s="42">
        <v>0.26666666666666666</v>
      </c>
      <c r="R30" s="59">
        <v>0.66319444444444442</v>
      </c>
      <c r="S30" s="43">
        <f t="shared" si="1"/>
        <v>0.39652777777777776</v>
      </c>
      <c r="T30" s="41">
        <v>4</v>
      </c>
      <c r="U30" s="44" t="s">
        <v>54</v>
      </c>
      <c r="W30" s="5" t="s">
        <v>166</v>
      </c>
      <c r="X30" s="8">
        <v>0</v>
      </c>
    </row>
    <row r="31" spans="2:47" x14ac:dyDescent="0.35">
      <c r="O31" s="1">
        <v>6</v>
      </c>
      <c r="P31" s="41" t="s">
        <v>172</v>
      </c>
      <c r="Q31" s="42">
        <v>0.29305555555555557</v>
      </c>
      <c r="R31" s="59">
        <v>0.70277777777777783</v>
      </c>
      <c r="S31" s="43">
        <f t="shared" si="1"/>
        <v>0.40972222222222227</v>
      </c>
      <c r="T31" s="41">
        <v>4</v>
      </c>
      <c r="U31" s="44" t="s">
        <v>54</v>
      </c>
      <c r="V31" s="1"/>
      <c r="W31" s="9" t="s">
        <v>8</v>
      </c>
      <c r="X31" s="10">
        <f>SUM(Table1345678910111722263032364146515663[Retase])</f>
        <v>17</v>
      </c>
    </row>
    <row r="32" spans="2:47" x14ac:dyDescent="0.35">
      <c r="V32" s="1"/>
      <c r="W32" s="11" t="s">
        <v>7</v>
      </c>
      <c r="X32" s="12">
        <f>X31/X27</f>
        <v>2.8333333333333335</v>
      </c>
    </row>
    <row r="33" spans="1:24" x14ac:dyDescent="0.35">
      <c r="V33" s="1"/>
      <c r="W33" s="13" t="s">
        <v>11</v>
      </c>
      <c r="X33" s="14">
        <v>4</v>
      </c>
    </row>
    <row r="34" spans="1:24" x14ac:dyDescent="0.35">
      <c r="V34" s="1"/>
      <c r="W34" s="13" t="s">
        <v>51</v>
      </c>
      <c r="X34" s="15">
        <f>X32/X33</f>
        <v>0.70833333333333337</v>
      </c>
    </row>
    <row r="35" spans="1:24" x14ac:dyDescent="0.35">
      <c r="V35" s="1"/>
      <c r="W35" s="13" t="s">
        <v>151</v>
      </c>
      <c r="X35" s="15">
        <f>X27/X26</f>
        <v>0.75</v>
      </c>
    </row>
    <row r="36" spans="1:24" x14ac:dyDescent="0.35">
      <c r="V36" s="1"/>
    </row>
    <row r="37" spans="1:24" x14ac:dyDescent="0.35">
      <c r="V37" s="1"/>
    </row>
    <row r="40" spans="1:24" ht="21" x14ac:dyDescent="0.5">
      <c r="A40" s="25"/>
    </row>
  </sheetData>
  <mergeCells count="18"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  <mergeCell ref="O23:U23"/>
    <mergeCell ref="O24:U24"/>
    <mergeCell ref="AM3:AS3"/>
    <mergeCell ref="AU3:AV4"/>
    <mergeCell ref="B4:H4"/>
    <mergeCell ref="O4:U4"/>
    <mergeCell ref="AA4:AG4"/>
    <mergeCell ref="AM4:AS4"/>
  </mergeCells>
  <pageMargins left="0.12" right="0.12" top="0.75" bottom="0.75" header="0.3" footer="0.3"/>
  <pageSetup paperSize="5" scale="70" fitToWidth="0" orientation="landscape" horizontalDpi="360" verticalDpi="360" r:id="rId1"/>
  <rowBreaks count="1" manualBreakCount="1">
    <brk id="39" max="46" man="1"/>
  </rowBreaks>
  <colBreaks count="3" manualBreakCount="3">
    <brk id="13" max="35" man="1"/>
    <brk id="25" max="35" man="1"/>
    <brk id="37" max="35" man="1"/>
  </colBreaks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B5F3-B9E6-4060-838A-73E233AE3030}">
  <sheetPr codeName="Sheet3">
    <tabColor theme="7" tint="0.39997558519241921"/>
  </sheetPr>
  <dimension ref="A2:H21"/>
  <sheetViews>
    <sheetView showGridLines="0" zoomScaleNormal="100" workbookViewId="0">
      <selection activeCell="E33" sqref="E33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71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23</v>
      </c>
    </row>
    <row r="5" spans="1:8" s="1" customFormat="1" x14ac:dyDescent="0.35">
      <c r="A5"/>
      <c r="B5" s="16">
        <v>1</v>
      </c>
      <c r="C5" s="16" t="s">
        <v>72</v>
      </c>
      <c r="D5" s="16">
        <v>2</v>
      </c>
      <c r="E5" s="17" t="s">
        <v>74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73</v>
      </c>
      <c r="D6" s="16">
        <v>2</v>
      </c>
      <c r="E6" s="17" t="s">
        <v>75</v>
      </c>
      <c r="G6" s="5" t="s">
        <v>9</v>
      </c>
      <c r="H6" s="8">
        <v>17</v>
      </c>
    </row>
    <row r="7" spans="1:8" s="1" customFormat="1" x14ac:dyDescent="0.35">
      <c r="A7"/>
      <c r="B7" s="16">
        <v>3</v>
      </c>
      <c r="C7" s="16" t="s">
        <v>53</v>
      </c>
      <c r="D7" s="16">
        <v>2</v>
      </c>
      <c r="E7" s="17" t="s">
        <v>76</v>
      </c>
      <c r="G7" s="5" t="s">
        <v>4</v>
      </c>
      <c r="H7" s="8">
        <v>0</v>
      </c>
    </row>
    <row r="8" spans="1:8" s="1" customFormat="1" x14ac:dyDescent="0.35">
      <c r="A8"/>
      <c r="B8" s="16">
        <v>4</v>
      </c>
      <c r="C8" s="16" t="s">
        <v>20</v>
      </c>
      <c r="D8" s="16">
        <v>2</v>
      </c>
      <c r="E8" s="17" t="s">
        <v>77</v>
      </c>
      <c r="G8" s="5" t="s">
        <v>5</v>
      </c>
      <c r="H8" s="8">
        <v>6</v>
      </c>
    </row>
    <row r="9" spans="1:8" s="1" customFormat="1" x14ac:dyDescent="0.35">
      <c r="A9"/>
      <c r="B9" s="16">
        <v>5</v>
      </c>
      <c r="C9" s="16" t="s">
        <v>21</v>
      </c>
      <c r="D9" s="16">
        <v>2</v>
      </c>
      <c r="E9" s="17" t="s">
        <v>78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23</v>
      </c>
      <c r="D10" s="16">
        <v>2</v>
      </c>
      <c r="E10" s="17" t="s">
        <v>79</v>
      </c>
      <c r="G10" s="9" t="s">
        <v>8</v>
      </c>
      <c r="H10" s="10">
        <v>37</v>
      </c>
    </row>
    <row r="11" spans="1:8" s="1" customFormat="1" x14ac:dyDescent="0.35">
      <c r="A11"/>
      <c r="B11" s="16">
        <v>7</v>
      </c>
      <c r="C11" s="16" t="s">
        <v>33</v>
      </c>
      <c r="D11" s="16">
        <v>2</v>
      </c>
      <c r="E11" s="17" t="s">
        <v>80</v>
      </c>
      <c r="G11" s="11" t="s">
        <v>7</v>
      </c>
      <c r="H11" s="12">
        <f>H10/H6</f>
        <v>2.1764705882352939</v>
      </c>
    </row>
    <row r="12" spans="1:8" s="1" customFormat="1" x14ac:dyDescent="0.35">
      <c r="A12"/>
      <c r="B12" s="16">
        <v>8</v>
      </c>
      <c r="C12" s="16" t="s">
        <v>24</v>
      </c>
      <c r="D12" s="16">
        <v>2</v>
      </c>
      <c r="E12" s="17" t="s">
        <v>79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26</v>
      </c>
      <c r="D13" s="16">
        <v>2</v>
      </c>
      <c r="E13" s="17" t="s">
        <v>81</v>
      </c>
      <c r="G13" s="13" t="s">
        <v>51</v>
      </c>
      <c r="H13" s="15">
        <f>H11/H12</f>
        <v>0.87058823529411755</v>
      </c>
    </row>
    <row r="14" spans="1:8" x14ac:dyDescent="0.35">
      <c r="B14" s="16">
        <v>10</v>
      </c>
      <c r="C14" s="16" t="s">
        <v>27</v>
      </c>
      <c r="D14" s="16">
        <v>2</v>
      </c>
      <c r="E14" s="17" t="s">
        <v>79</v>
      </c>
      <c r="G14" s="13" t="s">
        <v>52</v>
      </c>
      <c r="H14" s="15">
        <f>H6/H5</f>
        <v>0.70833333333333337</v>
      </c>
    </row>
    <row r="15" spans="1:8" x14ac:dyDescent="0.35">
      <c r="B15" s="16">
        <v>11</v>
      </c>
      <c r="C15" s="16" t="s">
        <v>28</v>
      </c>
      <c r="D15" s="16">
        <v>2</v>
      </c>
      <c r="E15" s="17" t="s">
        <v>79</v>
      </c>
    </row>
    <row r="16" spans="1:8" x14ac:dyDescent="0.35">
      <c r="B16" s="16">
        <v>12</v>
      </c>
      <c r="C16" s="16" t="s">
        <v>29</v>
      </c>
      <c r="D16" s="16">
        <v>2</v>
      </c>
      <c r="E16" s="17" t="s">
        <v>83</v>
      </c>
    </row>
    <row r="17" spans="2:5" x14ac:dyDescent="0.35">
      <c r="B17" s="16">
        <v>13</v>
      </c>
      <c r="C17" s="16" t="s">
        <v>30</v>
      </c>
      <c r="D17" s="16">
        <v>2</v>
      </c>
      <c r="E17" s="17" t="s">
        <v>82</v>
      </c>
    </row>
    <row r="18" spans="2:5" x14ac:dyDescent="0.35">
      <c r="B18" s="16">
        <v>14</v>
      </c>
      <c r="C18" s="16" t="s">
        <v>31</v>
      </c>
      <c r="D18" s="16">
        <v>2</v>
      </c>
      <c r="E18" s="17" t="s">
        <v>79</v>
      </c>
    </row>
    <row r="19" spans="2:5" x14ac:dyDescent="0.35">
      <c r="B19" s="1">
        <v>15</v>
      </c>
      <c r="C19" s="1" t="s">
        <v>15</v>
      </c>
      <c r="D19" s="1">
        <v>3</v>
      </c>
      <c r="E19" s="18" t="s">
        <v>54</v>
      </c>
    </row>
    <row r="20" spans="2:5" x14ac:dyDescent="0.35">
      <c r="B20" s="1">
        <v>16</v>
      </c>
      <c r="C20" s="1" t="s">
        <v>19</v>
      </c>
      <c r="D20" s="1">
        <v>3</v>
      </c>
      <c r="E20" s="18" t="s">
        <v>54</v>
      </c>
    </row>
    <row r="21" spans="2:5" x14ac:dyDescent="0.35">
      <c r="B21" s="1">
        <v>17</v>
      </c>
      <c r="C21" s="1" t="s">
        <v>25</v>
      </c>
      <c r="D21" s="1">
        <v>3</v>
      </c>
      <c r="E21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0B56-1FC9-42B4-94D9-3A974DD9ED3A}">
  <sheetPr codeName="Sheet4">
    <tabColor theme="7" tint="0.39997558519241921"/>
  </sheetPr>
  <dimension ref="A2:H22"/>
  <sheetViews>
    <sheetView showGridLines="0" zoomScaleNormal="100" workbookViewId="0">
      <selection activeCell="E15" sqref="E15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84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15</v>
      </c>
      <c r="D5" s="16">
        <v>2</v>
      </c>
      <c r="E5" s="17" t="s">
        <v>85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16</v>
      </c>
      <c r="D6" s="16">
        <v>2</v>
      </c>
      <c r="E6" s="17" t="s">
        <v>85</v>
      </c>
      <c r="G6" s="5" t="s">
        <v>9</v>
      </c>
      <c r="H6" s="8">
        <v>18</v>
      </c>
    </row>
    <row r="7" spans="1:8" s="1" customFormat="1" x14ac:dyDescent="0.35">
      <c r="A7"/>
      <c r="B7" s="16">
        <v>3</v>
      </c>
      <c r="C7" s="16" t="s">
        <v>18</v>
      </c>
      <c r="D7" s="16">
        <v>2</v>
      </c>
      <c r="E7" s="17" t="s">
        <v>85</v>
      </c>
      <c r="G7" s="5" t="s">
        <v>4</v>
      </c>
      <c r="H7" s="8">
        <v>0</v>
      </c>
    </row>
    <row r="8" spans="1:8" s="1" customFormat="1" x14ac:dyDescent="0.35">
      <c r="A8"/>
      <c r="B8" s="16">
        <v>4</v>
      </c>
      <c r="C8" s="16" t="s">
        <v>32</v>
      </c>
      <c r="D8" s="16">
        <v>2</v>
      </c>
      <c r="E8" s="17" t="s">
        <v>85</v>
      </c>
      <c r="G8" s="5" t="s">
        <v>5</v>
      </c>
      <c r="H8" s="8">
        <v>6</v>
      </c>
    </row>
    <row r="9" spans="1:8" s="1" customFormat="1" x14ac:dyDescent="0.35">
      <c r="A9"/>
      <c r="B9" s="16">
        <v>5</v>
      </c>
      <c r="C9" s="16" t="s">
        <v>20</v>
      </c>
      <c r="D9" s="16">
        <v>2</v>
      </c>
      <c r="E9" s="17" t="s">
        <v>86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21</v>
      </c>
      <c r="D10" s="16">
        <v>1</v>
      </c>
      <c r="E10" s="17" t="s">
        <v>87</v>
      </c>
      <c r="G10" s="9" t="s">
        <v>8</v>
      </c>
      <c r="H10" s="10">
        <v>35</v>
      </c>
    </row>
    <row r="11" spans="1:8" s="1" customFormat="1" x14ac:dyDescent="0.35">
      <c r="A11"/>
      <c r="B11" s="16">
        <v>7</v>
      </c>
      <c r="C11" s="16" t="s">
        <v>22</v>
      </c>
      <c r="D11" s="16">
        <v>2</v>
      </c>
      <c r="E11" s="17" t="s">
        <v>86</v>
      </c>
      <c r="G11" s="11" t="s">
        <v>7</v>
      </c>
      <c r="H11" s="12">
        <f>H10/H6</f>
        <v>1.9444444444444444</v>
      </c>
    </row>
    <row r="12" spans="1:8" s="1" customFormat="1" x14ac:dyDescent="0.35">
      <c r="A12"/>
      <c r="B12" s="16">
        <v>8</v>
      </c>
      <c r="C12" s="16" t="s">
        <v>33</v>
      </c>
      <c r="D12" s="16">
        <v>1</v>
      </c>
      <c r="E12" s="17" t="s">
        <v>88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24</v>
      </c>
      <c r="D13" s="16">
        <v>1</v>
      </c>
      <c r="E13" s="17" t="s">
        <v>89</v>
      </c>
      <c r="G13" s="13" t="s">
        <v>51</v>
      </c>
      <c r="H13" s="15">
        <f>H11/H12</f>
        <v>0.77777777777777779</v>
      </c>
    </row>
    <row r="14" spans="1:8" x14ac:dyDescent="0.35">
      <c r="B14" s="16">
        <v>10</v>
      </c>
      <c r="C14" s="16" t="s">
        <v>26</v>
      </c>
      <c r="D14" s="16">
        <v>1</v>
      </c>
      <c r="E14" s="17" t="s">
        <v>90</v>
      </c>
      <c r="G14" s="13" t="s">
        <v>52</v>
      </c>
      <c r="H14" s="15">
        <f>H6/H5</f>
        <v>0.75</v>
      </c>
    </row>
    <row r="15" spans="1:8" x14ac:dyDescent="0.35">
      <c r="B15" s="16">
        <v>11</v>
      </c>
      <c r="C15" s="16" t="s">
        <v>27</v>
      </c>
      <c r="D15" s="16">
        <v>2</v>
      </c>
      <c r="E15" s="17" t="s">
        <v>85</v>
      </c>
    </row>
    <row r="16" spans="1:8" x14ac:dyDescent="0.35">
      <c r="B16" s="16">
        <v>12</v>
      </c>
      <c r="C16" s="16" t="s">
        <v>28</v>
      </c>
      <c r="D16" s="16">
        <v>2</v>
      </c>
      <c r="E16" s="17" t="s">
        <v>85</v>
      </c>
    </row>
    <row r="17" spans="2:5" x14ac:dyDescent="0.35">
      <c r="B17" s="16">
        <v>13</v>
      </c>
      <c r="C17" s="16" t="s">
        <v>29</v>
      </c>
      <c r="D17" s="16">
        <v>1</v>
      </c>
      <c r="E17" s="17" t="s">
        <v>91</v>
      </c>
    </row>
    <row r="18" spans="2:5" x14ac:dyDescent="0.35">
      <c r="B18" s="16">
        <v>14</v>
      </c>
      <c r="C18" s="16" t="s">
        <v>31</v>
      </c>
      <c r="D18" s="16">
        <v>2</v>
      </c>
      <c r="E18" s="17" t="s">
        <v>85</v>
      </c>
    </row>
    <row r="19" spans="2:5" x14ac:dyDescent="0.35">
      <c r="B19" s="1">
        <v>15</v>
      </c>
      <c r="C19" s="1" t="s">
        <v>73</v>
      </c>
      <c r="D19" s="1">
        <v>3</v>
      </c>
      <c r="E19" s="18" t="s">
        <v>54</v>
      </c>
    </row>
    <row r="20" spans="2:5" x14ac:dyDescent="0.35">
      <c r="B20" s="1">
        <v>16</v>
      </c>
      <c r="C20" s="1" t="s">
        <v>23</v>
      </c>
      <c r="D20" s="1">
        <v>3</v>
      </c>
      <c r="E20" s="18" t="s">
        <v>54</v>
      </c>
    </row>
    <row r="21" spans="2:5" x14ac:dyDescent="0.35">
      <c r="B21" s="1">
        <v>17</v>
      </c>
      <c r="C21" s="1" t="s">
        <v>25</v>
      </c>
      <c r="D21" s="1">
        <v>3</v>
      </c>
      <c r="E21" s="18" t="s">
        <v>54</v>
      </c>
    </row>
    <row r="22" spans="2:5" x14ac:dyDescent="0.35">
      <c r="B22" s="1">
        <v>18</v>
      </c>
      <c r="C22" s="1" t="s">
        <v>30</v>
      </c>
      <c r="D22" s="1">
        <v>3</v>
      </c>
      <c r="E22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99A0-D82C-46F2-BE3F-7B062E714036}">
  <sheetPr codeName="Sheet5">
    <tabColor theme="7" tint="0.39997558519241921"/>
  </sheetPr>
  <dimension ref="A2:H25"/>
  <sheetViews>
    <sheetView showGridLines="0" topLeftCell="B1" zoomScale="85" zoomScaleNormal="85" workbookViewId="0">
      <selection activeCell="E16" sqref="E16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92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15</v>
      </c>
      <c r="D5" s="16">
        <v>2</v>
      </c>
      <c r="E5" s="17" t="s">
        <v>93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72</v>
      </c>
      <c r="D6" s="16">
        <v>1</v>
      </c>
      <c r="E6" s="17" t="s">
        <v>94</v>
      </c>
      <c r="G6" s="5" t="s">
        <v>9</v>
      </c>
      <c r="H6" s="8">
        <v>21</v>
      </c>
    </row>
    <row r="7" spans="1:8" s="1" customFormat="1" x14ac:dyDescent="0.35">
      <c r="A7"/>
      <c r="B7" s="16">
        <v>3</v>
      </c>
      <c r="C7" s="16" t="s">
        <v>16</v>
      </c>
      <c r="D7" s="16">
        <v>1</v>
      </c>
      <c r="E7" s="17" t="s">
        <v>95</v>
      </c>
      <c r="G7" s="5" t="s">
        <v>4</v>
      </c>
      <c r="H7" s="8">
        <v>0</v>
      </c>
    </row>
    <row r="8" spans="1:8" s="1" customFormat="1" x14ac:dyDescent="0.35">
      <c r="A8"/>
      <c r="B8" s="16">
        <v>4</v>
      </c>
      <c r="C8" s="16" t="s">
        <v>17</v>
      </c>
      <c r="D8" s="16">
        <v>1</v>
      </c>
      <c r="E8" s="17" t="s">
        <v>80</v>
      </c>
      <c r="G8" s="5" t="s">
        <v>5</v>
      </c>
      <c r="H8" s="8">
        <v>3</v>
      </c>
    </row>
    <row r="9" spans="1:8" s="1" customFormat="1" x14ac:dyDescent="0.35">
      <c r="A9"/>
      <c r="B9" s="16">
        <v>5</v>
      </c>
      <c r="C9" s="16" t="s">
        <v>18</v>
      </c>
      <c r="D9" s="16">
        <v>2</v>
      </c>
      <c r="E9" s="17" t="s">
        <v>85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19</v>
      </c>
      <c r="D10" s="16">
        <v>2</v>
      </c>
      <c r="E10" s="17" t="s">
        <v>96</v>
      </c>
      <c r="G10" s="9" t="s">
        <v>8</v>
      </c>
      <c r="H10" s="10">
        <v>44</v>
      </c>
    </row>
    <row r="11" spans="1:8" s="1" customFormat="1" x14ac:dyDescent="0.35">
      <c r="A11"/>
      <c r="B11" s="16">
        <v>7</v>
      </c>
      <c r="C11" s="16" t="s">
        <v>20</v>
      </c>
      <c r="D11" s="16">
        <v>2</v>
      </c>
      <c r="E11" s="17" t="s">
        <v>85</v>
      </c>
      <c r="G11" s="11" t="s">
        <v>7</v>
      </c>
      <c r="H11" s="12">
        <f>H10/H6</f>
        <v>2.0952380952380953</v>
      </c>
    </row>
    <row r="12" spans="1:8" s="1" customFormat="1" x14ac:dyDescent="0.35">
      <c r="A12"/>
      <c r="B12" s="16">
        <v>8</v>
      </c>
      <c r="C12" s="16" t="s">
        <v>21</v>
      </c>
      <c r="D12" s="16">
        <v>2</v>
      </c>
      <c r="E12" s="17" t="s">
        <v>97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22</v>
      </c>
      <c r="D13" s="16">
        <v>2</v>
      </c>
      <c r="E13" s="17" t="s">
        <v>85</v>
      </c>
      <c r="G13" s="13" t="s">
        <v>51</v>
      </c>
      <c r="H13" s="15">
        <f>H11/H12</f>
        <v>0.83809523809523812</v>
      </c>
    </row>
    <row r="14" spans="1:8" x14ac:dyDescent="0.35">
      <c r="B14" s="16">
        <v>10</v>
      </c>
      <c r="C14" s="16" t="s">
        <v>33</v>
      </c>
      <c r="D14" s="16">
        <v>2</v>
      </c>
      <c r="E14" s="19" t="s">
        <v>98</v>
      </c>
      <c r="G14" s="13" t="s">
        <v>52</v>
      </c>
      <c r="H14" s="15">
        <f>H6/H5</f>
        <v>0.875</v>
      </c>
    </row>
    <row r="15" spans="1:8" x14ac:dyDescent="0.35">
      <c r="B15" s="16">
        <v>11</v>
      </c>
      <c r="C15" s="16" t="s">
        <v>24</v>
      </c>
      <c r="D15" s="16">
        <v>2</v>
      </c>
      <c r="E15" s="17" t="s">
        <v>85</v>
      </c>
    </row>
    <row r="16" spans="1:8" x14ac:dyDescent="0.35">
      <c r="B16" s="16">
        <v>12</v>
      </c>
      <c r="C16" s="16" t="s">
        <v>26</v>
      </c>
      <c r="D16" s="16">
        <v>2</v>
      </c>
      <c r="E16" s="17" t="s">
        <v>85</v>
      </c>
    </row>
    <row r="17" spans="2:5" x14ac:dyDescent="0.35">
      <c r="B17" s="16">
        <v>13</v>
      </c>
      <c r="C17" s="16" t="s">
        <v>27</v>
      </c>
      <c r="D17" s="16">
        <v>2</v>
      </c>
      <c r="E17" s="17" t="s">
        <v>85</v>
      </c>
    </row>
    <row r="18" spans="2:5" x14ac:dyDescent="0.35">
      <c r="B18" s="16">
        <v>14</v>
      </c>
      <c r="C18" s="16" t="s">
        <v>28</v>
      </c>
      <c r="D18" s="16">
        <v>2</v>
      </c>
      <c r="E18" s="17" t="s">
        <v>85</v>
      </c>
    </row>
    <row r="19" spans="2:5" x14ac:dyDescent="0.35">
      <c r="B19" s="16">
        <v>15</v>
      </c>
      <c r="C19" s="16" t="s">
        <v>29</v>
      </c>
      <c r="D19" s="16">
        <v>2</v>
      </c>
      <c r="E19" s="19" t="s">
        <v>99</v>
      </c>
    </row>
    <row r="20" spans="2:5" x14ac:dyDescent="0.35">
      <c r="B20" s="16">
        <v>16</v>
      </c>
      <c r="C20" s="16" t="s">
        <v>31</v>
      </c>
      <c r="D20" s="16">
        <v>2</v>
      </c>
      <c r="E20" s="17" t="s">
        <v>85</v>
      </c>
    </row>
    <row r="21" spans="2:5" x14ac:dyDescent="0.35">
      <c r="B21" s="1">
        <v>17</v>
      </c>
      <c r="C21" s="1" t="s">
        <v>73</v>
      </c>
      <c r="D21" s="1">
        <v>3</v>
      </c>
      <c r="E21" s="18" t="s">
        <v>54</v>
      </c>
    </row>
    <row r="22" spans="2:5" x14ac:dyDescent="0.35">
      <c r="B22" s="1">
        <v>18</v>
      </c>
      <c r="C22" s="1" t="s">
        <v>53</v>
      </c>
      <c r="D22" s="1">
        <v>3</v>
      </c>
      <c r="E22" s="18" t="s">
        <v>54</v>
      </c>
    </row>
    <row r="23" spans="2:5" x14ac:dyDescent="0.35">
      <c r="B23" s="1">
        <v>19</v>
      </c>
      <c r="C23" s="1" t="s">
        <v>23</v>
      </c>
      <c r="D23" s="1">
        <v>3</v>
      </c>
      <c r="E23" s="18" t="s">
        <v>54</v>
      </c>
    </row>
    <row r="24" spans="2:5" x14ac:dyDescent="0.35">
      <c r="B24" s="1">
        <v>20</v>
      </c>
      <c r="C24" s="1" t="s">
        <v>25</v>
      </c>
      <c r="D24" s="1">
        <v>3</v>
      </c>
      <c r="E24" s="18" t="s">
        <v>54</v>
      </c>
    </row>
    <row r="25" spans="2:5" x14ac:dyDescent="0.35">
      <c r="B25" s="1">
        <v>21</v>
      </c>
      <c r="C25" s="1" t="s">
        <v>30</v>
      </c>
      <c r="D25" s="1">
        <v>3</v>
      </c>
      <c r="E25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4D99-91F0-411B-9566-04BCEF97D5C1}">
  <sheetPr codeName="Sheet6">
    <tabColor theme="7" tint="0.39997558519241921"/>
  </sheetPr>
  <dimension ref="A2:H25"/>
  <sheetViews>
    <sheetView showGridLines="0" zoomScale="85" zoomScaleNormal="85" workbookViewId="0">
      <selection activeCell="G11" sqref="G11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100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73</v>
      </c>
      <c r="D5" s="16">
        <v>1</v>
      </c>
      <c r="E5" s="19" t="s">
        <v>101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17</v>
      </c>
      <c r="D6" s="16">
        <v>2</v>
      </c>
      <c r="E6" s="17" t="s">
        <v>80</v>
      </c>
      <c r="G6" s="5" t="s">
        <v>9</v>
      </c>
      <c r="H6" s="8">
        <v>21</v>
      </c>
    </row>
    <row r="7" spans="1:8" s="1" customFormat="1" x14ac:dyDescent="0.35">
      <c r="A7"/>
      <c r="B7" s="16">
        <v>3</v>
      </c>
      <c r="C7" s="16" t="s">
        <v>53</v>
      </c>
      <c r="D7" s="16">
        <v>2</v>
      </c>
      <c r="E7" s="19" t="s">
        <v>102</v>
      </c>
      <c r="G7" s="5" t="s">
        <v>4</v>
      </c>
      <c r="H7" s="8">
        <v>0</v>
      </c>
    </row>
    <row r="8" spans="1:8" s="1" customFormat="1" x14ac:dyDescent="0.35">
      <c r="A8"/>
      <c r="B8" s="16">
        <v>4</v>
      </c>
      <c r="C8" s="16" t="s">
        <v>18</v>
      </c>
      <c r="D8" s="16">
        <v>2</v>
      </c>
      <c r="E8" s="17" t="s">
        <v>35</v>
      </c>
      <c r="G8" s="5" t="s">
        <v>5</v>
      </c>
      <c r="H8" s="8">
        <v>3</v>
      </c>
    </row>
    <row r="9" spans="1:8" s="1" customFormat="1" x14ac:dyDescent="0.35">
      <c r="A9"/>
      <c r="B9" s="16">
        <v>5</v>
      </c>
      <c r="C9" s="16" t="s">
        <v>21</v>
      </c>
      <c r="D9" s="16">
        <v>2</v>
      </c>
      <c r="E9" s="17" t="s">
        <v>103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22</v>
      </c>
      <c r="D10" s="16">
        <v>2</v>
      </c>
      <c r="E10" s="19" t="s">
        <v>104</v>
      </c>
      <c r="G10" s="9" t="s">
        <v>8</v>
      </c>
      <c r="H10" s="10">
        <v>47</v>
      </c>
    </row>
    <row r="11" spans="1:8" s="1" customFormat="1" x14ac:dyDescent="0.35">
      <c r="A11"/>
      <c r="B11" s="16">
        <v>7</v>
      </c>
      <c r="C11" s="16" t="s">
        <v>24</v>
      </c>
      <c r="D11" s="16">
        <v>2</v>
      </c>
      <c r="E11" s="17" t="s">
        <v>35</v>
      </c>
      <c r="G11" s="11" t="s">
        <v>7</v>
      </c>
      <c r="H11" s="12">
        <f>H10/H6</f>
        <v>2.2380952380952381</v>
      </c>
    </row>
    <row r="12" spans="1:8" s="1" customFormat="1" x14ac:dyDescent="0.35">
      <c r="A12"/>
      <c r="B12" s="16">
        <v>8</v>
      </c>
      <c r="C12" s="16" t="s">
        <v>26</v>
      </c>
      <c r="D12" s="16">
        <v>2</v>
      </c>
      <c r="E12" s="17" t="s">
        <v>105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28</v>
      </c>
      <c r="D13" s="16">
        <v>1</v>
      </c>
      <c r="E13" s="17" t="s">
        <v>106</v>
      </c>
      <c r="G13" s="13" t="s">
        <v>51</v>
      </c>
      <c r="H13" s="15">
        <f>H11/H12</f>
        <v>0.89523809523809528</v>
      </c>
    </row>
    <row r="14" spans="1:8" x14ac:dyDescent="0.35">
      <c r="B14" s="16">
        <v>10</v>
      </c>
      <c r="C14" s="16" t="s">
        <v>29</v>
      </c>
      <c r="D14" s="16">
        <v>2</v>
      </c>
      <c r="E14" s="19" t="s">
        <v>107</v>
      </c>
      <c r="G14" s="13" t="s">
        <v>52</v>
      </c>
      <c r="H14" s="15">
        <f>H6/H5</f>
        <v>0.875</v>
      </c>
    </row>
    <row r="15" spans="1:8" x14ac:dyDescent="0.35">
      <c r="B15" s="16">
        <v>11</v>
      </c>
      <c r="C15" s="16" t="s">
        <v>30</v>
      </c>
      <c r="D15" s="16">
        <v>1</v>
      </c>
      <c r="E15" s="17" t="s">
        <v>108</v>
      </c>
    </row>
    <row r="16" spans="1:8" x14ac:dyDescent="0.35">
      <c r="B16" s="16">
        <v>12</v>
      </c>
      <c r="C16" s="16" t="s">
        <v>31</v>
      </c>
      <c r="D16" s="16">
        <v>1</v>
      </c>
      <c r="E16" s="17" t="s">
        <v>109</v>
      </c>
    </row>
    <row r="17" spans="2:5" x14ac:dyDescent="0.35">
      <c r="B17" s="1">
        <v>13</v>
      </c>
      <c r="C17" s="1" t="s">
        <v>72</v>
      </c>
      <c r="D17" s="1">
        <v>3</v>
      </c>
      <c r="E17" s="18" t="s">
        <v>54</v>
      </c>
    </row>
    <row r="18" spans="2:5" x14ac:dyDescent="0.35">
      <c r="B18" s="1">
        <v>14</v>
      </c>
      <c r="C18" s="1" t="s">
        <v>16</v>
      </c>
      <c r="D18" s="1">
        <v>3</v>
      </c>
      <c r="E18" s="18" t="s">
        <v>54</v>
      </c>
    </row>
    <row r="19" spans="2:5" x14ac:dyDescent="0.35">
      <c r="B19" s="1">
        <v>15</v>
      </c>
      <c r="C19" s="1" t="s">
        <v>19</v>
      </c>
      <c r="D19" s="1">
        <v>3</v>
      </c>
      <c r="E19" s="18" t="s">
        <v>54</v>
      </c>
    </row>
    <row r="20" spans="2:5" x14ac:dyDescent="0.35">
      <c r="B20" s="1">
        <v>16</v>
      </c>
      <c r="C20" s="1" t="s">
        <v>32</v>
      </c>
      <c r="D20" s="1">
        <v>3</v>
      </c>
      <c r="E20" s="18" t="s">
        <v>54</v>
      </c>
    </row>
    <row r="21" spans="2:5" x14ac:dyDescent="0.35">
      <c r="B21" s="1">
        <v>17</v>
      </c>
      <c r="C21" s="1" t="s">
        <v>20</v>
      </c>
      <c r="D21" s="1">
        <v>3</v>
      </c>
      <c r="E21" s="18" t="s">
        <v>54</v>
      </c>
    </row>
    <row r="22" spans="2:5" x14ac:dyDescent="0.35">
      <c r="B22" s="1">
        <v>18</v>
      </c>
      <c r="C22" s="1" t="s">
        <v>23</v>
      </c>
      <c r="D22" s="1">
        <v>3</v>
      </c>
      <c r="E22" s="18" t="s">
        <v>54</v>
      </c>
    </row>
    <row r="23" spans="2:5" x14ac:dyDescent="0.35">
      <c r="B23" s="1">
        <v>19</v>
      </c>
      <c r="C23" s="1" t="s">
        <v>33</v>
      </c>
      <c r="D23" s="1">
        <v>3</v>
      </c>
      <c r="E23" s="18" t="s">
        <v>54</v>
      </c>
    </row>
    <row r="24" spans="2:5" x14ac:dyDescent="0.35">
      <c r="B24" s="1">
        <v>20</v>
      </c>
      <c r="C24" s="1" t="s">
        <v>25</v>
      </c>
      <c r="D24" s="1">
        <v>3</v>
      </c>
      <c r="E24" s="18" t="s">
        <v>54</v>
      </c>
    </row>
    <row r="25" spans="2:5" x14ac:dyDescent="0.35">
      <c r="B25" s="1">
        <v>21</v>
      </c>
      <c r="C25" s="1" t="s">
        <v>27</v>
      </c>
      <c r="D25" s="1">
        <v>3</v>
      </c>
      <c r="E25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AD60-B239-4516-A34C-3450627EC483}">
  <sheetPr codeName="Sheet7">
    <tabColor theme="7" tint="0.39997558519241921"/>
  </sheetPr>
  <dimension ref="A2:H21"/>
  <sheetViews>
    <sheetView showGridLines="0" zoomScale="85" zoomScaleNormal="85" workbookViewId="0">
      <selection activeCell="F21" sqref="F21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110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19</v>
      </c>
      <c r="D5" s="16">
        <v>1</v>
      </c>
      <c r="E5" s="17" t="s">
        <v>111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26</v>
      </c>
      <c r="D6" s="16">
        <v>1</v>
      </c>
      <c r="E6" s="17" t="s">
        <v>112</v>
      </c>
      <c r="G6" s="5" t="s">
        <v>9</v>
      </c>
      <c r="H6" s="8">
        <v>17</v>
      </c>
    </row>
    <row r="7" spans="1:8" s="1" customFormat="1" x14ac:dyDescent="0.35">
      <c r="A7"/>
      <c r="B7" s="16">
        <v>3</v>
      </c>
      <c r="C7" s="16" t="s">
        <v>16</v>
      </c>
      <c r="D7" s="16">
        <v>2</v>
      </c>
      <c r="E7" s="17" t="s">
        <v>116</v>
      </c>
      <c r="G7" s="5" t="s">
        <v>4</v>
      </c>
      <c r="H7" s="8">
        <v>1</v>
      </c>
    </row>
    <row r="8" spans="1:8" s="1" customFormat="1" x14ac:dyDescent="0.35">
      <c r="A8"/>
      <c r="B8" s="16">
        <v>4</v>
      </c>
      <c r="C8" s="16" t="s">
        <v>17</v>
      </c>
      <c r="D8" s="16">
        <v>2</v>
      </c>
      <c r="E8" s="19" t="s">
        <v>113</v>
      </c>
      <c r="G8" s="5" t="s">
        <v>5</v>
      </c>
      <c r="H8" s="8">
        <v>6</v>
      </c>
    </row>
    <row r="9" spans="1:8" s="1" customFormat="1" x14ac:dyDescent="0.35">
      <c r="A9"/>
      <c r="B9" s="16">
        <v>5</v>
      </c>
      <c r="C9" s="16" t="s">
        <v>18</v>
      </c>
      <c r="D9" s="16">
        <v>2</v>
      </c>
      <c r="E9" s="17" t="s">
        <v>115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33</v>
      </c>
      <c r="D10" s="16">
        <v>2</v>
      </c>
      <c r="E10" s="17" t="s">
        <v>114</v>
      </c>
      <c r="G10" s="9" t="s">
        <v>8</v>
      </c>
      <c r="H10" s="10">
        <f>SUM(Table13245678[Retase])</f>
        <v>39</v>
      </c>
    </row>
    <row r="11" spans="1:8" s="1" customFormat="1" x14ac:dyDescent="0.35">
      <c r="A11"/>
      <c r="B11" s="16">
        <v>7</v>
      </c>
      <c r="C11" s="16" t="s">
        <v>24</v>
      </c>
      <c r="D11" s="16">
        <v>2</v>
      </c>
      <c r="E11" s="19" t="s">
        <v>117</v>
      </c>
      <c r="G11" s="11" t="s">
        <v>7</v>
      </c>
      <c r="H11" s="12">
        <f>H10/H6</f>
        <v>2.2941176470588234</v>
      </c>
    </row>
    <row r="12" spans="1:8" s="1" customFormat="1" x14ac:dyDescent="0.35">
      <c r="A12"/>
      <c r="B12" s="16">
        <v>8</v>
      </c>
      <c r="C12" s="16" t="s">
        <v>25</v>
      </c>
      <c r="D12" s="16">
        <v>2</v>
      </c>
      <c r="E12" s="17" t="s">
        <v>118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28</v>
      </c>
      <c r="D13" s="16">
        <v>2</v>
      </c>
      <c r="E13" s="17" t="s">
        <v>120</v>
      </c>
      <c r="G13" s="13" t="s">
        <v>51</v>
      </c>
      <c r="H13" s="15">
        <f>H11/H12</f>
        <v>0.91764705882352937</v>
      </c>
    </row>
    <row r="14" spans="1:8" x14ac:dyDescent="0.35">
      <c r="B14" s="16">
        <v>10</v>
      </c>
      <c r="C14" s="16" t="s">
        <v>30</v>
      </c>
      <c r="D14" s="16">
        <v>2</v>
      </c>
      <c r="E14" s="17" t="s">
        <v>119</v>
      </c>
      <c r="G14" s="13" t="s">
        <v>52</v>
      </c>
      <c r="H14" s="15">
        <f>H6/H5</f>
        <v>0.70833333333333337</v>
      </c>
    </row>
    <row r="15" spans="1:8" x14ac:dyDescent="0.35">
      <c r="B15" s="1">
        <v>11</v>
      </c>
      <c r="C15" s="1" t="s">
        <v>27</v>
      </c>
      <c r="D15" s="1">
        <v>3</v>
      </c>
      <c r="E15" s="18" t="s">
        <v>54</v>
      </c>
    </row>
    <row r="16" spans="1:8" x14ac:dyDescent="0.35">
      <c r="B16" s="1">
        <v>12</v>
      </c>
      <c r="C16" s="1" t="s">
        <v>15</v>
      </c>
      <c r="D16" s="1">
        <v>3</v>
      </c>
      <c r="E16" s="18" t="s">
        <v>54</v>
      </c>
    </row>
    <row r="17" spans="2:5" x14ac:dyDescent="0.35">
      <c r="B17" s="1">
        <v>13</v>
      </c>
      <c r="C17" s="1" t="s">
        <v>32</v>
      </c>
      <c r="D17" s="1">
        <v>3</v>
      </c>
      <c r="E17" s="18" t="s">
        <v>54</v>
      </c>
    </row>
    <row r="18" spans="2:5" x14ac:dyDescent="0.35">
      <c r="B18" s="1">
        <v>14</v>
      </c>
      <c r="C18" s="1" t="s">
        <v>21</v>
      </c>
      <c r="D18" s="1">
        <v>3</v>
      </c>
      <c r="E18" s="18" t="s">
        <v>54</v>
      </c>
    </row>
    <row r="19" spans="2:5" x14ac:dyDescent="0.35">
      <c r="B19" s="1">
        <v>15</v>
      </c>
      <c r="C19" s="1" t="s">
        <v>23</v>
      </c>
      <c r="D19" s="1">
        <v>3</v>
      </c>
      <c r="E19" s="18" t="s">
        <v>54</v>
      </c>
    </row>
    <row r="20" spans="2:5" x14ac:dyDescent="0.35">
      <c r="B20" s="1">
        <v>16</v>
      </c>
      <c r="C20" s="1" t="s">
        <v>29</v>
      </c>
      <c r="D20" s="1">
        <v>3</v>
      </c>
      <c r="E20" s="18" t="s">
        <v>54</v>
      </c>
    </row>
    <row r="21" spans="2:5" x14ac:dyDescent="0.35">
      <c r="B21" s="1">
        <v>17</v>
      </c>
      <c r="C21" s="1" t="s">
        <v>31</v>
      </c>
      <c r="D21" s="1">
        <v>3</v>
      </c>
      <c r="E21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6C7-4C92-41B9-821D-EF076276C02A}">
  <sheetPr codeName="Sheet8">
    <tabColor theme="7" tint="0.39997558519241921"/>
  </sheetPr>
  <dimension ref="A2:H24"/>
  <sheetViews>
    <sheetView showGridLines="0" zoomScaleNormal="100" workbookViewId="0">
      <selection activeCell="B1" sqref="B1:H25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 t="s">
        <v>121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33</v>
      </c>
      <c r="D5" s="16">
        <v>1</v>
      </c>
      <c r="E5" s="17" t="s">
        <v>134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122</v>
      </c>
      <c r="D6" s="16">
        <v>2</v>
      </c>
      <c r="E6" s="17" t="s">
        <v>126</v>
      </c>
      <c r="G6" s="5" t="s">
        <v>9</v>
      </c>
      <c r="H6" s="8">
        <v>20</v>
      </c>
    </row>
    <row r="7" spans="1:8" s="1" customFormat="1" x14ac:dyDescent="0.35">
      <c r="A7"/>
      <c r="B7" s="16">
        <v>3</v>
      </c>
      <c r="C7" s="16" t="s">
        <v>123</v>
      </c>
      <c r="D7" s="16">
        <v>2</v>
      </c>
      <c r="E7" s="17" t="s">
        <v>128</v>
      </c>
      <c r="G7" s="5" t="s">
        <v>4</v>
      </c>
      <c r="H7" s="8">
        <v>1</v>
      </c>
    </row>
    <row r="8" spans="1:8" s="1" customFormat="1" x14ac:dyDescent="0.35">
      <c r="A8"/>
      <c r="B8" s="16">
        <v>4</v>
      </c>
      <c r="C8" s="16" t="s">
        <v>15</v>
      </c>
      <c r="D8" s="16">
        <v>2</v>
      </c>
      <c r="E8" s="17" t="s">
        <v>124</v>
      </c>
      <c r="G8" s="5" t="s">
        <v>5</v>
      </c>
      <c r="H8" s="8">
        <v>3</v>
      </c>
    </row>
    <row r="9" spans="1:8" s="1" customFormat="1" x14ac:dyDescent="0.35">
      <c r="A9"/>
      <c r="B9" s="16">
        <v>5</v>
      </c>
      <c r="C9" s="16" t="s">
        <v>72</v>
      </c>
      <c r="D9" s="16">
        <v>2</v>
      </c>
      <c r="E9" s="17" t="s">
        <v>130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17</v>
      </c>
      <c r="D10" s="16">
        <v>2</v>
      </c>
      <c r="E10" s="19" t="s">
        <v>125</v>
      </c>
      <c r="G10" s="9" t="s">
        <v>8</v>
      </c>
      <c r="H10" s="10">
        <f>SUM(Table132456789[Retase])</f>
        <v>47</v>
      </c>
    </row>
    <row r="11" spans="1:8" s="1" customFormat="1" x14ac:dyDescent="0.35">
      <c r="A11"/>
      <c r="B11" s="16">
        <v>7</v>
      </c>
      <c r="C11" s="16" t="s">
        <v>32</v>
      </c>
      <c r="D11" s="16">
        <v>2</v>
      </c>
      <c r="E11" s="19" t="s">
        <v>127</v>
      </c>
      <c r="G11" s="11" t="s">
        <v>7</v>
      </c>
      <c r="H11" s="12">
        <f>H10/H6</f>
        <v>2.35</v>
      </c>
    </row>
    <row r="12" spans="1:8" s="1" customFormat="1" x14ac:dyDescent="0.35">
      <c r="A12"/>
      <c r="B12" s="16">
        <v>8</v>
      </c>
      <c r="C12" s="16" t="s">
        <v>23</v>
      </c>
      <c r="D12" s="16">
        <v>2</v>
      </c>
      <c r="E12" s="17" t="s">
        <v>129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24</v>
      </c>
      <c r="D13" s="16">
        <v>2</v>
      </c>
      <c r="E13" s="17" t="s">
        <v>131</v>
      </c>
      <c r="G13" s="13" t="s">
        <v>51</v>
      </c>
      <c r="H13" s="15">
        <f>H11/H12</f>
        <v>0.94000000000000006</v>
      </c>
    </row>
    <row r="14" spans="1:8" x14ac:dyDescent="0.35">
      <c r="B14" s="16">
        <v>10</v>
      </c>
      <c r="C14" s="16" t="s">
        <v>26</v>
      </c>
      <c r="D14" s="16">
        <v>2</v>
      </c>
      <c r="E14" s="17" t="s">
        <v>132</v>
      </c>
      <c r="G14" s="13" t="s">
        <v>52</v>
      </c>
      <c r="H14" s="15">
        <f>H6/H5</f>
        <v>0.83333333333333337</v>
      </c>
    </row>
    <row r="15" spans="1:8" x14ac:dyDescent="0.35">
      <c r="B15" s="16">
        <v>11</v>
      </c>
      <c r="C15" s="16" t="s">
        <v>27</v>
      </c>
      <c r="D15" s="16">
        <v>2</v>
      </c>
      <c r="E15" s="17" t="s">
        <v>133</v>
      </c>
    </row>
    <row r="16" spans="1:8" x14ac:dyDescent="0.35">
      <c r="B16" s="16">
        <v>12</v>
      </c>
      <c r="C16" s="16" t="s">
        <v>28</v>
      </c>
      <c r="D16" s="16">
        <v>2</v>
      </c>
      <c r="E16" s="17" t="s">
        <v>120</v>
      </c>
    </row>
    <row r="17" spans="2:5" x14ac:dyDescent="0.35">
      <c r="B17" s="1">
        <v>13</v>
      </c>
      <c r="C17" s="1" t="s">
        <v>16</v>
      </c>
      <c r="D17" s="1">
        <v>3</v>
      </c>
      <c r="E17" s="18" t="s">
        <v>54</v>
      </c>
    </row>
    <row r="18" spans="2:5" x14ac:dyDescent="0.35">
      <c r="B18" s="1">
        <v>14</v>
      </c>
      <c r="C18" s="1" t="s">
        <v>53</v>
      </c>
      <c r="D18" s="1">
        <v>3</v>
      </c>
      <c r="E18" s="18" t="s">
        <v>54</v>
      </c>
    </row>
    <row r="19" spans="2:5" x14ac:dyDescent="0.35">
      <c r="B19" s="1">
        <v>15</v>
      </c>
      <c r="C19" s="1" t="s">
        <v>21</v>
      </c>
      <c r="D19" s="1">
        <v>3</v>
      </c>
      <c r="E19" s="18" t="s">
        <v>54</v>
      </c>
    </row>
    <row r="20" spans="2:5" x14ac:dyDescent="0.35">
      <c r="B20" s="1">
        <v>16</v>
      </c>
      <c r="C20" s="1" t="s">
        <v>22</v>
      </c>
      <c r="D20" s="1">
        <v>3</v>
      </c>
      <c r="E20" s="18" t="s">
        <v>54</v>
      </c>
    </row>
    <row r="21" spans="2:5" x14ac:dyDescent="0.35">
      <c r="B21" s="1">
        <v>17</v>
      </c>
      <c r="C21" s="1" t="s">
        <v>25</v>
      </c>
      <c r="D21" s="1">
        <v>3</v>
      </c>
      <c r="E21" s="18" t="s">
        <v>54</v>
      </c>
    </row>
    <row r="22" spans="2:5" x14ac:dyDescent="0.35">
      <c r="B22" s="1">
        <v>18</v>
      </c>
      <c r="C22" s="1" t="s">
        <v>29</v>
      </c>
      <c r="D22" s="1">
        <v>3</v>
      </c>
      <c r="E22" s="18" t="s">
        <v>54</v>
      </c>
    </row>
    <row r="23" spans="2:5" x14ac:dyDescent="0.35">
      <c r="B23" s="1">
        <v>19</v>
      </c>
      <c r="C23" s="1" t="s">
        <v>30</v>
      </c>
      <c r="D23" s="1">
        <v>3</v>
      </c>
      <c r="E23" s="18" t="s">
        <v>54</v>
      </c>
    </row>
    <row r="24" spans="2:5" x14ac:dyDescent="0.35">
      <c r="B24" s="1">
        <v>20</v>
      </c>
      <c r="C24" s="1" t="s">
        <v>31</v>
      </c>
      <c r="D24" s="1">
        <v>3</v>
      </c>
      <c r="E24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EB35-96EB-43F5-9EBC-B32F296D79AC}">
  <sheetPr codeName="Sheet9">
    <tabColor theme="7" tint="0.39997558519241921"/>
  </sheetPr>
  <dimension ref="A2:H22"/>
  <sheetViews>
    <sheetView showGridLines="0" zoomScale="85" zoomScaleNormal="85" workbookViewId="0">
      <selection activeCell="B1" sqref="B1:H23"/>
    </sheetView>
  </sheetViews>
  <sheetFormatPr defaultRowHeight="14.5" x14ac:dyDescent="0.35"/>
  <cols>
    <col min="1" max="1" width="2.81640625" customWidth="1"/>
    <col min="2" max="2" width="8" customWidth="1"/>
    <col min="3" max="3" width="10.7265625" customWidth="1"/>
    <col min="4" max="4" width="9" customWidth="1"/>
    <col min="5" max="5" width="58.26953125" customWidth="1"/>
    <col min="6" max="6" width="3.1796875" customWidth="1"/>
    <col min="7" max="7" width="27.7265625" bestFit="1" customWidth="1"/>
    <col min="8" max="8" width="26.1796875" customWidth="1"/>
  </cols>
  <sheetData>
    <row r="2" spans="1:8" ht="18.5" x14ac:dyDescent="0.45">
      <c r="B2" s="67" t="s">
        <v>49</v>
      </c>
      <c r="C2" s="67"/>
      <c r="D2" s="67"/>
      <c r="E2" s="67"/>
      <c r="G2" s="65" t="s">
        <v>50</v>
      </c>
      <c r="H2" s="65"/>
    </row>
    <row r="3" spans="1:8" x14ac:dyDescent="0.35">
      <c r="B3" s="68">
        <f ca="1">NOW()</f>
        <v>45383.917838657406</v>
      </c>
      <c r="C3" s="68"/>
      <c r="D3" s="68"/>
      <c r="E3" s="68"/>
      <c r="G3" s="66"/>
      <c r="H3" s="66"/>
    </row>
    <row r="4" spans="1:8" s="1" customFormat="1" x14ac:dyDescent="0.35">
      <c r="A4"/>
      <c r="B4" s="2" t="s">
        <v>0</v>
      </c>
      <c r="C4" s="2" t="s">
        <v>1</v>
      </c>
      <c r="D4" s="2" t="s">
        <v>2</v>
      </c>
      <c r="E4" s="2" t="s">
        <v>3</v>
      </c>
      <c r="G4" s="4" t="s">
        <v>48</v>
      </c>
      <c r="H4" s="6">
        <f>SUM(H6:H9)</f>
        <v>24</v>
      </c>
    </row>
    <row r="5" spans="1:8" s="1" customFormat="1" x14ac:dyDescent="0.35">
      <c r="A5"/>
      <c r="B5" s="16">
        <v>1</v>
      </c>
      <c r="C5" s="16" t="s">
        <v>15</v>
      </c>
      <c r="D5" s="16">
        <v>1</v>
      </c>
      <c r="E5" s="17" t="s">
        <v>135</v>
      </c>
      <c r="G5" s="5" t="s">
        <v>10</v>
      </c>
      <c r="H5" s="7">
        <v>24</v>
      </c>
    </row>
    <row r="6" spans="1:8" s="1" customFormat="1" x14ac:dyDescent="0.35">
      <c r="A6"/>
      <c r="B6" s="16">
        <v>2</v>
      </c>
      <c r="C6" s="16" t="s">
        <v>20</v>
      </c>
      <c r="D6" s="16">
        <v>1</v>
      </c>
      <c r="E6" s="19" t="s">
        <v>142</v>
      </c>
      <c r="G6" s="5" t="s">
        <v>9</v>
      </c>
      <c r="H6" s="8">
        <v>18</v>
      </c>
    </row>
    <row r="7" spans="1:8" s="1" customFormat="1" x14ac:dyDescent="0.35">
      <c r="A7"/>
      <c r="B7" s="16">
        <v>3</v>
      </c>
      <c r="C7" s="16" t="s">
        <v>26</v>
      </c>
      <c r="D7" s="16">
        <v>1</v>
      </c>
      <c r="E7" s="17" t="s">
        <v>136</v>
      </c>
      <c r="G7" s="5" t="s">
        <v>4</v>
      </c>
      <c r="H7" s="8">
        <v>1</v>
      </c>
    </row>
    <row r="8" spans="1:8" s="1" customFormat="1" x14ac:dyDescent="0.35">
      <c r="A8"/>
      <c r="B8" s="16">
        <v>4</v>
      </c>
      <c r="C8" s="16" t="s">
        <v>28</v>
      </c>
      <c r="D8" s="16">
        <v>1</v>
      </c>
      <c r="E8" s="17" t="s">
        <v>137</v>
      </c>
      <c r="G8" s="5" t="s">
        <v>5</v>
      </c>
      <c r="H8" s="8">
        <v>5</v>
      </c>
    </row>
    <row r="9" spans="1:8" s="1" customFormat="1" x14ac:dyDescent="0.35">
      <c r="A9"/>
      <c r="B9" s="16">
        <v>5</v>
      </c>
      <c r="C9" s="16" t="s">
        <v>16</v>
      </c>
      <c r="D9" s="16">
        <v>2</v>
      </c>
      <c r="E9" s="17" t="s">
        <v>138</v>
      </c>
      <c r="G9" s="5" t="s">
        <v>6</v>
      </c>
      <c r="H9" s="8">
        <v>0</v>
      </c>
    </row>
    <row r="10" spans="1:8" s="1" customFormat="1" x14ac:dyDescent="0.35">
      <c r="A10"/>
      <c r="B10" s="16">
        <v>6</v>
      </c>
      <c r="C10" s="16" t="s">
        <v>17</v>
      </c>
      <c r="D10" s="16">
        <v>2</v>
      </c>
      <c r="E10" s="17" t="s">
        <v>139</v>
      </c>
      <c r="G10" s="9" t="s">
        <v>8</v>
      </c>
      <c r="H10" s="10">
        <f>SUM(Table13245678910[Retase])</f>
        <v>35</v>
      </c>
    </row>
    <row r="11" spans="1:8" s="1" customFormat="1" x14ac:dyDescent="0.35">
      <c r="A11"/>
      <c r="B11" s="16">
        <v>7</v>
      </c>
      <c r="C11" s="16" t="s">
        <v>53</v>
      </c>
      <c r="D11" s="16">
        <v>2</v>
      </c>
      <c r="E11" s="19" t="s">
        <v>142</v>
      </c>
      <c r="G11" s="11" t="s">
        <v>7</v>
      </c>
      <c r="H11" s="12">
        <f>H10/H6</f>
        <v>1.9444444444444444</v>
      </c>
    </row>
    <row r="12" spans="1:8" s="1" customFormat="1" x14ac:dyDescent="0.35">
      <c r="A12"/>
      <c r="B12" s="16">
        <v>8</v>
      </c>
      <c r="C12" s="16" t="s">
        <v>32</v>
      </c>
      <c r="D12" s="16">
        <v>2</v>
      </c>
      <c r="E12" s="19" t="s">
        <v>142</v>
      </c>
      <c r="G12" s="13" t="s">
        <v>11</v>
      </c>
      <c r="H12" s="14">
        <v>2.5</v>
      </c>
    </row>
    <row r="13" spans="1:8" s="1" customFormat="1" x14ac:dyDescent="0.35">
      <c r="A13"/>
      <c r="B13" s="16">
        <v>9</v>
      </c>
      <c r="C13" s="16" t="s">
        <v>22</v>
      </c>
      <c r="D13" s="16">
        <v>2</v>
      </c>
      <c r="E13" s="19" t="s">
        <v>142</v>
      </c>
      <c r="G13" s="13" t="s">
        <v>51</v>
      </c>
      <c r="H13" s="15">
        <f>H11/H12</f>
        <v>0.77777777777777779</v>
      </c>
    </row>
    <row r="14" spans="1:8" x14ac:dyDescent="0.35">
      <c r="B14" s="16">
        <v>10</v>
      </c>
      <c r="C14" s="16" t="s">
        <v>23</v>
      </c>
      <c r="D14" s="16">
        <v>2</v>
      </c>
      <c r="E14" s="17" t="s">
        <v>140</v>
      </c>
      <c r="G14" s="13" t="s">
        <v>52</v>
      </c>
      <c r="H14" s="15">
        <f>H6/H5</f>
        <v>0.75</v>
      </c>
    </row>
    <row r="15" spans="1:8" x14ac:dyDescent="0.35">
      <c r="B15" s="16">
        <v>11</v>
      </c>
      <c r="C15" s="16" t="s">
        <v>24</v>
      </c>
      <c r="D15" s="16">
        <v>2</v>
      </c>
      <c r="E15" s="19" t="s">
        <v>142</v>
      </c>
    </row>
    <row r="16" spans="1:8" x14ac:dyDescent="0.35">
      <c r="B16" s="16">
        <v>12</v>
      </c>
      <c r="C16" s="16" t="s">
        <v>27</v>
      </c>
      <c r="D16" s="16">
        <v>2</v>
      </c>
      <c r="E16" s="19" t="s">
        <v>142</v>
      </c>
    </row>
    <row r="17" spans="2:5" x14ac:dyDescent="0.35">
      <c r="B17" s="16">
        <v>13</v>
      </c>
      <c r="C17" s="16" t="s">
        <v>29</v>
      </c>
      <c r="D17" s="16">
        <v>2</v>
      </c>
      <c r="E17" s="19" t="s">
        <v>142</v>
      </c>
    </row>
    <row r="18" spans="2:5" x14ac:dyDescent="0.35">
      <c r="B18" s="16">
        <v>14</v>
      </c>
      <c r="C18" s="16" t="s">
        <v>30</v>
      </c>
      <c r="D18" s="16">
        <v>2</v>
      </c>
      <c r="E18" s="19" t="s">
        <v>142</v>
      </c>
    </row>
    <row r="19" spans="2:5" x14ac:dyDescent="0.35">
      <c r="B19" s="16">
        <v>15</v>
      </c>
      <c r="C19" s="16" t="s">
        <v>31</v>
      </c>
      <c r="D19" s="16">
        <v>2</v>
      </c>
      <c r="E19" s="17" t="s">
        <v>141</v>
      </c>
    </row>
    <row r="20" spans="2:5" x14ac:dyDescent="0.35">
      <c r="B20" s="1">
        <v>16</v>
      </c>
      <c r="C20" s="1" t="s">
        <v>72</v>
      </c>
      <c r="D20" s="1">
        <v>3</v>
      </c>
      <c r="E20" s="18" t="s">
        <v>54</v>
      </c>
    </row>
    <row r="21" spans="2:5" x14ac:dyDescent="0.35">
      <c r="B21" s="1">
        <v>17</v>
      </c>
      <c r="C21" s="1" t="s">
        <v>33</v>
      </c>
      <c r="D21" s="1">
        <v>3</v>
      </c>
      <c r="E21" s="18" t="s">
        <v>54</v>
      </c>
    </row>
    <row r="22" spans="2:5" x14ac:dyDescent="0.35">
      <c r="B22" s="1">
        <v>18</v>
      </c>
      <c r="C22" s="1" t="s">
        <v>25</v>
      </c>
      <c r="D22" s="1">
        <v>3</v>
      </c>
      <c r="E22" s="18" t="s">
        <v>54</v>
      </c>
    </row>
  </sheetData>
  <mergeCells count="3">
    <mergeCell ref="B2:E2"/>
    <mergeCell ref="G2:H3"/>
    <mergeCell ref="B3:E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9</vt:lpstr>
      <vt:lpstr>10</vt:lpstr>
      <vt:lpstr>12</vt:lpstr>
      <vt:lpstr>13</vt:lpstr>
      <vt:lpstr>15</vt:lpstr>
      <vt:lpstr>16</vt:lpstr>
      <vt:lpstr>17</vt:lpstr>
      <vt:lpstr>18</vt:lpstr>
      <vt:lpstr>19</vt:lpstr>
      <vt:lpstr>20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PT.Adil Prima Perkasa</dc:creator>
  <cp:lastModifiedBy>PT.Adil Prima Perkasa</cp:lastModifiedBy>
  <cp:lastPrinted>2024-03-31T01:05:10Z</cp:lastPrinted>
  <dcterms:created xsi:type="dcterms:W3CDTF">2024-03-09T06:51:53Z</dcterms:created>
  <dcterms:modified xsi:type="dcterms:W3CDTF">2024-04-01T14:01:57Z</dcterms:modified>
</cp:coreProperties>
</file>