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Data Analyst/data kotor cico/"/>
    </mc:Choice>
  </mc:AlternateContent>
  <xr:revisionPtr revIDLastSave="0" documentId="13_ncr:1_{0A11383A-2E5E-0F49-B98B-DFDBBEAF3DE7}" xr6:coauthVersionLast="47" xr6:coauthVersionMax="47" xr10:uidLastSave="{00000000-0000-0000-0000-000000000000}"/>
  <bookViews>
    <workbookView xWindow="0" yWindow="860" windowWidth="16980" windowHeight="20280" firstSheet="26" activeTab="30" xr2:uid="{0492C718-BD94-486E-83A0-09B0C94939F1}"/>
  </bookViews>
  <sheets>
    <sheet name="1" sheetId="49" r:id="rId1"/>
    <sheet name="2" sheetId="48" r:id="rId2"/>
    <sheet name="3" sheetId="51" r:id="rId3"/>
    <sheet name="4" sheetId="52" r:id="rId4"/>
    <sheet name="5" sheetId="54" r:id="rId5"/>
    <sheet name="6" sheetId="55" r:id="rId6"/>
    <sheet name="7" sheetId="56" r:id="rId7"/>
    <sheet name="8" sheetId="57" r:id="rId8"/>
    <sheet name="9" sheetId="58" r:id="rId9"/>
    <sheet name="10" sheetId="59" r:id="rId10"/>
    <sheet name="11" sheetId="60" r:id="rId11"/>
    <sheet name="12" sheetId="61" r:id="rId12"/>
    <sheet name="13" sheetId="62" r:id="rId13"/>
    <sheet name="14" sheetId="63" r:id="rId14"/>
    <sheet name="15" sheetId="64" r:id="rId15"/>
    <sheet name="16" sheetId="65" r:id="rId16"/>
    <sheet name="17" sheetId="66" r:id="rId17"/>
    <sheet name="18" sheetId="67" r:id="rId18"/>
    <sheet name="19" sheetId="68" r:id="rId19"/>
    <sheet name="20" sheetId="69" r:id="rId20"/>
    <sheet name="21" sheetId="70" r:id="rId21"/>
    <sheet name="22" sheetId="71" r:id="rId22"/>
    <sheet name="23" sheetId="73" r:id="rId23"/>
    <sheet name="24" sheetId="74" r:id="rId24"/>
    <sheet name="25" sheetId="76" r:id="rId25"/>
    <sheet name="26" sheetId="77" r:id="rId26"/>
    <sheet name="27" sheetId="78" r:id="rId27"/>
    <sheet name="28" sheetId="80" r:id="rId28"/>
    <sheet name="29" sheetId="81" r:id="rId29"/>
    <sheet name="30" sheetId="82" r:id="rId30"/>
    <sheet name="31" sheetId="84" r:id="rId31"/>
    <sheet name="27 bermasalah" sheetId="79" r:id="rId32"/>
    <sheet name="Sheet2" sheetId="72" r:id="rId33"/>
    <sheet name="INTERMEDIATE" sheetId="50" r:id="rId34"/>
  </sheets>
  <definedNames>
    <definedName name="_xlnm.Print_Area" localSheetId="0">'1'!$A$1:$AJ$39</definedName>
    <definedName name="_xlnm.Print_Area" localSheetId="9">'10'!$A$2:$AV$40</definedName>
    <definedName name="_xlnm.Print_Area" localSheetId="10">'11'!$A$2:$AV$40</definedName>
    <definedName name="_xlnm.Print_Area" localSheetId="11">'12'!$A$2:$AV$40</definedName>
    <definedName name="_xlnm.Print_Area" localSheetId="12">'13'!$A$2:$AV$40</definedName>
    <definedName name="_xlnm.Print_Area" localSheetId="13">'14'!$A$2:$AV$40</definedName>
    <definedName name="_xlnm.Print_Area" localSheetId="14">'15'!$A$2:$AV$40</definedName>
    <definedName name="_xlnm.Print_Area" localSheetId="15">'16'!$A$2:$AV$40</definedName>
    <definedName name="_xlnm.Print_Area" localSheetId="16">'17'!$A$2:$AV$40</definedName>
    <definedName name="_xlnm.Print_Area" localSheetId="17">'18'!$A$2:$AV$40</definedName>
    <definedName name="_xlnm.Print_Area" localSheetId="18">'19'!$A$2:$AV$40</definedName>
    <definedName name="_xlnm.Print_Area" localSheetId="1">'2'!$A$1:$AJ$39</definedName>
    <definedName name="_xlnm.Print_Area" localSheetId="19">'20'!$A$2:$AV$40</definedName>
    <definedName name="_xlnm.Print_Area" localSheetId="20">'21'!$A$2:$AV$40</definedName>
    <definedName name="_xlnm.Print_Area" localSheetId="21">'22'!$A$2:$AV$40</definedName>
    <definedName name="_xlnm.Print_Area" localSheetId="22">'23'!$A$2:$AV$40</definedName>
    <definedName name="_xlnm.Print_Area" localSheetId="23">'24'!$A$2:$AV$40</definedName>
    <definedName name="_xlnm.Print_Area" localSheetId="24">'25'!$A$2:$AV$40</definedName>
    <definedName name="_xlnm.Print_Area" localSheetId="25">'26'!$A$2:$AV$40</definedName>
    <definedName name="_xlnm.Print_Area" localSheetId="26">'27'!$A$2:$AV$40</definedName>
    <definedName name="_xlnm.Print_Area" localSheetId="31">'27 bermasalah'!$Y$2:$AK$40</definedName>
    <definedName name="_xlnm.Print_Area" localSheetId="27">'28'!$A$2:$AK$40</definedName>
    <definedName name="_xlnm.Print_Area" localSheetId="28">'29'!$A$2:$AK$40</definedName>
    <definedName name="_xlnm.Print_Area" localSheetId="2">'3'!$A$1:$AJ$39</definedName>
    <definedName name="_xlnm.Print_Area" localSheetId="29">'30'!$A$2:$AK$40</definedName>
    <definedName name="_xlnm.Print_Area" localSheetId="30">'31'!$A$2:$AK$40</definedName>
    <definedName name="_xlnm.Print_Area" localSheetId="3">'4'!$A$1:$AJ$39</definedName>
    <definedName name="_xlnm.Print_Area" localSheetId="4">'5'!$A$1:$AI$39</definedName>
    <definedName name="_xlnm.Print_Area" localSheetId="5">'6'!$A$1:$AV$39</definedName>
    <definedName name="_xlnm.Print_Area" localSheetId="6">'7'!$A$1:$AV$39</definedName>
    <definedName name="_xlnm.Print_Area" localSheetId="7">'8'!$A$2:$AV$40</definedName>
    <definedName name="_xlnm.Print_Area" localSheetId="8">'9'!$A$2:$AV$40</definedName>
    <definedName name="_xlnm.Print_Area" localSheetId="33">INTERMEDIATE!$A$1:$G$25</definedName>
    <definedName name="_xlnm.Print_Area" localSheetId="32">Sheet2!$E$10:$L$15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" i="84" l="1"/>
  <c r="AF10" i="84"/>
  <c r="AF11" i="84"/>
  <c r="AF12" i="84"/>
  <c r="AF13" i="84"/>
  <c r="AF14" i="84"/>
  <c r="AF15" i="84"/>
  <c r="AF16" i="84"/>
  <c r="AF17" i="84"/>
  <c r="AF18" i="84"/>
  <c r="AF19" i="84"/>
  <c r="AF20" i="84"/>
  <c r="AF21" i="84"/>
  <c r="AF22" i="84"/>
  <c r="AF23" i="84"/>
  <c r="AF24" i="84"/>
  <c r="AF25" i="84"/>
  <c r="AF26" i="84"/>
  <c r="AF27" i="84"/>
  <c r="AF28" i="84"/>
  <c r="AF29" i="84"/>
  <c r="AF30" i="84"/>
  <c r="AF31" i="84"/>
  <c r="T37" i="84"/>
  <c r="T36" i="84"/>
  <c r="T35" i="84"/>
  <c r="T34" i="84"/>
  <c r="T33" i="84"/>
  <c r="T32" i="84"/>
  <c r="T31" i="84"/>
  <c r="T30" i="84"/>
  <c r="T29" i="84"/>
  <c r="T28" i="84"/>
  <c r="T27" i="84"/>
  <c r="T26" i="84"/>
  <c r="T25" i="84"/>
  <c r="T24" i="84"/>
  <c r="F24" i="84"/>
  <c r="T23" i="84"/>
  <c r="F23" i="84"/>
  <c r="T22" i="84"/>
  <c r="F22" i="84"/>
  <c r="T21" i="84"/>
  <c r="F21" i="84"/>
  <c r="T20" i="84"/>
  <c r="F20" i="84"/>
  <c r="T19" i="84"/>
  <c r="F19" i="84"/>
  <c r="T18" i="84"/>
  <c r="F18" i="84"/>
  <c r="AK17" i="84"/>
  <c r="Y17" i="84"/>
  <c r="T17" i="84"/>
  <c r="K17" i="84"/>
  <c r="F17" i="84"/>
  <c r="AK16" i="84"/>
  <c r="Y16" i="84"/>
  <c r="T16" i="84"/>
  <c r="K16" i="84"/>
  <c r="F16" i="84"/>
  <c r="T15" i="84"/>
  <c r="F15" i="84"/>
  <c r="T14" i="84"/>
  <c r="F14" i="84"/>
  <c r="Y13" i="84"/>
  <c r="T13" i="84"/>
  <c r="F13" i="84"/>
  <c r="AK12" i="84"/>
  <c r="AK13" i="84" s="1"/>
  <c r="Y12" i="84"/>
  <c r="T12" i="84"/>
  <c r="K12" i="84"/>
  <c r="K13" i="84" s="1"/>
  <c r="F12" i="84"/>
  <c r="T11" i="84"/>
  <c r="F11" i="84"/>
  <c r="T10" i="84"/>
  <c r="F10" i="84"/>
  <c r="T9" i="84"/>
  <c r="F9" i="84"/>
  <c r="AF8" i="84"/>
  <c r="T8" i="84"/>
  <c r="F8" i="84"/>
  <c r="AF7" i="84"/>
  <c r="T7" i="84"/>
  <c r="F7" i="84"/>
  <c r="AK6" i="84"/>
  <c r="Y6" i="84"/>
  <c r="K6" i="84"/>
  <c r="AB5" i="84"/>
  <c r="P5" i="84"/>
  <c r="AB3" i="84"/>
  <c r="AK15" i="84" s="1"/>
  <c r="P3" i="84"/>
  <c r="Y15" i="84" s="1"/>
  <c r="B3" i="84"/>
  <c r="K15" i="84" s="1"/>
  <c r="AF27" i="82" l="1"/>
  <c r="T20" i="82"/>
  <c r="AF26" i="82"/>
  <c r="T31" i="82"/>
  <c r="AF25" i="82"/>
  <c r="T19" i="82"/>
  <c r="AF24" i="82"/>
  <c r="T22" i="82"/>
  <c r="AF23" i="82"/>
  <c r="T30" i="82"/>
  <c r="AF10" i="82"/>
  <c r="T29" i="82"/>
  <c r="AF16" i="82"/>
  <c r="T28" i="82"/>
  <c r="F9" i="82"/>
  <c r="AF15" i="82"/>
  <c r="T18" i="82"/>
  <c r="F18" i="82"/>
  <c r="AF14" i="82"/>
  <c r="T8" i="82"/>
  <c r="F17" i="82"/>
  <c r="AF31" i="82"/>
  <c r="T17" i="82"/>
  <c r="F16" i="82"/>
  <c r="AF30" i="82"/>
  <c r="T7" i="82"/>
  <c r="F11" i="82"/>
  <c r="AF9" i="82"/>
  <c r="T21" i="82"/>
  <c r="F25" i="82"/>
  <c r="AF8" i="82"/>
  <c r="T10" i="82"/>
  <c r="F24" i="82"/>
  <c r="AF22" i="82"/>
  <c r="T27" i="82"/>
  <c r="F15" i="82"/>
  <c r="AK17" i="82"/>
  <c r="AF29" i="82"/>
  <c r="Y17" i="82"/>
  <c r="T26" i="82"/>
  <c r="K17" i="82"/>
  <c r="F23" i="82"/>
  <c r="AK16" i="82"/>
  <c r="AF12" i="82"/>
  <c r="Y16" i="82"/>
  <c r="T9" i="82"/>
  <c r="K16" i="82"/>
  <c r="F22" i="82"/>
  <c r="AF21" i="82"/>
  <c r="T25" i="82"/>
  <c r="F21" i="82"/>
  <c r="AF20" i="82"/>
  <c r="T16" i="82"/>
  <c r="F20" i="82"/>
  <c r="AF7" i="82"/>
  <c r="T15" i="82"/>
  <c r="F14" i="82"/>
  <c r="AK12" i="82"/>
  <c r="AK13" i="82" s="1"/>
  <c r="AF19" i="82"/>
  <c r="Y12" i="82"/>
  <c r="Y13" i="82" s="1"/>
  <c r="T14" i="82"/>
  <c r="K12" i="82"/>
  <c r="K13" i="82" s="1"/>
  <c r="F8" i="82"/>
  <c r="AF18" i="82"/>
  <c r="T13" i="82"/>
  <c r="F7" i="82"/>
  <c r="AF13" i="82"/>
  <c r="T12" i="82"/>
  <c r="F13" i="82"/>
  <c r="AF17" i="82"/>
  <c r="T11" i="82"/>
  <c r="F12" i="82"/>
  <c r="AF28" i="82"/>
  <c r="T24" i="82"/>
  <c r="F19" i="82"/>
  <c r="AF11" i="82"/>
  <c r="T23" i="82"/>
  <c r="F10" i="82"/>
  <c r="AK6" i="82"/>
  <c r="Y6" i="82"/>
  <c r="K6" i="82"/>
  <c r="AB5" i="82"/>
  <c r="P5" i="82"/>
  <c r="AB3" i="82"/>
  <c r="AK15" i="82" s="1"/>
  <c r="P3" i="82"/>
  <c r="Y15" i="82" s="1"/>
  <c r="B3" i="82"/>
  <c r="K15" i="82" s="1"/>
  <c r="AF11" i="81"/>
  <c r="T32" i="81" l="1"/>
  <c r="T21" i="81"/>
  <c r="T31" i="81"/>
  <c r="T30" i="81"/>
  <c r="AF9" i="81"/>
  <c r="AF28" i="81"/>
  <c r="AF27" i="81"/>
  <c r="T29" i="81"/>
  <c r="AF26" i="81"/>
  <c r="T20" i="81"/>
  <c r="AF17" i="81"/>
  <c r="T28" i="81"/>
  <c r="AF8" i="81"/>
  <c r="T27" i="81"/>
  <c r="F24" i="81"/>
  <c r="AF31" i="81"/>
  <c r="T19" i="81"/>
  <c r="F23" i="81"/>
  <c r="AF7" i="81"/>
  <c r="T18" i="81"/>
  <c r="F22" i="81"/>
  <c r="AF25" i="81"/>
  <c r="T17" i="81"/>
  <c r="F7" i="81"/>
  <c r="AF30" i="81"/>
  <c r="T16" i="81"/>
  <c r="F21" i="81"/>
  <c r="AF16" i="81"/>
  <c r="T10" i="81"/>
  <c r="F11" i="81"/>
  <c r="AF24" i="81"/>
  <c r="T15" i="81"/>
  <c r="F20" i="81"/>
  <c r="AF15" i="81"/>
  <c r="T26" i="81"/>
  <c r="F10" i="81"/>
  <c r="AF23" i="81"/>
  <c r="F19" i="81"/>
  <c r="AK17" i="81"/>
  <c r="AF12" i="81"/>
  <c r="Y17" i="81"/>
  <c r="T25" i="81"/>
  <c r="K17" i="81"/>
  <c r="F18" i="81"/>
  <c r="AK16" i="81"/>
  <c r="Y16" i="81"/>
  <c r="T9" i="81"/>
  <c r="K16" i="81"/>
  <c r="F17" i="81"/>
  <c r="AF22" i="81"/>
  <c r="T24" i="81"/>
  <c r="F16" i="81"/>
  <c r="AF21" i="81"/>
  <c r="T14" i="81"/>
  <c r="F15" i="81"/>
  <c r="AF14" i="81"/>
  <c r="T8" i="81"/>
  <c r="F14" i="81"/>
  <c r="AK12" i="81"/>
  <c r="AK13" i="81" s="1"/>
  <c r="AF20" i="81"/>
  <c r="Y12" i="81"/>
  <c r="Y13" i="81" s="1"/>
  <c r="T12" i="81"/>
  <c r="K12" i="81"/>
  <c r="K13" i="81" s="1"/>
  <c r="F9" i="81"/>
  <c r="AF19" i="81"/>
  <c r="T13" i="81"/>
  <c r="F8" i="81"/>
  <c r="AF13" i="81"/>
  <c r="T11" i="81"/>
  <c r="AF29" i="81"/>
  <c r="T7" i="81"/>
  <c r="F13" i="81"/>
  <c r="AF18" i="81"/>
  <c r="T23" i="81"/>
  <c r="F12" i="81"/>
  <c r="AF10" i="81"/>
  <c r="T22" i="81"/>
  <c r="F25" i="81"/>
  <c r="AK6" i="81"/>
  <c r="Y6" i="81"/>
  <c r="K6" i="81"/>
  <c r="AB5" i="81"/>
  <c r="P5" i="81"/>
  <c r="AB3" i="81"/>
  <c r="AK15" i="81" s="1"/>
  <c r="P3" i="81"/>
  <c r="Y15" i="81" s="1"/>
  <c r="B3" i="81"/>
  <c r="K15" i="81" s="1"/>
  <c r="T27" i="80"/>
  <c r="T15" i="80"/>
  <c r="T26" i="80"/>
  <c r="T21" i="80"/>
  <c r="T16" i="80"/>
  <c r="T22" i="80"/>
  <c r="T23" i="80"/>
  <c r="T10" i="80"/>
  <c r="T17" i="80"/>
  <c r="T11" i="80"/>
  <c r="T7" i="80"/>
  <c r="T12" i="80"/>
  <c r="T8" i="80"/>
  <c r="T13" i="80"/>
  <c r="T18" i="80"/>
  <c r="T19" i="80"/>
  <c r="T28" i="80"/>
  <c r="T14" i="80"/>
  <c r="T29" i="80"/>
  <c r="T9" i="80"/>
  <c r="T24" i="80"/>
  <c r="T30" i="80"/>
  <c r="T25" i="80"/>
  <c r="T20" i="80"/>
  <c r="F10" i="80"/>
  <c r="F9" i="80"/>
  <c r="F17" i="80"/>
  <c r="F25" i="80"/>
  <c r="AF32" i="80"/>
  <c r="AF31" i="80"/>
  <c r="AF30" i="80"/>
  <c r="AF29" i="80"/>
  <c r="AF28" i="80"/>
  <c r="AF27" i="80"/>
  <c r="AF26" i="80"/>
  <c r="AF22" i="80"/>
  <c r="AF21" i="80"/>
  <c r="AF20" i="80"/>
  <c r="F16" i="80"/>
  <c r="AF11" i="80"/>
  <c r="F24" i="80"/>
  <c r="AF10" i="80"/>
  <c r="F23" i="80"/>
  <c r="AF25" i="80"/>
  <c r="F27" i="80"/>
  <c r="AF19" i="80"/>
  <c r="F15" i="80"/>
  <c r="AF18" i="80"/>
  <c r="F22" i="80"/>
  <c r="AK17" i="80"/>
  <c r="AF17" i="80"/>
  <c r="Y17" i="80"/>
  <c r="K17" i="80"/>
  <c r="F14" i="80"/>
  <c r="AK16" i="80"/>
  <c r="AF24" i="80"/>
  <c r="Y16" i="80"/>
  <c r="K16" i="80"/>
  <c r="F13" i="80"/>
  <c r="AF8" i="80"/>
  <c r="F21" i="80"/>
  <c r="AF7" i="80"/>
  <c r="F20" i="80"/>
  <c r="AF16" i="80"/>
  <c r="F8" i="80"/>
  <c r="AK12" i="80"/>
  <c r="AK13" i="80" s="1"/>
  <c r="AF9" i="80"/>
  <c r="Y12" i="80"/>
  <c r="Y13" i="80" s="1"/>
  <c r="K12" i="80"/>
  <c r="K13" i="80" s="1"/>
  <c r="F26" i="80"/>
  <c r="AF15" i="80"/>
  <c r="F7" i="80"/>
  <c r="AF14" i="80"/>
  <c r="F12" i="80"/>
  <c r="AF13" i="80"/>
  <c r="F19" i="80"/>
  <c r="AF12" i="80"/>
  <c r="F18" i="80"/>
  <c r="AF23" i="80"/>
  <c r="F11" i="80"/>
  <c r="AK6" i="80"/>
  <c r="Y6" i="80"/>
  <c r="K6" i="80"/>
  <c r="AB5" i="80"/>
  <c r="P5" i="80"/>
  <c r="AB3" i="80"/>
  <c r="AK15" i="80" s="1"/>
  <c r="P3" i="80"/>
  <c r="Y15" i="80" s="1"/>
  <c r="B3" i="80"/>
  <c r="K15" i="80" s="1"/>
  <c r="AE33" i="79"/>
  <c r="AE32" i="79"/>
  <c r="AQ31" i="79"/>
  <c r="AE31" i="79"/>
  <c r="AQ30" i="79"/>
  <c r="AE30" i="79"/>
  <c r="AQ29" i="79"/>
  <c r="AE29" i="79"/>
  <c r="AQ28" i="79"/>
  <c r="AE28" i="79"/>
  <c r="AQ27" i="79"/>
  <c r="AE27" i="79"/>
  <c r="AQ26" i="79"/>
  <c r="AE26" i="79"/>
  <c r="AQ25" i="79"/>
  <c r="AE25" i="79"/>
  <c r="AQ24" i="79"/>
  <c r="AE24" i="79"/>
  <c r="F24" i="79"/>
  <c r="AQ23" i="79"/>
  <c r="AE23" i="79"/>
  <c r="F23" i="79"/>
  <c r="AQ22" i="79"/>
  <c r="AE22" i="79"/>
  <c r="F22" i="79"/>
  <c r="AQ21" i="79"/>
  <c r="AE21" i="79"/>
  <c r="F21" i="79"/>
  <c r="AQ20" i="79"/>
  <c r="AE20" i="79"/>
  <c r="F20" i="79"/>
  <c r="AQ19" i="79"/>
  <c r="AE19" i="79"/>
  <c r="F19" i="79"/>
  <c r="AQ18" i="79"/>
  <c r="AE18" i="79"/>
  <c r="F18" i="79"/>
  <c r="AV17" i="79"/>
  <c r="AQ17" i="79"/>
  <c r="AJ17" i="79"/>
  <c r="AE17" i="79"/>
  <c r="X17" i="79"/>
  <c r="K17" i="79"/>
  <c r="F17" i="79"/>
  <c r="AV16" i="79"/>
  <c r="AQ16" i="79"/>
  <c r="AJ16" i="79"/>
  <c r="AE16" i="79"/>
  <c r="X16" i="79"/>
  <c r="K16" i="79"/>
  <c r="F16" i="79"/>
  <c r="AQ15" i="79"/>
  <c r="AE15" i="79"/>
  <c r="F15" i="79"/>
  <c r="AQ14" i="79"/>
  <c r="AE14" i="79"/>
  <c r="F14" i="79"/>
  <c r="AQ13" i="79"/>
  <c r="AJ13" i="79"/>
  <c r="AE13" i="79"/>
  <c r="F13" i="79"/>
  <c r="AV12" i="79"/>
  <c r="AV13" i="79" s="1"/>
  <c r="AQ12" i="79"/>
  <c r="AJ12" i="79"/>
  <c r="AE12" i="79"/>
  <c r="X12" i="79"/>
  <c r="X13" i="79" s="1"/>
  <c r="K12" i="79"/>
  <c r="K13" i="79" s="1"/>
  <c r="F12" i="79"/>
  <c r="AQ11" i="79"/>
  <c r="AE11" i="79"/>
  <c r="F11" i="79"/>
  <c r="AQ10" i="79"/>
  <c r="AE10" i="79"/>
  <c r="S10" i="79"/>
  <c r="F10" i="79"/>
  <c r="AQ9" i="79"/>
  <c r="AE9" i="79"/>
  <c r="S9" i="79"/>
  <c r="F9" i="79"/>
  <c r="AQ8" i="79"/>
  <c r="AE8" i="79"/>
  <c r="S8" i="79"/>
  <c r="F8" i="79"/>
  <c r="AQ7" i="79"/>
  <c r="AE7" i="79"/>
  <c r="S7" i="79"/>
  <c r="F7" i="79"/>
  <c r="AV6" i="79"/>
  <c r="AJ6" i="79"/>
  <c r="X6" i="79"/>
  <c r="K6" i="79"/>
  <c r="AM5" i="79"/>
  <c r="AA5" i="79"/>
  <c r="O5" i="79"/>
  <c r="AM3" i="79"/>
  <c r="AV15" i="79" s="1"/>
  <c r="AA3" i="79"/>
  <c r="AJ15" i="79" s="1"/>
  <c r="P3" i="79"/>
  <c r="O3" i="79"/>
  <c r="X15" i="79" s="1"/>
  <c r="B3" i="79"/>
  <c r="K15" i="79" s="1"/>
  <c r="AE33" i="78"/>
  <c r="AE9" i="78"/>
  <c r="AE32" i="78"/>
  <c r="AE29" i="78"/>
  <c r="F19" i="78"/>
  <c r="AQ27" i="78"/>
  <c r="AQ24" i="78"/>
  <c r="AQ21" i="78"/>
  <c r="AE11" i="78"/>
  <c r="AQ26" i="78"/>
  <c r="AE31" i="78"/>
  <c r="AQ28" i="78"/>
  <c r="AE28" i="78"/>
  <c r="AQ25" i="78"/>
  <c r="AE8" i="78"/>
  <c r="AQ23" i="78"/>
  <c r="AE18" i="78"/>
  <c r="AQ18" i="78"/>
  <c r="AE17" i="78"/>
  <c r="AQ30" i="78"/>
  <c r="AE10" i="78"/>
  <c r="F11" i="78"/>
  <c r="AQ15" i="78"/>
  <c r="AE27" i="78"/>
  <c r="F18" i="78"/>
  <c r="AQ14" i="78"/>
  <c r="AE16" i="78"/>
  <c r="F17" i="78"/>
  <c r="AQ17" i="78"/>
  <c r="AE26" i="78"/>
  <c r="F16" i="78"/>
  <c r="AQ9" i="78"/>
  <c r="AE25" i="78"/>
  <c r="F24" i="78"/>
  <c r="AQ29" i="78"/>
  <c r="AE30" i="78"/>
  <c r="F23" i="78"/>
  <c r="AV17" i="78"/>
  <c r="AQ16" i="78"/>
  <c r="AJ17" i="78"/>
  <c r="AE15" i="78"/>
  <c r="X17" i="78"/>
  <c r="K17" i="78"/>
  <c r="F22" i="78"/>
  <c r="AV16" i="78"/>
  <c r="AQ7" i="78"/>
  <c r="AJ16" i="78"/>
  <c r="AE14" i="78"/>
  <c r="X16" i="78"/>
  <c r="K16" i="78"/>
  <c r="F21" i="78"/>
  <c r="AQ8" i="78"/>
  <c r="AE24" i="78"/>
  <c r="F10" i="78"/>
  <c r="AQ19" i="78"/>
  <c r="AE7" i="78"/>
  <c r="F15" i="78"/>
  <c r="AQ22" i="78"/>
  <c r="AE13" i="78"/>
  <c r="F20" i="78"/>
  <c r="AV12" i="78"/>
  <c r="AV13" i="78" s="1"/>
  <c r="AQ10" i="78"/>
  <c r="AJ12" i="78"/>
  <c r="AJ13" i="78" s="1"/>
  <c r="X12" i="78"/>
  <c r="X13" i="78" s="1"/>
  <c r="K12" i="78"/>
  <c r="K13" i="78" s="1"/>
  <c r="F9" i="78"/>
  <c r="AQ20" i="78"/>
  <c r="AE22" i="78"/>
  <c r="F8" i="78"/>
  <c r="AQ31" i="78"/>
  <c r="AE12" i="78"/>
  <c r="S10" i="78"/>
  <c r="F14" i="78"/>
  <c r="AQ13" i="78"/>
  <c r="AE21" i="78"/>
  <c r="S9" i="78"/>
  <c r="F7" i="78"/>
  <c r="AQ11" i="78"/>
  <c r="AE20" i="78"/>
  <c r="S8" i="78"/>
  <c r="F13" i="78"/>
  <c r="AQ12" i="78"/>
  <c r="AE19" i="78"/>
  <c r="S7" i="78"/>
  <c r="F12" i="78"/>
  <c r="AV6" i="78"/>
  <c r="AJ6" i="78"/>
  <c r="X6" i="78"/>
  <c r="K6" i="78"/>
  <c r="AM5" i="78"/>
  <c r="AA5" i="78"/>
  <c r="O5" i="78"/>
  <c r="AM3" i="78"/>
  <c r="AV15" i="78" s="1"/>
  <c r="AA3" i="78"/>
  <c r="AJ15" i="78" s="1"/>
  <c r="P3" i="78"/>
  <c r="O3" i="78"/>
  <c r="X15" i="78" s="1"/>
  <c r="B3" i="78"/>
  <c r="K15" i="78" s="1"/>
  <c r="F19" i="77"/>
  <c r="AQ18" i="77"/>
  <c r="AQ27" i="77"/>
  <c r="AQ19" i="77"/>
  <c r="AQ28" i="77"/>
  <c r="AQ29" i="77"/>
  <c r="AQ8" i="77"/>
  <c r="S7" i="77"/>
  <c r="S9" i="77"/>
  <c r="AE25" i="77"/>
  <c r="AE17" i="77"/>
  <c r="AE30" i="77"/>
  <c r="AE24" i="77"/>
  <c r="AE29" i="77"/>
  <c r="AE23" i="77"/>
  <c r="AQ26" i="77"/>
  <c r="AE13" i="77"/>
  <c r="AQ17" i="77"/>
  <c r="AE16" i="77"/>
  <c r="AQ11" i="77"/>
  <c r="AE8" i="77"/>
  <c r="F12" i="77"/>
  <c r="AQ25" i="77"/>
  <c r="AE28" i="77"/>
  <c r="F8" i="77"/>
  <c r="AQ16" i="77"/>
  <c r="AE27" i="77"/>
  <c r="F20" i="77"/>
  <c r="AQ15" i="77"/>
  <c r="AE22" i="77"/>
  <c r="AQ14" i="77"/>
  <c r="AE21" i="77"/>
  <c r="F23" i="77"/>
  <c r="AQ24" i="77"/>
  <c r="AE26" i="77"/>
  <c r="F11" i="77"/>
  <c r="AV17" i="77"/>
  <c r="AQ23" i="77"/>
  <c r="AJ17" i="77"/>
  <c r="AE12" i="77"/>
  <c r="X17" i="77"/>
  <c r="K17" i="77"/>
  <c r="F18" i="77"/>
  <c r="AV16" i="77"/>
  <c r="AQ31" i="77"/>
  <c r="AJ16" i="77"/>
  <c r="AE15" i="77"/>
  <c r="X16" i="77"/>
  <c r="K16" i="77"/>
  <c r="F7" i="77"/>
  <c r="AQ22" i="77"/>
  <c r="AE20" i="77"/>
  <c r="F22" i="77"/>
  <c r="AQ7" i="77"/>
  <c r="AE11" i="77"/>
  <c r="F17" i="77"/>
  <c r="AQ21" i="77"/>
  <c r="AE14" i="77"/>
  <c r="F21" i="77"/>
  <c r="AV12" i="77"/>
  <c r="AV13" i="77" s="1"/>
  <c r="AQ30" i="77"/>
  <c r="AJ12" i="77"/>
  <c r="AJ13" i="77" s="1"/>
  <c r="AE19" i="77"/>
  <c r="X12" i="77"/>
  <c r="X13" i="77" s="1"/>
  <c r="K12" i="77"/>
  <c r="K13" i="77" s="1"/>
  <c r="F9" i="77"/>
  <c r="AQ13" i="77"/>
  <c r="AE18" i="77"/>
  <c r="F16" i="77"/>
  <c r="AQ10" i="77"/>
  <c r="AE7" i="77"/>
  <c r="F15" i="77"/>
  <c r="AQ12" i="77"/>
  <c r="AE10" i="77"/>
  <c r="S8" i="77"/>
  <c r="F14" i="77"/>
  <c r="AQ9" i="77"/>
  <c r="AE9" i="77"/>
  <c r="S10" i="77"/>
  <c r="F10" i="77"/>
  <c r="AQ20" i="77"/>
  <c r="AE31" i="77"/>
  <c r="S11" i="77"/>
  <c r="F13" i="77"/>
  <c r="AV6" i="77"/>
  <c r="AJ6" i="77"/>
  <c r="X6" i="77"/>
  <c r="K6" i="77"/>
  <c r="AM5" i="77"/>
  <c r="AA5" i="77"/>
  <c r="O5" i="77"/>
  <c r="AM3" i="77"/>
  <c r="AV15" i="77" s="1"/>
  <c r="AA3" i="77"/>
  <c r="AJ15" i="77" s="1"/>
  <c r="P3" i="77"/>
  <c r="O3" i="77"/>
  <c r="X15" i="77" s="1"/>
  <c r="B3" i="77"/>
  <c r="K15" i="77" s="1"/>
  <c r="AE32" i="76"/>
  <c r="AE31" i="76"/>
  <c r="AE30" i="76"/>
  <c r="AE29" i="76"/>
  <c r="AE28" i="76"/>
  <c r="AE27" i="76"/>
  <c r="AE26" i="76"/>
  <c r="AE20" i="76"/>
  <c r="AQ11" i="76"/>
  <c r="AE19" i="76"/>
  <c r="F17" i="76"/>
  <c r="AQ25" i="76"/>
  <c r="AE25" i="76"/>
  <c r="F9" i="76"/>
  <c r="AQ24" i="76"/>
  <c r="AE24" i="76"/>
  <c r="F8" i="76"/>
  <c r="AQ8" i="76"/>
  <c r="AE9" i="76"/>
  <c r="F16" i="76"/>
  <c r="AQ7" i="76"/>
  <c r="AE18" i="76"/>
  <c r="F15" i="76"/>
  <c r="AQ23" i="76"/>
  <c r="AE17" i="76"/>
  <c r="F14" i="76"/>
  <c r="AQ22" i="76"/>
  <c r="AE12" i="76"/>
  <c r="F25" i="76"/>
  <c r="AQ21" i="76"/>
  <c r="AE11" i="76"/>
  <c r="F24" i="76"/>
  <c r="AQ20" i="76"/>
  <c r="AE23" i="76"/>
  <c r="F23" i="76"/>
  <c r="AV17" i="76"/>
  <c r="AQ19" i="76"/>
  <c r="AJ17" i="76"/>
  <c r="AE8" i="76"/>
  <c r="X17" i="76"/>
  <c r="K17" i="76"/>
  <c r="F22" i="76"/>
  <c r="AV16" i="76"/>
  <c r="AQ26" i="76"/>
  <c r="AJ16" i="76"/>
  <c r="AE22" i="76"/>
  <c r="X16" i="76"/>
  <c r="K16" i="76"/>
  <c r="F21" i="76"/>
  <c r="AQ18" i="76"/>
  <c r="AE16" i="76"/>
  <c r="F13" i="76"/>
  <c r="AQ17" i="76"/>
  <c r="AE15" i="76"/>
  <c r="F20" i="76"/>
  <c r="AQ16" i="76"/>
  <c r="AE21" i="76"/>
  <c r="F19" i="76"/>
  <c r="AV12" i="76"/>
  <c r="AV13" i="76" s="1"/>
  <c r="AQ15" i="76"/>
  <c r="AJ12" i="76"/>
  <c r="AJ13" i="76" s="1"/>
  <c r="AE7" i="76"/>
  <c r="X12" i="76"/>
  <c r="X13" i="76" s="1"/>
  <c r="K12" i="76"/>
  <c r="K13" i="76" s="1"/>
  <c r="AQ14" i="76"/>
  <c r="AE10" i="76"/>
  <c r="F18" i="76"/>
  <c r="AQ10" i="76"/>
  <c r="AE14" i="76"/>
  <c r="F12" i="76"/>
  <c r="AQ13" i="76"/>
  <c r="AE13" i="76"/>
  <c r="S9" i="76"/>
  <c r="F11" i="76"/>
  <c r="AQ9" i="76"/>
  <c r="AE34" i="76"/>
  <c r="S7" i="76"/>
  <c r="F7" i="76"/>
  <c r="AQ12" i="76"/>
  <c r="AE33" i="76"/>
  <c r="S8" i="76"/>
  <c r="F10" i="76"/>
  <c r="AV6" i="76"/>
  <c r="AJ6" i="76"/>
  <c r="X6" i="76"/>
  <c r="K6" i="76"/>
  <c r="AM5" i="76"/>
  <c r="AA5" i="76"/>
  <c r="O5" i="76"/>
  <c r="AM3" i="76"/>
  <c r="AV15" i="76" s="1"/>
  <c r="AA3" i="76"/>
  <c r="AJ15" i="76" s="1"/>
  <c r="P3" i="76"/>
  <c r="O3" i="76"/>
  <c r="X15" i="76" s="1"/>
  <c r="B3" i="76"/>
  <c r="K15" i="76" s="1"/>
  <c r="S9" i="74"/>
  <c r="S10" i="74"/>
  <c r="S7" i="74"/>
  <c r="S11" i="74"/>
  <c r="S8" i="74"/>
  <c r="S12" i="74"/>
  <c r="F24" i="74"/>
  <c r="AE11" i="74"/>
  <c r="AE15" i="74"/>
  <c r="AE29" i="74"/>
  <c r="F23" i="74"/>
  <c r="AQ21" i="74"/>
  <c r="AE10" i="74"/>
  <c r="F14" i="74"/>
  <c r="AQ9" i="74"/>
  <c r="AE25" i="74"/>
  <c r="F13" i="74"/>
  <c r="AQ15" i="74"/>
  <c r="AE24" i="74"/>
  <c r="F10" i="74"/>
  <c r="AQ14" i="74"/>
  <c r="AE23" i="74"/>
  <c r="F28" i="74"/>
  <c r="AQ13" i="74"/>
  <c r="AE22" i="74"/>
  <c r="F27" i="74"/>
  <c r="AQ12" i="74"/>
  <c r="AE14" i="74"/>
  <c r="F22" i="74"/>
  <c r="AQ26" i="74"/>
  <c r="AE21" i="74"/>
  <c r="F21" i="74"/>
  <c r="AQ16" i="74"/>
  <c r="AE13" i="74"/>
  <c r="F20" i="74"/>
  <c r="AQ25" i="74"/>
  <c r="AE28" i="74"/>
  <c r="F19" i="74"/>
  <c r="AV17" i="74"/>
  <c r="AQ24" i="74"/>
  <c r="AJ17" i="74"/>
  <c r="AE12" i="74"/>
  <c r="X17" i="74"/>
  <c r="K17" i="74"/>
  <c r="F12" i="74"/>
  <c r="AV16" i="74"/>
  <c r="AQ11" i="74"/>
  <c r="AJ16" i="74"/>
  <c r="AE20" i="74"/>
  <c r="X16" i="74"/>
  <c r="K16" i="74"/>
  <c r="F26" i="74"/>
  <c r="AQ20" i="74"/>
  <c r="AE27" i="74"/>
  <c r="F25" i="74"/>
  <c r="AQ19" i="74"/>
  <c r="AE9" i="74"/>
  <c r="F18" i="74"/>
  <c r="AQ8" i="74"/>
  <c r="AE19" i="74"/>
  <c r="F17" i="74"/>
  <c r="AV12" i="74"/>
  <c r="AV13" i="74" s="1"/>
  <c r="AQ18" i="74"/>
  <c r="AJ12" i="74"/>
  <c r="AJ13" i="74" s="1"/>
  <c r="AE7" i="74"/>
  <c r="X12" i="74"/>
  <c r="X13" i="74" s="1"/>
  <c r="K12" i="74"/>
  <c r="K13" i="74" s="1"/>
  <c r="F11" i="74"/>
  <c r="AQ7" i="74"/>
  <c r="AE8" i="74"/>
  <c r="F9" i="74"/>
  <c r="AQ23" i="74"/>
  <c r="AE26" i="74"/>
  <c r="F8" i="74"/>
  <c r="AQ17" i="74"/>
  <c r="AE18" i="74"/>
  <c r="F16" i="74"/>
  <c r="AQ22" i="74"/>
  <c r="AE17" i="74"/>
  <c r="F7" i="74"/>
  <c r="AQ10" i="74"/>
  <c r="AE16" i="74"/>
  <c r="F15" i="74"/>
  <c r="AV6" i="74"/>
  <c r="AJ6" i="74"/>
  <c r="X6" i="74"/>
  <c r="K6" i="74"/>
  <c r="AM5" i="74"/>
  <c r="AA5" i="74"/>
  <c r="O5" i="74"/>
  <c r="AM3" i="74"/>
  <c r="AV15" i="74" s="1"/>
  <c r="AA3" i="74"/>
  <c r="AJ15" i="74" s="1"/>
  <c r="P3" i="74"/>
  <c r="O3" i="74"/>
  <c r="X15" i="74" s="1"/>
  <c r="B3" i="74"/>
  <c r="K15" i="74" s="1"/>
  <c r="K6" i="73"/>
  <c r="AQ22" i="73"/>
  <c r="F24" i="73"/>
  <c r="AE23" i="73"/>
  <c r="AE22" i="73"/>
  <c r="AE34" i="73"/>
  <c r="AE21" i="73"/>
  <c r="AE13" i="73"/>
  <c r="AE33" i="73"/>
  <c r="AE32" i="73"/>
  <c r="AQ20" i="73"/>
  <c r="AE31" i="73"/>
  <c r="AQ21" i="73"/>
  <c r="AE30" i="73"/>
  <c r="F23" i="73"/>
  <c r="AE20" i="73"/>
  <c r="F12" i="73"/>
  <c r="AQ13" i="73"/>
  <c r="AE12" i="73"/>
  <c r="F11" i="73"/>
  <c r="AQ14" i="73"/>
  <c r="AE19" i="73"/>
  <c r="F22" i="73"/>
  <c r="AQ15" i="73"/>
  <c r="AE9" i="73"/>
  <c r="F21" i="73"/>
  <c r="AQ16" i="73"/>
  <c r="AE11" i="73"/>
  <c r="F20" i="73"/>
  <c r="AQ7" i="73"/>
  <c r="AE18" i="73"/>
  <c r="F19" i="73"/>
  <c r="AQ8" i="73"/>
  <c r="AE29" i="73"/>
  <c r="F10" i="73"/>
  <c r="AQ12" i="73"/>
  <c r="AE28" i="73"/>
  <c r="F18" i="73"/>
  <c r="AV17" i="73"/>
  <c r="AQ17" i="73"/>
  <c r="AJ17" i="73"/>
  <c r="AE17" i="73"/>
  <c r="X17" i="73"/>
  <c r="K17" i="73"/>
  <c r="F17" i="73"/>
  <c r="AV16" i="73"/>
  <c r="AQ23" i="73"/>
  <c r="AJ16" i="73"/>
  <c r="AE27" i="73"/>
  <c r="X16" i="73"/>
  <c r="K16" i="73"/>
  <c r="F27" i="73"/>
  <c r="AQ18" i="73"/>
  <c r="AE8" i="73"/>
  <c r="F16" i="73"/>
  <c r="AQ27" i="73"/>
  <c r="AE26" i="73"/>
  <c r="F26" i="73"/>
  <c r="AQ24" i="73"/>
  <c r="AE16" i="73"/>
  <c r="F9" i="73"/>
  <c r="AV12" i="73"/>
  <c r="AV13" i="73" s="1"/>
  <c r="AQ25" i="73"/>
  <c r="AJ12" i="73"/>
  <c r="AJ13" i="73" s="1"/>
  <c r="AE25" i="73"/>
  <c r="X12" i="73"/>
  <c r="X13" i="73" s="1"/>
  <c r="K12" i="73"/>
  <c r="K13" i="73" s="1"/>
  <c r="F15" i="73"/>
  <c r="AQ26" i="73"/>
  <c r="AE10" i="73"/>
  <c r="F8" i="73"/>
  <c r="AQ10" i="73"/>
  <c r="AE7" i="73"/>
  <c r="S10" i="73"/>
  <c r="F25" i="73"/>
  <c r="AQ9" i="73"/>
  <c r="AE15" i="73"/>
  <c r="S9" i="73"/>
  <c r="F14" i="73"/>
  <c r="AQ19" i="73"/>
  <c r="AE14" i="73"/>
  <c r="S8" i="73"/>
  <c r="F13" i="73"/>
  <c r="AQ11" i="73"/>
  <c r="AE24" i="73"/>
  <c r="S7" i="73"/>
  <c r="F7" i="73"/>
  <c r="AV6" i="73"/>
  <c r="AJ6" i="73"/>
  <c r="X6" i="73"/>
  <c r="AM5" i="73"/>
  <c r="AA5" i="73"/>
  <c r="O5" i="73"/>
  <c r="AM3" i="73"/>
  <c r="AV15" i="73" s="1"/>
  <c r="AA3" i="73"/>
  <c r="AJ15" i="73" s="1"/>
  <c r="P3" i="73"/>
  <c r="O3" i="73"/>
  <c r="X15" i="73" s="1"/>
  <c r="B3" i="73"/>
  <c r="K15" i="73" s="1"/>
  <c r="F16" i="71" l="1"/>
  <c r="F17" i="71"/>
  <c r="F11" i="71"/>
  <c r="F18" i="71"/>
  <c r="F25" i="71"/>
  <c r="F19" i="71"/>
  <c r="F20" i="71"/>
  <c r="F21" i="71"/>
  <c r="F26" i="71"/>
  <c r="F22" i="71"/>
  <c r="F23" i="71"/>
  <c r="AQ23" i="71"/>
  <c r="AQ24" i="71"/>
  <c r="AQ25" i="71"/>
  <c r="AQ26" i="71"/>
  <c r="AQ27" i="71"/>
  <c r="AE17" i="71"/>
  <c r="AE31" i="71"/>
  <c r="AE8" i="71"/>
  <c r="AE13" i="71"/>
  <c r="AE30" i="71"/>
  <c r="AE34" i="71"/>
  <c r="AE33" i="71"/>
  <c r="AE29" i="71"/>
  <c r="AE22" i="71"/>
  <c r="AE21" i="71"/>
  <c r="AE20" i="71"/>
  <c r="AQ22" i="71"/>
  <c r="AE16" i="71"/>
  <c r="AQ21" i="71"/>
  <c r="AE28" i="71"/>
  <c r="AQ20" i="71"/>
  <c r="AE12" i="71"/>
  <c r="AQ19" i="71"/>
  <c r="AE19" i="71"/>
  <c r="AQ7" i="71"/>
  <c r="AE27" i="71"/>
  <c r="AQ9" i="71"/>
  <c r="AE26" i="71"/>
  <c r="AV17" i="71"/>
  <c r="AQ18" i="71"/>
  <c r="AJ17" i="71"/>
  <c r="AE32" i="71"/>
  <c r="X17" i="71"/>
  <c r="K17" i="71"/>
  <c r="AV16" i="71"/>
  <c r="AQ17" i="71"/>
  <c r="AJ16" i="71"/>
  <c r="AE25" i="71"/>
  <c r="X16" i="71"/>
  <c r="K16" i="71"/>
  <c r="F24" i="71"/>
  <c r="AQ10" i="71"/>
  <c r="AE18" i="71"/>
  <c r="AQ16" i="71"/>
  <c r="AE24" i="71"/>
  <c r="F10" i="71"/>
  <c r="AQ8" i="71"/>
  <c r="AE15" i="71"/>
  <c r="F9" i="71"/>
  <c r="AV12" i="71"/>
  <c r="AV13" i="71" s="1"/>
  <c r="AQ12" i="71"/>
  <c r="AJ12" i="71"/>
  <c r="AJ13" i="71" s="1"/>
  <c r="AE9" i="71"/>
  <c r="X12" i="71"/>
  <c r="X13" i="71" s="1"/>
  <c r="S11" i="71"/>
  <c r="K12" i="71"/>
  <c r="K13" i="71" s="1"/>
  <c r="F8" i="71"/>
  <c r="AQ15" i="71"/>
  <c r="AE7" i="71"/>
  <c r="S12" i="71"/>
  <c r="F15" i="71"/>
  <c r="AQ28" i="71"/>
  <c r="AE11" i="71"/>
  <c r="S10" i="71"/>
  <c r="F14" i="71"/>
  <c r="AQ14" i="71"/>
  <c r="AE14" i="71"/>
  <c r="S8" i="71"/>
  <c r="F13" i="71"/>
  <c r="AQ13" i="71"/>
  <c r="AE10" i="71"/>
  <c r="S7" i="71"/>
  <c r="F7" i="71"/>
  <c r="AQ11" i="71"/>
  <c r="AE23" i="71"/>
  <c r="S9" i="71"/>
  <c r="F12" i="71"/>
  <c r="AV6" i="71"/>
  <c r="AJ6" i="71"/>
  <c r="X6" i="71"/>
  <c r="K6" i="71"/>
  <c r="AM5" i="71"/>
  <c r="AA5" i="71"/>
  <c r="O5" i="71"/>
  <c r="AM3" i="71"/>
  <c r="AV15" i="71" s="1"/>
  <c r="AA3" i="71"/>
  <c r="AJ15" i="71" s="1"/>
  <c r="P3" i="71"/>
  <c r="O3" i="71"/>
  <c r="X15" i="71" s="1"/>
  <c r="B3" i="71"/>
  <c r="K15" i="71" s="1"/>
  <c r="AQ14" i="70"/>
  <c r="AE22" i="70"/>
  <c r="AE21" i="70"/>
  <c r="AE20" i="70"/>
  <c r="AE19" i="70"/>
  <c r="AQ13" i="70"/>
  <c r="AE8" i="70"/>
  <c r="F21" i="70"/>
  <c r="AQ12" i="70"/>
  <c r="AE18" i="70"/>
  <c r="F16" i="70"/>
  <c r="AQ26" i="70"/>
  <c r="AE29" i="70"/>
  <c r="F15" i="70"/>
  <c r="AQ11" i="70"/>
  <c r="AE12" i="70"/>
  <c r="F14" i="70"/>
  <c r="AQ25" i="70"/>
  <c r="AE28" i="70"/>
  <c r="F13" i="70"/>
  <c r="AQ24" i="70"/>
  <c r="AE11" i="70"/>
  <c r="F26" i="70"/>
  <c r="AQ23" i="70"/>
  <c r="AE17" i="70"/>
  <c r="F12" i="70"/>
  <c r="AQ22" i="70"/>
  <c r="AE16" i="70"/>
  <c r="F25" i="70"/>
  <c r="AQ8" i="70"/>
  <c r="AE27" i="70"/>
  <c r="F24" i="70"/>
  <c r="AV17" i="70"/>
  <c r="AQ7" i="70"/>
  <c r="AJ17" i="70"/>
  <c r="AE26" i="70"/>
  <c r="X17" i="70"/>
  <c r="K17" i="70"/>
  <c r="F20" i="70"/>
  <c r="AV16" i="70"/>
  <c r="AQ21" i="70"/>
  <c r="AJ16" i="70"/>
  <c r="AE10" i="70"/>
  <c r="X16" i="70"/>
  <c r="K16" i="70"/>
  <c r="F19" i="70"/>
  <c r="AQ20" i="70"/>
  <c r="AE25" i="70"/>
  <c r="F18" i="70"/>
  <c r="AQ19" i="70"/>
  <c r="AE24" i="70"/>
  <c r="F23" i="70"/>
  <c r="AQ10" i="70"/>
  <c r="AE7" i="70"/>
  <c r="F11" i="70"/>
  <c r="AV12" i="70"/>
  <c r="AV13" i="70" s="1"/>
  <c r="AQ27" i="70"/>
  <c r="AJ12" i="70"/>
  <c r="AJ13" i="70" s="1"/>
  <c r="AE30" i="70"/>
  <c r="X12" i="70"/>
  <c r="X13" i="70" s="1"/>
  <c r="S8" i="70"/>
  <c r="K12" i="70"/>
  <c r="K13" i="70" s="1"/>
  <c r="F10" i="70"/>
  <c r="AQ18" i="70"/>
  <c r="AE23" i="70"/>
  <c r="S12" i="70"/>
  <c r="F9" i="70"/>
  <c r="AQ17" i="70"/>
  <c r="AE15" i="70"/>
  <c r="S7" i="70"/>
  <c r="F22" i="70"/>
  <c r="AQ16" i="70"/>
  <c r="AE9" i="70"/>
  <c r="S11" i="70"/>
  <c r="F8" i="70"/>
  <c r="AQ15" i="70"/>
  <c r="AE14" i="70"/>
  <c r="S10" i="70"/>
  <c r="F7" i="70"/>
  <c r="AQ9" i="70"/>
  <c r="AE13" i="70"/>
  <c r="S9" i="70"/>
  <c r="F17" i="70"/>
  <c r="AV6" i="70"/>
  <c r="AJ6" i="70"/>
  <c r="X6" i="70"/>
  <c r="K6" i="70"/>
  <c r="AM5" i="70"/>
  <c r="AA5" i="70"/>
  <c r="O5" i="70"/>
  <c r="AM3" i="70"/>
  <c r="AV15" i="70" s="1"/>
  <c r="AA3" i="70"/>
  <c r="AJ15" i="70" s="1"/>
  <c r="P3" i="70"/>
  <c r="O3" i="70"/>
  <c r="X15" i="70" s="1"/>
  <c r="B3" i="70"/>
  <c r="K15" i="70" s="1"/>
  <c r="F9" i="69" l="1"/>
  <c r="AQ8" i="69"/>
  <c r="AQ20" i="69"/>
  <c r="AQ19" i="69"/>
  <c r="AQ18" i="69"/>
  <c r="AQ26" i="69"/>
  <c r="AQ17" i="69"/>
  <c r="AQ16" i="69"/>
  <c r="AQ15" i="69"/>
  <c r="AE30" i="69"/>
  <c r="AE21" i="69"/>
  <c r="AE31" i="69"/>
  <c r="S8" i="69"/>
  <c r="F8" i="69"/>
  <c r="AE29" i="69"/>
  <c r="F29" i="69"/>
  <c r="AE20" i="69"/>
  <c r="F20" i="69"/>
  <c r="AE19" i="69"/>
  <c r="F11" i="69"/>
  <c r="AE18" i="69"/>
  <c r="F19" i="69"/>
  <c r="AE28" i="69"/>
  <c r="F28" i="69"/>
  <c r="AE17" i="69"/>
  <c r="F10" i="69"/>
  <c r="AE10" i="69"/>
  <c r="F27" i="69"/>
  <c r="AE16" i="69"/>
  <c r="F26" i="69"/>
  <c r="AE27" i="69"/>
  <c r="F25" i="69"/>
  <c r="AE26" i="69"/>
  <c r="F24" i="69"/>
  <c r="AQ25" i="69"/>
  <c r="AE25" i="69"/>
  <c r="AV17" i="69"/>
  <c r="AQ14" i="69"/>
  <c r="AJ17" i="69"/>
  <c r="AE24" i="69"/>
  <c r="X17" i="69"/>
  <c r="K17" i="69"/>
  <c r="F23" i="69"/>
  <c r="AV16" i="69"/>
  <c r="AQ24" i="69"/>
  <c r="AJ16" i="69"/>
  <c r="AE23" i="69"/>
  <c r="X16" i="69"/>
  <c r="K16" i="69"/>
  <c r="F22" i="69"/>
  <c r="AQ23" i="69"/>
  <c r="AE9" i="69"/>
  <c r="F18" i="69"/>
  <c r="AQ22" i="69"/>
  <c r="AE22" i="69"/>
  <c r="F17" i="69"/>
  <c r="AQ13" i="69"/>
  <c r="AE15" i="69"/>
  <c r="F16" i="69"/>
  <c r="AV12" i="69"/>
  <c r="AV13" i="69" s="1"/>
  <c r="AQ12" i="69"/>
  <c r="AJ12" i="69"/>
  <c r="AJ13" i="69" s="1"/>
  <c r="AE7" i="69"/>
  <c r="X12" i="69"/>
  <c r="X13" i="69" s="1"/>
  <c r="K12" i="69"/>
  <c r="K13" i="69" s="1"/>
  <c r="F21" i="69"/>
  <c r="AQ11" i="69"/>
  <c r="AE14" i="69"/>
  <c r="S7" i="69"/>
  <c r="F15" i="69"/>
  <c r="AQ7" i="69"/>
  <c r="AE11" i="69"/>
  <c r="S12" i="69"/>
  <c r="F14" i="69"/>
  <c r="AQ10" i="69"/>
  <c r="AE8" i="69"/>
  <c r="S11" i="69"/>
  <c r="F13" i="69"/>
  <c r="AQ21" i="69"/>
  <c r="AE13" i="69"/>
  <c r="S10" i="69"/>
  <c r="F7" i="69"/>
  <c r="AQ9" i="69"/>
  <c r="AE12" i="69"/>
  <c r="S9" i="69"/>
  <c r="F12" i="69"/>
  <c r="AV6" i="69"/>
  <c r="AJ6" i="69"/>
  <c r="X6" i="69"/>
  <c r="K6" i="69"/>
  <c r="AM5" i="69"/>
  <c r="AA5" i="69"/>
  <c r="O5" i="69"/>
  <c r="AM3" i="69"/>
  <c r="AV15" i="69" s="1"/>
  <c r="AA3" i="69"/>
  <c r="AJ15" i="69" s="1"/>
  <c r="P3" i="69"/>
  <c r="O3" i="69"/>
  <c r="X15" i="69" s="1"/>
  <c r="B3" i="69"/>
  <c r="K15" i="69" s="1"/>
  <c r="F15" i="68"/>
  <c r="F8" i="68"/>
  <c r="F9" i="68"/>
  <c r="F10" i="68"/>
  <c r="F16" i="68"/>
  <c r="F11" i="68"/>
  <c r="F17" i="68"/>
  <c r="F18" i="68"/>
  <c r="F13" i="68"/>
  <c r="F19" i="68"/>
  <c r="F20" i="68"/>
  <c r="F21" i="68"/>
  <c r="F22" i="68"/>
  <c r="F23" i="68"/>
  <c r="F24" i="68"/>
  <c r="F25" i="68"/>
  <c r="F26" i="68"/>
  <c r="F12" i="68"/>
  <c r="F27" i="68"/>
  <c r="F28" i="68"/>
  <c r="F29" i="68"/>
  <c r="AE16" i="68"/>
  <c r="AE25" i="68" l="1"/>
  <c r="AE11" i="68"/>
  <c r="AE24" i="68"/>
  <c r="AE23" i="68"/>
  <c r="AE28" i="68"/>
  <c r="AE22" i="68"/>
  <c r="AQ16" i="68"/>
  <c r="AE21" i="68"/>
  <c r="AQ8" i="68"/>
  <c r="AE10" i="68"/>
  <c r="AQ7" i="68"/>
  <c r="AE9" i="68"/>
  <c r="AQ15" i="68"/>
  <c r="AE7" i="68"/>
  <c r="AV17" i="68"/>
  <c r="AQ14" i="68"/>
  <c r="AJ17" i="68"/>
  <c r="AE15" i="68"/>
  <c r="X17" i="68"/>
  <c r="K17" i="68"/>
  <c r="AV16" i="68"/>
  <c r="AQ13" i="68"/>
  <c r="AJ16" i="68"/>
  <c r="AE20" i="68"/>
  <c r="X16" i="68"/>
  <c r="K16" i="68"/>
  <c r="AQ12" i="68"/>
  <c r="AE27" i="68"/>
  <c r="AQ11" i="68"/>
  <c r="AE26" i="68"/>
  <c r="AQ21" i="68"/>
  <c r="AE14" i="68"/>
  <c r="AV12" i="68"/>
  <c r="AV13" i="68" s="1"/>
  <c r="AQ10" i="68"/>
  <c r="AJ12" i="68"/>
  <c r="AJ13" i="68" s="1"/>
  <c r="AE19" i="68"/>
  <c r="X12" i="68"/>
  <c r="X13" i="68" s="1"/>
  <c r="K12" i="68"/>
  <c r="K13" i="68" s="1"/>
  <c r="AQ20" i="68"/>
  <c r="AE13" i="68"/>
  <c r="S11" i="68"/>
  <c r="AQ19" i="68"/>
  <c r="AE8" i="68"/>
  <c r="S10" i="68"/>
  <c r="AQ18" i="68"/>
  <c r="AE18" i="68"/>
  <c r="S9" i="68"/>
  <c r="AQ17" i="68"/>
  <c r="AE17" i="68"/>
  <c r="S8" i="68"/>
  <c r="F7" i="68"/>
  <c r="AQ9" i="68"/>
  <c r="AE12" i="68"/>
  <c r="S7" i="68"/>
  <c r="F14" i="68"/>
  <c r="AV6" i="68"/>
  <c r="AJ6" i="68"/>
  <c r="X6" i="68"/>
  <c r="K6" i="68"/>
  <c r="AM5" i="68"/>
  <c r="AA5" i="68"/>
  <c r="O5" i="68"/>
  <c r="AM3" i="68"/>
  <c r="AV15" i="68" s="1"/>
  <c r="AA3" i="68"/>
  <c r="AJ15" i="68" s="1"/>
  <c r="P3" i="68"/>
  <c r="O3" i="68"/>
  <c r="X15" i="68" s="1"/>
  <c r="B3" i="68"/>
  <c r="K15" i="68" s="1"/>
  <c r="AQ17" i="67" l="1"/>
  <c r="F27" i="67"/>
  <c r="F26" i="67"/>
  <c r="F19" i="67"/>
  <c r="F18" i="67"/>
  <c r="F9" i="67"/>
  <c r="F17" i="67"/>
  <c r="AE12" i="67"/>
  <c r="AE11" i="67"/>
  <c r="AE10" i="67"/>
  <c r="AE16" i="67"/>
  <c r="AE26" i="67"/>
  <c r="AE15" i="67"/>
  <c r="AQ16" i="67"/>
  <c r="AE9" i="67"/>
  <c r="F12" i="67"/>
  <c r="AQ15" i="67"/>
  <c r="AE25" i="67"/>
  <c r="F8" i="67"/>
  <c r="AQ21" i="67"/>
  <c r="AE14" i="67"/>
  <c r="F25" i="67"/>
  <c r="AQ14" i="67"/>
  <c r="AE24" i="67"/>
  <c r="F7" i="67"/>
  <c r="AV17" i="67"/>
  <c r="AQ13" i="67"/>
  <c r="AJ17" i="67"/>
  <c r="AE8" i="67"/>
  <c r="X17" i="67"/>
  <c r="K17" i="67"/>
  <c r="F11" i="67"/>
  <c r="AV16" i="67"/>
  <c r="AQ12" i="67"/>
  <c r="AJ16" i="67"/>
  <c r="AE27" i="67"/>
  <c r="X16" i="67"/>
  <c r="K16" i="67"/>
  <c r="F24" i="67"/>
  <c r="AQ11" i="67"/>
  <c r="AE23" i="67"/>
  <c r="F23" i="67"/>
  <c r="AQ8" i="67"/>
  <c r="AE22" i="67"/>
  <c r="F22" i="67"/>
  <c r="AQ20" i="67"/>
  <c r="AE21" i="67"/>
  <c r="F21" i="67"/>
  <c r="AV12" i="67"/>
  <c r="AV13" i="67" s="1"/>
  <c r="AQ19" i="67"/>
  <c r="AJ12" i="67"/>
  <c r="AJ13" i="67" s="1"/>
  <c r="AE20" i="67"/>
  <c r="X12" i="67"/>
  <c r="X13" i="67" s="1"/>
  <c r="S8" i="67"/>
  <c r="K12" i="67"/>
  <c r="K13" i="67" s="1"/>
  <c r="F16" i="67"/>
  <c r="AQ18" i="67"/>
  <c r="AE19" i="67"/>
  <c r="S7" i="67"/>
  <c r="F15" i="67"/>
  <c r="AQ7" i="67"/>
  <c r="AE13" i="67"/>
  <c r="S12" i="67"/>
  <c r="F10" i="67"/>
  <c r="AQ10" i="67"/>
  <c r="AE7" i="67"/>
  <c r="S11" i="67"/>
  <c r="F14" i="67"/>
  <c r="AQ9" i="67"/>
  <c r="AE18" i="67"/>
  <c r="S10" i="67"/>
  <c r="F13" i="67"/>
  <c r="AE17" i="67"/>
  <c r="S9" i="67"/>
  <c r="F20" i="67"/>
  <c r="AV6" i="67"/>
  <c r="AJ6" i="67"/>
  <c r="X6" i="67"/>
  <c r="K6" i="67"/>
  <c r="AM5" i="67"/>
  <c r="AA5" i="67"/>
  <c r="O5" i="67"/>
  <c r="AM3" i="67"/>
  <c r="AV15" i="67" s="1"/>
  <c r="AA3" i="67"/>
  <c r="AJ15" i="67" s="1"/>
  <c r="P3" i="67"/>
  <c r="O3" i="67"/>
  <c r="X15" i="67" s="1"/>
  <c r="B3" i="67"/>
  <c r="K15" i="67" s="1"/>
  <c r="F8" i="66"/>
  <c r="AV16" i="66"/>
  <c r="AQ21" i="66"/>
  <c r="AQ20" i="66"/>
  <c r="AE22" i="66"/>
  <c r="S12" i="66"/>
  <c r="S11" i="66"/>
  <c r="AQ14" i="66"/>
  <c r="AQ18" i="66"/>
  <c r="AQ10" i="66"/>
  <c r="AQ19" i="66"/>
  <c r="AQ11" i="66"/>
  <c r="AQ15" i="66"/>
  <c r="AE11" i="66"/>
  <c r="AE29" i="66"/>
  <c r="AE17" i="66"/>
  <c r="AE16" i="66"/>
  <c r="AE32" i="66"/>
  <c r="AE15" i="66"/>
  <c r="AE10" i="66"/>
  <c r="AE14" i="66"/>
  <c r="AE13" i="66"/>
  <c r="AE9" i="66"/>
  <c r="F22" i="66"/>
  <c r="AE21" i="66"/>
  <c r="F9" i="66"/>
  <c r="AE28" i="66"/>
  <c r="F17" i="66"/>
  <c r="AE8" i="66"/>
  <c r="F16" i="66"/>
  <c r="AE27" i="66"/>
  <c r="F15" i="66"/>
  <c r="AV17" i="66"/>
  <c r="AJ17" i="66"/>
  <c r="AE26" i="66"/>
  <c r="X17" i="66"/>
  <c r="K17" i="66"/>
  <c r="F14" i="66"/>
  <c r="AJ16" i="66"/>
  <c r="AE25" i="66"/>
  <c r="X16" i="66"/>
  <c r="K16" i="66"/>
  <c r="F21" i="66"/>
  <c r="AE31" i="66"/>
  <c r="AE12" i="66"/>
  <c r="F20" i="66"/>
  <c r="AQ13" i="66"/>
  <c r="AE20" i="66"/>
  <c r="F19" i="66"/>
  <c r="AV12" i="66"/>
  <c r="AV13" i="66" s="1"/>
  <c r="AQ9" i="66"/>
  <c r="AJ12" i="66"/>
  <c r="AJ13" i="66" s="1"/>
  <c r="AE30" i="66"/>
  <c r="X12" i="66"/>
  <c r="X13" i="66" s="1"/>
  <c r="K12" i="66"/>
  <c r="K13" i="66" s="1"/>
  <c r="F7" i="66"/>
  <c r="AQ12" i="66"/>
  <c r="AE24" i="66"/>
  <c r="S9" i="66"/>
  <c r="F13" i="66"/>
  <c r="AQ17" i="66"/>
  <c r="AE19" i="66"/>
  <c r="S8" i="66"/>
  <c r="F12" i="66"/>
  <c r="AQ7" i="66"/>
  <c r="AE7" i="66"/>
  <c r="S10" i="66"/>
  <c r="F11" i="66"/>
  <c r="AQ16" i="66"/>
  <c r="AE18" i="66"/>
  <c r="S13" i="66"/>
  <c r="F10" i="66"/>
  <c r="AQ8" i="66"/>
  <c r="AE23" i="66"/>
  <c r="S7" i="66"/>
  <c r="F18" i="66"/>
  <c r="AV6" i="66"/>
  <c r="AJ6" i="66"/>
  <c r="X6" i="66"/>
  <c r="K6" i="66"/>
  <c r="AM5" i="66"/>
  <c r="AA5" i="66"/>
  <c r="O5" i="66"/>
  <c r="AM3" i="66"/>
  <c r="AV15" i="66" s="1"/>
  <c r="AA3" i="66"/>
  <c r="AJ15" i="66" s="1"/>
  <c r="P3" i="66"/>
  <c r="O3" i="66"/>
  <c r="X15" i="66" s="1"/>
  <c r="B3" i="66"/>
  <c r="K15" i="66" s="1"/>
  <c r="S9" i="65"/>
  <c r="S11" i="65"/>
  <c r="S10" i="65"/>
  <c r="AE12" i="65" l="1"/>
  <c r="AE7" i="65"/>
  <c r="AE26" i="65"/>
  <c r="AE13" i="65"/>
  <c r="AE27" i="65"/>
  <c r="AE22" i="65"/>
  <c r="AE28" i="65"/>
  <c r="AE23" i="65"/>
  <c r="AE24" i="65"/>
  <c r="AE14" i="65"/>
  <c r="AE25" i="65"/>
  <c r="AE29" i="65"/>
  <c r="AE15" i="65"/>
  <c r="AE16" i="65"/>
  <c r="AE30" i="65"/>
  <c r="AE31" i="65"/>
  <c r="AE17" i="65"/>
  <c r="AE18" i="65"/>
  <c r="F19" i="65"/>
  <c r="F20" i="65"/>
  <c r="F21" i="65"/>
  <c r="F12" i="65"/>
  <c r="F26" i="65"/>
  <c r="F22" i="65"/>
  <c r="F8" i="65"/>
  <c r="F23" i="65"/>
  <c r="F13" i="65"/>
  <c r="F27" i="65"/>
  <c r="F28" i="65"/>
  <c r="F24" i="65"/>
  <c r="F7" i="65"/>
  <c r="F14" i="65"/>
  <c r="F15" i="65"/>
  <c r="F9" i="65"/>
  <c r="F16" i="65"/>
  <c r="F17" i="65"/>
  <c r="F25" i="65"/>
  <c r="AQ10" i="65"/>
  <c r="AQ19" i="65"/>
  <c r="AQ20" i="65"/>
  <c r="AQ21" i="65"/>
  <c r="AQ11" i="65"/>
  <c r="AQ12" i="65"/>
  <c r="AV17" i="65"/>
  <c r="AJ17" i="65"/>
  <c r="X17" i="65"/>
  <c r="K17" i="65"/>
  <c r="AV16" i="65"/>
  <c r="AJ16" i="65"/>
  <c r="X16" i="65"/>
  <c r="K16" i="65"/>
  <c r="AQ18" i="65"/>
  <c r="AQ9" i="65"/>
  <c r="AQ17" i="65"/>
  <c r="AE9" i="65"/>
  <c r="AV12" i="65"/>
  <c r="AV13" i="65" s="1"/>
  <c r="AQ8" i="65"/>
  <c r="AJ12" i="65"/>
  <c r="AJ13" i="65" s="1"/>
  <c r="AE21" i="65"/>
  <c r="X12" i="65"/>
  <c r="X13" i="65" s="1"/>
  <c r="K12" i="65"/>
  <c r="K13" i="65" s="1"/>
  <c r="AQ16" i="65"/>
  <c r="AE20" i="65"/>
  <c r="AQ15" i="65"/>
  <c r="AE11" i="65"/>
  <c r="AQ14" i="65"/>
  <c r="AE10" i="65"/>
  <c r="F11" i="65"/>
  <c r="AQ13" i="65"/>
  <c r="AE19" i="65"/>
  <c r="S7" i="65"/>
  <c r="F10" i="65"/>
  <c r="AQ7" i="65"/>
  <c r="AE8" i="65"/>
  <c r="S8" i="65"/>
  <c r="F18" i="65"/>
  <c r="AV6" i="65"/>
  <c r="AJ6" i="65"/>
  <c r="X6" i="65"/>
  <c r="K6" i="65"/>
  <c r="AM5" i="65"/>
  <c r="AA5" i="65"/>
  <c r="O5" i="65"/>
  <c r="AM3" i="65"/>
  <c r="AV15" i="65" s="1"/>
  <c r="AA3" i="65"/>
  <c r="AJ15" i="65" s="1"/>
  <c r="P3" i="65"/>
  <c r="O3" i="65"/>
  <c r="X15" i="65" s="1"/>
  <c r="B3" i="65"/>
  <c r="K15" i="65" s="1"/>
  <c r="S7" i="64" l="1"/>
  <c r="AE29" i="64"/>
  <c r="AE19" i="64"/>
  <c r="AE28" i="64"/>
  <c r="AE27" i="64"/>
  <c r="AE26" i="64"/>
  <c r="F19" i="64"/>
  <c r="AE31" i="64"/>
  <c r="F27" i="64"/>
  <c r="AE9" i="64"/>
  <c r="F26" i="64"/>
  <c r="AE25" i="64"/>
  <c r="F18" i="64"/>
  <c r="AE11" i="64"/>
  <c r="F25" i="64"/>
  <c r="AE8" i="64"/>
  <c r="F17" i="64"/>
  <c r="AE7" i="64"/>
  <c r="F24" i="64"/>
  <c r="AE18" i="64"/>
  <c r="F8" i="64"/>
  <c r="AE24" i="64"/>
  <c r="F23" i="64"/>
  <c r="AE17" i="64"/>
  <c r="F22" i="64"/>
  <c r="AV17" i="64"/>
  <c r="AJ17" i="64"/>
  <c r="AE10" i="64"/>
  <c r="X17" i="64"/>
  <c r="K17" i="64"/>
  <c r="F16" i="64"/>
  <c r="AV16" i="64"/>
  <c r="AQ9" i="64"/>
  <c r="AJ16" i="64"/>
  <c r="AE30" i="64"/>
  <c r="X16" i="64"/>
  <c r="K16" i="64"/>
  <c r="F15" i="64"/>
  <c r="AQ16" i="64"/>
  <c r="AE23" i="64"/>
  <c r="F21" i="64"/>
  <c r="AQ15" i="64"/>
  <c r="AE22" i="64"/>
  <c r="F20" i="64"/>
  <c r="AQ14" i="64"/>
  <c r="AE16" i="64"/>
  <c r="F14" i="64"/>
  <c r="AV12" i="64"/>
  <c r="AV13" i="64" s="1"/>
  <c r="AQ8" i="64"/>
  <c r="AJ12" i="64"/>
  <c r="AJ13" i="64" s="1"/>
  <c r="AE21" i="64"/>
  <c r="X12" i="64"/>
  <c r="X13" i="64" s="1"/>
  <c r="S12" i="64"/>
  <c r="K12" i="64"/>
  <c r="K13" i="64" s="1"/>
  <c r="F13" i="64"/>
  <c r="AQ13" i="64"/>
  <c r="AE15" i="64"/>
  <c r="S11" i="64"/>
  <c r="F12" i="64"/>
  <c r="AQ12" i="64"/>
  <c r="AE12" i="64"/>
  <c r="S10" i="64"/>
  <c r="F7" i="64"/>
  <c r="AQ7" i="64"/>
  <c r="AE20" i="64"/>
  <c r="S8" i="64"/>
  <c r="F11" i="64"/>
  <c r="AQ11" i="64"/>
  <c r="AE14" i="64"/>
  <c r="F10" i="64"/>
  <c r="AQ10" i="64"/>
  <c r="AE13" i="64"/>
  <c r="S9" i="64"/>
  <c r="F9" i="64"/>
  <c r="AV6" i="64"/>
  <c r="AJ6" i="64"/>
  <c r="X6" i="64"/>
  <c r="K6" i="64"/>
  <c r="AM5" i="64"/>
  <c r="AA5" i="64"/>
  <c r="O5" i="64"/>
  <c r="AM3" i="64"/>
  <c r="AV15" i="64" s="1"/>
  <c r="AA3" i="64"/>
  <c r="AJ15" i="64" s="1"/>
  <c r="P3" i="64"/>
  <c r="O3" i="64"/>
  <c r="X15" i="64" s="1"/>
  <c r="B3" i="64"/>
  <c r="K15" i="64" s="1"/>
  <c r="K12" i="63" l="1"/>
  <c r="AQ15" i="63"/>
  <c r="AQ7" i="63"/>
  <c r="AQ12" i="63"/>
  <c r="AQ14" i="63"/>
  <c r="AQ13" i="63"/>
  <c r="AQ11" i="63"/>
  <c r="AQ10" i="63"/>
  <c r="AQ9" i="63"/>
  <c r="F27" i="63"/>
  <c r="AE19" i="63"/>
  <c r="AE30" i="63"/>
  <c r="AE18" i="63"/>
  <c r="AE14" i="63"/>
  <c r="AE12" i="63"/>
  <c r="F19" i="63"/>
  <c r="AE29" i="63"/>
  <c r="F18" i="63"/>
  <c r="AE25" i="63"/>
  <c r="F17" i="63"/>
  <c r="AE17" i="63"/>
  <c r="F16" i="63"/>
  <c r="AE28" i="63"/>
  <c r="F15" i="63"/>
  <c r="AE13" i="63"/>
  <c r="F26" i="63"/>
  <c r="AE16" i="63"/>
  <c r="F25" i="63"/>
  <c r="AE11" i="63"/>
  <c r="F24" i="63"/>
  <c r="AE15" i="63"/>
  <c r="F23" i="63"/>
  <c r="AV17" i="63"/>
  <c r="AJ17" i="63"/>
  <c r="AE10" i="63"/>
  <c r="X17" i="63"/>
  <c r="K17" i="63"/>
  <c r="F14" i="63"/>
  <c r="AV16" i="63"/>
  <c r="AJ16" i="63"/>
  <c r="AE24" i="63"/>
  <c r="X16" i="63"/>
  <c r="K16" i="63"/>
  <c r="F22" i="63"/>
  <c r="AE27" i="63"/>
  <c r="F13" i="63"/>
  <c r="AE23" i="63"/>
  <c r="F21" i="63"/>
  <c r="AE22" i="63"/>
  <c r="F20" i="63"/>
  <c r="AV12" i="63"/>
  <c r="AV13" i="63" s="1"/>
  <c r="AJ12" i="63"/>
  <c r="AJ13" i="63" s="1"/>
  <c r="AE9" i="63"/>
  <c r="X12" i="63"/>
  <c r="X13" i="63" s="1"/>
  <c r="S12" i="63"/>
  <c r="K13" i="63"/>
  <c r="F12" i="63"/>
  <c r="AE21" i="63"/>
  <c r="S8" i="63"/>
  <c r="F8" i="63"/>
  <c r="AE8" i="63"/>
  <c r="S11" i="63"/>
  <c r="F11" i="63"/>
  <c r="AE7" i="63"/>
  <c r="S10" i="63"/>
  <c r="F10" i="63"/>
  <c r="AQ8" i="63"/>
  <c r="AE20" i="63"/>
  <c r="S7" i="63"/>
  <c r="F7" i="63"/>
  <c r="AQ16" i="63"/>
  <c r="AE26" i="63"/>
  <c r="S9" i="63"/>
  <c r="F9" i="63"/>
  <c r="AV6" i="63"/>
  <c r="AJ6" i="63"/>
  <c r="X6" i="63"/>
  <c r="K6" i="63"/>
  <c r="AM5" i="63"/>
  <c r="AA5" i="63"/>
  <c r="O5" i="63"/>
  <c r="AM3" i="63"/>
  <c r="AV15" i="63" s="1"/>
  <c r="AA3" i="63"/>
  <c r="AJ15" i="63" s="1"/>
  <c r="P3" i="63"/>
  <c r="O3" i="63"/>
  <c r="X15" i="63" s="1"/>
  <c r="B3" i="63"/>
  <c r="K15" i="63" s="1"/>
  <c r="G23" i="50"/>
  <c r="G17" i="50"/>
  <c r="A16" i="50"/>
  <c r="AM3" i="62"/>
  <c r="AV15" i="62" s="1"/>
  <c r="AA3" i="62"/>
  <c r="AJ15" i="62" s="1"/>
  <c r="O3" i="62"/>
  <c r="X15" i="62" s="1"/>
  <c r="X6" i="62"/>
  <c r="S7" i="62"/>
  <c r="S10" i="62"/>
  <c r="S9" i="62"/>
  <c r="S12" i="62"/>
  <c r="S8" i="62"/>
  <c r="S11" i="62"/>
  <c r="AE11" i="62"/>
  <c r="AE23" i="62"/>
  <c r="AE34" i="62"/>
  <c r="AE10" i="62"/>
  <c r="AE33" i="62"/>
  <c r="AE22" i="62"/>
  <c r="AE21" i="62"/>
  <c r="AE9" i="62"/>
  <c r="AE32" i="62"/>
  <c r="AE20" i="62"/>
  <c r="AE31" i="62"/>
  <c r="AE19" i="62"/>
  <c r="AE13" i="62"/>
  <c r="AE30" i="62"/>
  <c r="AE8" i="62"/>
  <c r="F25" i="62"/>
  <c r="F24" i="62"/>
  <c r="F11" i="62"/>
  <c r="F16" i="62"/>
  <c r="F23" i="62"/>
  <c r="F22" i="62"/>
  <c r="F21" i="62"/>
  <c r="AE29" i="62"/>
  <c r="F10" i="62"/>
  <c r="AE28" i="62"/>
  <c r="F15" i="62"/>
  <c r="AV17" i="62"/>
  <c r="AQ11" i="62"/>
  <c r="AJ17" i="62"/>
  <c r="AE18" i="62"/>
  <c r="X17" i="62"/>
  <c r="K17" i="62"/>
  <c r="F12" i="62"/>
  <c r="AV16" i="62"/>
  <c r="AQ10" i="62"/>
  <c r="AJ16" i="62"/>
  <c r="AE27" i="62"/>
  <c r="X16" i="62"/>
  <c r="K16" i="62"/>
  <c r="F14" i="62"/>
  <c r="AQ9" i="62"/>
  <c r="AE26" i="62"/>
  <c r="F20" i="62"/>
  <c r="AQ8" i="62"/>
  <c r="AE17" i="62"/>
  <c r="F19" i="62"/>
  <c r="AQ16" i="62"/>
  <c r="AE12" i="62"/>
  <c r="F26" i="62"/>
  <c r="AV12" i="62"/>
  <c r="AV13" i="62" s="1"/>
  <c r="AQ15" i="62"/>
  <c r="AJ12" i="62"/>
  <c r="AJ13" i="62" s="1"/>
  <c r="AE16" i="62"/>
  <c r="X12" i="62"/>
  <c r="X13" i="62" s="1"/>
  <c r="K12" i="62"/>
  <c r="K13" i="62" s="1"/>
  <c r="F18" i="62"/>
  <c r="AQ14" i="62"/>
  <c r="AE15" i="62"/>
  <c r="F9" i="62"/>
  <c r="AQ13" i="62"/>
  <c r="AE14" i="62"/>
  <c r="F7" i="62"/>
  <c r="AQ12" i="62"/>
  <c r="AE7" i="62"/>
  <c r="F8" i="62"/>
  <c r="AQ7" i="62"/>
  <c r="AE25" i="62"/>
  <c r="F17" i="62"/>
  <c r="AE24" i="62"/>
  <c r="F13" i="62"/>
  <c r="AV6" i="62"/>
  <c r="AJ6" i="62"/>
  <c r="K6" i="62"/>
  <c r="AM5" i="62"/>
  <c r="AA5" i="62"/>
  <c r="O5" i="62"/>
  <c r="P3" i="62"/>
  <c r="B3" i="62"/>
  <c r="K15" i="62" s="1"/>
  <c r="AQ11" i="61"/>
  <c r="AQ18" i="61"/>
  <c r="AQ12" i="61"/>
  <c r="AQ9" i="61"/>
  <c r="X34" i="61"/>
  <c r="X33" i="61"/>
  <c r="X29" i="61"/>
  <c r="X30" i="61" s="1"/>
  <c r="S27" i="61"/>
  <c r="S26" i="61"/>
  <c r="S24" i="61"/>
  <c r="F27" i="61"/>
  <c r="S25" i="61"/>
  <c r="F26" i="61"/>
  <c r="X23" i="61"/>
  <c r="F20" i="61"/>
  <c r="O22" i="61"/>
  <c r="F19" i="61"/>
  <c r="F18" i="61"/>
  <c r="F25" i="61"/>
  <c r="F17" i="61"/>
  <c r="F24" i="61"/>
  <c r="AE17" i="61"/>
  <c r="F23" i="61"/>
  <c r="AE16" i="61"/>
  <c r="S15" i="61"/>
  <c r="F16" i="61"/>
  <c r="AV17" i="61"/>
  <c r="AJ17" i="61"/>
  <c r="AE19" i="61"/>
  <c r="X17" i="61"/>
  <c r="S18" i="61"/>
  <c r="K17" i="61"/>
  <c r="F15" i="61"/>
  <c r="AV16" i="61"/>
  <c r="AJ16" i="61"/>
  <c r="AE9" i="61"/>
  <c r="X16" i="61"/>
  <c r="S14" i="61"/>
  <c r="K16" i="61"/>
  <c r="F7" i="61"/>
  <c r="AE8" i="61"/>
  <c r="S17" i="61"/>
  <c r="F22" i="61"/>
  <c r="AQ10" i="61"/>
  <c r="AE7" i="61"/>
  <c r="S16" i="61"/>
  <c r="F21" i="61"/>
  <c r="AQ8" i="61"/>
  <c r="AE15" i="61"/>
  <c r="S13" i="61"/>
  <c r="F14" i="61"/>
  <c r="AV12" i="61"/>
  <c r="AV13" i="61" s="1"/>
  <c r="AQ7" i="61"/>
  <c r="AJ12" i="61"/>
  <c r="AJ13" i="61" s="1"/>
  <c r="AE14" i="61"/>
  <c r="X12" i="61"/>
  <c r="X13" i="61" s="1"/>
  <c r="S7" i="61"/>
  <c r="K12" i="61"/>
  <c r="K13" i="61" s="1"/>
  <c r="F13" i="61"/>
  <c r="AQ16" i="61"/>
  <c r="AE11" i="61"/>
  <c r="S9" i="61"/>
  <c r="F12" i="61"/>
  <c r="AQ17" i="61"/>
  <c r="AE18" i="61"/>
  <c r="S8" i="61"/>
  <c r="F8" i="61"/>
  <c r="AQ15" i="61"/>
  <c r="AE10" i="61"/>
  <c r="S12" i="61"/>
  <c r="F11" i="61"/>
  <c r="AQ14" i="61"/>
  <c r="AE13" i="61"/>
  <c r="S11" i="61"/>
  <c r="F10" i="61"/>
  <c r="AQ13" i="61"/>
  <c r="AE12" i="61"/>
  <c r="S10" i="61"/>
  <c r="F9" i="61"/>
  <c r="AV6" i="61"/>
  <c r="AJ6" i="61"/>
  <c r="X6" i="61"/>
  <c r="K6" i="61"/>
  <c r="AM5" i="61"/>
  <c r="AA5" i="61"/>
  <c r="O5" i="61"/>
  <c r="AM3" i="61"/>
  <c r="AV15" i="61" s="1"/>
  <c r="AA3" i="61"/>
  <c r="AJ15" i="61" s="1"/>
  <c r="P3" i="61"/>
  <c r="X32" i="61" s="1"/>
  <c r="O3" i="61"/>
  <c r="X15" i="61" s="1"/>
  <c r="B3" i="61"/>
  <c r="K15" i="61" s="1"/>
  <c r="X16" i="60"/>
  <c r="B3" i="60"/>
  <c r="K15" i="60" s="1"/>
  <c r="S32" i="60"/>
  <c r="S28" i="60"/>
  <c r="S29" i="60"/>
  <c r="S9" i="60"/>
  <c r="AQ14" i="60"/>
  <c r="S14" i="60"/>
  <c r="S20" i="60"/>
  <c r="S15" i="60"/>
  <c r="S16" i="60"/>
  <c r="S17" i="60"/>
  <c r="S8" i="60"/>
  <c r="S18" i="60"/>
  <c r="F20" i="60"/>
  <c r="F19" i="60"/>
  <c r="AQ13" i="60"/>
  <c r="AQ12" i="60"/>
  <c r="X36" i="60"/>
  <c r="X35" i="60"/>
  <c r="X31" i="60"/>
  <c r="X32" i="60" s="1"/>
  <c r="S27" i="60"/>
  <c r="S33" i="60"/>
  <c r="F29" i="60"/>
  <c r="S30" i="60"/>
  <c r="F11" i="60"/>
  <c r="S31" i="60"/>
  <c r="F18" i="60"/>
  <c r="S26" i="60"/>
  <c r="F28" i="60"/>
  <c r="X25" i="60"/>
  <c r="F27" i="60"/>
  <c r="O24" i="60"/>
  <c r="F26" i="60"/>
  <c r="F25" i="60"/>
  <c r="AE16" i="60"/>
  <c r="F24" i="60"/>
  <c r="AE11" i="60"/>
  <c r="F17" i="60"/>
  <c r="AE19" i="60"/>
  <c r="F23" i="60"/>
  <c r="AV17" i="60"/>
  <c r="AJ17" i="60"/>
  <c r="AE18" i="60"/>
  <c r="X17" i="60"/>
  <c r="K17" i="60"/>
  <c r="F7" i="60"/>
  <c r="AV16" i="60"/>
  <c r="AQ10" i="60"/>
  <c r="AJ16" i="60"/>
  <c r="AE20" i="60"/>
  <c r="K16" i="60"/>
  <c r="F22" i="60"/>
  <c r="AQ11" i="60"/>
  <c r="AE15" i="60"/>
  <c r="F16" i="60"/>
  <c r="AE10" i="60"/>
  <c r="F15" i="60"/>
  <c r="AQ9" i="60"/>
  <c r="AE17" i="60"/>
  <c r="F14" i="60"/>
  <c r="AV12" i="60"/>
  <c r="AV13" i="60" s="1"/>
  <c r="AJ12" i="60"/>
  <c r="AJ13" i="60" s="1"/>
  <c r="AE8" i="60"/>
  <c r="X12" i="60"/>
  <c r="X13" i="60" s="1"/>
  <c r="S10" i="60"/>
  <c r="K12" i="60"/>
  <c r="K13" i="60" s="1"/>
  <c r="F13" i="60"/>
  <c r="AQ8" i="60"/>
  <c r="AE14" i="60"/>
  <c r="S19" i="60"/>
  <c r="F10" i="60"/>
  <c r="AQ17" i="60"/>
  <c r="AE13" i="60"/>
  <c r="S13" i="60"/>
  <c r="F9" i="60"/>
  <c r="AQ16" i="60"/>
  <c r="AE9" i="60"/>
  <c r="S12" i="60"/>
  <c r="F21" i="60"/>
  <c r="AQ15" i="60"/>
  <c r="AE12" i="60"/>
  <c r="S11" i="60"/>
  <c r="F8" i="60"/>
  <c r="AQ7" i="60"/>
  <c r="AE7" i="60"/>
  <c r="S7" i="60"/>
  <c r="F12" i="60"/>
  <c r="AV6" i="60"/>
  <c r="AJ6" i="60"/>
  <c r="X6" i="60"/>
  <c r="K6" i="60"/>
  <c r="AM5" i="60"/>
  <c r="AA5" i="60"/>
  <c r="O5" i="60"/>
  <c r="AM3" i="60"/>
  <c r="AV15" i="60" s="1"/>
  <c r="AA3" i="60"/>
  <c r="AJ15" i="60" s="1"/>
  <c r="P3" i="60"/>
  <c r="X34" i="60" s="1"/>
  <c r="O3" i="60"/>
  <c r="X15" i="60" s="1"/>
  <c r="S7" i="59" l="1"/>
  <c r="S11" i="59"/>
  <c r="S14" i="59"/>
  <c r="S15" i="59"/>
  <c r="S16" i="59"/>
  <c r="S18" i="59"/>
  <c r="S12" i="59"/>
  <c r="S17" i="59"/>
  <c r="S30" i="59"/>
  <c r="F27" i="59"/>
  <c r="X34" i="59"/>
  <c r="X33" i="59"/>
  <c r="X29" i="59"/>
  <c r="X30" i="59" s="1"/>
  <c r="S27" i="59"/>
  <c r="S26" i="59"/>
  <c r="S29" i="59"/>
  <c r="S24" i="59"/>
  <c r="S25" i="59"/>
  <c r="S28" i="59"/>
  <c r="F26" i="59"/>
  <c r="X23" i="59"/>
  <c r="F7" i="59"/>
  <c r="O22" i="59"/>
  <c r="F15" i="59"/>
  <c r="F25" i="59"/>
  <c r="F24" i="59"/>
  <c r="F23" i="59"/>
  <c r="AE12" i="59"/>
  <c r="F22" i="59"/>
  <c r="AE20" i="59"/>
  <c r="F21" i="59"/>
  <c r="AE16" i="59"/>
  <c r="F9" i="59"/>
  <c r="AV17" i="59"/>
  <c r="AJ17" i="59"/>
  <c r="AE11" i="59"/>
  <c r="X17" i="59"/>
  <c r="K17" i="59"/>
  <c r="F20" i="59"/>
  <c r="AV16" i="59"/>
  <c r="AQ7" i="59"/>
  <c r="AJ16" i="59"/>
  <c r="AE19" i="59"/>
  <c r="X16" i="59"/>
  <c r="K16" i="59"/>
  <c r="F19" i="59"/>
  <c r="AQ9" i="59"/>
  <c r="AE15" i="59"/>
  <c r="F18" i="59"/>
  <c r="AQ16" i="59"/>
  <c r="AE14" i="59"/>
  <c r="F8" i="59"/>
  <c r="AQ8" i="59"/>
  <c r="AE10" i="59"/>
  <c r="F17" i="59"/>
  <c r="AV12" i="59"/>
  <c r="AV13" i="59" s="1"/>
  <c r="AQ15" i="59"/>
  <c r="AJ12" i="59"/>
  <c r="AJ13" i="59" s="1"/>
  <c r="AE9" i="59"/>
  <c r="X12" i="59"/>
  <c r="X13" i="59" s="1"/>
  <c r="K12" i="59"/>
  <c r="K13" i="59" s="1"/>
  <c r="F14" i="59"/>
  <c r="AQ14" i="59"/>
  <c r="AE13" i="59"/>
  <c r="F13" i="59"/>
  <c r="AQ13" i="59"/>
  <c r="AE8" i="59"/>
  <c r="S10" i="59"/>
  <c r="F12" i="59"/>
  <c r="AQ12" i="59"/>
  <c r="AE7" i="59"/>
  <c r="S13" i="59"/>
  <c r="F16" i="59"/>
  <c r="AQ11" i="59"/>
  <c r="AE18" i="59"/>
  <c r="S8" i="59"/>
  <c r="F11" i="59"/>
  <c r="AQ10" i="59"/>
  <c r="AE17" i="59"/>
  <c r="S9" i="59"/>
  <c r="F10" i="59"/>
  <c r="AV6" i="59"/>
  <c r="AJ6" i="59"/>
  <c r="X6" i="59"/>
  <c r="K6" i="59"/>
  <c r="AM5" i="59"/>
  <c r="AA5" i="59"/>
  <c r="O5" i="59"/>
  <c r="AM3" i="59"/>
  <c r="AV15" i="59" s="1"/>
  <c r="AA3" i="59"/>
  <c r="AJ15" i="59" s="1"/>
  <c r="P3" i="59"/>
  <c r="X32" i="59" s="1"/>
  <c r="O3" i="59"/>
  <c r="X15" i="59" s="1"/>
  <c r="B3" i="59"/>
  <c r="K15" i="59" s="1"/>
  <c r="X36" i="58" l="1"/>
  <c r="X35" i="58"/>
  <c r="X31" i="58"/>
  <c r="X32" i="58" s="1"/>
  <c r="S31" i="58"/>
  <c r="S30" i="58"/>
  <c r="S27" i="58"/>
  <c r="S28" i="58"/>
  <c r="S26" i="58"/>
  <c r="F27" i="58"/>
  <c r="S29" i="58"/>
  <c r="F15" i="58"/>
  <c r="X25" i="58"/>
  <c r="F24" i="58"/>
  <c r="O24" i="58"/>
  <c r="F9" i="58"/>
  <c r="F23" i="58"/>
  <c r="F14" i="58"/>
  <c r="S21" i="58"/>
  <c r="F22" i="58"/>
  <c r="AE19" i="58"/>
  <c r="S14" i="58"/>
  <c r="F21" i="58"/>
  <c r="AE20" i="58"/>
  <c r="S7" i="58"/>
  <c r="F13" i="58"/>
  <c r="AE18" i="58"/>
  <c r="S20" i="58"/>
  <c r="F12" i="58"/>
  <c r="AV17" i="58"/>
  <c r="AJ17" i="58"/>
  <c r="AE11" i="58"/>
  <c r="X17" i="58"/>
  <c r="S13" i="58"/>
  <c r="K17" i="58"/>
  <c r="F26" i="58"/>
  <c r="AV16" i="58"/>
  <c r="AQ13" i="58"/>
  <c r="AJ16" i="58"/>
  <c r="AE17" i="58"/>
  <c r="X16" i="58"/>
  <c r="S19" i="58"/>
  <c r="K16" i="58"/>
  <c r="F20" i="58"/>
  <c r="AQ7" i="58"/>
  <c r="AE16" i="58"/>
  <c r="S18" i="58"/>
  <c r="F25" i="58"/>
  <c r="AQ12" i="58"/>
  <c r="AE15" i="58"/>
  <c r="S17" i="58"/>
  <c r="F19" i="58"/>
  <c r="AQ16" i="58"/>
  <c r="AE10" i="58"/>
  <c r="S12" i="58"/>
  <c r="F18" i="58"/>
  <c r="AV12" i="58"/>
  <c r="AV13" i="58" s="1"/>
  <c r="AQ11" i="58"/>
  <c r="AJ12" i="58"/>
  <c r="AJ13" i="58" s="1"/>
  <c r="AE14" i="58"/>
  <c r="X12" i="58"/>
  <c r="X13" i="58" s="1"/>
  <c r="S9" i="58"/>
  <c r="K12" i="58"/>
  <c r="K13" i="58" s="1"/>
  <c r="F8" i="58"/>
  <c r="AQ15" i="58"/>
  <c r="AE9" i="58"/>
  <c r="S16" i="58"/>
  <c r="F11" i="58"/>
  <c r="AQ14" i="58"/>
  <c r="AE7" i="58"/>
  <c r="S11" i="58"/>
  <c r="F7" i="58"/>
  <c r="AQ10" i="58"/>
  <c r="AE13" i="58"/>
  <c r="S15" i="58"/>
  <c r="F17" i="58"/>
  <c r="AQ9" i="58"/>
  <c r="AE12" i="58"/>
  <c r="S10" i="58"/>
  <c r="F10" i="58"/>
  <c r="AQ8" i="58"/>
  <c r="AE8" i="58"/>
  <c r="S8" i="58"/>
  <c r="F16" i="58"/>
  <c r="AV6" i="58"/>
  <c r="AJ6" i="58"/>
  <c r="X6" i="58"/>
  <c r="K6" i="58"/>
  <c r="AM5" i="58"/>
  <c r="AA5" i="58"/>
  <c r="O5" i="58"/>
  <c r="AM3" i="58"/>
  <c r="AV15" i="58" s="1"/>
  <c r="AA3" i="58"/>
  <c r="AJ15" i="58" s="1"/>
  <c r="P3" i="58"/>
  <c r="X34" i="58" s="1"/>
  <c r="O3" i="58"/>
  <c r="X15" i="58" s="1"/>
  <c r="B3" i="58"/>
  <c r="K15" i="58" s="1"/>
  <c r="AM3" i="57" l="1"/>
  <c r="AV15" i="57" s="1"/>
  <c r="AJ16" i="57"/>
  <c r="AA3" i="57"/>
  <c r="AJ15" i="57" s="1"/>
  <c r="P3" i="57"/>
  <c r="X34" i="57" s="1"/>
  <c r="O3" i="57"/>
  <c r="X15" i="57" s="1"/>
  <c r="B3" i="57"/>
  <c r="K15" i="57" s="1"/>
  <c r="K16" i="57"/>
  <c r="K12" i="57" l="1"/>
  <c r="S18" i="57" l="1"/>
  <c r="S19" i="57"/>
  <c r="S9" i="57"/>
  <c r="S29" i="57"/>
  <c r="S28" i="57"/>
  <c r="AE20" i="57"/>
  <c r="AE17" i="57"/>
  <c r="X36" i="57"/>
  <c r="X35" i="57"/>
  <c r="X31" i="57"/>
  <c r="X32" i="57" s="1"/>
  <c r="S27" i="57"/>
  <c r="S33" i="57"/>
  <c r="F25" i="57"/>
  <c r="S26" i="57"/>
  <c r="F24" i="57"/>
  <c r="S32" i="57"/>
  <c r="F12" i="57"/>
  <c r="S31" i="57"/>
  <c r="F8" i="57"/>
  <c r="S30" i="57"/>
  <c r="F23" i="57"/>
  <c r="X25" i="57"/>
  <c r="F22" i="57"/>
  <c r="O24" i="57"/>
  <c r="F11" i="57"/>
  <c r="F28" i="57"/>
  <c r="F27" i="57"/>
  <c r="F21" i="57"/>
  <c r="AE16" i="57"/>
  <c r="S17" i="57"/>
  <c r="F20" i="57"/>
  <c r="AV17" i="57"/>
  <c r="AJ17" i="57"/>
  <c r="AE19" i="57"/>
  <c r="X17" i="57"/>
  <c r="S16" i="57"/>
  <c r="K17" i="57"/>
  <c r="F19" i="57"/>
  <c r="AV16" i="57"/>
  <c r="AQ13" i="57"/>
  <c r="AE15" i="57"/>
  <c r="X16" i="57"/>
  <c r="S7" i="57"/>
  <c r="F26" i="57"/>
  <c r="AQ16" i="57"/>
  <c r="AE14" i="57"/>
  <c r="S21" i="57"/>
  <c r="F18" i="57"/>
  <c r="AQ15" i="57"/>
  <c r="AE7" i="57"/>
  <c r="S20" i="57"/>
  <c r="F17" i="57"/>
  <c r="AQ12" i="57"/>
  <c r="AE10" i="57"/>
  <c r="S8" i="57"/>
  <c r="F16" i="57"/>
  <c r="AV12" i="57"/>
  <c r="AV13" i="57" s="1"/>
  <c r="AQ11" i="57"/>
  <c r="AJ12" i="57"/>
  <c r="AJ13" i="57" s="1"/>
  <c r="AE9" i="57"/>
  <c r="X12" i="57"/>
  <c r="X13" i="57" s="1"/>
  <c r="S15" i="57"/>
  <c r="K13" i="57"/>
  <c r="F15" i="57"/>
  <c r="AQ10" i="57"/>
  <c r="AE8" i="57"/>
  <c r="S14" i="57"/>
  <c r="F14" i="57"/>
  <c r="AQ8" i="57"/>
  <c r="AE13" i="57"/>
  <c r="S13" i="57"/>
  <c r="F10" i="57"/>
  <c r="AQ9" i="57"/>
  <c r="AE12" i="57"/>
  <c r="S12" i="57"/>
  <c r="F13" i="57"/>
  <c r="AQ14" i="57"/>
  <c r="AE18" i="57"/>
  <c r="S11" i="57"/>
  <c r="F7" i="57"/>
  <c r="AQ7" i="57"/>
  <c r="AE11" i="57"/>
  <c r="S10" i="57"/>
  <c r="F9" i="57"/>
  <c r="AV6" i="57"/>
  <c r="AJ6" i="57"/>
  <c r="X6" i="57"/>
  <c r="K6" i="57"/>
  <c r="AM5" i="57"/>
  <c r="AA5" i="57"/>
  <c r="O5" i="57"/>
  <c r="AV11" i="56" l="1"/>
  <c r="K14" i="56"/>
  <c r="X31" i="56"/>
  <c r="X14" i="56"/>
  <c r="AJ14" i="56"/>
  <c r="AV14" i="56"/>
  <c r="S15" i="56" l="1"/>
  <c r="F24" i="56"/>
  <c r="F13" i="56"/>
  <c r="F12" i="56"/>
  <c r="X33" i="56" l="1"/>
  <c r="X32" i="56"/>
  <c r="X28" i="56"/>
  <c r="X29" i="56" s="1"/>
  <c r="S25" i="56"/>
  <c r="S24" i="56"/>
  <c r="S28" i="56"/>
  <c r="F23" i="56"/>
  <c r="S27" i="56"/>
  <c r="F7" i="56"/>
  <c r="S23" i="56"/>
  <c r="F27" i="56"/>
  <c r="S26" i="56"/>
  <c r="F22" i="56"/>
  <c r="X22" i="56"/>
  <c r="F26" i="56"/>
  <c r="O21" i="56"/>
  <c r="F21" i="56"/>
  <c r="F20" i="56"/>
  <c r="AE7" i="56"/>
  <c r="F19" i="56"/>
  <c r="AV16" i="56"/>
  <c r="AQ16" i="56"/>
  <c r="AJ16" i="56"/>
  <c r="AE9" i="56"/>
  <c r="X16" i="56"/>
  <c r="S14" i="56"/>
  <c r="K16" i="56"/>
  <c r="F18" i="56"/>
  <c r="AV15" i="56"/>
  <c r="AQ15" i="56"/>
  <c r="AJ15" i="56"/>
  <c r="AE16" i="56"/>
  <c r="X15" i="56"/>
  <c r="S13" i="56"/>
  <c r="K15" i="56"/>
  <c r="F25" i="56"/>
  <c r="AQ14" i="56"/>
  <c r="AE15" i="56"/>
  <c r="S17" i="56"/>
  <c r="F17" i="56"/>
  <c r="AQ13" i="56"/>
  <c r="AE14" i="56"/>
  <c r="S7" i="56"/>
  <c r="F6" i="56"/>
  <c r="AQ12" i="56"/>
  <c r="AE17" i="56"/>
  <c r="S12" i="56"/>
  <c r="F16" i="56"/>
  <c r="AV12" i="56"/>
  <c r="AQ9" i="56"/>
  <c r="AJ11" i="56"/>
  <c r="AJ12" i="56" s="1"/>
  <c r="AE6" i="56"/>
  <c r="X11" i="56"/>
  <c r="X12" i="56" s="1"/>
  <c r="S16" i="56"/>
  <c r="K11" i="56"/>
  <c r="K12" i="56" s="1"/>
  <c r="F11" i="56"/>
  <c r="AQ8" i="56"/>
  <c r="AE13" i="56"/>
  <c r="S11" i="56"/>
  <c r="F15" i="56"/>
  <c r="AQ11" i="56"/>
  <c r="AE12" i="56"/>
  <c r="S10" i="56"/>
  <c r="F10" i="56"/>
  <c r="AQ7" i="56"/>
  <c r="AE11" i="56"/>
  <c r="S8" i="56"/>
  <c r="F9" i="56"/>
  <c r="AQ10" i="56"/>
  <c r="AE10" i="56"/>
  <c r="S9" i="56"/>
  <c r="F8" i="56"/>
  <c r="AQ6" i="56"/>
  <c r="AE8" i="56"/>
  <c r="S6" i="56"/>
  <c r="F14" i="56"/>
  <c r="AV5" i="56"/>
  <c r="AJ5" i="56"/>
  <c r="X5" i="56"/>
  <c r="K5" i="56"/>
  <c r="AM4" i="56"/>
  <c r="AA4" i="56"/>
  <c r="O4" i="56"/>
  <c r="K14" i="55" l="1"/>
  <c r="X14" i="55"/>
  <c r="AJ14" i="55"/>
  <c r="AV15" i="55"/>
  <c r="AV14" i="55"/>
  <c r="K15" i="55" l="1"/>
  <c r="S24" i="55" l="1"/>
  <c r="AA4" i="55" l="1"/>
  <c r="AE11" i="55"/>
  <c r="AJ16" i="55"/>
  <c r="AE15" i="55"/>
  <c r="AJ15" i="55"/>
  <c r="AE14" i="55"/>
  <c r="AE10" i="55"/>
  <c r="AE17" i="55"/>
  <c r="AE13" i="55"/>
  <c r="AJ11" i="55"/>
  <c r="AJ12" i="55" s="1"/>
  <c r="AE12" i="55"/>
  <c r="AE8" i="55"/>
  <c r="AE6" i="55"/>
  <c r="AE9" i="55"/>
  <c r="AE16" i="55"/>
  <c r="AE7" i="55"/>
  <c r="AJ5" i="55"/>
  <c r="X31" i="55"/>
  <c r="X30" i="55"/>
  <c r="X29" i="55"/>
  <c r="S25" i="55"/>
  <c r="X26" i="55"/>
  <c r="X27" i="55" s="1"/>
  <c r="S21" i="55"/>
  <c r="S23" i="55"/>
  <c r="S22" i="55"/>
  <c r="S28" i="55"/>
  <c r="S27" i="55"/>
  <c r="F15" i="55"/>
  <c r="S26" i="55"/>
  <c r="F24" i="55"/>
  <c r="X20" i="55"/>
  <c r="F23" i="55"/>
  <c r="O19" i="55"/>
  <c r="F9" i="55"/>
  <c r="F14" i="55"/>
  <c r="F13" i="55"/>
  <c r="F22" i="55"/>
  <c r="F21" i="55"/>
  <c r="AV16" i="55"/>
  <c r="AQ7" i="55"/>
  <c r="X16" i="55"/>
  <c r="S10" i="55"/>
  <c r="K16" i="55"/>
  <c r="F20" i="55"/>
  <c r="AQ15" i="55"/>
  <c r="X15" i="55"/>
  <c r="S16" i="55"/>
  <c r="F8" i="55"/>
  <c r="AQ9" i="55"/>
  <c r="S15" i="55"/>
  <c r="F19" i="55"/>
  <c r="AQ16" i="55"/>
  <c r="S9" i="55"/>
  <c r="F18" i="55"/>
  <c r="AQ14" i="55"/>
  <c r="S8" i="55"/>
  <c r="F17" i="55"/>
  <c r="AV11" i="55"/>
  <c r="AV12" i="55" s="1"/>
  <c r="AQ13" i="55"/>
  <c r="X11" i="55"/>
  <c r="X12" i="55" s="1"/>
  <c r="S14" i="55"/>
  <c r="K11" i="55"/>
  <c r="K12" i="55" s="1"/>
  <c r="F12" i="55"/>
  <c r="AQ8" i="55"/>
  <c r="S13" i="55"/>
  <c r="F7" i="55"/>
  <c r="AQ12" i="55"/>
  <c r="S12" i="55"/>
  <c r="F11" i="55"/>
  <c r="AQ11" i="55"/>
  <c r="S7" i="55"/>
  <c r="F6" i="55"/>
  <c r="AQ6" i="55"/>
  <c r="S6" i="55"/>
  <c r="F10" i="55"/>
  <c r="AQ10" i="55"/>
  <c r="S11" i="55"/>
  <c r="F16" i="55"/>
  <c r="AV5" i="55"/>
  <c r="X5" i="55"/>
  <c r="K5" i="55"/>
  <c r="AM4" i="55"/>
  <c r="O4" i="55"/>
  <c r="K15" i="54" l="1"/>
  <c r="AI14" i="54"/>
  <c r="X31" i="54"/>
  <c r="X14" i="54"/>
  <c r="K14" i="54"/>
  <c r="X22" i="54"/>
  <c r="X28" i="54"/>
  <c r="X29" i="54" s="1"/>
  <c r="X32" i="54"/>
  <c r="S6" i="54" l="1"/>
  <c r="S14" i="54"/>
  <c r="S7" i="54"/>
  <c r="S15" i="54"/>
  <c r="S8" i="54"/>
  <c r="S9" i="54"/>
  <c r="S10" i="54"/>
  <c r="S16" i="54"/>
  <c r="S18" i="54"/>
  <c r="S11" i="54"/>
  <c r="S17" i="54"/>
  <c r="X33" i="54" l="1"/>
  <c r="S24" i="54"/>
  <c r="S23" i="54"/>
  <c r="S26" i="54"/>
  <c r="S29" i="54"/>
  <c r="S28" i="54"/>
  <c r="S25" i="54"/>
  <c r="F8" i="54"/>
  <c r="S27" i="54"/>
  <c r="F23" i="54"/>
  <c r="F22" i="54"/>
  <c r="O21" i="54"/>
  <c r="F15" i="54"/>
  <c r="F14" i="54"/>
  <c r="F13" i="54"/>
  <c r="F24" i="54"/>
  <c r="F21" i="54"/>
  <c r="AD16" i="54"/>
  <c r="F20" i="54"/>
  <c r="AI16" i="54"/>
  <c r="AD15" i="54"/>
  <c r="X16" i="54"/>
  <c r="K16" i="54"/>
  <c r="F12" i="54"/>
  <c r="AI15" i="54"/>
  <c r="AD14" i="54"/>
  <c r="X15" i="54"/>
  <c r="F7" i="54"/>
  <c r="AD8" i="54"/>
  <c r="F19" i="54"/>
  <c r="AD13" i="54"/>
  <c r="F18" i="54"/>
  <c r="AD10" i="54"/>
  <c r="F17" i="54"/>
  <c r="AI11" i="54"/>
  <c r="AI12" i="54" s="1"/>
  <c r="AD12" i="54"/>
  <c r="X11" i="54"/>
  <c r="X12" i="54" s="1"/>
  <c r="K11" i="54"/>
  <c r="K12" i="54" s="1"/>
  <c r="F11" i="54"/>
  <c r="AD17" i="54"/>
  <c r="AD9" i="54"/>
  <c r="F10" i="54"/>
  <c r="AD6" i="54"/>
  <c r="F6" i="54"/>
  <c r="AD7" i="54"/>
  <c r="S12" i="54"/>
  <c r="F9" i="54"/>
  <c r="AD11" i="54"/>
  <c r="S13" i="54"/>
  <c r="F16" i="54"/>
  <c r="AI5" i="54"/>
  <c r="X5" i="54"/>
  <c r="K5" i="54"/>
  <c r="Z4" i="54"/>
  <c r="O4" i="54"/>
  <c r="K14" i="52"/>
  <c r="X32" i="52"/>
  <c r="X11" i="52"/>
  <c r="X12" i="52" s="1"/>
  <c r="X16" i="52"/>
  <c r="X14" i="52"/>
  <c r="AJ14" i="52"/>
  <c r="S18" i="52" l="1"/>
  <c r="S17" i="52"/>
  <c r="S25" i="52"/>
  <c r="X34" i="52"/>
  <c r="X33" i="52"/>
  <c r="X29" i="52"/>
  <c r="X30" i="52" s="1"/>
  <c r="S29" i="52"/>
  <c r="F27" i="52"/>
  <c r="S28" i="52"/>
  <c r="F26" i="52"/>
  <c r="S24" i="52"/>
  <c r="F25" i="52"/>
  <c r="S27" i="52"/>
  <c r="F24" i="52"/>
  <c r="S30" i="52"/>
  <c r="F7" i="52"/>
  <c r="S26" i="52"/>
  <c r="F23" i="52"/>
  <c r="X23" i="52"/>
  <c r="F22" i="52"/>
  <c r="O22" i="52"/>
  <c r="F21" i="52"/>
  <c r="AE18" i="52"/>
  <c r="F14" i="52"/>
  <c r="AE17" i="52"/>
  <c r="F20" i="52"/>
  <c r="AE16" i="52"/>
  <c r="F19" i="52"/>
  <c r="AJ16" i="52"/>
  <c r="AE6" i="52"/>
  <c r="S11" i="52"/>
  <c r="K16" i="52"/>
  <c r="F18" i="52"/>
  <c r="AJ15" i="52"/>
  <c r="AE15" i="52"/>
  <c r="X15" i="52"/>
  <c r="S8" i="52"/>
  <c r="K15" i="52"/>
  <c r="F13" i="52"/>
  <c r="AE12" i="52"/>
  <c r="S14" i="52"/>
  <c r="F17" i="52"/>
  <c r="AE11" i="52"/>
  <c r="S16" i="52"/>
  <c r="F12" i="52"/>
  <c r="AE8" i="52"/>
  <c r="S6" i="52"/>
  <c r="F11" i="52"/>
  <c r="AJ11" i="52"/>
  <c r="AJ12" i="52" s="1"/>
  <c r="AE14" i="52"/>
  <c r="S15" i="52"/>
  <c r="K11" i="52"/>
  <c r="K12" i="52" s="1"/>
  <c r="F16" i="52"/>
  <c r="AE7" i="52"/>
  <c r="S13" i="52"/>
  <c r="F10" i="52"/>
  <c r="AE10" i="52"/>
  <c r="S12" i="52"/>
  <c r="F9" i="52"/>
  <c r="AE9" i="52"/>
  <c r="S7" i="52"/>
  <c r="F8" i="52"/>
  <c r="AE19" i="52"/>
  <c r="S10" i="52"/>
  <c r="F6" i="52"/>
  <c r="AE13" i="52"/>
  <c r="S9" i="52"/>
  <c r="F15" i="52"/>
  <c r="AJ5" i="52"/>
  <c r="X5" i="52"/>
  <c r="K5" i="52"/>
  <c r="AA4" i="52"/>
  <c r="O4" i="52"/>
  <c r="AJ14" i="51" l="1"/>
  <c r="K14" i="51"/>
  <c r="X14" i="51"/>
  <c r="X30" i="51"/>
  <c r="F27" i="51" l="1"/>
  <c r="S10" i="51" l="1"/>
  <c r="S11" i="51"/>
  <c r="S12" i="51"/>
  <c r="S15" i="51"/>
  <c r="S8" i="51"/>
  <c r="S6" i="51"/>
  <c r="S7" i="51"/>
  <c r="S16" i="51"/>
  <c r="S13" i="51"/>
  <c r="S14" i="51"/>
  <c r="S9" i="51"/>
  <c r="X32" i="51"/>
  <c r="X31" i="51"/>
  <c r="X27" i="51"/>
  <c r="X28" i="51" s="1"/>
  <c r="S24" i="51"/>
  <c r="F15" i="51"/>
  <c r="S23" i="51"/>
  <c r="F14" i="51"/>
  <c r="S27" i="51"/>
  <c r="F13" i="51"/>
  <c r="S22" i="51"/>
  <c r="F26" i="51"/>
  <c r="S26" i="51"/>
  <c r="F25" i="51"/>
  <c r="S25" i="51"/>
  <c r="F28" i="51"/>
  <c r="X21" i="51"/>
  <c r="F12" i="51"/>
  <c r="O20" i="51"/>
  <c r="F24" i="51"/>
  <c r="AE6" i="51"/>
  <c r="F23" i="51"/>
  <c r="AE8" i="51"/>
  <c r="F22" i="51"/>
  <c r="AE18" i="51"/>
  <c r="F21" i="51"/>
  <c r="AJ16" i="51"/>
  <c r="AE17" i="51"/>
  <c r="X16" i="51"/>
  <c r="K16" i="51"/>
  <c r="F20" i="51"/>
  <c r="AJ15" i="51"/>
  <c r="AE19" i="51"/>
  <c r="X15" i="51"/>
  <c r="K15" i="51"/>
  <c r="F19" i="51"/>
  <c r="AE16" i="51"/>
  <c r="F18" i="51"/>
  <c r="AE14" i="51"/>
  <c r="F11" i="51"/>
  <c r="AE7" i="51"/>
  <c r="F6" i="51"/>
  <c r="AJ11" i="51"/>
  <c r="AJ12" i="51" s="1"/>
  <c r="AE13" i="51"/>
  <c r="X11" i="51"/>
  <c r="X12" i="51" s="1"/>
  <c r="K11" i="51"/>
  <c r="K12" i="51" s="1"/>
  <c r="F10" i="51"/>
  <c r="AE12" i="51"/>
  <c r="F17" i="51"/>
  <c r="AE11" i="51"/>
  <c r="F9" i="51"/>
  <c r="AE15" i="51"/>
  <c r="F8" i="51"/>
  <c r="AE10" i="51"/>
  <c r="F16" i="51"/>
  <c r="AE9" i="51"/>
  <c r="F7" i="51"/>
  <c r="AJ5" i="51"/>
  <c r="X5" i="51"/>
  <c r="K5" i="51"/>
  <c r="AA4" i="51"/>
  <c r="O4" i="51"/>
  <c r="G11" i="50" l="1"/>
  <c r="G5" i="50"/>
  <c r="A4" i="50"/>
  <c r="AJ16" i="48" l="1"/>
  <c r="X16" i="48"/>
  <c r="X32" i="48"/>
  <c r="K16" i="48"/>
  <c r="AJ14" i="48"/>
  <c r="X30" i="48"/>
  <c r="K14" i="48"/>
  <c r="X14" i="48"/>
  <c r="AE13" i="48" l="1"/>
  <c r="F9" i="48"/>
  <c r="F26" i="48"/>
  <c r="AJ16" i="49" l="1"/>
  <c r="X36" i="49"/>
  <c r="X35" i="49"/>
  <c r="X34" i="49"/>
  <c r="S32" i="49"/>
  <c r="X31" i="49"/>
  <c r="X32" i="49" s="1"/>
  <c r="S31" i="49"/>
  <c r="S30" i="49"/>
  <c r="S29" i="49"/>
  <c r="S28" i="49"/>
  <c r="S27" i="49"/>
  <c r="S26" i="49"/>
  <c r="F26" i="49"/>
  <c r="X25" i="49"/>
  <c r="S25" i="49"/>
  <c r="F25" i="49"/>
  <c r="F24" i="49"/>
  <c r="O23" i="49"/>
  <c r="F23" i="49"/>
  <c r="F22" i="49"/>
  <c r="F21" i="49"/>
  <c r="F20" i="49"/>
  <c r="S19" i="49"/>
  <c r="F19" i="49"/>
  <c r="AE18" i="49"/>
  <c r="S18" i="49"/>
  <c r="F18" i="49"/>
  <c r="AE17" i="49"/>
  <c r="S17" i="49"/>
  <c r="F17" i="49"/>
  <c r="AE16" i="49"/>
  <c r="X16" i="49"/>
  <c r="S16" i="49"/>
  <c r="K16" i="49"/>
  <c r="F16" i="49"/>
  <c r="AJ15" i="49"/>
  <c r="AE15" i="49"/>
  <c r="X15" i="49"/>
  <c r="S15" i="49"/>
  <c r="K15" i="49"/>
  <c r="F15" i="49"/>
  <c r="AJ14" i="49"/>
  <c r="AE14" i="49"/>
  <c r="X14" i="49"/>
  <c r="S14" i="49"/>
  <c r="K14" i="49"/>
  <c r="F14" i="49"/>
  <c r="AE13" i="49"/>
  <c r="S13" i="49"/>
  <c r="F13" i="49"/>
  <c r="AE12" i="49"/>
  <c r="S12" i="49"/>
  <c r="F12" i="49"/>
  <c r="AJ11" i="49"/>
  <c r="AJ12" i="49" s="1"/>
  <c r="AE11" i="49"/>
  <c r="X11" i="49"/>
  <c r="X12" i="49" s="1"/>
  <c r="S11" i="49"/>
  <c r="K11" i="49"/>
  <c r="K12" i="49" s="1"/>
  <c r="F11" i="49"/>
  <c r="AE10" i="49"/>
  <c r="S10" i="49"/>
  <c r="F10" i="49"/>
  <c r="AE9" i="49"/>
  <c r="S9" i="49"/>
  <c r="F9" i="49"/>
  <c r="AE8" i="49"/>
  <c r="S8" i="49"/>
  <c r="F8" i="49"/>
  <c r="AE7" i="49"/>
  <c r="S7" i="49"/>
  <c r="F7" i="49"/>
  <c r="AE6" i="49"/>
  <c r="S6" i="49"/>
  <c r="F6" i="49"/>
  <c r="AJ5" i="49"/>
  <c r="X5" i="49"/>
  <c r="K5" i="49"/>
  <c r="AA4" i="49"/>
  <c r="O4" i="49"/>
  <c r="K15" i="48" l="1"/>
  <c r="AJ15" i="48"/>
  <c r="X27" i="48"/>
  <c r="K11" i="48"/>
  <c r="S22" i="48"/>
  <c r="S28" i="48"/>
  <c r="S24" i="48"/>
  <c r="S25" i="48"/>
  <c r="S23" i="48"/>
  <c r="S26" i="48"/>
  <c r="S27" i="48"/>
  <c r="S8" i="48"/>
  <c r="S7" i="48"/>
  <c r="S9" i="48" l="1"/>
  <c r="X31" i="48" l="1"/>
  <c r="X28" i="48"/>
  <c r="F16" i="48"/>
  <c r="F17" i="48"/>
  <c r="F25" i="48"/>
  <c r="F27" i="48"/>
  <c r="F10" i="48"/>
  <c r="X21" i="48"/>
  <c r="F6" i="48"/>
  <c r="O20" i="48"/>
  <c r="F13" i="48"/>
  <c r="F7" i="48"/>
  <c r="AE19" i="48"/>
  <c r="F15" i="48"/>
  <c r="AE10" i="48"/>
  <c r="S13" i="48"/>
  <c r="F12" i="48"/>
  <c r="AE16" i="48"/>
  <c r="AE7" i="48"/>
  <c r="X15" i="48"/>
  <c r="F20" i="48"/>
  <c r="AE18" i="48"/>
  <c r="S10" i="48"/>
  <c r="F11" i="48"/>
  <c r="AE12" i="48"/>
  <c r="S14" i="48"/>
  <c r="F23" i="48"/>
  <c r="AE17" i="48"/>
  <c r="F24" i="48"/>
  <c r="AJ11" i="48"/>
  <c r="AJ12" i="48" s="1"/>
  <c r="AE8" i="48"/>
  <c r="X11" i="48"/>
  <c r="X12" i="48" s="1"/>
  <c r="S12" i="48"/>
  <c r="K12" i="48"/>
  <c r="F22" i="48"/>
  <c r="AE14" i="48"/>
  <c r="S11" i="48"/>
  <c r="F14" i="48"/>
  <c r="AE11" i="48"/>
  <c r="S15" i="48"/>
  <c r="F21" i="48"/>
  <c r="AE15" i="48"/>
  <c r="S6" i="48"/>
  <c r="F19" i="48"/>
  <c r="AE9" i="48"/>
  <c r="S16" i="48"/>
  <c r="F8" i="48"/>
  <c r="AE6" i="48"/>
  <c r="F18" i="48"/>
  <c r="AJ5" i="48"/>
  <c r="X5" i="48"/>
  <c r="K5" i="48"/>
  <c r="AA4" i="48"/>
  <c r="O4" i="48"/>
  <c r="AE23" i="78" l="1"/>
</calcChain>
</file>

<file path=xl/sharedStrings.xml><?xml version="1.0" encoding="utf-8"?>
<sst xmlns="http://schemas.openxmlformats.org/spreadsheetml/2006/main" count="7819" uniqueCount="1023">
  <si>
    <t>No</t>
  </si>
  <si>
    <t>Id unit</t>
  </si>
  <si>
    <t>Retase</t>
  </si>
  <si>
    <t>Keterangan</t>
  </si>
  <si>
    <t>Accident</t>
  </si>
  <si>
    <t>Breakdown</t>
  </si>
  <si>
    <t>Standby</t>
  </si>
  <si>
    <t>Rata-rata retase per unit</t>
  </si>
  <si>
    <t>Total retase</t>
  </si>
  <si>
    <t>Unit aktif</t>
  </si>
  <si>
    <t>Alokasi unit</t>
  </si>
  <si>
    <t>Target retase per unit</t>
  </si>
  <si>
    <t>C 365</t>
  </si>
  <si>
    <t>C 378</t>
  </si>
  <si>
    <t>C 384</t>
  </si>
  <si>
    <t>C 393</t>
  </si>
  <si>
    <t>C 396</t>
  </si>
  <si>
    <t>C 398</t>
  </si>
  <si>
    <t>C 399</t>
  </si>
  <si>
    <t>C 516</t>
  </si>
  <si>
    <t>C 382</t>
  </si>
  <si>
    <t xml:space="preserve">Unit terdaftar </t>
  </si>
  <si>
    <r>
      <t xml:space="preserve">Unit  </t>
    </r>
    <r>
      <rPr>
        <b/>
        <sz val="14"/>
        <color theme="5" tint="0.39997558519241921"/>
        <rFont val="Calibri"/>
        <family val="2"/>
        <scheme val="minor"/>
      </rPr>
      <t>KONTRAK BLOK 8</t>
    </r>
    <r>
      <rPr>
        <b/>
        <sz val="14"/>
        <color theme="0"/>
        <rFont val="Calibri"/>
        <family val="2"/>
        <scheme val="minor"/>
      </rPr>
      <t xml:space="preserve"> yang tidak mencapai target retase </t>
    </r>
  </si>
  <si>
    <r>
      <t xml:space="preserve">Data Retase &amp; Operasinoal </t>
    </r>
    <r>
      <rPr>
        <b/>
        <sz val="12"/>
        <color theme="5" tint="0.39997558519241921"/>
        <rFont val="Calibri"/>
        <family val="2"/>
        <scheme val="minor"/>
      </rPr>
      <t>KONTRAK BLOK 8</t>
    </r>
  </si>
  <si>
    <t>Achievment Unit aktif</t>
  </si>
  <si>
    <t>TARGET</t>
  </si>
  <si>
    <t>SOLAR TIDAK CUKUP</t>
  </si>
  <si>
    <t>Achievment Unit Aktif</t>
  </si>
  <si>
    <r>
      <t xml:space="preserve">Data Retase &amp; Operasinoal </t>
    </r>
    <r>
      <rPr>
        <b/>
        <sz val="12"/>
        <color theme="5" tint="0.39997558519241921"/>
        <rFont val="Calibri"/>
        <family val="2"/>
        <scheme val="minor"/>
      </rPr>
      <t>RENTAL BLOK 8</t>
    </r>
  </si>
  <si>
    <t>Unit terdaftar</t>
  </si>
  <si>
    <t>C 343</t>
  </si>
  <si>
    <t>C 346</t>
  </si>
  <si>
    <t>C 344</t>
  </si>
  <si>
    <t>Tekor solar</t>
  </si>
  <si>
    <t>C 348</t>
  </si>
  <si>
    <t>C 349</t>
  </si>
  <si>
    <t>C 334</t>
  </si>
  <si>
    <t>C 335</t>
  </si>
  <si>
    <t>C 336</t>
  </si>
  <si>
    <t>C 339</t>
  </si>
  <si>
    <t>C 342</t>
  </si>
  <si>
    <t>C 353</t>
  </si>
  <si>
    <t>C 355</t>
  </si>
  <si>
    <r>
      <t>Unit</t>
    </r>
    <r>
      <rPr>
        <b/>
        <sz val="14"/>
        <color theme="5" tint="0.39997558519241921"/>
        <rFont val="Calibri"/>
        <family val="2"/>
        <scheme val="minor"/>
      </rPr>
      <t xml:space="preserve"> FEEDING</t>
    </r>
    <r>
      <rPr>
        <b/>
        <sz val="14"/>
        <color theme="0"/>
        <rFont val="Calibri"/>
        <family val="2"/>
        <scheme val="minor"/>
      </rPr>
      <t xml:space="preserve"> yang tidak mencapai target retase </t>
    </r>
  </si>
  <si>
    <r>
      <t>Data Retase &amp; Operasional</t>
    </r>
    <r>
      <rPr>
        <b/>
        <sz val="12"/>
        <color theme="5" tint="0.39997558519241921"/>
        <rFont val="Calibri"/>
        <family val="2"/>
        <scheme val="minor"/>
      </rPr>
      <t xml:space="preserve"> FEEDING</t>
    </r>
    <r>
      <rPr>
        <b/>
        <sz val="12"/>
        <color theme="0"/>
        <rFont val="Calibri"/>
        <family val="2"/>
        <scheme val="minor"/>
      </rPr>
      <t xml:space="preserve"> </t>
    </r>
  </si>
  <si>
    <t>C 358</t>
  </si>
  <si>
    <t>C 368</t>
  </si>
  <si>
    <t>C 373</t>
  </si>
  <si>
    <t>C 357</t>
  </si>
  <si>
    <t>C 369</t>
  </si>
  <si>
    <t>C 371</t>
  </si>
  <si>
    <t>C 375</t>
  </si>
  <si>
    <t>KONTRAK BLOK 8</t>
  </si>
  <si>
    <t>RENTAL BLOK 8</t>
  </si>
  <si>
    <t>FEEDING</t>
  </si>
  <si>
    <t>BOCOR BAN NO 11</t>
  </si>
  <si>
    <t>C 367</t>
  </si>
  <si>
    <t>C 331</t>
  </si>
  <si>
    <t>C 338</t>
  </si>
  <si>
    <t>C 360</t>
  </si>
  <si>
    <t>C 376</t>
  </si>
  <si>
    <t>JAM KELUAR</t>
  </si>
  <si>
    <t>JAM MASUK</t>
  </si>
  <si>
    <t>TOTAL JAM KERJA</t>
  </si>
  <si>
    <t>ANTRI/MACET DI PABRIK</t>
  </si>
  <si>
    <t>C 310</t>
  </si>
  <si>
    <r>
      <t>Unit</t>
    </r>
    <r>
      <rPr>
        <b/>
        <sz val="14"/>
        <color rgb="FFFFC000"/>
        <rFont val="Calibri"/>
        <family val="2"/>
        <scheme val="minor"/>
      </rPr>
      <t xml:space="preserve"> RENTAL BLOK 8 (Stockpile) </t>
    </r>
    <r>
      <rPr>
        <b/>
        <sz val="14"/>
        <color theme="0"/>
        <rFont val="Calibri"/>
        <family val="2"/>
        <scheme val="minor"/>
      </rPr>
      <t xml:space="preserve">yang tidak mencapai target retase </t>
    </r>
  </si>
  <si>
    <t>C 354</t>
  </si>
  <si>
    <t>C 388</t>
  </si>
  <si>
    <t>C 390</t>
  </si>
  <si>
    <t>C 385</t>
  </si>
  <si>
    <t>C 386</t>
  </si>
  <si>
    <t>C 387</t>
  </si>
  <si>
    <t>C 389</t>
  </si>
  <si>
    <t>C 391</t>
  </si>
  <si>
    <t>C 392</t>
  </si>
  <si>
    <t>C 394</t>
  </si>
  <si>
    <t>C 359</t>
  </si>
  <si>
    <t>C 362</t>
  </si>
  <si>
    <t>C 363</t>
  </si>
  <si>
    <t>C 370</t>
  </si>
  <si>
    <t>C 374</t>
  </si>
  <si>
    <t>C 318</t>
  </si>
  <si>
    <t>C 326</t>
  </si>
  <si>
    <t>C 333</t>
  </si>
  <si>
    <t>C  337</t>
  </si>
  <si>
    <t>BANCIAN BERMASALAH</t>
  </si>
  <si>
    <t>PATAH BAUT RODA TROMOL NO 7</t>
  </si>
  <si>
    <t>Achievment Unit Yang Capai Target</t>
  </si>
  <si>
    <t>HUJAN JALAN LICIN</t>
  </si>
  <si>
    <t>unit keluar diatas jam 07:00</t>
  </si>
  <si>
    <t>*</t>
  </si>
  <si>
    <t>unit ready pagi</t>
  </si>
  <si>
    <t>BOCOR BAN NO 4</t>
  </si>
  <si>
    <t>AC BERMASALAH</t>
  </si>
  <si>
    <r>
      <t>Unit</t>
    </r>
    <r>
      <rPr>
        <b/>
        <sz val="14"/>
        <color rgb="FFFFC000"/>
        <rFont val="Calibri"/>
        <family val="2"/>
        <scheme val="minor"/>
      </rPr>
      <t xml:space="preserve"> RENTAL Stockpile (Pabrik QMB) </t>
    </r>
    <r>
      <rPr>
        <b/>
        <sz val="14"/>
        <color theme="0"/>
        <rFont val="Calibri"/>
        <family val="2"/>
        <scheme val="minor"/>
      </rPr>
      <t xml:space="preserve">yang tidak mencapai target retase </t>
    </r>
  </si>
  <si>
    <t>BOCOR BAN NO 7 (SAMPLE BLOK 5)</t>
  </si>
  <si>
    <t>GANTI BAN NO 7 DAN 8, GREASE PELUMASAN</t>
  </si>
  <si>
    <t>TAMBAH AIR RADIATOR;
KENCANGKAN RANTAI TAILGATE OTOMATIS</t>
  </si>
  <si>
    <t>BOCOR BAN NO 3, VESEL PINTU KURANG RAPAT</t>
  </si>
  <si>
    <t>GREASE PELUMASAN, PATAH SPRING NO 2 RR LH;
HEADLAMP KANAN MATI;
HYDROILIK (LAMBAT NAIK);
BRAKE LINING F2 RH LH;
PROPELLER JOINT RR;</t>
  </si>
  <si>
    <t>PATAH BAUT RODA TROMOL NO 6;
KOPLING KERAS</t>
  </si>
  <si>
    <t>INTARDER KURANG MENAHAN KALAU ADA MUATAN (GIGI KECIL, TIDAK MENAHAN); CEK SEMUA TROMOL ; CEK REM GENERAL; LOW POWER (TIDAK ADA TENAGA SAAT MENDAKI); ADJUSTER NO 2; KAMPAS REM NO 3 DAN 4</t>
  </si>
  <si>
    <t>*C 324</t>
  </si>
  <si>
    <t>REM BERMASALAH (ANGIN CEPAT HABIS);
CENTER BOLT PATAH KIRI BELAKANG</t>
  </si>
  <si>
    <t xml:space="preserve">PECAH TRUNNION </t>
  </si>
  <si>
    <t>DINAMO CABIN BERMASALAH</t>
  </si>
  <si>
    <t>GREASE PELUMASAN, LAMPU UTAMA KIRI MATI;
SEIN KANAN BELAKANG (PACAH KECA);
STEL REM GENERAL</t>
  </si>
  <si>
    <t>ANTRI/MACET DI STOCKPILE</t>
  </si>
  <si>
    <t>GANTI BAN NO 3</t>
  </si>
  <si>
    <t>PERBAIKAN VESSEL;
PEBBAIKAN RANTAI TAILGATE OTOMATIS (BERMASALAH)</t>
  </si>
  <si>
    <t>BOCOR BAN NO 6;
GANTI BAN NO 3 DAN 4</t>
  </si>
  <si>
    <t>PATAH SPRING NO 4 KANAN BELAKANG;
TAMBAH OLI HUB NO 1 DAN 4;
GANTI KARET STOPPER ALL;
CEK KARET TORQUEROD ATAS DAN BAWAH</t>
  </si>
  <si>
    <t xml:space="preserve">PATAH SPRING BELAKANG KANAN;
</t>
  </si>
  <si>
    <t>DRIVER ASLI SAKIT (DIGANTI DRIVER SAKIT)</t>
  </si>
  <si>
    <t>*C 395</t>
  </si>
  <si>
    <t>*C 397</t>
  </si>
  <si>
    <t>Rata-rata jam unit keluar</t>
  </si>
  <si>
    <t>C 330</t>
  </si>
  <si>
    <t>C 347</t>
  </si>
  <si>
    <t>C 395</t>
  </si>
  <si>
    <t>C 397</t>
  </si>
  <si>
    <t>C 361</t>
  </si>
  <si>
    <t>C 324</t>
  </si>
  <si>
    <t>#Note Lokasi Kerja Hujan</t>
  </si>
  <si>
    <t>SENSOR ANGIN BERMASALAH</t>
  </si>
  <si>
    <t>DIFFLOCK BERMASALAH</t>
  </si>
  <si>
    <t>BOCOR BAN NO 3</t>
  </si>
  <si>
    <t>LOCK PEN VESSEL KIRI BERMASALAH</t>
  </si>
  <si>
    <t>BOCOR BAN NO 9</t>
  </si>
  <si>
    <t>PATAH BAUT RODA TROMOL NO 6;
COVER TRUNNION RETAK</t>
  </si>
  <si>
    <t>DIFLOCK BERMASALAH</t>
  </si>
  <si>
    <t>KLAKSON BERMASALAH;
TAMBAH FREON</t>
  </si>
  <si>
    <t>*C 336</t>
  </si>
  <si>
    <t xml:space="preserve">GANTI KARET STOPPER, GREASE PELUMASAN, </t>
  </si>
  <si>
    <t xml:space="preserve"> KLAKSON BERMASALAH, GREASE PELUMASAN,</t>
  </si>
  <si>
    <t>MACET/ANTRI DI LOADING POINT</t>
  </si>
  <si>
    <t>CEK PINTU VESSEL</t>
  </si>
  <si>
    <t>PATAH U BOLT KIRI BELAKANG</t>
  </si>
  <si>
    <t>PATAH KONEKTOR ANGIN (KM 3)</t>
  </si>
  <si>
    <t>RAPIHKAN SPAKBOARD DEPAN KIRI DAN KANAN;
BAUT U BOLT DEPAN KANAN (HILANG);
TAMBAH OLI HUB TROMOL NO 4</t>
  </si>
  <si>
    <t>TEKOR ANGIN;
STEL REM GENERAL</t>
  </si>
  <si>
    <t>GANTI BAN NO 11 , PATAH BAUT RODA TROMOL NO 8</t>
  </si>
  <si>
    <t>BOCOR BAN NO 10, GREASE PELUMASAN</t>
  </si>
  <si>
    <t>GANTI BAN NO 7</t>
  </si>
  <si>
    <t>PATAH BAUT RODA TROMOL NO 7;
TAMBAH OLI HUB NO 3;
SEMPROT SARINGAN UDARA;
CEK KAMPAS REM TROMOL NO 7 DAN 8</t>
  </si>
  <si>
    <t xml:space="preserve">TALI PENGIKAT TANGKI HYDRAULIK </t>
  </si>
  <si>
    <t>GREASE PELUMASAN, STEL REM GENERAL;
TAMBAH OLI RETARDER;
TAMBAH AIR RADIATOR</t>
  </si>
  <si>
    <t>BOCOR BAN NO 6</t>
  </si>
  <si>
    <t>*C 391</t>
  </si>
  <si>
    <t>HUJAN/JALAN LICIN, ANTRI/MACET DI LOADING POINT</t>
  </si>
  <si>
    <t xml:space="preserve">CEK TUTUP VESSEL </t>
  </si>
  <si>
    <t>C 508</t>
  </si>
  <si>
    <t>C 509</t>
  </si>
  <si>
    <t>C 511</t>
  </si>
  <si>
    <t>C 514</t>
  </si>
  <si>
    <t>C 531</t>
  </si>
  <si>
    <t>*C 310</t>
  </si>
  <si>
    <t>PIPA SOLAR BOCOR (NAKULA)</t>
  </si>
  <si>
    <t>STEL REM GENERAL;
DIFFLOCK BERMASALAH (DOUBLE BERAT TIDAK BERFUNGSi), GREASE PELUMASAN</t>
  </si>
  <si>
    <t>GANTI KAMPAS REM TROMOL NO 5;
GANTI ADJUSTER TROMOL NO 5;
TAMBAH OLI RETARDER;
STEL REM GENERAL</t>
  </si>
  <si>
    <t>BAUT TORQUEROD KIRI BAWAH LONGGAR;
TAMBAH OLI RETARDER;
KEPALA AKI LONGGAR</t>
  </si>
  <si>
    <t>BOCOR BAN NO 3 (SAMPLE BLOK 5)</t>
  </si>
  <si>
    <t>RANTAI TAILGATE OTOMATIS LONGGAR</t>
  </si>
  <si>
    <t>LAMPU UTAMA KIRI MATI;
PATAH BAUT RODA TROMOL NO 8;
GANTI KARET STOPPER BELAKANG</t>
  </si>
  <si>
    <t>RANTAI TAILGATE OTOMATIS BERMASALAH</t>
  </si>
  <si>
    <t xml:space="preserve">STEL REM GENERAL, GREASE PELUMASAN, </t>
  </si>
  <si>
    <t>SESNOR ANGIN BERMASALAH</t>
  </si>
  <si>
    <t>GANTI SHOCKBREAKER SUSPENSI CABIN;
CEK BUSHING CABIN;
RAPIHKAN SPRING TENGAH KANAN</t>
  </si>
  <si>
    <t>DIFFLOCK BERMASALAH;
KLAKSON MATI (KERUSAKAN BERULANG);
KONEKTOR ANGIN (KETIKA KENA GUNCANGAN MERAH)</t>
  </si>
  <si>
    <t>BOCOR BAN NO 9 , DOL BAUT RODA TROMOL NO 7</t>
  </si>
  <si>
    <t>U BOLT R1 KIRI DEPAN LONGGAR
BUANG ANGIN KOPLING KERAS
SETEL REM GENERAL
PERBAIKAN SPAKBOARD DALAM KIRI KANAN DEPAN
TAMABAH OLI HUB SEMUA
SERVICE ENGINE</t>
  </si>
  <si>
    <t>LAS SAFETY CHASSIS;
LAS PINTU VESSEL;
LAS SAFETY TABUNG ANGIN, GREASE PELUMASAN, GANTI KARET TORQUEROD ATAS</t>
  </si>
  <si>
    <t>SOLAR  TIDAK CUKUP</t>
  </si>
  <si>
    <t>GREASE PELUMASAN; 
SPRING KIRI TENGAH;
PERSNELAN KERAS;
KLAKSON MATI</t>
  </si>
  <si>
    <t>CEK VESSEL</t>
  </si>
  <si>
    <t>ISTIRAHAT SHOLAT JUMAT (SAMPLE TIMBANGAN TUTUP JAM 11:00 BUKA JAM 13:00)</t>
  </si>
  <si>
    <t>HUJAN JALAN LICIN, LOADING POINT RUSAK, ISTIRAHAT SHOLAT JUMAT (SAMPLE TIMBANGAN TUTUP JAM 11:00 BUKA JAM 13:00)</t>
  </si>
  <si>
    <t>PATAH SPRING BELAKANG NO 11 DAN 12</t>
  </si>
  <si>
    <t>SPRING TENGAH KIRI PATAH NO 11;
PTO BERMASALAH;
PERNSELAN KERAS;
SERVICE HM 7500;</t>
  </si>
  <si>
    <t>PATAH SPRING NO 3 KIRI BELAKANG;
TUTUP TANKI FUEL BERMASALAH</t>
  </si>
  <si>
    <t>HOSE HYDRAULIK BOCOR;, PASANG LAPE-LAPE, GANTI BAN NO 8,9 DAN 11</t>
  </si>
  <si>
    <t>ANTRI/MACET DI LOADING POINT, HUJAN JALAN LICIN</t>
  </si>
  <si>
    <t>PATAH SPRING NO 7 BELAKANG KANAN;
REPAIR MUFFLER</t>
  </si>
  <si>
    <t xml:space="preserve">CENTER PEN KIRI PATAH;
CEK SPRING ;
SENSOR ANGIN BERMASALAH;
</t>
  </si>
  <si>
    <t>BOCOR BAN NO 11 (KM 11)</t>
  </si>
  <si>
    <t xml:space="preserve">FLANG RR BELAKANG; SPRING RR LH NO 2 GANTI; NIPPLE PROPELLER </t>
  </si>
  <si>
    <t>*C 353</t>
  </si>
  <si>
    <t>*C 376</t>
  </si>
  <si>
    <t>GANTI KAMPAS REM TROMOL NO 4;
CEK KAMPAS REM NO 1,2,3 DNA 8;
STEL REM GENERAL;
TAMBAH AIR RADIATOR</t>
  </si>
  <si>
    <t>BERSIHKAN AIR CLEANER;
TAMBAH OLI RETARDER;
LAMPU UTAMA KIRI GOYANG;
GANTI NIPPLE;
CEK U BOLT DEPAN, GANTI SPAKBOARD DEPAN KANAN &amp; KIRI;
TAMBAH OLI POWER STEARING;
KLAKSON BERMASALAH</t>
  </si>
  <si>
    <t>CEK REM NO 1,2,3 DAN 4;
STEL REM GENERAL;
FILTER SARINGAN UDARA BELAKANG CABIN LEPAS;
TAMBAH OLI HUB DEPAN;
RAPIHKAN SPRING TENGAH KIRI DAN KANAN</t>
  </si>
  <si>
    <t>GREASE PELUMASAN, TAMBAH OLI HUB F1 LH F2 LH;
PENGANGKIS LUMPUR DEPAN KANAN (HAMPIR JATUH);
GANTI KAMPAS REM TROMOL NO 3;
CEK KEBOCORAN RADIATOR</t>
  </si>
  <si>
    <t>PATAH BAUT RODA TROMOL NO 6;
GANTI KARET STOPER;
CEK AIR ACCU</t>
  </si>
  <si>
    <t>BOCOR BAN NO 5,6, 11, DAN 12, GANTI TORQUEROD ATAS;
GANTI KARET STOPPER (4 PCS);
GANTI BAUT RODA TROMOL NO 8</t>
  </si>
  <si>
    <t>STEL REM GENERAL</t>
  </si>
  <si>
    <t>BOCOR BAN NO 10 (TIMBANGAN KM 7)</t>
  </si>
  <si>
    <t>*C 387</t>
  </si>
  <si>
    <t>ANTRI/MACET DI LOADING POINT (RUSAK), HUJAN/JALAN LICIN</t>
  </si>
  <si>
    <t>BD DIJALAN</t>
  </si>
  <si>
    <t>GANTI BAN NO 12 (POS 2 BELAKANG WS HMSI</t>
  </si>
  <si>
    <t>C 337</t>
  </si>
  <si>
    <t>DRIVER SAKIT, GANTI KAMPAS REM NO 1,2,7, DAN 8;
CEK ADJUSTER NO 2;
STEL REM GENERAL</t>
  </si>
  <si>
    <t>BOCOR BAN NO 9, GREASE PELUMASAN, PATAH BAUT RODA TROMOL NO 7;
TORQUEROD ATAS DAN BAWAH BERMASALAH;
CEK KAMPAS REM TROMOL NO 7 DAN 8;
KOPLING KERAS (KERUSAKAN BERULANG)</t>
  </si>
  <si>
    <t>GANTI BAN NO 7,8,11, DAN 12, TAMBAH OLI RETARDER;
REM BERMASALAH;
SEMPROT SARINGAN UDARA</t>
  </si>
  <si>
    <t>LAMPU UTAMA KANAN MATI;
KLAKSON BERMASALAH;
CEK KAMPAS REM TROMOL NO 7;</t>
  </si>
  <si>
    <t>GREASE PELUMASAN, GEARBOX STEARING BUNYI;
GANTI KARET STOPPER DEPAN;</t>
  </si>
  <si>
    <t xml:space="preserve">STEL REM GENERAL;
CEK KAMPAS REM GENRAL;
TAMBAH OLI RETARDER;
GANTI TORQUEROD ATAS;
LAMPU SEIN KANAN DEPAN MATI, GREASE PELUMASAN
</t>
  </si>
  <si>
    <t>STEL REM GENREAL, TAMBAH OLI RETARDER, GREASE PELUMASAN</t>
  </si>
  <si>
    <r>
      <t>«</t>
    </r>
    <r>
      <rPr>
        <sz val="11"/>
        <color theme="1"/>
        <rFont val="Calibri"/>
        <family val="2"/>
      </rPr>
      <t xml:space="preserve"> </t>
    </r>
  </si>
  <si>
    <t>STEL REM GENERAL;
REM TIDAK MENAHAN</t>
  </si>
  <si>
    <t>PECAH VELG NO 6;
BOCOR BAN NO 5 (JL COR-CORAN)</t>
  </si>
  <si>
    <t>CENTER PEN  F2 PATAH;
CEK ADJUSTER TROMOL NO 4;
GANTI KAMPAS REM TROMOL NO 5, DAN 6;
STEL REM GENERAL</t>
  </si>
  <si>
    <t>U BOLT F1 KIRI;
GANTI KAMPAS REM TROMOL NO 8;
BAUT U BOLT F1 KIRI LONGGAR;
KAMPAS REM TROMOL NO 1 DAN 2 RENGGANG;
CEK ADJUSTER ALL;
GANTI STOPPER BUMPER;
HEADLAMP KANAN MATI;
STOPLAMP KIRI MATI;
TAMBAH AIR RADIATOR;</t>
  </si>
  <si>
    <t>PINTU VESSEL BERMASALAH</t>
  </si>
  <si>
    <t>LOW POWER;
KOPLING KERAS</t>
  </si>
  <si>
    <t>AC BERMASALAH;
PATAH SPRING NO 7 KANAN BELAKANG;
REM KURANG MENAHAN;
TAMBAH AIR RADIATOR;</t>
  </si>
  <si>
    <t>GREASE PELUMASAN, LONGGAR BAUT RODA;
BAUT RODA TERCABUT (BELAKANG WS HINO)</t>
  </si>
  <si>
    <t>GREASE PELUMASAN, PATAH CENTER PE BELAKANG KIRI;
CEK KARET STOPPER;
STEL REM GENERAL</t>
  </si>
  <si>
    <t>PATAH SPRING NO 14 TENGAH KANAN
TAMBAH AIR RADIATOR</t>
  </si>
  <si>
    <t>BOCOR BAN NO 11 (TIMBANGAN TENGKORAK),PATAH BAUT RODA TROMOL NO 8</t>
  </si>
  <si>
    <t>PENGECEKAN TAILGATE MANUAL; CEK RANTAI TAILGATE OTOMATIS</t>
  </si>
  <si>
    <t>CEK REM GENERAL</t>
  </si>
  <si>
    <t>GANTI BAN NO 6</t>
  </si>
  <si>
    <t>GANTI SHOCKBREAKER SUSPENSI CABIN; CEK BUSHING CABIN; RAPIHKAN SPRING TENGAH KANAN</t>
  </si>
  <si>
    <t>CEK BANCIAN</t>
  </si>
  <si>
    <t>CEK TUTUP VESSEL; CEK GATE-GATE</t>
  </si>
  <si>
    <t>KBM</t>
  </si>
  <si>
    <r>
      <t>Data Retase &amp; Operasional</t>
    </r>
    <r>
      <rPr>
        <b/>
        <sz val="12"/>
        <color theme="5" tint="0.39997558519241921"/>
        <rFont val="Calibri"/>
        <family val="2"/>
        <scheme val="minor"/>
      </rPr>
      <t xml:space="preserve"> KBM</t>
    </r>
    <r>
      <rPr>
        <b/>
        <sz val="12"/>
        <color theme="0"/>
        <rFont val="Calibri"/>
        <family val="2"/>
        <scheme val="minor"/>
      </rPr>
      <t xml:space="preserve"> </t>
    </r>
  </si>
  <si>
    <r>
      <t>Unit</t>
    </r>
    <r>
      <rPr>
        <b/>
        <sz val="14"/>
        <color theme="5" tint="0.39997558519241921"/>
        <rFont val="Calibri"/>
        <family val="2"/>
        <scheme val="minor"/>
      </rPr>
      <t xml:space="preserve"> KBM</t>
    </r>
    <r>
      <rPr>
        <b/>
        <sz val="14"/>
        <color theme="0"/>
        <rFont val="Calibri"/>
        <family val="2"/>
        <scheme val="minor"/>
      </rPr>
      <t xml:space="preserve"> yang tidak mencapai target retase </t>
    </r>
  </si>
  <si>
    <t>G 503</t>
  </si>
  <si>
    <t>G 504</t>
  </si>
  <si>
    <t>G 505</t>
  </si>
  <si>
    <t>G 506</t>
  </si>
  <si>
    <t>G 508</t>
  </si>
  <si>
    <t>G 509</t>
  </si>
  <si>
    <t>G 510</t>
  </si>
  <si>
    <t>G 511</t>
  </si>
  <si>
    <t>G 514</t>
  </si>
  <si>
    <t>G 517</t>
  </si>
  <si>
    <t>G 520</t>
  </si>
  <si>
    <t xml:space="preserve"> </t>
  </si>
  <si>
    <t xml:space="preserve">PATAH SPRING NO 5 KIRI BELAKANG;
</t>
  </si>
  <si>
    <t>LONGGAR TORQUEROD BAWAH KIRI DEPAN</t>
  </si>
  <si>
    <t>UNIT PENGGANTI 504</t>
  </si>
  <si>
    <t>BOCOR BAN NO 7 , SWITCH KLAKSON BERMASALAH, PATAH BAUT RODA TROMOL NO 6;
REM TIDAK  MENAHAN;
CEK REM GENERAL</t>
  </si>
  <si>
    <t>LAS SPAKBOARD  KIRI;
LAS SAFETY TANKI;
LAS SAFETY TABUNG ANGIN;
LAS VESSEL;
PERBAIKAN DUDUKAN LAMPU STOP</t>
  </si>
  <si>
    <t xml:space="preserve">STEL REM GENERAL;
REM KURANG MENAHAN;
KLAKSON BERMASALAH;
BERSIHKAN SARINGAN UDARA;
SPAKBOARD DEPAN KIRI BERMASALAH </t>
  </si>
  <si>
    <t>U BOLT DEPAN KIRI LONGGAR</t>
  </si>
  <si>
    <t xml:space="preserve">CENTER PEN BELAKANG KANAN PATAH;
BAUT SEAT SPRING BERMASALAH;
</t>
  </si>
  <si>
    <t>PATAH SPRING BELAKANG KIRI NO 5</t>
  </si>
  <si>
    <t>CEK KAKI KAKI DEPAN (ADA BUNYI TIDAK NORMAL);
REPAIR MUFFLER</t>
  </si>
  <si>
    <t>INDIKATOR MENYALA TERUS (STOCKPILE)</t>
  </si>
  <si>
    <t>GREASE PELUMASAN, GANTI KAMPAS REM TROMOL NO 3, DAN 4;
STEL REM GENERAL</t>
  </si>
  <si>
    <t>SWITCH KLAKSON BERMASALAH (KLAKSON MENYALA TERUS)</t>
  </si>
  <si>
    <t>DRIVER ASLI SAKIT (DIGANTI DRIVER SPARE)</t>
  </si>
  <si>
    <t>KOPLING KURANG MAKAN;
STEL REM GENERAL</t>
  </si>
  <si>
    <t>REPAIR MUFFLER</t>
  </si>
  <si>
    <t>GREASE PELUMASAN, PATAH CENTER PEN KANAN BELAKANG;
STEL REM GENERAL</t>
  </si>
  <si>
    <t>GREASE PELUMASAN, GANTI KAMPAS REM NO 3 DAN 4, TAMBAH OLI HYDRAULIK</t>
  </si>
  <si>
    <t>TAMBAH FREON, CENTER PEN KANAN BELAKANG PATAH;</t>
  </si>
  <si>
    <t>PERBAIKAN TAILGATE OTOMATIS;
LAS PINTU VESSEL</t>
  </si>
  <si>
    <t>GANTI KAMPAS REM TROMOL NO 8;
STEL REM GENERAL</t>
  </si>
  <si>
    <t>PERBAIKAN LAMPU UTAMA KANAN BERMASALAH;
PERBAIKAN BUMPER</t>
  </si>
  <si>
    <t>GANTI BAN NO 4</t>
  </si>
  <si>
    <t>CEK VESSEL DAN TAILGATE MANUAL;</t>
  </si>
  <si>
    <t>BOCOR BAN NO 12 (PIT NAKULA)</t>
  </si>
  <si>
    <t>PERSNELAN KERAS (STOCKPILE KM 8);
LAMPU UTAMA KANAN MATI</t>
  </si>
  <si>
    <t>CEK VESSEL; CEK TAILGATE MANUAL</t>
  </si>
  <si>
    <t>CEK ACCU, GREASE PELUMASAN</t>
  </si>
  <si>
    <t xml:space="preserve">HUJAN/JALAN LICIN </t>
  </si>
  <si>
    <t>G 512</t>
  </si>
  <si>
    <t>G 518</t>
  </si>
  <si>
    <t>G 519</t>
  </si>
  <si>
    <t>G 521</t>
  </si>
  <si>
    <t>G 522</t>
  </si>
  <si>
    <t>G 523</t>
  </si>
  <si>
    <t>G 524</t>
  </si>
  <si>
    <t>G 525</t>
  </si>
  <si>
    <t>G 526</t>
  </si>
  <si>
    <t>G 527</t>
  </si>
  <si>
    <t>GROUND TEST</t>
  </si>
  <si>
    <t>PERSNELAN KERAS; LAMPU UTAMA KANAN MATI</t>
  </si>
  <si>
    <t>PECAH VELG NO 9</t>
  </si>
  <si>
    <t>STEL REM GENERAL;
STEL REM GENERAL</t>
  </si>
  <si>
    <t>BOCOR BAN NO 12, DOL BAUT RODA TROMOL NO 8</t>
  </si>
  <si>
    <t xml:space="preserve">SERVICE HM 3000;
FOOTSTEP CABIN KANAN BERMASALAH;
KARET STOPPER BELAKANG JATUH;
</t>
  </si>
  <si>
    <t>RADIATOR BOCOR</t>
  </si>
  <si>
    <t>STOPLAMP KANAN MATI;
AIR RADIATOR BERKURANG TERUS;
CEK SELANG RADIATOR;
TAMBAH OLI RETARDER</t>
  </si>
  <si>
    <t>BOCOR BAN NO 11;
GANTI VELG NO 8, COLOKAN KOREK BERMASALAH
CEK ADJUSTER REM GENERAL
U BOLT DEPAN KIRI PATAH
LAMPU REM MATI</t>
  </si>
  <si>
    <t xml:space="preserve">PATAH BAUT RODA TROMOL NO 8;
CEK RADIATOR;
</t>
  </si>
  <si>
    <t>CEK PINTU VESSEL DAN TAILGATE</t>
  </si>
  <si>
    <t>KONEKTOR ANGIN PATAH;
TAMBAH OLI POWER STEARING;
STEL REM GENERAL;
GANTI KAMPAS REM TROMOL NO 5;
CEK KAMPAS REM GENERAL</t>
  </si>
  <si>
    <t>CENTER PEN KANAN BELAKANG PATAH [KEJADIAN BERULANG]
SETEL REM GENERAL
REM KURANG MENAHAN</t>
  </si>
  <si>
    <t>TAMBAH OLI HYDRAULIK, DUMP SUSAH TERANGKAT</t>
  </si>
  <si>
    <t xml:space="preserve">U BOLT BELAKANG KANAN LONGGAR;
STEL REM GENERA;;
</t>
  </si>
  <si>
    <t>BOCOR HOSE RADIATOR (KM 2)</t>
  </si>
  <si>
    <t>STEL REM GENERAL, GREASE PELUMASAN</t>
  </si>
  <si>
    <t>BOCOR BAN NO 5 (STOCKPILE KM 10)</t>
  </si>
  <si>
    <t>PATAH SPRING DI TROMOL NO 3, SPRING NO 3</t>
  </si>
  <si>
    <t>G 500</t>
  </si>
  <si>
    <t>G 501</t>
  </si>
  <si>
    <t>G 502</t>
  </si>
  <si>
    <t>G 528</t>
  </si>
  <si>
    <t>G 529</t>
  </si>
  <si>
    <t>G 531</t>
  </si>
  <si>
    <t>G 533</t>
  </si>
  <si>
    <t>G 534</t>
  </si>
  <si>
    <t>G 535</t>
  </si>
  <si>
    <t>C 352</t>
  </si>
  <si>
    <t>UNIT BD DIJALAN</t>
  </si>
  <si>
    <t>LAMPU UTAMA KIRI MATI;
KLAKSON BERMASLAH (BOCOR)</t>
  </si>
  <si>
    <t>GANTI BAN NO 6, TAILGATE MANUAL PATAH;
LAS STANG LAMPU UTAMA KIRI, TEKOR ANGIN;</t>
  </si>
  <si>
    <t>U BOLT KIRI KANAN DEPAN PATAH;
LAMPU UTAMA KANAN MATI</t>
  </si>
  <si>
    <t>GREASE PELUMASAN;
CEK AIR ACCU, GANTI KAMPAS REM TROMOL NO 4;
HOSE ANGIN BERMASALAH;
CEK HOSE RETARDER;
TAMBAH AIR RADIATOR (RADIATOR BERKURANG TERUS KETIKA PAGI)</t>
  </si>
  <si>
    <t>CEK AIR ACCU; GREASE PELUMASAN;</t>
  </si>
  <si>
    <t>PATAH BAUT RODA TROMOL NO 5;
GANTI SAFETY MUFFLER; GREASE PELUMASAN</t>
  </si>
  <si>
    <t>GANTI VELG NO 12, PATAH BAUT RODA TROMOL NO 8</t>
  </si>
  <si>
    <t>GANTI BAN NO 9;
BOCOR BAN NO 10, TAMBAH OLI HUB ALL;</t>
  </si>
  <si>
    <t>BOCOR BAN NO 3;
GANTI BAN NO 4, REPAIR MUFFLER</t>
  </si>
  <si>
    <t>BOCOR BAN NO 4 (BLOK 8, LOADING POINT)</t>
  </si>
  <si>
    <t>CENTER PEN KANAN BELAKANG PATAH [KEJADIAN BERULANG] SETEL REM GENERAL REM KURANG MENAHAN</t>
  </si>
  <si>
    <t>KOPLING BERMASALAH</t>
  </si>
  <si>
    <t>BOCOR BAN NPO 2 (JL BETON DEPAN PENCUCIAN)</t>
  </si>
  <si>
    <t>CEK BANCIAN DAN GATE-GATE;</t>
  </si>
  <si>
    <t>HUJAN/JLALAN LICIN</t>
  </si>
  <si>
    <t>BOCOR TANKI FUEL</t>
  </si>
  <si>
    <t>GREASE PELUMASAN, SETEL REM GENERAL</t>
  </si>
  <si>
    <t>BOCOR BAN NO 4,GREASE PELUMASAN</t>
  </si>
  <si>
    <t>PATAH SPRING NO 3 DEPAN KANAN;
STEL REM GENERAL;
GANTI KARET STOPPER BELAKANG</t>
  </si>
  <si>
    <t>LAMPU UTAMA KANAN  MATI;
GANTI KARET STOPPER R1 BELAKANG;
GANTI KAMPAS REM TROMOL NO 7 DAN 8</t>
  </si>
  <si>
    <t>CENTER PEN PATAH (KM 8)</t>
  </si>
  <si>
    <t>GANTI BAN NO 3 DNA 9;, TAMBAH ANGIN NO 10, PERBAIKAN TAIL GATE(BANCIAN)</t>
  </si>
  <si>
    <t>PATAH BAUT TORQUEROD NO 3 (WORKSHOP BDM)</t>
  </si>
  <si>
    <t>LAMPU SEIN MATI SEMUA;
STOPLAMP KIRI KANAN MATI;
GANTI KARET STOPPER KIRI KANAN;</t>
  </si>
  <si>
    <t>TAILGATE OTOMATIS BERMASALAH;
LAS TAILGATE OTOMATIS</t>
  </si>
  <si>
    <t>CEK BANCIAN; CEK GATE-GATE</t>
  </si>
  <si>
    <t>CEK MOUNTING SEMUA;
MOUNTING ENGINE BAWAH KIRI PUTUS;
TAMBAH OLI HUB;
BERSIHKAN AIR CLEANER</t>
  </si>
  <si>
    <t>SWITCH KLAKSON BERMASALAH, PATAH BAUT RODA TROMOL NO 8
SWIT KLAKSON HABIS DI LOGISTIK</t>
  </si>
  <si>
    <t>ENGINE MOUNTING PUTUS (PIT NAKULA)</t>
  </si>
  <si>
    <t>TEKOR ANGIN</t>
  </si>
  <si>
    <t>GANTI BAN NO 12</t>
  </si>
  <si>
    <t>RAPIHKAN SPRING TENGAH KANAN;
STEL REM GENERAL;
LOW POWER</t>
  </si>
  <si>
    <t xml:space="preserve">U BOLT KIRI DEPAN PATAH;
RPM NAIK SAAT INJAK KOPLING;
</t>
  </si>
  <si>
    <t>BOCOR BAN NO 3 (JEMBATAN CHINA)</t>
  </si>
  <si>
    <t>BOCOR BAN NO 10 (BLOK 5)</t>
  </si>
  <si>
    <t>PERBAIKAN BANCIAN</t>
  </si>
  <si>
    <t>GANTI KAMPAS REM TROMOL NO 1</t>
  </si>
  <si>
    <t>CEK TALI FANBELT</t>
  </si>
  <si>
    <t>HUJAN/JALAN LICIN, JALAN RUSAK</t>
  </si>
  <si>
    <t>ANTRI.MACET DI PABRIK</t>
  </si>
  <si>
    <t>SERVICE HM 8000</t>
  </si>
  <si>
    <t>BOCOR BAN NO. 8 (KM 10);BOCOR BAN NO 12 (KM 7)</t>
  </si>
  <si>
    <t>BOCOR BAN NO. 12 (KBM);</t>
  </si>
  <si>
    <t xml:space="preserve">CEK BANCIAN; CEK SPAKBOARD BELAKANG </t>
  </si>
  <si>
    <t>CEK PINTU VESSEL; CEK TAILGATE MANUAL DAN OTOMATIS</t>
  </si>
  <si>
    <t>BOCOR BAN NO. 11 (TIMBANGAN TENGKORAK); PATAH BAUT RODA TROMOL NO, 8;</t>
  </si>
  <si>
    <t>REPAIR MUFFLER;</t>
  </si>
  <si>
    <t>BOCOR BAN NO. 2;</t>
  </si>
  <si>
    <t>BOCOR BAN 10 (KM 2);</t>
  </si>
  <si>
    <t>CEK GATE-GATE MANUAL; CEK VESSEL</t>
  </si>
  <si>
    <t>GANTI KARET TORQUE ROD BAWAH;
PERBAIKAN SPAKBOAR DEPAN KIRI KANAN;
RAPIKAN SPRING F2 KANAN;
BRAKE LINING R1 LH;
CEK FLANGE R1 DEPAN</t>
  </si>
  <si>
    <t>PATAH BAUT TORQUEROD KIRI BELAKANG (SEBELUM WS BDM);
PATAH BAUT RODA TROMOL NO 5</t>
  </si>
  <si>
    <t>BAUT RODA TROMOL NO 7 PATAH'
REPAIR/ GANTI SPAKBOARD DEPAN KIRI KANAN;
LONG TIEROD F2 BENGKOK;
GANTI KAMPAS REM TROMOL NO 7, DAN 8;
TAMBAH OLI HUB TROMOL NO 1,2,3, DAN 4</t>
  </si>
  <si>
    <t>CEK SEMUA CLAM HOSE;
PATAH SPRING BELAKANG KIRI NO.1;
CEK CENTER PEN KANAN;
SKRING KLAKSON;</t>
  </si>
  <si>
    <t>CEK PEN VESSEL</t>
  </si>
  <si>
    <t>GANTI KAMPAS NO. 5.7;
CEK ENGINE MOUNTING;
STEL REM GENERAL;</t>
  </si>
  <si>
    <t>GANTI BAN NO. 9;</t>
  </si>
  <si>
    <t>LAS PINTU VESSEL</t>
  </si>
  <si>
    <t>BOCOR BAN NO. 1 (LOADING POINT NAKULA);</t>
  </si>
  <si>
    <t>PATAH U BOLT DEPAN KIRI (POSISI BLOK 8);</t>
  </si>
  <si>
    <t>GANTI BAN NO. 10;</t>
  </si>
  <si>
    <t>PERBAIKAN SPAKBOARD KIRI</t>
  </si>
  <si>
    <t>ISTIRAHAT SHOLAT JUMAT, SAMPLE TIMBANGAN TUTUP JAM 11:00 BUKA JAM 13:00</t>
  </si>
  <si>
    <t>HUJAN JALAN LICIN, (SHOLAT JUMAT,SAMPLE TIMBANGAN TUTUP JAM 11:00 BUKA JAM 13:00)</t>
  </si>
  <si>
    <t>STEL REM GENERAL;
CEK KAMPAS KOPLENG;</t>
  </si>
  <si>
    <t>CEK SAFETY TANKI; CEK BANCIAN</t>
  </si>
  <si>
    <t>PATAH CENTER PEN BELAKANG KANAN (KERUSAKAN BERULANG);
CEK TRUNNION</t>
  </si>
  <si>
    <t xml:space="preserve"> (ISTIRAHAT SHOLAT JUMAT,SAMPLE TIMBANGAN TUTUP JAM 11:00 BUKA JAM 13:00)</t>
  </si>
  <si>
    <t>C 500</t>
  </si>
  <si>
    <t>C 501</t>
  </si>
  <si>
    <t>C 502</t>
  </si>
  <si>
    <t>C 503</t>
  </si>
  <si>
    <t>C 505</t>
  </si>
  <si>
    <t>C 512</t>
  </si>
  <si>
    <t>C 529</t>
  </si>
  <si>
    <t>C 532</t>
  </si>
  <si>
    <t>C 533</t>
  </si>
  <si>
    <t>C 535</t>
  </si>
  <si>
    <t>LAS STAND SPAKBOARD;PATAH SPRING RR LH;
CEK ADJUSTER R2 RH (RENGGANG)</t>
  </si>
  <si>
    <t>PATAH SPRING BELAKANG NO 4;
ANGIN TEKOR ;
GANTI KAMPAS REM TROMOL NO 2,5,7, DAN 8;
TAMBAH OLI HUB NO 1, DAN 3</t>
  </si>
  <si>
    <t>PATAH CENTER PEN BELAKANG KANAN;</t>
  </si>
  <si>
    <t>PATAH BAUT RODA TROMOL NO 6</t>
  </si>
  <si>
    <t>SETEL REM GENERAL
PATAH BAUT RODA TROMOL NO 7
LAMPU BELAKANG KIRI MATI
CEK OLI HUB</t>
  </si>
  <si>
    <t>SETEL REM GENERAL
DOBEL RINGAN BERMASALAH</t>
  </si>
  <si>
    <t>LAMPU UTAMA KIRI MATI;
STOPLAMP KANAN MATI;
PATAH BAUT RODA TROMOL NO 8</t>
  </si>
  <si>
    <t>CEK PINTU VESSEL; CEK TAILGATE MANUAL</t>
  </si>
  <si>
    <t>PATAH SPRING NO. 3 BELAKANG KIRI;
PATAH BAUT RODA TROMOL NO. 5;
LAMPU UTAMA KIRI MATI;
STEL REM GENERAL;
RAPIKAN SPAKBOARD;</t>
  </si>
  <si>
    <t>STEL REM GENERAL (KURANG MENAHAN);</t>
  </si>
  <si>
    <t>PATAH CENTER PEN BELAKANG KIRI;
CEK KAMPAS REM GENERAL;
STEL REM GENERAL;</t>
  </si>
  <si>
    <t>BAUT RODA TROMOL NO 7 PATAH' REPAIR/ GANTI SPAKBOARD DEPAN KIRI KANAN; LONG TIEROD F2 BENGKOK; GANTI KAMPAS REM TROMOL NO 7, DAN 8; TAMBAH OLI HUB TROMOL NO 1,2,3, DAN 4</t>
  </si>
  <si>
    <t>BOCOR BAN NO. 3 ( BLOK 5);</t>
  </si>
  <si>
    <t>PRIDER GARDAN R2;
GANTI KARET STOPPER BELAKANG KIRI DAN KANAN</t>
  </si>
  <si>
    <t>PATAH PER NO. 8 KIRI BELAKANG;
LAMPU SEIN KANAN BELAKANG;
LAMPU STOP MATI;
ALARAM MUNDUR MATI;</t>
  </si>
  <si>
    <t>BOCOR BAN NO. 4 (QMB); GANTI BAN NO 4</t>
  </si>
  <si>
    <t>PATAH BAUT RODA TROMOL NO. 5 (2 PCS);</t>
  </si>
  <si>
    <t>MELEDAK BAN NO. 1;</t>
  </si>
  <si>
    <t>BOCOR BAN NO. 11 (WS 6 PABRIK);</t>
  </si>
  <si>
    <t>BOCOR BAN NO, 5 (MES MEI MEI);</t>
  </si>
  <si>
    <t>ANGIN KLAKSON BOCOR;</t>
  </si>
  <si>
    <t>BOCOR BAN NO 7</t>
  </si>
  <si>
    <t>DRIVER SAKIT</t>
  </si>
  <si>
    <t>GROUND TEST (TEST UNIT)</t>
  </si>
  <si>
    <t>CEK HOSE ANGIN
CEK KEKENCANGAN RANTAI TAIL GATE
CEK KAMPAS REM GENERAL
SETEL REM GENERAL</t>
  </si>
  <si>
    <t>LOW POWER;
SERVICE HM 3000;</t>
  </si>
  <si>
    <t>BOCOR RADIATOR (STOCKPILE KM 8)</t>
  </si>
  <si>
    <t>REPAIR MUFFLER;
PENGIKAT TANKI HYDRAULIK BERMASALAH;
PENANGKIS LUMPUR DEPAN KIRI BERMASALAH;</t>
  </si>
  <si>
    <t>SERVCIE HM;
PATAH BAUT RODA TROMOL NO. 7;</t>
  </si>
  <si>
    <t xml:space="preserve">SAFETY TANK HYDROLIK PUTUS;
TAMBAH AIR RADIATOR;
TAMBAH OLI RETARDER;
CEK KAMPAS GENERAL;
</t>
  </si>
  <si>
    <t>BOCOR BAN NO. 4;</t>
  </si>
  <si>
    <t>LOW POWER</t>
  </si>
  <si>
    <t>PATAH BAUT RODA TROMOL NO 8;
PERBAIKAN STOPLAMP KIRI</t>
  </si>
  <si>
    <t xml:space="preserve">STOPER BUAMPER;
ADJUST REM GENERAL;
LOW POWER;
CEK MOUNTING;
</t>
  </si>
  <si>
    <t>MUFFLER BOCOR;
SPAKBOARD JATUH KIRI DEPAN;</t>
  </si>
  <si>
    <t xml:space="preserve">SPAKBOARD KIRI TENGAH BERMASALAH;
</t>
  </si>
  <si>
    <t>ANTRI/MACET DI LOADING POINT</t>
  </si>
  <si>
    <t>UNIT PENGGANTI DT 500, BOCOR BAN NO. 6;</t>
  </si>
  <si>
    <t xml:space="preserve">ALAT YANG BEROPERASI DI STOCK PILE CUMA 1 (1 ALAT BREAKDOWN), </t>
  </si>
  <si>
    <t>GANTI BAN NO. 9, 10; BOCOR BAN NO. 4;</t>
  </si>
  <si>
    <t>BOCOR BAN NO. 7 (KBM C LAMA);</t>
  </si>
  <si>
    <t>PATAH BAUT RODA TROMOL NO 6;
CEK TURNION KIRI-KANAN;
STEL REM GENERAL</t>
  </si>
  <si>
    <t>GANTI KARET STOPPER;
KOPLING KERAS;
FANBELT AC BERMASALAH</t>
  </si>
  <si>
    <t>BOCOR BAN NO 6, REM KERAS</t>
  </si>
  <si>
    <t>PATAH CENTER BOLT BELAKANG KIRI
RETAK SEAT SPRING KIRI DEPAN;
PATAH SPRING NO. 2 KANAN BELAKANG;
LAMPU BELAKANG MATI;</t>
  </si>
  <si>
    <t>STEL REM GENERAL; CEK KAMPAS KOPLENG;</t>
  </si>
  <si>
    <t>RADIATOR BOCOR (KM 2);, LAS PIPA RADIATOR;</t>
  </si>
  <si>
    <t>BOCOR BAN NO 11 DAN 12</t>
  </si>
  <si>
    <t>BOCOR BAN NO. 11;LAS KNALPOT;</t>
  </si>
  <si>
    <t>VESSEL BERMASALAH (WORKSHOP)</t>
  </si>
  <si>
    <t>SERVICE HM 8000;
STEL REM GENERAL;
GANTI KARET STOPPER KIRI DAN KANAN BELAKANG;
CENTER PEN KANAN PUTUS;
CEK CENTER PEN KIRI DAN KANAN;
CEK HOSE</t>
  </si>
  <si>
    <t>GANTI BAN NO. 5;</t>
  </si>
  <si>
    <t>GANTI VELG NO 3 KIRI, SERVICE HM 8000;
STEL REM GENERAL;
GANTI KARET STOPPER KIRI DAN KANAN BELAKANG;
CENTER PEN KANAN PUTUS;
CEK CENTER PEN KIRI DAN KANAN;
CEK HOSE</t>
  </si>
  <si>
    <t>HUJAN/JALAN LICIN</t>
  </si>
  <si>
    <t>LOW POWER; SERVICE HM 3000;</t>
  </si>
  <si>
    <t>DRIVER ASLI SAKIT (DIGANTI DRIVER SPARE), HUJAN JALAN LICIN</t>
  </si>
  <si>
    <t>BOCOR BAN NO 12</t>
  </si>
  <si>
    <t>BOCOR BAN NO 11 (KM 18)</t>
  </si>
  <si>
    <t xml:space="preserve">TAMBAH OLI RETARDER;
STEL REM GENERA;
CEK BEHEL KIRI DEPAN TENGAH;
KENCANGKAN TAILGATE OTOMATIS;
</t>
  </si>
  <si>
    <t xml:space="preserve">TARGET
</t>
  </si>
  <si>
    <t>UNIT PENGGANTI (DT 509)</t>
  </si>
  <si>
    <t>UNIT PENGGANTI (DT 510)</t>
  </si>
  <si>
    <t xml:space="preserve">REM NO. 7 BERMASALAH; </t>
  </si>
  <si>
    <t>BOCOR BAN NO. 9; LAMPU UTAMA MATI KANAN;
CEK MOUNTING PROPELER;
STEL REM GENERAL;</t>
  </si>
  <si>
    <t>REM TIDAK MENAHAN;
STEL REM GENERAL;
CEK KAMPAS REM GENERAL;
CEK ADJUSTER</t>
  </si>
  <si>
    <t>SETEL REM GENERAL
CEK KAMPAS REM NO 1,2,3,6,8.
PATAH PER BELAKANG SEBELAH KIRI NO 4</t>
  </si>
  <si>
    <t>LAS VESEL DEPAN;</t>
  </si>
  <si>
    <t>BOCOR BAN NO 12 (KM 10), PATAH BAUT RODA TROMOL NO. 8;
CEK KAMPAS REM GENERAL;
STEL REM GENERAL;
TAMBAH OLI REATARDER;
CEK TORQUE ROD;</t>
  </si>
  <si>
    <t>GANTI BAN NO 7 8, DIFLOK BERMASALAH</t>
  </si>
  <si>
    <t>BOCOR BAN NO. 9.10 (KM 19);</t>
  </si>
  <si>
    <t>GANTI BAN NO. 11.12; BOCOR SELANG ANGIN;
PATAH BAUT RODA TROMOL NO. 7;
GANTI KARET STOPPER BELAKANG;</t>
  </si>
  <si>
    <t>GANTI BAN NO 7, TORQUE ROD BAWAH KIRI;</t>
  </si>
  <si>
    <t>CEK OIL ENGINE; CEK REM</t>
  </si>
  <si>
    <t>LAS PINTU VESEL;
PEN VESEL ATAS KIRI LEPAS;</t>
  </si>
  <si>
    <t>BOCOR BAN NO 4 (KRESER), KONEKTOR ANGIN BERMASALAH (BERULANG)</t>
  </si>
  <si>
    <t>BOCOR BAN NO. 10, PATAH KNALPOT BAGIAN ATAS;</t>
  </si>
  <si>
    <t>CEK PEN PINTU VESSEL; CEK TAILGATE</t>
  </si>
  <si>
    <t>PATAH SPRING NO. 3 TENGAH KANAN;</t>
  </si>
  <si>
    <t>PATAH PER NO. 6 KIRI BELAKANG;</t>
  </si>
  <si>
    <t>PATAH BAUT RODA TROMOL NO 5;
PERBAIKAN SPAKBOARD DEPAN KANAN</t>
  </si>
  <si>
    <t>PATAH SPRING NO. 1 BELAKANG KIRI;</t>
  </si>
  <si>
    <t>BOCOR OIL SEAL POWER STEARING (QMB, DEKAT PENCUCIAN)</t>
  </si>
  <si>
    <t>PATAH SPRING KIRI BELAKANG;
SEMPROT SARINGAN UDARA;
TAMBAH OLI HUB;</t>
  </si>
  <si>
    <t>PEMASANGAN KARET STOPPER ALL;
PERBAIKAN SPRING TENGAH KANAN;
PATAH SPRING NO 5 KIRI BELAKANG;
PATAH SPRING NO 3 KANAN BELAKANG;
CEK KAMPAS REM ALL;
STEL REM ALL</t>
  </si>
  <si>
    <t>;;</t>
  </si>
  <si>
    <t>INTERMEDIATE</t>
  </si>
  <si>
    <t>G 530</t>
  </si>
  <si>
    <t>G 532</t>
  </si>
  <si>
    <t>PATAH SLANG ANGiiN TABUNG (POSIlSI PENCUCIAN JALAN BARU)</t>
  </si>
  <si>
    <t>PINTU VESEL BERMASALAH;PATAH SPRING NO. 12 R2 KIRI DEPAN;
PATAH SPRING NO. 8 KIRI BELAKANG;</t>
  </si>
  <si>
    <t>PATAH U BOLT KIRI DEPAN;
LAMPU UTAMA KIRI MATI</t>
  </si>
  <si>
    <t>REPAIR MUFFLER;
SEIN KANAN LEPAS</t>
  </si>
  <si>
    <t>PATAH BAUT RODA TROMOL NO. 6;
REM NO.8 KURANG MENAHAN;
STEL REM GENERAL;</t>
  </si>
  <si>
    <t>PATAH PER NO.2 BELAKANG KIRI;</t>
  </si>
  <si>
    <t>BOCOR BAN NO 3, TAMBAH OLI POWERSTRING;
STEL REM GENERAL;</t>
  </si>
  <si>
    <t>BOCOR BAN NO. 6;
GANTI BAN NO. 3.4; PATAH BAUT RODA F2 TROMOL NO 3;
STEL REM GENERAL</t>
  </si>
  <si>
    <t>PATAH SPRING KIRI BELAKANG NO 1 DAN 3;
CEK KAMPAS REM GENERAL;
STEL REM GENERAL;
PASANG KARET STOPPER SPRING</t>
  </si>
  <si>
    <t>TAMBAH FREON</t>
  </si>
  <si>
    <t>PATAH SPRING NO. 2.3.4.5.6 DEPAN KIRI;
PATAH PER NO.3 DEPAN KIRI;
GANTI KARET STOPER TENGAH;</t>
  </si>
  <si>
    <t>PATAH PER NO. 9 KIRI BELAKANG;
KOPLENG KERAS;
V BELT AC BERMASALAH;</t>
  </si>
  <si>
    <t>CEK PINTU VESSEL; CEK TAILGATE</t>
  </si>
  <si>
    <t>KONEKTOR ANGIN BERMASALAH (BERULANG)</t>
  </si>
  <si>
    <t>BOCOR BAN NO. 8 (KM 6);BOCOR BAN NO. 8; GREASE PELUMASAN</t>
  </si>
  <si>
    <t>GANTI BAN NO. 7.8;INDIKATOR ANGIN EROR;
CENTER BOLT PUTUS BELAKANG KIRI;
KLAKSON MATI;
CEK REM GENERAL;</t>
  </si>
  <si>
    <t>LAS BANCIAN;
PASANG SPRING TAILGATE OTOMATIS (SEBELAH KIRI)</t>
  </si>
  <si>
    <t>LAS MUFFLER;
TAMBAH OLI HUB;</t>
  </si>
  <si>
    <t>BOCOR BAN NO. 9;</t>
  </si>
  <si>
    <t>BOCOR BAN NO. 2 (ARJUNA);GANTI BAN NO 2, DAN 9, GANTI KARET TORQUEROD KANAN</t>
  </si>
  <si>
    <t>TRUNNION PECAH</t>
  </si>
  <si>
    <t>GANTI VELG NO. 12;NAIK PANAS;
TAMBAH OLI HUB;
KENCANGKAN BAUT KARET STOPER;</t>
  </si>
  <si>
    <t>GANTI BAN NO. 11;, LOW POWER;</t>
  </si>
  <si>
    <t>BOCOR BAN NO. 10 (NAKULA);, PATAH BAUT RODA TROMOL NO 7</t>
  </si>
  <si>
    <t>BOCOR BAN NO. 11;</t>
  </si>
  <si>
    <t>TARGET (PENGGANTI UNIT DT 529)</t>
  </si>
  <si>
    <t>TARGET (PENGGANTI UNIT DT 534)</t>
  </si>
  <si>
    <t>TARGET (PENGGANTI UNIT DT 500)</t>
  </si>
  <si>
    <t>HUJAN/JALAN LICIN, ANTRI LOADING POINT CUMA 1</t>
  </si>
  <si>
    <t>BOCOR  BAN 10 (KBM C);</t>
  </si>
  <si>
    <t>PATAH SPRING NO 3 (DEPAN KIRI); KARET STOPPER DEPAN KANAN, HUJAN JALAN LICIN</t>
  </si>
  <si>
    <t>LONGGAR TAILGATE OTOMATIS; DOL BAUT RODA TROMOL NO 7, HUJAN JALAN LICIN</t>
  </si>
  <si>
    <t>REM BERMASALAH;
PATAH BAUT RODA TROMOL NO. 5;</t>
  </si>
  <si>
    <t>U BOLT KIRI BEAKANG PATAH;
GANTI KAMPAS REM TROMOL NO 8;
GANTI KARET STOPPER KIRI DAN KANAN BELAKANG;
PERBAIKAN PENAHAN LUMPUR;
SPAKBOARD KANAN DEPAN BERMASALAH;
STEL REM GENERAL</t>
  </si>
  <si>
    <t>GANTI BAN NO 9&amp;10, PATAH BAUT RODA TROMOL NO 7</t>
  </si>
  <si>
    <t xml:space="preserve">PATAH PER NO 3 BELAKANG KANAN
SERVICE HM 7500
RAPIKAN PER TOMOL NO 4
</t>
  </si>
  <si>
    <t>BRAKET SPRING DEPAN SEBELAH KANAN PATAH
UBOL DEPAN SEBELAH KIRI PATAH
CEK BOUSING TURNIOM KIRI DAN KANAN</t>
  </si>
  <si>
    <t>GANTI BAN NO. 7;</t>
  </si>
  <si>
    <t>SPRING F2 LH NO, 4;
RAPIKAN SPRING F2 RH</t>
  </si>
  <si>
    <t>BOCOR RADIATOR (KM 2, DEKAT PENCUCIAN MES MEIMEI)</t>
  </si>
  <si>
    <t>KABEL LAMPU BELAKANG KANAN PUTUS;
LAMPU DEPAN KIRI MATI;</t>
  </si>
  <si>
    <t>PATAH SPRING NO. 12 R2 KIRI DEPAN; PATAH SPRING NO. 8 KIRI BELAKANG;</t>
  </si>
  <si>
    <t>RETARDER KURANG MENAHAN;
REM NO. 4 BERMASALAH;
SPAKBOARD KIRI KANAN MAU JATUH;</t>
  </si>
  <si>
    <t xml:space="preserve">HUJAN JALAN LICIN, LOADING POINT CUMA 1 </t>
  </si>
  <si>
    <t>JALAN LICIN (UNIT DI BLOK 8)</t>
  </si>
  <si>
    <t>LAMPU REM KIRI MATI;
LAMPU UTAMA KIRI MATI;</t>
  </si>
  <si>
    <t>NAIK PANAS; TAMBAH OLI HUB; KENCANGKAN BAUT KARET STOPER;</t>
  </si>
  <si>
    <t>GANTI KAMPAS REM TROMOL NO 3;
PATAH SPRING NO 4 BELAKANG KANAN;
GANTI KARET STOPPER BUMPER</t>
  </si>
  <si>
    <t>PATAH BAUT RODA TROMOL NO. 5;
LAMPU STOP KANAN MATI;</t>
  </si>
  <si>
    <t>REM TROMOL NO 7 TIDAK BERFUNGSI;
CEK KAMPAS REM GENERAL;
STEL REM GENERAL;
REPAIR MUFFLER</t>
  </si>
  <si>
    <t>BOCOR BAN NO. 3 (KM 5);</t>
  </si>
  <si>
    <t>TAMBAH OLI HUB
CEK KAMPAS REM GENERAL</t>
  </si>
  <si>
    <t>GANTI KAMPAS REM TROMOL NO. 5.6 BAGIAN ATAS;
STEL REM GENERAL;
CENTER BOLT BELAKANG KANAN PATAH;
CEK KAMPAS REM NO. 3,4;</t>
  </si>
  <si>
    <t xml:space="preserve">TORQUE ROD ATAS BAWAH;
CEK ENGINE MOUNTING;
ADJUST REM GENERAL;
</t>
  </si>
  <si>
    <t>LOW POWER (GROUND TEST)</t>
  </si>
  <si>
    <t>PATAH SPRING NO. 9,10,11 BELAKANG KANAN;
LAMP STOP KANAN MATI;
TAMBAH OLI RETARDER;
CEK OLI ENGINE;</t>
  </si>
  <si>
    <t>LAS VESEL;</t>
  </si>
  <si>
    <t>PTO TIDAK BERFUNGSI (STOCKPILE KM 8)</t>
  </si>
  <si>
    <t>TAMBAH OLI RETARDER;
CEK KAMPAS REM GENERAL;
STEL REM GENERAL;</t>
  </si>
  <si>
    <t>TORQUE ROD ATAS LONGGAR;</t>
  </si>
  <si>
    <t>GANTI KARET STOPEER BELAKANG;
TAMBAH OLI HUB;
RAPIKAN SPAKBOARD DEPAN KIRI;
ADJUST REM GENERAL;
KELAKSON TIDAK BUNYI;
ENGINE MOUNTING DEPAN KIRI KALAH;</t>
  </si>
  <si>
    <t>BOCOR BAN NO 10</t>
  </si>
  <si>
    <t>GANTI HEADRAYER;
SPRING F2 RH NO. 4;
LINIG F2 RH LH;
LINING R1 LH;
HUB NO. 4 BOCOR;</t>
  </si>
  <si>
    <t>TIDAK BISA START</t>
  </si>
  <si>
    <t>BOCOR BAN NO. 9 (KM 3);</t>
  </si>
  <si>
    <t>LOADING POINT CUMA 1; HUJAN JALAN LICIN, ANTRI MACET (JALAN BERMASALAH)</t>
  </si>
  <si>
    <t>PATAH CENTER BOLT KIRI BELAKANG;
STEL REM GENERAL;</t>
  </si>
  <si>
    <t>LEPAS BAUT TORQUEROD BELAKANG BAWAH KIRI (LOADING POINT BLOK 8, ARWANA)</t>
  </si>
  <si>
    <t>RETARDER BERMASALAH;
REPAIR SPAKBOARD KIRI KANAN DEPAN;
RAPIKAN PER KIRI DEPAN;</t>
  </si>
  <si>
    <t>SELANG RADIATOR KE  RETARDER BOCOR;
REPAIR SPAKBOARD NO. 3;</t>
  </si>
  <si>
    <t xml:space="preserve">PATAH BAUT RODA TROMOL NO. 8;
OLI POWERSTRING;
</t>
  </si>
  <si>
    <t>DOL BAUT RODA TROMOL NO. 7;
STEL REM GENERAL;</t>
  </si>
  <si>
    <t>REPAIR MUFFLER;
TAMBAH OLI HUB</t>
  </si>
  <si>
    <t>PATAH BAUT RODA TROMOL NO. 7;</t>
  </si>
  <si>
    <t>PATAH CENTER PEN DEPAN F1 NO. 2;</t>
  </si>
  <si>
    <t>PATAH BAUT RODA TROMOL NO. 5;</t>
  </si>
  <si>
    <t>SPRING F2 LH NO, 4; RAPIKAN SPRING F2 RH</t>
  </si>
  <si>
    <t>STEL REM GENERAL; CEK CENTER BOLD KIRI BELAKANG; PATAH SPRING NO 10 KANAN BELAKANG;</t>
  </si>
  <si>
    <t>ANTRI MACET DI PABRIK</t>
  </si>
  <si>
    <t>BOCOR BAN NO. 12;</t>
  </si>
  <si>
    <t>LOW POWER (INDIKATOR IKAN MENYALA);</t>
  </si>
  <si>
    <t>GANTI OLI ENGINE;
SEMPROT SARINGAN UDARA;
LAMPU SEN BELAKANG MATI;
LAMPU PARKIR KANAN MATI;</t>
  </si>
  <si>
    <t>G 507</t>
  </si>
  <si>
    <t>EXHAUST BRAKE BERMASALAH;
BERSIHKAN SARINGAN UDARA;
SERVICE KM 20.000</t>
  </si>
  <si>
    <t>PATAH SPRING NO. 5,4 DEPAN KANAN;</t>
  </si>
  <si>
    <t>GANTI SAMBUNGAN MUFFLER; OLI POWERSTRING MEREMBES, CEK TROMOL NO 6 DAN 8</t>
  </si>
  <si>
    <t>GANTI BAN NO. 11.12;</t>
  </si>
  <si>
    <t>TEST UNIT</t>
  </si>
  <si>
    <t>LEPAS BAUT TORQUEROD (PENURUNAN WORKSHOP 6)</t>
  </si>
  <si>
    <t xml:space="preserve">WIPER BERMASALAH;
STEL REM GENERAL;
</t>
  </si>
  <si>
    <t>PATAH PER NO. 6 BELAKANG KANAN;
LAMPU DEKAT DEPAN MATI;
LAMPU BELAKANG MATI;
LAMPU SEN KIRI BELAKANG MATI;</t>
  </si>
  <si>
    <t>PATAH SPRING TENGAH KANAN NO. 1 ;</t>
  </si>
  <si>
    <t>GEAR 3 BERMASALAH;
HANDBRAKE KURANG MENAHAN</t>
  </si>
  <si>
    <t>BOCOR BAN NO 12, REPAIR MUFFLER</t>
  </si>
  <si>
    <t>PATAH BAUT RODA TROMOL NO 8</t>
  </si>
  <si>
    <t>BOCOR RADIATOR (QMB);
STEL REM GENERAL</t>
  </si>
  <si>
    <t>PECAH VLEG NO. 11;LAS SAFETY TABUNG ANGIN;
KENCANGKAN TAILGATE OTOMATIS;</t>
  </si>
  <si>
    <t>PATAH SPRING DEPAN NO 4 F2 LH TROMOL NO 3;
LINGGAR U BOLT F1 RH;
PATAH CENTER SPRING KANAN BELAKANG</t>
  </si>
  <si>
    <t>PUTUS RANTAI TAILGATE;</t>
  </si>
  <si>
    <t xml:space="preserve">PATAH SPRING NO 5 DEPAN KIRI BAGIAN BELAKANG TENGAH;
CEK ADJUSTER REM NO 4 DAN 7;
</t>
  </si>
  <si>
    <t>BOCOR PIPA RADIATOR ; REPAIR SPAKBOARD NO. 2;</t>
  </si>
  <si>
    <t>SWITCH SUSPENSI CABIN BERMASALAH;
PECAH HUB NO 2;
TAMBAH OLI HUB;
SEMPROT SARINGAN UDARA</t>
  </si>
  <si>
    <t>PATAH SPRING NO. 3 BELAKANG KANAN;
STEL REM GENERAL;</t>
  </si>
  <si>
    <t>BOCOR BAN NO. 10;</t>
  </si>
  <si>
    <t>MELEDAK BAN NO. 6;
BOCOR BAN NO. 4 (WS 6);</t>
  </si>
  <si>
    <t>CEK KLAKSON;
CEK OLI HUB;
CEL AIR COOLER
STEL REM GENERAL;
CEL SPAKBOARD DEPAN KANAN;</t>
  </si>
  <si>
    <t>BUSHING TORQUEROD ATAS DEPAN DAN BELAKANG;
GANTI KARET STOPPER BELAKANG;
CENTER BOLT KIRI BELAKANG PUTUS;
GANTI KAMPAS REM TROMOL NO 8;
INDIKATOR ANGIN ERROR;
RAPIHKAN SPRING TENGAH KIRI</t>
  </si>
  <si>
    <t>PATAH CENTER PEN KIRI BELAKANG;
STEL REM GENERAL;
DOBLE BERAT BERMASALAH;</t>
  </si>
  <si>
    <t>RETARDER KURANG MENAHAN (KERUSAKAN BERULANG);
REPAIR SPLASHBOARD KIRI DEPAN</t>
  </si>
  <si>
    <t>PATAH CENTER PEN BELAKANG KANAN;
STEL REM GENERA;</t>
  </si>
  <si>
    <t>BOCOR BAN NO. 6 (KM 10);, PATAH BAUT RODA TROMOL NO 5</t>
  </si>
  <si>
    <t xml:space="preserve">BOCOR BAN NO 7, GANTI BAUT RODA TROMOL NO 5 </t>
  </si>
  <si>
    <t>BOCOR BAN NO, 10 (POSISI BPR);CEK UBOLT BELAKANG KANAN;
SIL RODA HOSE 7 BOCOR;</t>
  </si>
  <si>
    <t>TAMBAH AIR RADIATOR;</t>
  </si>
  <si>
    <t xml:space="preserve">BOCOR BAN NO 9 </t>
  </si>
  <si>
    <t>PTO TIDAK BERFUNGSI (STOCKPILE);
RETARDER KURANG MENAHAN;</t>
  </si>
  <si>
    <t>BOCOR BAN NO. 5;</t>
  </si>
  <si>
    <t>HUJAN JALAN LICIN, ISTIRAHAT SHOLAT JUMAT, SAMPLE TIMBANGAN TUTUP JAM 11:00 BUKA JAM 13:00</t>
  </si>
  <si>
    <t>HUJAN JALAN LICIN, ISTIRAHAT SHOLAT JUMAT, SAMPLE TIMBANGAN TUTUP JAM 11:00 BUKA JAM 13:01</t>
  </si>
  <si>
    <t>HUJAN JALAN LICIN, ISTIRAHAT SHOLAT JUMAT, SAMPLE TIMBANGAN TUTUP JAM 11:00 BUKA JAM 13:02</t>
  </si>
  <si>
    <t>ISTIRAHAT SHOLAT JUMAT, SAMPLE TIMBANGAN TUTUP JAM 11:00 BUKA JAM 13:01</t>
  </si>
  <si>
    <t>ISTIRAHAT SHOLAT JUMAT, SAMPLE TIMBANGAN TUTUP JAM 11:00 BUKA JAM 13:02</t>
  </si>
  <si>
    <t>ISTIRAHAT SHOLAT JUMAT, SAMPLE TIMBANGAN TUTUP JAM 11:00 BUKA JAM 13:03</t>
  </si>
  <si>
    <t>ISTIRAHAT SHOLAT JUMAT, SAMPLE TIMBANGAN TUTUP JAM 11:00 BUKA JAM 13:04</t>
  </si>
  <si>
    <t>GANTI NIPPLE;
BERSIHKAN SARINGAN UDARA;
TAMBAH OLI RETARDER</t>
  </si>
  <si>
    <t>BOCOR BAN NO 8</t>
  </si>
  <si>
    <t>BOCOR BAN NO. 5;PATAH BAUT RODA TROMOL NO. 5;</t>
  </si>
  <si>
    <t xml:space="preserve">PATAH SPRING NO 7 KIRI TENGAH;
DUMP LAMBAT TURUN </t>
  </si>
  <si>
    <t>PATAH PER NO. 1 TROMOL NO,.4;
LAMPU BELAKANG KANAN KIRI MATI;</t>
  </si>
  <si>
    <t>BOCOR BAN NO.3 (QMB);,,TAMBAH AIR RADIATOR;
LAMPU STOP BELAKANG MATI;</t>
  </si>
  <si>
    <t>GANTI VLEG NO. 5,6,8;</t>
  </si>
  <si>
    <t>GANTI KAMPAS REM NO.7.8;
GANTI KARET STOPER BELAKANG KIRI KANAN;
LONNGAR U BOLT TROMOL NO. 4;
RAPIKAN  PER TROMOL NO. 4;</t>
  </si>
  <si>
    <t>KLAKSON MATI</t>
  </si>
  <si>
    <t>PUTUS RANTAI TAILGATE (KERUSAKAN BERULANG);</t>
  </si>
  <si>
    <t>RAPIHKAN SPRING F1 RH LH
RAPIHKAN SPRING F2 LH RH
LAMPU STOP MATI KIRI KANAN
PATAH SPRING NO 1 BELAKANG KANAN</t>
  </si>
  <si>
    <t>CENTER BOLT KANAN BELAKANG PATAH</t>
  </si>
  <si>
    <t>LAS BANCIAN;
LAS SPAKBOARD</t>
  </si>
  <si>
    <t>PEN BANCIAN KANAN PUTUS;
PERBAIKAN TAILGATE MANUAL</t>
  </si>
  <si>
    <t>PERBAIKAN SPAKBOARD DEPAN KIRI KANAN;</t>
  </si>
  <si>
    <t>CHAMBER NO. 7 BOCOR;</t>
  </si>
  <si>
    <t>PROPELLER JATUH (NAKULA);
BUSHING TORQUEROD DEPAN BELAKANG BERMASALAH;
GANTI KARET STOPPER;
KENCANGKAN BAUT TORQUEROD ATAS;
BAUT PROPELLER DOL (BAGIAN DEPAN)</t>
  </si>
  <si>
    <t xml:space="preserve">GANTI KARET STOPPER SEMUA;
</t>
  </si>
  <si>
    <t>PTO TIDAK BERFUNGSI</t>
  </si>
  <si>
    <t>PATAH CENTER BOLT KIRI BELAKANG;
SPAKBOARD KIRI DEPAN;
PATAH BAUT RODA TROMOL NO. 8;</t>
  </si>
  <si>
    <t>SELANG ANGIN BOCOR (ANGIN HABIS, SIMPANG KBM)</t>
  </si>
  <si>
    <t>PATAH BAUT RODA TROMOL NO. 8;
STEL REM GENERAL;</t>
  </si>
  <si>
    <t>BOCOR BAN NO. 6 (KM 16)</t>
  </si>
  <si>
    <t>LOADING POINT CUMA 1; ANTRI/MACET DI STOCKPILE</t>
  </si>
  <si>
    <t>ZZ</t>
  </si>
  <si>
    <t>TIDAK BISA STATER;
TAMBAH AIR AKI;
TAMBAH AIR RADIATOR;
KARET STOPER SEBELAH KANAN;</t>
  </si>
  <si>
    <t>LAS TANKI FUEL;
LAS KUPU-KUPU DUMP</t>
  </si>
  <si>
    <t>PATAH BAUT RODA TROMOL NO. 6;</t>
  </si>
  <si>
    <t>MELEDAK BAN NO. 7;</t>
  </si>
  <si>
    <t>HIGH AND LOW BERMASALAH (BLOK 5);</t>
  </si>
  <si>
    <t>CEK PINTU VESSEL DAN TAILGATE MANUAL</t>
  </si>
  <si>
    <t>GANTI KAMPAS REM TROMOL NO 1,2,3 DAN 7;
TAMBAH OLI HUB;
STEL REM GENERAL</t>
  </si>
  <si>
    <t>AC BERMASALAH;
KOPLING BERMASALAH (KERAS)</t>
  </si>
  <si>
    <t>PATAH CENTER PEN KIRI BELAKANG;
GANTI SEAT SPRING KIRI KANAN BELAKANG;
LAMPU SEN MATI KIRI BELAKANG;
REPAIR SPAKBOARD KIRI DEPAN;</t>
  </si>
  <si>
    <t>PATAH SPRING KIRI BELAKANG NO. 10;</t>
  </si>
  <si>
    <t>PATAH SPRING NO. 1,3,7,10,13;
SENSOR ANGIN BERMASALAH;</t>
  </si>
  <si>
    <t>PATAH CENTER BOLT BELAKANG KIRI (KERUSAKAN BERULANG);
TAMBAH OLI HYDRAULIK DUMP;
CEK AIR ACCU;
CEK BANTALAN PIPI SPRING;
CEK BUSHING TRUNNION;</t>
  </si>
  <si>
    <t>PECAH VLEG NO. 7</t>
  </si>
  <si>
    <t>ANTRI/MACET DI PABRIK (PENCUCIAN CUMA 1)</t>
  </si>
  <si>
    <t>CEK BANCIAN (UNIT PENGGANTI LIST DT 511)</t>
  </si>
  <si>
    <t>GANTI VELG NO 5 (RETAK) (UNIT PENGGANTI DT 535)</t>
  </si>
  <si>
    <t>CEK TAILGATE MANUAL</t>
  </si>
  <si>
    <t>PERBAIKAN TAILGATE OTOMATIS</t>
  </si>
  <si>
    <t>SERVICE HM ;
CEK KAMPAS REM, NO. 6;
STEL REM GENERAL;</t>
  </si>
  <si>
    <t>PATAH BAUT RODA TROMOL NO 6  8
REM NO 2 4 TIDAK MENAHAN</t>
  </si>
  <si>
    <t xml:space="preserve">PATAH BAUT RODA TOMOL NO. 5;
GANTI KAMPAS REM NO. 7.8;
</t>
  </si>
  <si>
    <t xml:space="preserve">PATAH PER NO. 4 DEPAN TROMOL NO. 4;
RAPIKAN PER TROMOL NO. 3;
</t>
  </si>
  <si>
    <t>SERVICE HM 5500;
CEK SARINGAN UDARA</t>
  </si>
  <si>
    <t>PATAH BAUT RODA TROMOL NO 5 DAN 7, CEK KAMPAS REM GENERAL</t>
  </si>
  <si>
    <t>REM TROMOL NO. 2.4 TIDAK MENAHAN;
GANTI KAMPAS REM TROMOL NO. 6;
AC BERMASALAH;
PATAH CENTER PEN BELAKANG KIRI;
STEL REM GENERAL;</t>
  </si>
  <si>
    <t>BOCOR BAN NO. 7 (CBB)</t>
  </si>
  <si>
    <t>LONGGAR BAUT U BOLT (KM 10, PENGIISIAN FUEL)</t>
  </si>
  <si>
    <t>CEK MOUNTING ENGING;
INTERCOOLER BERMASALAH (LOADING POINT, ARAWANA 1)</t>
  </si>
  <si>
    <t>PATAH CENTER BOLT BELAKANG KANAN;
TAMBAH OLI HUB TROMOL NO. 2,4;
TAMBAH AIR RADIATOR;
STEL REM GENERAL;</t>
  </si>
  <si>
    <t>CELM MUFFLER JATUH;
PATAH BAUT RODA TROMOL NO. 5</t>
  </si>
  <si>
    <t>ANGIN ERROR (KLAKSON BUNYI TERUS) BLOK 8);
LAMPU UTAMA KANAN MATI;
SELANG ANGIN BOCOR;
PASANG KLAKSON</t>
  </si>
  <si>
    <t>TAMBAH OLI RETRADER;
STEL REM GENERAL;
SERVICE KM</t>
  </si>
  <si>
    <t>PATAH BAUT RODA TROMOL NO 8;
GANTI KAMPAS REM TROMOL NO 5, DAN 6;
TAMBAH OLI HUB;
GANTI KARET STOPER</t>
  </si>
  <si>
    <t xml:space="preserve">BOCOR BAN NO. 9.10 (KM 10);PATAH BAUT RODA TROMOL NO 6, DAN 7 </t>
  </si>
  <si>
    <t>TAMBAH OLI RETARDER;
GANTI NEPEL;</t>
  </si>
  <si>
    <t>TAMBAH OLI HUB NO 2,3, DAN 4;
PATAH BAUT RODA TROMOL NO 8</t>
  </si>
  <si>
    <t>BOCOR HIDROLIK HOSE DUMP
INTARDER KURANG MENAHAN
TAMBAH OLI HUB TROMOL NO 3&amp;4
SETEL REM GENERAL</t>
  </si>
  <si>
    <t>BOCOR HUB;</t>
  </si>
  <si>
    <t>TAMBAH FREON, BOCOR BAN NO. 10;</t>
  </si>
  <si>
    <t>PATAH SPRING NO. 1.2 KANAN TENGAH;</t>
  </si>
  <si>
    <t>TAMBAH OLI RETARDER;
CEK REM GENERAL;
STEL REM GENERAL;
DOL BAUT RODA TROMOL NO. 8;</t>
  </si>
  <si>
    <t>TANBAH OLI RETARDER;
CEK KAMPAS GENERAL;
STEL REM GENERAL;</t>
  </si>
  <si>
    <t>ANTRI LOADING DI STOCKPILE</t>
  </si>
  <si>
    <t>BOCOR BAN NO. 6;</t>
  </si>
  <si>
    <t>SENSOR ANGIN BERMASALAH;
KENCANGKAN BAUT RODA TROMOL NO 6;
STEL REM GENERAL</t>
  </si>
  <si>
    <t>WIPER BERMASALAH</t>
  </si>
  <si>
    <t>BOCOR MUFFLER;</t>
  </si>
  <si>
    <t>CEK KAMPAS REM ;
TAMBAH OLI RETARDER</t>
  </si>
  <si>
    <t>U BOLT KIRI DEPAN BERMASALAH;
RAPIHKAN SPRING;
GANTI KARET STOPPER BELAKANG;
PINTU CABIN KANAN BERMASALAH;
KANCINGAN CABIN BERMASALAH</t>
  </si>
  <si>
    <t>CEK MOUNTING ENGINE;
CEK MOUNTING TRANSMISI;
ADA SENTAKAN KETIKA MENDAKI;
SENSOR ANGIN BERMASALAH</t>
  </si>
  <si>
    <t>TAMBAH FREON;</t>
  </si>
  <si>
    <t>ADA KEBOCORAN AIR RADIATOR KLEM HOSE BAGIAN KANAN;
INDIKATOR DIFFLOCK SERING BUNYI TIBA-TIBA (DIFFLOCK BERMASALAH);
CEK KAMPAS REM NO 1 DAN 2;
STEL REM GENERAL</t>
  </si>
  <si>
    <t>BOCOR BAN NO. 8;</t>
  </si>
  <si>
    <t>U BOLT LONGGAR DEPAN KIRI KANAN (KM 2);
PATAH SPRING KIRI BELAKANG NO 8;
PATAH SPRING KANA BELAKANG NO 8</t>
  </si>
  <si>
    <t>PATAH BAUT RODA TROMOL NO, 6;BOCOR BAN NO 11
TAMABAH ANGIN BAN NO 12</t>
  </si>
  <si>
    <t>BOCOR BAN NO, 5;</t>
  </si>
  <si>
    <t>BOCOR BAN NO. 7;DOL BAUT RODA TROMOL NO. 6;</t>
  </si>
  <si>
    <t>PATAH CENTER BOLT KANAN DEPAN;
TAMBAH OLI HUB</t>
  </si>
  <si>
    <t>KALAU INJAK REM ANGIN TEKOR;
SPLITTER TIDAK BERFUNGSI</t>
  </si>
  <si>
    <t>STEL REM GENERAL;
KLAKSON MATI</t>
  </si>
  <si>
    <t xml:space="preserve">BOCOR BAN NO. 9 </t>
  </si>
  <si>
    <t xml:space="preserve">PATAH BAUT RODA TROMOL NO 6;
CEK KAMPAS REM TROMOL NO 8;
STEL REM GENERAL;
</t>
  </si>
  <si>
    <t>LAS PINTU VESAL</t>
  </si>
  <si>
    <t xml:space="preserve">U BOLT KIRI PATAH;
U BOLT KANAN LONGGAR;
</t>
  </si>
  <si>
    <t>INDIKATOR DIFFLOCK MENYALA;
BERSIHKAN SARINGAN UDARA</t>
  </si>
  <si>
    <t xml:space="preserve">SAFETY TANKI HIDROLIK LONGGAR
CLAM HOSE REDIATOR BAWAH BOCOR
TAMABAH OLI RETARDER
</t>
  </si>
  <si>
    <t>PERBAIKI RANTE TALGET OTOMATIS</t>
  </si>
  <si>
    <t>ANTRI/ MACET DI LOADING POINT (ALAT CUMA 1))</t>
  </si>
  <si>
    <t xml:space="preserve">HUJAN JALAN LICIN, </t>
  </si>
  <si>
    <t>ANTRI/ MACET DI PABRIK (LINE 18)</t>
  </si>
  <si>
    <t>PATAH SPRING DEPAN KANAN NO 2&amp;3 (KM 19, KBM)</t>
  </si>
  <si>
    <t>C  375</t>
  </si>
  <si>
    <t>G 513</t>
  </si>
  <si>
    <t>REM BERMASALAH;</t>
  </si>
  <si>
    <t>KENCANGKAN TAILGATE OTOMATIS;</t>
  </si>
  <si>
    <t>CEK HOSE TURBO
CEK SARINGAN UDARA</t>
  </si>
  <si>
    <t>MEREMBES OLI HUB BELAKANG (KM 10)</t>
  </si>
  <si>
    <t>PECAH VELG NO 10 (KM 11)</t>
  </si>
  <si>
    <t>PINTU KIRI BERMASALAH;</t>
  </si>
  <si>
    <t>PATAH BAUT RODA TROMOL NO 5</t>
  </si>
  <si>
    <t>VALET ANGIN BOCOR;</t>
  </si>
  <si>
    <t>BOCOR BAN NO. 6 ;
GANTI BAN NO. 7;PATAH BAUT RODA TROMOL NO. 5;</t>
  </si>
  <si>
    <t>GANTI SPAKBOARD KIRI DEPAN</t>
  </si>
  <si>
    <t>BOCOR BAN NO 6, GANTI KARET TOQRUEROD BAWAH KIRI KANAN
SPAKBOARD KIRI DEPAN
LAMPU DEPAN KANAN MATI</t>
  </si>
  <si>
    <t>PATAH U BOLT KANAN DEPAN\;
REM NO. 4.7 KURANG MENAHAN;</t>
  </si>
  <si>
    <t>PATAH BAUT RODA TROMOL NO. 6;
ADJUTS REM GENERAL;</t>
  </si>
  <si>
    <t>BOCOR BAN NO. 3 (LOADING POINT NAKULA;</t>
  </si>
  <si>
    <t>LAS TAIL GATE MANUAL</t>
  </si>
  <si>
    <t>PATAH CENTER PEN KANAN PATAH;
KOPLENG KERAS;
CEK CENTER PEN KIRI;</t>
  </si>
  <si>
    <t xml:space="preserve">REPAIR SPAKBOARD KIRI DEPAN;
REM NO. 3.4,6 TIDAK BERFUNGSI;
</t>
  </si>
  <si>
    <t>GANTI KAMPAS REM TROMOL NO 5&amp;6
TAMBAH OLI HUB GENERAL
SPAKBOARD KIRI DEPAN LEPAS
LOW POWER /ASAP PUTIH</t>
  </si>
  <si>
    <t>BOCOR BAN NO. 9</t>
  </si>
  <si>
    <t>BOCOR BAN NO. 9, INTARDER BERMASALAH</t>
  </si>
  <si>
    <t>PATAH SPRING BELAKANG KANAN NO. 2;
LAMPU SEN BELAKANG MATI;</t>
  </si>
  <si>
    <t>PATAH PER NO. 7.8;
TAMBAH OLI HUB;</t>
  </si>
  <si>
    <t>STEL TIE ROD F1 F2;
KLAKSON MATI;
SERVICE HM;</t>
  </si>
  <si>
    <t>BAUT STABILIZER LEPAS;
PINTU CABIN KANAN (BERMASALAH)</t>
  </si>
  <si>
    <t>SPRING TERHAMBUR PATAH  CENTER OLT (KM 2, MES MEY MEY)</t>
  </si>
  <si>
    <t>U BOLT F2 LONGGAR;
CEK TIEROD ALL;
CEK KAMPAS REM GENERAL;
STEL REM GENERAL</t>
  </si>
  <si>
    <t>PINTU VESEL</t>
  </si>
  <si>
    <t>BOCOR BAN NO. 10 (TIMBANGAN TENGKORAK)</t>
  </si>
  <si>
    <t xml:space="preserve">LAMPU UTAMA KANAN MATI;
STEL REM GENERAL
</t>
  </si>
  <si>
    <t>KONENTOR ANGIN BERMASALAH;
KARET STOPPER KIRI DAN KANAN DEPAN;
KLAKSON MATI</t>
  </si>
  <si>
    <t>PERBAIKAN TAILGATE MANUAL KANAN;</t>
  </si>
  <si>
    <t>SENSOR ANGIN BERMASALAH;</t>
  </si>
  <si>
    <t>LAS PINTU VESAL, BOCOR BAN NO. 9 (WS 6);</t>
  </si>
  <si>
    <t>TEST UNIT, TAMBAH FREON</t>
  </si>
  <si>
    <t>NAMA</t>
  </si>
  <si>
    <t>NO</t>
  </si>
  <si>
    <t>KETERANGAN</t>
  </si>
  <si>
    <t>DENI PENGKE</t>
  </si>
  <si>
    <t>AKTIF</t>
  </si>
  <si>
    <t>RESIGN (PERGANTIAN)</t>
  </si>
  <si>
    <t>CREW KENDARAAN/PEMBERSIH ORE DI PENCUCIAN (KM 2) SEBELUM MASUK PABRIK</t>
  </si>
  <si>
    <t>TUGAS UTAMA</t>
  </si>
  <si>
    <t>Membersihkan Ore di Dump pada unit DT (Dump Truck) Hauling, sebelum memasuki pabrik</t>
  </si>
  <si>
    <t>Crew yang saat ini resign, dan membutuhkan pergantian</t>
  </si>
  <si>
    <t>Crew yang bekerja saat ini</t>
  </si>
  <si>
    <t>LOKASI PENEMPATAN (LOKASI KERJA)</t>
  </si>
  <si>
    <t>KM 2 (Pencucian BDM sebelum masuk ke area Pabrik)</t>
  </si>
  <si>
    <t>JUMLAH KEBUTUHAN</t>
  </si>
  <si>
    <t>CREW = 3 Orang</t>
  </si>
  <si>
    <t>1 Orang</t>
  </si>
  <si>
    <t>2 Orang</t>
  </si>
  <si>
    <t>LOKASI</t>
  </si>
  <si>
    <t>KEKURANGAN CREW</t>
  </si>
  <si>
    <t>JUMLAH CREW AKTUAL</t>
  </si>
  <si>
    <t>TUGAS</t>
  </si>
  <si>
    <t>TEKOR ANGIN;
PERBAIKAN SPAKBOARD DEPAN KANAN</t>
  </si>
  <si>
    <t>KONEKTOR ANGIN BERMASALAH</t>
  </si>
  <si>
    <t>PATAH BAUT RODA TROMOL NO. 8;
CEK TORQUE ROD GENERAL;</t>
  </si>
  <si>
    <t>LOW POWER;
CEK KAMPAS NO. 7;
TORQUE ROD BAWAH KANAN BELAKANG</t>
  </si>
  <si>
    <t>BOCOR BAN NO. 8 (KM 21), SEAL RODA MEREMBES DI  7 DAN 8;</t>
  </si>
  <si>
    <t>BOCOR BAN NO,. 1(KM 8)</t>
  </si>
  <si>
    <t>GANTI KAMPAS NO. 3;
LAMPU SEN KIRI BELAKANG MATI;
CEK KAMPAS GENERAL;
STEL REM GENERAL</t>
  </si>
  <si>
    <t>BOCOR BAN NO. 10 (SIMPANG NAKULA)</t>
  </si>
  <si>
    <t>BOCOR BAN NO. 1 (KM 8)</t>
  </si>
  <si>
    <t>CEK KANCINGAN MANUAL</t>
  </si>
  <si>
    <t>ANTRI/MACET DI LOADING POINT (LOADING POINT CUMA 1)</t>
  </si>
  <si>
    <t>CEK ENGINE MOUNTING;\
CEK CENTER PEN DEPAN KIRI;
CEK KAMPAS REM GENERAL;
STEL REM  GENERAL;</t>
  </si>
  <si>
    <t>BOCOR PIPA NOSSEL (WS 6 BELOK KANAN)</t>
  </si>
  <si>
    <t>MELEDAK BAN NO. 4 (QMB)</t>
  </si>
  <si>
    <t>PATAH BAUT RODA TROMOL NO 8
TAMBAH FREON AC</t>
  </si>
  <si>
    <t xml:space="preserve">REPIAR PINTU KIRI;
DOBLE BERAT BERMASALAH
</t>
  </si>
  <si>
    <t>ADA REMBESAN OLI;
SELANG ANGIN BOCOR;
STOPPER TENGAH  KIRI DAN KANAN;</t>
  </si>
  <si>
    <t>RAPIKAN SPRING DEPAN F1 F2;</t>
  </si>
  <si>
    <t xml:space="preserve">STEL REM GENERAL;
DIFFLOCK BERMASALAH </t>
  </si>
  <si>
    <t>LONGGAR BAUT U BOLT DEPAN KIRI;</t>
  </si>
  <si>
    <t>BOCOR BAN NO 9;
GANTI BAN NO 1 DAN 2</t>
  </si>
  <si>
    <t>G  525</t>
  </si>
  <si>
    <t>BAUT LAPISAN CHASSIS KIRI DAN KANAN BERMASALAH (LONGGAR);
BERSIHKAN AIR CLEANER;
TAMBAH OLI RETARDER</t>
  </si>
  <si>
    <t xml:space="preserve">PATAH BAUT RODA TROMOL NO 6, GANTIVELG </t>
  </si>
  <si>
    <t>PECAH VLEG NO. 6  CEK TROMOL NO.,5;
KARET STOPER BELAKANG KANAN</t>
  </si>
  <si>
    <t>CEK TROMOL NO.,5;
KARET STOPER BELAKANG KANAN</t>
  </si>
  <si>
    <t>PATAH SPRING NO 7;
TAMBAH OLI RETARDER;
CEK KAMPAS REM GENERAL;
STEL REM GENERAL;
CEK TORQUEROD ATAS DAN BAWAH</t>
  </si>
  <si>
    <t>STEL REM GENERAL;</t>
  </si>
  <si>
    <t>BOCOR BAN NO 9 DAN 10</t>
  </si>
  <si>
    <t>BOCOR BAN NO. 3;</t>
  </si>
  <si>
    <t>KANCING BAUT TORQUEROD BELAKANG KIRI, KANAN DAN ATAS;
KLEM HOSE RADIATOR BAWAH</t>
  </si>
  <si>
    <t>HUJAN JALAN LICIN, ANTRI MACET DI PABRIK (LINE 13)</t>
  </si>
  <si>
    <t>KM 2 (Pencucian BDM sebelum masuk ke area Pabrik), dan Pengganti Checker haulling</t>
  </si>
  <si>
    <t>Untuk penambahan Crew yang bertugas di lokasi KM 2, dan pengganti/backup apabila ada crew/checker hauling yang tidak bisa hadir</t>
  </si>
  <si>
    <t>Membersihkan Ore di Dump pada unit DT (Dump Truck) Hauling, sebelum memasuki pabrik, dan pengganti checker hauling</t>
  </si>
  <si>
    <t xml:space="preserve">PENAMBAHAN CREW BARU </t>
  </si>
  <si>
    <t>3 Orang</t>
  </si>
  <si>
    <t>CREW/CHECKER = 1 Orang</t>
  </si>
  <si>
    <t>1. Mencatat jumlah Unit aktual yang keluar hauling dan 
   mencatat jam keluar dan masuknya
   (Apabila chceker bertugas di Pos)                                                                 
2. Mencatat Ritase aktual DT yang hauling dan jam Ketika 
   memasuki timbangan</t>
  </si>
  <si>
    <t>1. Pos Security (camp SA) 
2. Sample KM 10 (Mencatat unit
   Rental dan Kontrak)
3. Sample KM 5 (Mencatat unit
   Feeding dan KBM/APP)</t>
  </si>
  <si>
    <t>1. Pos Security (camp SA) 
2. Sample KM 10 (Mencatat unit
   Rental dan Kontrak)
3. Sample KM 5 (Mencatat unit
   Feeding dan KBM/APP)
4. KM 2 (Pencucian BDM sebelum 
   masuk ke area Pabrik)</t>
  </si>
  <si>
    <t>Membantu membersihkan Ore di Dump pada unit DT (Dump Truck) Hauling, sebelum memasuki pabrik dan pengganti/backup apabila ada crew/checker hauling yang tidak bisa hadir</t>
  </si>
  <si>
    <t>JUMLAH KEBUTUHAN CREW DAN CHECKER</t>
  </si>
  <si>
    <t>JUMLAH CREW DAN CHECKER AKTUAL</t>
  </si>
  <si>
    <t>KEKURANGAN CREW DAN CHECKER</t>
  </si>
  <si>
    <r>
      <t xml:space="preserve">CREW = 2 Orang
1. Deni Pengke (Aktif)
</t>
    </r>
    <r>
      <rPr>
        <sz val="11"/>
        <color rgb="FFFF0000"/>
        <rFont val="Calibri"/>
        <family val="2"/>
        <scheme val="minor"/>
      </rPr>
      <t>2. Moh. Riski L (resign)</t>
    </r>
  </si>
  <si>
    <t>CHECKER = 3 ORANG
1. Duar Kaswandar (Aktif)
2. Agus Mulyadi (Aktif)
3. Jabal (Aktif)</t>
  </si>
  <si>
    <t>KACA PINTU KIRI (TIDAK BISA NAIK)</t>
  </si>
  <si>
    <t>TEST UNIT (GROUND TEST)</t>
  </si>
  <si>
    <t>GANTI BAN NO 3 DAN 8, SERVICE KM 8000</t>
  </si>
  <si>
    <t>MELEDAK BAN NO. 2 (TAHAP 5)</t>
  </si>
  <si>
    <t>BAUT RODA TROMOL NO. 5 HILANG;
TAMBAH OLI RETARDER;
STEL REM GENERAL;</t>
  </si>
  <si>
    <t>BOCOR BAN NON 7, LAS SPAKBOARD</t>
  </si>
  <si>
    <t>KENCANGKAN RANTAI TAILGATE OTOMATIS</t>
  </si>
  <si>
    <t>STEL REM GENERAL;
BERSIHKAN SARINGAN UDARA;
LAMPU BELAKANG KANAN MATI</t>
  </si>
  <si>
    <t>STEL REM GENERAL;
TAMBAH OLI RETARDER</t>
  </si>
  <si>
    <t>PATAH SPRING NO 6 BELAKANG KANAN
SETEL REM GENERAL</t>
  </si>
  <si>
    <t>REM BERMASALAH;
SERVICE HM;
LAMPU UTAMA KIRI MATI</t>
  </si>
  <si>
    <t>CENTER BOLT PATAH SEBELAH KANAN BELAKANG
SPRING NO 9 KANAN BELAKANG PATAH
CEK DAN GANTI STOPPER BEMPER ALL</t>
  </si>
  <si>
    <t>REM BERMASALAH NO. 5.7.8;
STEL TIE ROD BAN NO. 3.4;
STEL REM GENERAL;
V BELT AC BERMSALAH;</t>
  </si>
  <si>
    <t>DUMP BERMASALAH;
TAMBAH OLI HUB;
ORDER AIR RADIATOR;
PATAH SENTER PEN KANAN BELAKANG;
LONGGAR U BOLT KIRI BELAKANG;
COVER KAP DEPAN BERMASALAH;</t>
  </si>
  <si>
    <t>BOCOR BAN NO. 8 (TIMBANGAN TENGKORAK)</t>
  </si>
  <si>
    <t>GANTI BAN NO. 9, BOCOR BAN NO. 10</t>
  </si>
  <si>
    <t>BOCOR SELANG ANGIN TABUNG SEBELAH KANAN</t>
  </si>
  <si>
    <t>TAMBAH ANGIN NO. 10</t>
  </si>
  <si>
    <t>GANTI BALON BOHLAM LAMPU UTAMA KIRI
GANTI LAMPU UTAMA SEIN KIRI DEPAN
PERBAIKAN COVER DEPAN KIRI</t>
  </si>
  <si>
    <t>PATAH BAUT RODA TROMOL NO. 6;
STEL REM GENERAL;</t>
  </si>
  <si>
    <t>DUDUKAN TAILGATE OTOMATIS KANAN PATAH (TAILGATE TIDAK BERFUNGSI)</t>
  </si>
  <si>
    <t>REM TIDAK MENAHAN;
HUB NO. 2.4 MEREMBES</t>
  </si>
  <si>
    <t>BAUT BEHEL DEPAN (U BOLT)</t>
  </si>
  <si>
    <t>ANGIN BERMASALAH</t>
  </si>
  <si>
    <t>PATAH SPRING NO. 1.6;
INDIKATOR DOBLE BERAT SERING NYALA;</t>
  </si>
  <si>
    <t>RANTAI TAILGATE LONGGAR;
CEK KAMPAS KAMPAS REM;
GANTI KAMPAS NO. 3.5.78</t>
  </si>
  <si>
    <t>PATAH SPRING F2 KANAN NO 1
GANTI KAMPAS REM TROMOL NO 4,5,7,8
INTARDER KURANG MENAHAN
TAMBAH OLI HUB
REM  NO. 1.2 RENGANG;
CEK KAMPAS GENERAL</t>
  </si>
  <si>
    <t>PATAH PER NO. 1 DEPAN KANAN;
KARET TORQUE ROD ATAS;
REM NI. 4 BERMASALAH;
KARET STOPER BELAKANG</t>
  </si>
  <si>
    <t>GANTI BAN NO. 6;</t>
  </si>
  <si>
    <t>BOCOR BAN NO 12, PATAH BAUT RODA TROMOL NO. 8;</t>
  </si>
  <si>
    <t>HUJAN JALAN LICIN, MACET/ANTRI DI PABRIK (LINE 13),ISTIRAHAT SHOLAT JUMAT, SAMPLE TIMBANGAN TUTUP JAM 11:00 BUKA JAM 13:00</t>
  </si>
  <si>
    <t>TEKOR ANGIN;</t>
  </si>
  <si>
    <t>PATAH PER NO. 1 BELAKANG KANAN;
LAMPU SEN BELAKANG KIRI MATI</t>
  </si>
  <si>
    <t>CEK TORQUE ROD ATAS BAWAH BELAKANG;
KENCANGKAN U BOLT KIRI KANAN BELAKANG;
SHOCK  ABSORBER KIRI TROMOL NO. 3</t>
  </si>
  <si>
    <t>GANTI BAN NO 5 DAN 6, LONGGAR BAUT RODA (KM 10)</t>
  </si>
  <si>
    <t>BOCOR BAN NO 8 (PUNCAK SBALER)</t>
  </si>
  <si>
    <t>UNIT BD DIAJALAN</t>
  </si>
  <si>
    <t>BOCOR BAN NO. 7 (KM 11)</t>
  </si>
  <si>
    <t>LEPAS SELANG RADIATOR (GUNUNG MENANGIS)</t>
  </si>
  <si>
    <t>PECAH VLEG NO. 5</t>
  </si>
  <si>
    <t xml:space="preserve">KONSTLETING ELECTRICAL;
</t>
  </si>
  <si>
    <t>GANTI BAN NO 9,10,11, DAN 12</t>
  </si>
  <si>
    <t>PATAH SPRING NO 2 DAN 8 KANAN BELAKANG</t>
  </si>
  <si>
    <t>RETARDER HILANG-HILANG</t>
  </si>
  <si>
    <t>PATAH PER NO. 6 BELAKANG KIRI;
SERVICE HM</t>
  </si>
  <si>
    <t>STEL REM GENERAL;
CEK OLI HUB</t>
  </si>
  <si>
    <t>PATAH BAUT RODA TROMOL NO. 5;
RAPIKAN SPRING F2 KANAN</t>
  </si>
  <si>
    <t xml:space="preserve">KLAKSON BERMASALAH;
CEK FANBELT;
</t>
  </si>
  <si>
    <t>SELANG KONEKTOR ANGIN LEPAS (PENCUCIAN QMB)</t>
  </si>
  <si>
    <t>PATAH U BOLT DEPAN KIRI</t>
  </si>
  <si>
    <t>ANGIN BERMASALAH (LOADING POINT BLOK 8 NAKULA)</t>
  </si>
  <si>
    <t>TAMBAH OLI RETARDER;
TAMBAH AIR RADIATOR;
CEK OLI ENGINE;
KERASKAN  BAUT CHASSIS</t>
  </si>
  <si>
    <t>BOCOR BAN NO. 2 (KM 22)</t>
  </si>
  <si>
    <t>PIPA POWER STEARING BOCOR;
GANTI KARET STOPPER BELAKANG KIRI DAN KANAN;
CEK KAMPAS REM NO 3 DAN 4;
BAUT RADIATOR BAGIAN ATAS LONGGAR</t>
  </si>
  <si>
    <t>GANTI KAMPAS REM TROMOL NO 5;
LAMPU STOP KANAN;
GANTI KARET STOPPER</t>
  </si>
  <si>
    <t xml:space="preserve">TAMBAH OLI RETARDER;
GANTI KARET STOPER BELAKANG KANAN;
</t>
  </si>
  <si>
    <t>BOCOR BAN NO. 11 (BLOK 8 NAKULA)</t>
  </si>
  <si>
    <t>PATAH PER NO. 1 BELAKANG KANAN; LAMPU SEN BELAKANG KIRI MATI</t>
  </si>
  <si>
    <t>PATAH SPRING NO 10 BELAKANG KIRI;
RANTAI TAILGATE OTOMATIS BERMASALAH (BAUT HILANG);
TAMBAH OLI RETARDER;
STEL REM GENERAL</t>
  </si>
  <si>
    <t>TAMBAH AIR RADIATOR; STEL REM GENERAL, BOCOR BAN NO 10</t>
  </si>
  <si>
    <t xml:space="preserve">LOW POWER;
PATAH PER NO, 5 R2 KIRI KANAN;
TAMBAH OLI RETARDER;
STEL REM GENERAL;
</t>
  </si>
  <si>
    <t xml:space="preserve">PATAH PER NO, 6 BELAKANG KANAN;
GANTI KARET STOPER DEPAN KIRI </t>
  </si>
  <si>
    <t>PTO BERMASALAH;</t>
  </si>
  <si>
    <t>STEL TAILGATE OTOMATIS</t>
  </si>
  <si>
    <t>BOCOR BAN NO 7 (JL COR-CORAN)</t>
  </si>
  <si>
    <t>BOCOR ANGIN;
PINTU SEBELAH KIRI TIDAK BISA BUKA</t>
  </si>
  <si>
    <t>BOCOR BAN NO. 11</t>
  </si>
  <si>
    <t>GANTI KARET STOPER KIRI;
STEL REM GENERAL</t>
  </si>
  <si>
    <t>GANTI KARET TORQUE ROD KIRI KANAN</t>
  </si>
  <si>
    <t>PATAH PER NO. 5 DEPAN KANAN;
LAMPU BELAKANG KIRI KANAN MATI</t>
  </si>
  <si>
    <t>PATAH SENSOR ANGIN (KM 2);</t>
  </si>
  <si>
    <t>ADA KEBOCORAN ANGIN (KM 2)</t>
  </si>
  <si>
    <t xml:space="preserve">PATAH BAUT RODA TROMOL NO 5;
STOPLAMP KIRI DAN KANAN MATI;
</t>
  </si>
  <si>
    <t>STEL REM GENERAL;
TAMBAH OLI HUB;
ADJUST STIR</t>
  </si>
  <si>
    <t xml:space="preserve">LAMPU UTAMA KIRI MATI;
SPAKBOAR DEPAN KANAN;
LOW POWER;
STEL REM  GENERAL;
</t>
  </si>
  <si>
    <t>INDIKATOR ANGIN;REM NO. 7 BERMASALAH;</t>
  </si>
  <si>
    <t>REM BERMASALAH</t>
  </si>
  <si>
    <t>BOCOR BAN NO. 3 (KM 26)</t>
  </si>
  <si>
    <t>EXHAUST BRAKER BERMASALAH;
GANTI KARET STOPPER BELAKANG;
GANTI KARET TORQUEROD DEPAN BELAKANG;
TAMBAH OLI RETARDER;
STEL REM GENERAL</t>
  </si>
  <si>
    <t>BAUT MUFFLER LEPAS DEKAT TURBO (ARJUNA)</t>
  </si>
  <si>
    <t>AIR AKI; KLAKSON BERMASALAH, BOCOR BAN NO 5</t>
  </si>
  <si>
    <t>NAIK PANAS (KM 29)</t>
  </si>
  <si>
    <t>BOCOR BAN NO. 1</t>
  </si>
  <si>
    <t>KOPLING BERMASALAH;
PIPA AC BOCOR;
SPAKBOARD KIRI</t>
  </si>
  <si>
    <t>SPRING F2 NO 1 RETAK;
DIFFLOCK BERMASALAH (DOUBLE BERAT BERMASALAH)</t>
  </si>
  <si>
    <t xml:space="preserve">SERVICE HM;
AC BERMASALAH;
CEK RADIATOR (SERING KURANG);
</t>
  </si>
  <si>
    <t>GANTI BAN NO 11</t>
  </si>
  <si>
    <t>PIPA POWER STEARING BOCOR; GANTI KARET STOPPER BELAKANG KIRI DAN KANAN; CEK KAMPAS REM NO 3 DAN 4; BAUT RADIATOR BAGIAN ATAS LONGGAR</t>
  </si>
  <si>
    <t>DRIVER ASLI ALFA DIGANTI  DRIVER SPARE, HUJAN JALAN LICIN</t>
  </si>
  <si>
    <t>UNIT BD DILUAR</t>
  </si>
  <si>
    <t>TEST UNIT (PROPELLER LEPAS, DEKAT CBB)</t>
  </si>
  <si>
    <t>EXHAUST BRAKE BERMASALAH;
STEL REM GENERAL;
KM ERROR;
TAMBAH OLI RETARDER</t>
  </si>
  <si>
    <t>STEL REM GENERAL;
CEK KAMPAS REM GENERAL;
CEK KARET STABILIZER;
TAMBAH OLI RETARDER</t>
  </si>
  <si>
    <t xml:space="preserve">PATAH PER NO. 5 DEPAN KIRI;
</t>
  </si>
  <si>
    <t>BOCOR BAN NO,. 9 (KM 2), GANTI BAN NO 9 DAN 10</t>
  </si>
  <si>
    <t>HUJAN JALAN LICIN, UNIT PENGGANTI 505</t>
  </si>
  <si>
    <t>CEK ADJUSTER NO. 7.8;
CEK ANGIN;
LOW POWER
STEL REM GENERAL;</t>
  </si>
  <si>
    <t xml:space="preserve">CEK RADIATOR;
RAPIKAN PER BAN NO. 3;
AIR RADIATOR ORDER
</t>
  </si>
  <si>
    <t>PATAH CENTER PEN KANAN BELAKANG;
GAGANG PINTU KANAN;
GANTI KARET STOPER;
GANTI KARET TORQUE ROD BAWAH KIRI</t>
  </si>
  <si>
    <t>PATAH CENTER BAUT KIRI BELAKANG;
GANTI KAMPAS NO. 7;
STOPER BELAKANG KIRI;
KLAKSON MATI;
LAMPU DEPAN KIRI MATI;
STEL REM GENRAL;</t>
  </si>
  <si>
    <t>BOCOR BAN NO. 12</t>
  </si>
  <si>
    <t>PATAH SPRING NO 9 BELAKANG KANAN</t>
  </si>
  <si>
    <t>BOCOR BAN NO 12;
GANTI BAN NO 5</t>
  </si>
  <si>
    <t>CEK RETARDER</t>
  </si>
  <si>
    <t>SENSOR ANGIN BERMASALAH;
KOPLENG KERAS</t>
  </si>
  <si>
    <t>ANTRI/MACET DI PABRIK, DRIVER ASLI SAKIT (DIGANTI DRIVER SPARE)</t>
  </si>
  <si>
    <t>ADJUST STIR/KEMUDI</t>
  </si>
  <si>
    <t>LONGGAR U BOLT DEPAN KANAN;
TAMBAH OLI HUB TROMOL NO. 1.2.3.4;
AC BERMASALAH;
STEL REM GENERAL;</t>
  </si>
  <si>
    <t>PATAH PER DEPAN NO.1 KANAN;
BOCOR SEAL LUAR HUB TROMOL NO.4;
STEL REM GENERAL;</t>
  </si>
  <si>
    <t>ISI FREON, KOPLING BERMASALAH (NAKULA)</t>
  </si>
  <si>
    <t xml:space="preserve">PATAH BAUT RODA TROMOL NO. 6;
STEL REM GENERAL;
STEL ADJUST GENERAL;
CEK EGINE MOUNTING;
</t>
  </si>
  <si>
    <t>STOPER BUAMPER BELAKANG;
CEK STOPER SPRING;
SEAT SPRING RR RH;
GANTI KAMPAS REM NO. 4;
TAMBAH OLU HUB NO. 1.2.3.4;
STEL REM GENERAL;</t>
  </si>
  <si>
    <t>EXHAUTS BRAKE BERMASALAH</t>
  </si>
  <si>
    <t>DIFFLOCK BERMASALAH (DOUBLE BERAT EBRMASALAH)</t>
  </si>
  <si>
    <t>KAMPAS NO. 3 RENGANG</t>
  </si>
  <si>
    <t>KENCANGKAN RANTAI TAILGATE;
TAMBAH OLI RETARDER;</t>
  </si>
  <si>
    <t>PUTUS TAILGATE OTOMATIS</t>
  </si>
  <si>
    <t>BOCOR BANNO.7</t>
  </si>
  <si>
    <t>ANTRI/MACET LOADING POINT CUMA 1, HUJAN JALAN LICIN</t>
  </si>
  <si>
    <t>TARGET, TAMBAH FREON</t>
  </si>
  <si>
    <t xml:space="preserve">BEARING TINDIS RUSAK;
</t>
  </si>
  <si>
    <t>GANTI KACA DEPAN;, PATAH SPRINF NO. 7 , PECAH VELG NO. 10 (KM 5)KANAN</t>
  </si>
  <si>
    <t>PATAH CENTER BOLT KANAN BELAKANG</t>
  </si>
  <si>
    <t>PERBAIKAN TAILGATE MANUAL</t>
  </si>
  <si>
    <t>TAIL GATE MANUAL KIRI BENGKOK
TAIL GATE OTOMATIS KANAN KENDOR</t>
  </si>
  <si>
    <t>STEL REM GENERAL;
CEL RODA F2;
GANTI KAMVAS REM NO. 7.8;
PATAH SPRING NO. 12 F2 RH</t>
  </si>
  <si>
    <t>PATAH BAUT RODA TORMOL NO. 5</t>
  </si>
  <si>
    <t>BOCOR BAN NO. 6;
GANTI BAN NO. 1</t>
  </si>
  <si>
    <t>KOPLENG BERMASALAH</t>
  </si>
  <si>
    <t>TAMBAH AIR RADIATOR;
SENSOR   TABUNG ANGIN 1 BERMASALAH;
LONGGAR BAUT TORQUE ROD BAWAH KIRI</t>
  </si>
  <si>
    <t xml:space="preserve">TALI V BELT KENDOR;
GAGANG PINTU KIRI </t>
  </si>
  <si>
    <t>GREASE PELUMASAN</t>
  </si>
  <si>
    <t>GANTI KAMPAS NO. 4.8;
SPRING NO. 3 KIRI RETAK</t>
  </si>
  <si>
    <t>OLI ENGINE TERCAMPUR SOLAR;
STEL REM GENERAL;
TAMBAH OLI RETARDER;
AIR RADIATOR</t>
  </si>
  <si>
    <t>GANTI KARET TORQUE ROD GENERAL;
GANTI KARET STOPER  GENERAL;
GANTI KAMPAS REM NO. 8</t>
  </si>
  <si>
    <t>BOCOR BAN NO. 7</t>
  </si>
  <si>
    <t>AC BERMASALAH
DOUBLE BERMASALAH
LAMPU UTAMA BERMASALAH</t>
  </si>
  <si>
    <t>BOCOR BAN NO. 3 (BLOK 5)</t>
  </si>
  <si>
    <t>GANTI BAN NO.12</t>
  </si>
  <si>
    <t>BOCOR BAN NO.; 5</t>
  </si>
  <si>
    <t>LOADING POINT CUMA 1; JALAN LICIN</t>
  </si>
  <si>
    <t>ANTRI/MACET DIPABRIK</t>
  </si>
  <si>
    <t>BOCOR HOSE RADIATOR POSISI UNIT KM 2 BOCOR HOS RADIATOR;
BERSIHKAN SARINGAN UDARA</t>
  </si>
  <si>
    <t>RANTAI TALGET LONGGAR
PERSENENLAN KERAS
TAMBA OIL RETARDER LAS SPAKBOARD</t>
  </si>
  <si>
    <t>VALVE ANGIN BOCOR BOCOR BAN NO, 12</t>
  </si>
  <si>
    <t>EXHAUST BRAKE BERMASALAH;</t>
  </si>
  <si>
    <t>BOCOR BAN NO. 1 (KM 2)</t>
  </si>
  <si>
    <t>PECAH HOSE RETARDER (KM 2)</t>
  </si>
  <si>
    <t>CEK TROMOL NO. 2,4;
STEL REM GENERAL;
PERBAIKAN TAILGATE OTOMATIS</t>
  </si>
  <si>
    <t>RETARDER BERMASALAH
KENCANGKAN RANTAI TAIL GATE</t>
  </si>
  <si>
    <t>BOCOR BAN NO. 10 BAUT PTO LONGGAR;
TAMBAH OLI RETARDER</t>
  </si>
  <si>
    <t>CEK TAILGATE MANUAL; CEK PINTU VESSEL; CEK SAFETY TANKI</t>
  </si>
  <si>
    <t xml:space="preserve"> UNIT BD DIJALAN</t>
  </si>
  <si>
    <t>REM NO 4 TIDAK MENAHAN;
KLEM HOSE RETARDER LONGGAR;
GANTI PENUTUP OLI HUB NO 1;
LAMPU UTAMA KIRI MATI;
KANCING BAUT U BOLT TENGAH KIRI BELAKANG</t>
  </si>
  <si>
    <t>REM BERMASALAH (KERUSAKAN BERULANG);
STEL REM GENERAL</t>
  </si>
  <si>
    <t>PATAH SPRING NO. 3 BELAKANG KANAN;
KLAKSON MATI;
TAMBAH OLI HUB NO. 3.4</t>
  </si>
  <si>
    <t>GANTI BAN NO. 7, TAMBAH OLI RETARDER</t>
  </si>
  <si>
    <t>TANGGA KABIN KANAN (KERUSAKAN BERULANG);
BAUT INTERCOOLER JATUH (KERUSAKAN BERULANG)</t>
  </si>
  <si>
    <t>RETARDER BERMASALAH</t>
  </si>
  <si>
    <t>STEL REM GENERAL;
CEK KAMPAS REM GENERAL;
TAMBAH AIR RADIATOR;
TAMBAH OLI RETARDER</t>
  </si>
  <si>
    <t>EXHUAST BRAKE BERMASALAH;
TAMBAH OLI RETARDER;'
CEK KAMPAS GENERAL;
STEL REM GENERAL;</t>
  </si>
  <si>
    <t>PATAH CENTER BOLT BELAKANG KANAN</t>
  </si>
  <si>
    <t>LONGGAR BAUS STABLIZER KIRI BELAKANG;
PATAH CENTER BOLT KANAN BELAKANG</t>
  </si>
  <si>
    <t>LAS PINTU VEESEL</t>
  </si>
  <si>
    <t>SUSPENSO  JOK BOCOR</t>
  </si>
  <si>
    <t>GANTI KAMPAS REM NO. .3,7,8;
STEL REM GENERAL;
LAMPU SEN KANAN BELAKANG</t>
  </si>
  <si>
    <t>KAMPAS REM NO.3.4.5.7.8;
STEL REM GENERAL;
PATAH BAUT RODA TROMOL NO. 6</t>
  </si>
  <si>
    <t>TORQUE ROD BAWAH KANAN</t>
  </si>
  <si>
    <t>PATAH CENTER BOLT KANAN BELAKANG;
PATAH SPRING DEPAN NO 6;
CEK KAMPAS REM GENERAL</t>
  </si>
  <si>
    <t>EXAUST BRAKE BERMASALAH</t>
  </si>
  <si>
    <t>GANTI BAN NO 10, DAN 11</t>
  </si>
  <si>
    <t>GANTI VLEG NO. 2</t>
  </si>
  <si>
    <t>BOCOR BAN NO. 9. 10</t>
  </si>
  <si>
    <t>UNIT PENGGANTI 501</t>
  </si>
  <si>
    <t xml:space="preserve">LEPAS BAN TROMOL NO. 8 </t>
  </si>
  <si>
    <t>BOCOR HOS RADIATOR;</t>
  </si>
  <si>
    <t>SEAL HUB DAN TROMOL NO. 8 BERMASALAH (KM 22)</t>
  </si>
  <si>
    <t>BAUT MOUNTING (CEK ENGINE MOUNTING); TOMBOL HANDLE PINTU BERMASALAH;</t>
  </si>
  <si>
    <t>KENCANGKAN BAUT RODA</t>
  </si>
  <si>
    <t>PATAH PER DEPAN NO.1 KANAN; BOCOR SEAL LUAR HUB TROMOL NO.4; STEL REM GENERAL;</t>
  </si>
  <si>
    <t>PERBAIKAN TAILGATE MANUAL ; PERBAIKAN TAILGATE OTOMATIS; LAS VESEL</t>
  </si>
  <si>
    <t>C  390</t>
  </si>
  <si>
    <t xml:space="preserve">INTARDER HILANG";
GANTI KAMPAS NO. 5.7;
PATAH BAUT RODA TROMOL NO. 6;
NAIK PANAS;
</t>
  </si>
  <si>
    <t>LOW POWER (LAMPU ENGINE MENYALA); SERVICE HM;</t>
  </si>
  <si>
    <t>BOCOR BAN NO 7, HOSE FREON BOCOR</t>
  </si>
  <si>
    <t>BOCOR BAN NO 2 (SIMPANG MASUK NAKULA), U BOLT F1 KIRI LONGGAR</t>
  </si>
  <si>
    <t>SPRING NO 7 KANAN BELAKANG;
TAMBAH OLI RETARDER</t>
  </si>
  <si>
    <t>SPRING NO 1 KANANA BELAKANG</t>
  </si>
  <si>
    <t>LAMPU UTAMA KANAN MATI;
LAMPU SEIN KIRI BELAKANG MATI;
LAMPU BELAKANG KIRI DAN KANAN MATI;
CEK KAMPAS REM GENERAL;
STEL REM GENERAL;
PASANG KARET STOPPER R1 R2;
TAMBAH OIL HUB</t>
  </si>
  <si>
    <t>LAMPU UTAMA KANAN MATI</t>
  </si>
  <si>
    <t>BAN NO. 1 RUSAK</t>
  </si>
  <si>
    <t>LAMPU UTAMA KANAN MATI (KERUSAKAN BERULANG)</t>
  </si>
  <si>
    <t>BOCOR BAN NO. 3 (NAKULA)</t>
  </si>
  <si>
    <t xml:space="preserve">PATAH SPRING DEPAN KANAN TENGAH NO. ,8,9,10,11;
ADJUST REM GENERAL
</t>
  </si>
  <si>
    <t>PATAH U BOLT BELAKANG KANAN</t>
  </si>
  <si>
    <t>REM NO. 5.6.8 BERMASALAH;
STEL REM GENERAL</t>
  </si>
  <si>
    <t>CEK PEN PINTU VESSEL; CEK BANCIAN</t>
  </si>
  <si>
    <t>BOCOR NO 11 &amp; 12</t>
  </si>
  <si>
    <t>PATAH SPRING NO. 5.6 KANAN DEPAN;
PATAH SPRING NO. 7 DEPAN KIRI;
TAMBAH OLI HUB;
KARET STOPER CHASIS</t>
  </si>
  <si>
    <t xml:space="preserve">U BOLT DEPAN KANAN (LONGGAR);
CEK SEAT SPRING KIRI BELAKANG;
</t>
  </si>
  <si>
    <t>PATAH CENTER PEN BELAKANG KIRI KANAN;
ADJUST REM GENERAL</t>
  </si>
  <si>
    <t>RAPIKAN SPRING KANAN DEPAN;
PENGIKAT MUFFLER LEPAS</t>
  </si>
  <si>
    <t>LAMPU UTAMA KIRI DAN KANAN MATI;
ADJUST REM TROMOL NO 1,2,3, DAN 4</t>
  </si>
  <si>
    <t>CEK RETARDER INTARDER;
KEBOCRAN OLI HYDROLIK;
CEK ADJUSTER;
STEL REM GENERAL;
CEK KAMPAS REM</t>
  </si>
  <si>
    <t>CEK CENTER BOLT BELAKANG KIRI;
STEL REM GENERAL;
GANTI KARET STOPPER BELAKANG</t>
  </si>
  <si>
    <t xml:space="preserve">TAMBAH OLI POWER STEARING;
PERBAIKAN SPRING F2 KANAN;
</t>
  </si>
  <si>
    <t>AKI MELEDAK (PENGISIAN FUEL KM 7)</t>
  </si>
  <si>
    <t xml:space="preserve">PATAH SPRING NO 13 BELAKANG KIRI;
STEL REM GENERAL </t>
  </si>
  <si>
    <t>GANTI TORQUEROD BAWAH KIRI;
STEL REM GENERAL;
TAMBAH OLI RETARDER;</t>
  </si>
  <si>
    <t>LOW POWER;
PATAH SPRING NO 9BELAKANG KIRI;
ADA KEBOCORAN SELANG RADIATOR;
CEK KAMPAS REM GENERAL;
CEK OLI RETARDER</t>
  </si>
  <si>
    <t>EXHAUT BRAKE BERMASALAH;
LOW POWER;
STEL REM GENERAL</t>
  </si>
  <si>
    <t>CEK KAMPAS NO/. 1.2.3.4;
STEL REM GENERAL;
CEK TROMOL NO. 1.2.3.4;
KARET STOPER KIRI KANAN DEPAN</t>
  </si>
  <si>
    <t>PATAH BAUT RODA TROMOL NO 5;
CEK TROMOL NO 4;
CEK HOSE RADIATOR;
TAMBAH OLI RETARDER</t>
  </si>
  <si>
    <t>PATAH U BOLT DEPAN
CEK KONEKTOR ANGIN</t>
  </si>
  <si>
    <t xml:space="preserve"> PATAH CENTER BOLT BELAKANG KIRI;
PATAH PER NO. 6 KIRI TENGAH;
LONGGAR BAUT TORQUE ROD ATAS BELAKANG</t>
  </si>
  <si>
    <t>EXHAUST BRAKE BERMASALAH (KERUSAKAN BERULANG)</t>
  </si>
  <si>
    <t>GANTI SAFETY TANKI FUEL;</t>
  </si>
  <si>
    <t>BOCOR BAN NO. 11 (KM 4)</t>
  </si>
  <si>
    <t>BOCCOR BAN NO. 5 (KBM)</t>
  </si>
  <si>
    <t>CEK TAILGATE MANUAL; CEK PINTU VESSEL; SAFETY TANKI</t>
  </si>
  <si>
    <t>ANTRI/MACET DI PABRIK, ISTIRAHAT SHOLAT JUMAT, SAMPLE TIMBANGAN TUTUP JAM 11:00 BUKA JAM 13:00</t>
  </si>
  <si>
    <t>LAMPU SEN MATI; LAMPU STOP MATI; LAMPU PARKIR MATI; BAUT LAMPU STOP KANAN; PERBAIKAN STERING;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</si>
</sst>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21]dd\ mmmm\ yyyy;@"/>
    <numFmt numFmtId="165" formatCode="hh:mm:ss;@"/>
    <numFmt numFmtId="166" formatCode="h:mm:ss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5" tint="0.39997558519241921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/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4" fillId="2" borderId="7" xfId="0" applyFont="1" applyFill="1" applyBorder="1"/>
    <xf numFmtId="2" fontId="4" fillId="2" borderId="8" xfId="0" applyNumberFormat="1" applyFont="1" applyFill="1" applyBorder="1" applyAlignment="1">
      <alignment horizontal="center"/>
    </xf>
    <xf numFmtId="0" fontId="4" fillId="2" borderId="4" xfId="0" applyFont="1" applyFill="1" applyBorder="1"/>
    <xf numFmtId="2" fontId="4" fillId="2" borderId="3" xfId="0" applyNumberFormat="1" applyFont="1" applyFill="1" applyBorder="1" applyAlignment="1">
      <alignment horizontal="center"/>
    </xf>
    <xf numFmtId="0" fontId="4" fillId="2" borderId="5" xfId="0" applyFont="1" applyFill="1" applyBorder="1"/>
    <xf numFmtId="2" fontId="4" fillId="2" borderId="6" xfId="0" applyNumberFormat="1" applyFont="1" applyFill="1" applyBorder="1" applyAlignment="1">
      <alignment horizontal="center"/>
    </xf>
    <xf numFmtId="10" fontId="4" fillId="2" borderId="6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12" fillId="0" borderId="9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5" borderId="0" xfId="0" applyFon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0" xfId="0" applyFill="1"/>
    <xf numFmtId="0" fontId="13" fillId="0" borderId="0" xfId="0" applyFont="1"/>
    <xf numFmtId="165" fontId="1" fillId="0" borderId="1" xfId="0" applyNumberFormat="1" applyFont="1" applyBorder="1" applyAlignment="1">
      <alignment horizontal="center"/>
    </xf>
    <xf numFmtId="20" fontId="1" fillId="3" borderId="1" xfId="0" applyNumberFormat="1" applyFont="1" applyFill="1" applyBorder="1" applyAlignment="1">
      <alignment horizontal="center"/>
    </xf>
    <xf numFmtId="20" fontId="1" fillId="3" borderId="0" xfId="0" applyNumberFormat="1" applyFont="1" applyFill="1" applyAlignment="1">
      <alignment horizontal="center"/>
    </xf>
    <xf numFmtId="20" fontId="1" fillId="0" borderId="1" xfId="0" applyNumberFormat="1" applyFon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3" borderId="0" xfId="0" applyNumberFormat="1" applyFill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3" borderId="8" xfId="0" applyFont="1" applyFill="1" applyBorder="1" applyAlignment="1">
      <alignment horizontal="center"/>
    </xf>
    <xf numFmtId="166" fontId="4" fillId="2" borderId="6" xfId="0" applyNumberFormat="1" applyFont="1" applyFill="1" applyBorder="1" applyAlignment="1">
      <alignment horizontal="center"/>
    </xf>
    <xf numFmtId="0" fontId="14" fillId="0" borderId="0" xfId="0" applyFont="1"/>
    <xf numFmtId="0" fontId="0" fillId="5" borderId="0" xfId="0" applyFill="1" applyAlignment="1">
      <alignment horizontal="center"/>
    </xf>
    <xf numFmtId="20" fontId="1" fillId="5" borderId="0" xfId="0" applyNumberFormat="1" applyFont="1" applyFill="1" applyAlignment="1">
      <alignment horizontal="center"/>
    </xf>
    <xf numFmtId="20" fontId="1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5" fillId="0" borderId="0" xfId="0" applyFont="1"/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17" fillId="0" borderId="0" xfId="0" applyFont="1"/>
    <xf numFmtId="0" fontId="0" fillId="3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20" fontId="1" fillId="3" borderId="0" xfId="0" applyNumberFormat="1" applyFont="1" applyFill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/>
    <xf numFmtId="0" fontId="7" fillId="3" borderId="0" xfId="0" applyFont="1" applyFill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20" fontId="1" fillId="5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7" fillId="3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7" borderId="17" xfId="0" applyFill="1" applyBorder="1"/>
    <xf numFmtId="0" fontId="0" fillId="5" borderId="14" xfId="0" applyFill="1" applyBorder="1"/>
    <xf numFmtId="0" fontId="0" fillId="6" borderId="12" xfId="0" applyFill="1" applyBorder="1"/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top" wrapText="1"/>
    </xf>
    <xf numFmtId="0" fontId="0" fillId="7" borderId="12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5" xfId="0" applyBorder="1" applyAlignment="1">
      <alignment wrapText="1"/>
    </xf>
    <xf numFmtId="0" fontId="0" fillId="0" borderId="12" xfId="0" applyBorder="1" applyAlignment="1">
      <alignment horizontal="left"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0" fontId="0" fillId="0" borderId="0" xfId="0" applyNumberFormat="1"/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3" fontId="3" fillId="2" borderId="0" xfId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8" xfId="0" applyBorder="1" applyAlignment="1">
      <alignment horizontal="center"/>
    </xf>
  </cellXfs>
  <cellStyles count="2">
    <cellStyle name="Comma" xfId="1" builtinId="3"/>
    <cellStyle name="Normal" xfId="0" builtinId="0"/>
  </cellStyles>
  <dxfs count="1442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8CBAD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8CBAD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8CBAD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000000"/>
          <bgColor rgb="FFF8CBAD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numFmt numFmtId="167" formatCode="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D7604-DFA7-4386-BE21-9B6B262EE521}" name="Table1345678910111518192327313742475259271217222732284146529096801031091151211261201351402" displayName="Table1345678910111518192327313742475259271217222732284146529096801031091151211261201351402" ref="AA5:AG18" totalsRowShown="0" headerRowDxfId="1441" dataDxfId="1440">
  <autoFilter ref="AA5:AG18" xr:uid="{D7E74646-277B-4974-8CB5-5FC4622C64EB}"/>
  <sortState xmlns:xlrd2="http://schemas.microsoft.com/office/spreadsheetml/2017/richdata2" ref="AA6:AG18">
    <sortCondition ref="AF5:AF18"/>
  </sortState>
  <tableColumns count="7">
    <tableColumn id="1" xr3:uid="{F068D336-7106-43AE-B00E-DE871A7565B2}" name="No" dataDxfId="1439"/>
    <tableColumn id="2" xr3:uid="{81C6F8C3-2E2B-4467-9555-6A27FABC6EEB}" name="Id unit" dataDxfId="1438"/>
    <tableColumn id="7" xr3:uid="{915DBB42-8F4C-43A7-B31A-49CFF761F0DD}" name="JAM KELUAR" dataDxfId="1437"/>
    <tableColumn id="6" xr3:uid="{72F8B87C-B823-4AB2-A7B4-0424F3F7C75F}" name="JAM MASUK" dataDxfId="1436"/>
    <tableColumn id="5" xr3:uid="{959C9C97-75B4-490B-A72B-DFC8214AABCF}" name="TOTAL JAM KERJA" dataDxfId="1435">
      <calculatedColumnFormula>AD6-AC6</calculatedColumnFormula>
    </tableColumn>
    <tableColumn id="3" xr3:uid="{1C03B653-561B-4FA1-85F3-BD427BB613B1}" name="Retase" dataDxfId="1434"/>
    <tableColumn id="4" xr3:uid="{E1E07DD5-872B-4E4D-9019-8F56423F4432}" name="Keterangan" dataDxfId="143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DC4DAA52-9E89-4C2E-86BF-D865CF5A5962}" name="Table13456789101117222630354045505562510152025303437404550569410089107113119125130134139144" displayName="Table13456789101117222630354045505562510152025303437404550569410089107113119125130134139144" ref="O42:U64" totalsRowShown="0" headerRowDxfId="1361" dataDxfId="1360">
  <autoFilter ref="O42:U64" xr:uid="{73F1D503-EB31-47E3-A68C-36339D21CE7D}"/>
  <sortState xmlns:xlrd2="http://schemas.microsoft.com/office/spreadsheetml/2017/richdata2" ref="O43:U55">
    <sortCondition ref="T27:T29"/>
  </sortState>
  <tableColumns count="7">
    <tableColumn id="1" xr3:uid="{DAD76D03-66BE-4219-BF31-3837DCC6A78C}" name="No" dataDxfId="1359"/>
    <tableColumn id="2" xr3:uid="{059DC966-C09C-420B-85ED-DFDC499CEE46}" name="Id unit" dataDxfId="1358"/>
    <tableColumn id="7" xr3:uid="{21C8821D-4D97-4CEC-83B2-6DB300B2B944}" name="JAM KELUAR" dataDxfId="1357"/>
    <tableColumn id="6" xr3:uid="{79DC0867-0347-46B4-BB3F-91F78423AA19}" name="JAM MASUK" dataDxfId="1356"/>
    <tableColumn id="5" xr3:uid="{E374C59A-B1CD-4BF4-AF0C-B2BF8AF3191C}" name="TOTAL JAM KERJA" dataDxfId="1355"/>
    <tableColumn id="3" xr3:uid="{70E27F7A-5EB9-4153-9D55-6AD85CB83826}" name="Retase" dataDxfId="1354"/>
    <tableColumn id="4" xr3:uid="{33A832E1-976C-4092-A7AC-A415B98723B1}" name="Keterangan" dataDxfId="1353"/>
  </tableColumns>
  <tableStyleInfo name="TableStyleLight9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FF2E3597-E551-44A3-BDE7-A5597B93E06F}" name="Table134567891011172226303540455055625101520253034384348549298871051111171231281321371421015252031374349556167737883889398" displayName="Table134567891011172226303540455055625101520253034384348549298871051111171231281321371421015252031374349556167737883889398" ref="O6:U11" totalsRowShown="0" headerRowDxfId="551" dataDxfId="550">
  <autoFilter ref="O6:U11" xr:uid="{913DA601-D705-4926-AB5D-13C5C55E5198}"/>
  <sortState xmlns:xlrd2="http://schemas.microsoft.com/office/spreadsheetml/2017/richdata2" ref="O7:U11">
    <sortCondition ref="T6:T11"/>
  </sortState>
  <tableColumns count="7">
    <tableColumn id="1" xr3:uid="{71EA8D5C-6373-4809-8458-E35142CE35EE}" name="No" dataDxfId="549"/>
    <tableColumn id="2" xr3:uid="{CDC6C35B-E3D3-4992-834A-81F9758364E2}" name="Id unit" dataDxfId="548"/>
    <tableColumn id="7" xr3:uid="{E942DCC9-14D8-4D79-9868-36A3DDC46E82}" name="JAM KELUAR" dataDxfId="547"/>
    <tableColumn id="6" xr3:uid="{8CBAEDFC-9C2C-4323-99EC-628411D9821A}" name="JAM MASUK" dataDxfId="546"/>
    <tableColumn id="5" xr3:uid="{87CFD8F0-5030-4029-B298-3C4290CA8732}" name="TOTAL JAM KERJA" dataDxfId="545">
      <calculatedColumnFormula>R7-Q7</calculatedColumnFormula>
    </tableColumn>
    <tableColumn id="3" xr3:uid="{40501C2B-D13A-4305-A2B6-D8CED94D1475}" name="Retase" dataDxfId="544"/>
    <tableColumn id="4" xr3:uid="{0123B7AB-6C71-42AF-9571-2C2CCB0EC88B}" name="Keterangan" dataDxfId="543"/>
  </tableColumns>
  <tableStyleInfo name="TableStyleLight9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717DED5-C9C4-4708-9B56-6C4FAFB19E7E}" name="Table134567891011172226303540455055625101520253034374045505694100891071131191251301341391441217272233394551576369747984899499" displayName="Table134567891011172226303540455055625101520253034374045505694100891071131191251301341391441217272233394551576369747984899499" ref="O54:U76" totalsRowShown="0" headerRowDxfId="542" dataDxfId="541">
  <autoFilter ref="O54:U76" xr:uid="{73F1D503-EB31-47E3-A68C-36339D21CE7D}"/>
  <tableColumns count="7">
    <tableColumn id="1" xr3:uid="{91CB48EF-2704-4C5B-B10F-D4648EC2299B}" name="No" dataDxfId="540"/>
    <tableColumn id="2" xr3:uid="{8F6EFF17-E9C7-4191-B36C-D7B6100DE3FE}" name="Id unit" dataDxfId="539"/>
    <tableColumn id="7" xr3:uid="{2736B8E0-4F07-49E1-9793-8EFEE3C3F4FA}" name="JAM KELUAR" dataDxfId="538"/>
    <tableColumn id="6" xr3:uid="{A5CC030C-E252-4C0D-81F6-787B14196EFF}" name="JAM MASUK" dataDxfId="537"/>
    <tableColumn id="5" xr3:uid="{DDE009FB-72F0-4DEE-BA09-226D40652453}" name="TOTAL JAM KERJA" dataDxfId="536"/>
    <tableColumn id="3" xr3:uid="{975ACFBC-4800-4540-BDCD-DA7FB8BFD703}" name="Retase" dataDxfId="535"/>
    <tableColumn id="4" xr3:uid="{EDCEA5C1-A0C0-451A-8A8C-353CC50A5E0C}" name="Keterangan" dataDxfId="534"/>
  </tableColumns>
  <tableStyleInfo name="TableStyleLight9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C0EFBC4B-54BE-4E41-A5E1-982CDF923016}" name="Table134567891011151819232731374247525927121722273228414652909680103109115121126120135140813231828344046525864707580859095100" displayName="Table134567891011151819232731374247525927121722273228414652909680103109115121126120135140813231828344046525864707580859095100" ref="AA6:AG28" totalsRowShown="0" headerRowDxfId="533" dataDxfId="532">
  <autoFilter ref="AA6:AG28" xr:uid="{1FD47352-F590-4544-A385-64ACA480A10C}"/>
  <sortState xmlns:xlrd2="http://schemas.microsoft.com/office/spreadsheetml/2017/richdata2" ref="AA7:AG28">
    <sortCondition ref="AF6:AF28"/>
  </sortState>
  <tableColumns count="7">
    <tableColumn id="1" xr3:uid="{AC976971-082D-4657-B042-C78B2BCD95A1}" name="No" dataDxfId="531"/>
    <tableColumn id="2" xr3:uid="{444DAB84-076F-469B-ADE4-E5343A3DBD84}" name="Id unit" dataDxfId="530"/>
    <tableColumn id="7" xr3:uid="{F27B702C-DC2B-4610-B4CC-CA9E588D9140}" name="JAM KELUAR" dataDxfId="529"/>
    <tableColumn id="6" xr3:uid="{6E3A6B4A-554D-4B51-80AA-D446EADC9EE8}" name="JAM MASUK" dataDxfId="528"/>
    <tableColumn id="5" xr3:uid="{686F959C-4A6F-41AE-BD1C-111C91343752}" name="TOTAL JAM KERJA" dataDxfId="527">
      <calculatedColumnFormula>AD7-AC7</calculatedColumnFormula>
    </tableColumn>
    <tableColumn id="3" xr3:uid="{E521E9E1-4EFF-4589-B5E7-FF9DCD5AE2AE}" name="Retase" dataDxfId="526"/>
    <tableColumn id="4" xr3:uid="{519A7AC6-FF15-4024-9430-D22623046898}" name="Keterangan" dataDxfId="525"/>
  </tableColumns>
  <tableStyleInfo name="TableStyleLight9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DD7E657-7C7A-4E3F-8A6A-D172DA6702A5}" name="Table134567891011151819232731374247525927121722273228414652909680103109115121126120135140813231829354147535965717681869196101" displayName="Table134567891011151819232731374247525927121722273228414652909680103109115121126120135140813231829354147535965717681869196101" ref="AM6:AS26" totalsRowShown="0" headerRowDxfId="524" dataDxfId="523">
  <autoFilter ref="AM6:AS26" xr:uid="{D7E74646-277B-4974-8CB5-5FC4622C64EB}"/>
  <sortState xmlns:xlrd2="http://schemas.microsoft.com/office/spreadsheetml/2017/richdata2" ref="AM7:AS26">
    <sortCondition ref="AR6:AR26"/>
  </sortState>
  <tableColumns count="7">
    <tableColumn id="1" xr3:uid="{45033DDD-0C95-4929-8851-E582A6D457DF}" name="No" dataDxfId="522"/>
    <tableColumn id="2" xr3:uid="{EB5ABEBF-B901-4230-A084-5B15C97FAEEB}" name="Id unit" dataDxfId="521"/>
    <tableColumn id="7" xr3:uid="{44F18E97-8E0D-4135-8122-3F92FECB57D8}" name="JAM KELUAR" dataDxfId="520"/>
    <tableColumn id="6" xr3:uid="{24EA92DA-E1C1-4A92-9BA7-4DCCD232AC9D}" name="JAM MASUK" dataDxfId="519"/>
    <tableColumn id="5" xr3:uid="{6FB1358A-86AC-4635-933D-301B4E656B81}" name="TOTAL JAM KERJA" dataDxfId="518">
      <calculatedColumnFormula>AP7-AO7</calculatedColumnFormula>
    </tableColumn>
    <tableColumn id="3" xr3:uid="{FE0A9617-D081-4D71-8E08-BA8F20FDBF71}" name="Retase" dataDxfId="517"/>
    <tableColumn id="4" xr3:uid="{C6687780-2642-4D91-BEAB-A455748C7C92}" name="Keterangan" dataDxfId="516"/>
  </tableColumns>
  <tableStyleInfo name="TableStyleLight9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E7A706A8-B5B9-4B58-95C9-DD65E02A1189}" name="Table13245678910111321252934394449546149141924293336424753919786104110116122127131136141914241930364248546066727782879297102" displayName="Table13245678910111321252934394449546149141924293336424753919786104110116122127131136141914241930364248546066727782879297102" ref="B6:H29" totalsRowShown="0" headerRowDxfId="515" dataDxfId="514">
  <autoFilter ref="B6:H29" xr:uid="{B9ABE090-A7D1-4C32-83AF-14F7024EA175}"/>
  <sortState xmlns:xlrd2="http://schemas.microsoft.com/office/spreadsheetml/2017/richdata2" ref="B7:H29">
    <sortCondition ref="G6:G29"/>
  </sortState>
  <tableColumns count="7">
    <tableColumn id="1" xr3:uid="{3D330DB1-AFF9-4E5E-9A73-50F66FBC8B19}" name="No" dataDxfId="513"/>
    <tableColumn id="2" xr3:uid="{0108C584-16B0-4F78-B765-D2802B589232}" name="Id unit" dataDxfId="512"/>
    <tableColumn id="7" xr3:uid="{3115D90D-9A59-42A3-9F6A-A03250EE97B7}" name="JAM KELUAR" dataDxfId="511"/>
    <tableColumn id="6" xr3:uid="{1C686D35-C4B6-487D-AD58-ADBE2B5CCA20}" name="JAM MASUK" dataDxfId="510"/>
    <tableColumn id="5" xr3:uid="{DC5AE527-F5AD-4D13-B351-A49A46C5024B}" name="TOTAL JAM KERJA" dataDxfId="509">
      <calculatedColumnFormula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calculatedColumnFormula>
    </tableColumn>
    <tableColumn id="3" xr3:uid="{95E2D475-D923-49C0-8B9C-E178ED1CDECA}" name="Retase" dataDxfId="508"/>
    <tableColumn id="4" xr3:uid="{8B0AAF5A-03AA-43A7-9A23-96C2CB53E854}" name="Keterangan" dataDxfId="507"/>
  </tableColumns>
  <tableStyleInfo name="TableStyleLight9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2938A407-3ED7-43C4-B89C-A8A3FD747DE5}" name="Table134567891011172226303540455055625101520253034384348549298871051111171231281321371421015252031374349556167737883889398103" displayName="Table134567891011172226303540455055625101520253034384348549298871051111171231281321371421015252031374349556167737883889398103" ref="O6:U12" totalsRowShown="0" headerRowDxfId="506" dataDxfId="505">
  <autoFilter ref="O6:U12" xr:uid="{913DA601-D705-4926-AB5D-13C5C55E5198}"/>
  <sortState xmlns:xlrd2="http://schemas.microsoft.com/office/spreadsheetml/2017/richdata2" ref="O7:U12">
    <sortCondition ref="T6:T12"/>
  </sortState>
  <tableColumns count="7">
    <tableColumn id="1" xr3:uid="{ADE8DFEC-41F6-43D5-AB93-F3FD212E1CCD}" name="No" dataDxfId="504"/>
    <tableColumn id="2" xr3:uid="{FD0901A3-AB18-438E-957D-EFB04FEFF78F}" name="Id unit" dataDxfId="503"/>
    <tableColumn id="7" xr3:uid="{C273C95E-465F-41AF-A6A3-35C342FFE259}" name="JAM KELUAR" dataDxfId="502"/>
    <tableColumn id="6" xr3:uid="{D54F07A0-D36D-4D35-AFF7-9949282BE738}" name="JAM MASUK" dataDxfId="501"/>
    <tableColumn id="5" xr3:uid="{43EA3B0A-1537-42E9-B7FA-8D336829C0BF}" name="TOTAL JAM KERJA" dataDxfId="500">
      <calculatedColumnFormula>R7-Q7</calculatedColumnFormula>
    </tableColumn>
    <tableColumn id="3" xr3:uid="{6669DD30-046C-4701-9A62-766595D0B169}" name="Retase" dataDxfId="499"/>
    <tableColumn id="4" xr3:uid="{7BABD1EE-1751-490A-9A65-0C71BF8BF980}" name="Keterangan" dataDxfId="498"/>
  </tableColumns>
  <tableStyleInfo name="TableStyleLight9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112DC7CD-1115-43F4-BBFC-046BBCBB3A5D}" name="Table134567891011172226303540455055625101520253034374045505694100891071131191251301341391441217272233394551576369747984899499104" displayName="Table134567891011172226303540455055625101520253034374045505694100891071131191251301341391441217272233394551576369747984899499104" ref="O54:U76" totalsRowShown="0" headerRowDxfId="497" dataDxfId="496">
  <autoFilter ref="O54:U76" xr:uid="{73F1D503-EB31-47E3-A68C-36339D21CE7D}"/>
  <tableColumns count="7">
    <tableColumn id="1" xr3:uid="{9BDFD1AA-BD52-4E05-9625-44E40A8E23B0}" name="No" dataDxfId="495"/>
    <tableColumn id="2" xr3:uid="{D887892E-4E89-4DCD-A27A-A4AC8B661227}" name="Id unit" dataDxfId="494"/>
    <tableColumn id="7" xr3:uid="{3F0BB75C-9F3B-4FD5-8589-055EAB3FE2CC}" name="JAM KELUAR" dataDxfId="493"/>
    <tableColumn id="6" xr3:uid="{79D7100C-4E47-4FA1-A0E2-4D8390E1A52F}" name="JAM MASUK" dataDxfId="492"/>
    <tableColumn id="5" xr3:uid="{DFC4B443-916C-4942-9B96-B52504F0E5C1}" name="TOTAL JAM KERJA" dataDxfId="491"/>
    <tableColumn id="3" xr3:uid="{0BC60CD4-7830-40E7-8725-26760A25D4A5}" name="Retase" dataDxfId="490"/>
    <tableColumn id="4" xr3:uid="{D0627EB5-4CDE-4CF2-867F-488F91D464AC}" name="Keterangan" dataDxfId="489"/>
  </tableColumns>
  <tableStyleInfo name="TableStyleLight9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96C5BC21-3821-4EDE-8042-17BC4A3F7FAD}" name="Table134567891011151819232731374247525927121722273228414652909680103109115121126120135140813231828344046525864707580859095100105" displayName="Table134567891011151819232731374247525927121722273228414652909680103109115121126120135140813231828344046525864707580859095100105" ref="AA6:AG31" totalsRowShown="0" headerRowDxfId="488" dataDxfId="487">
  <autoFilter ref="AA6:AG31" xr:uid="{1FD47352-F590-4544-A385-64ACA480A10C}"/>
  <sortState xmlns:xlrd2="http://schemas.microsoft.com/office/spreadsheetml/2017/richdata2" ref="AA7:AG31">
    <sortCondition ref="AF6:AF31"/>
  </sortState>
  <tableColumns count="7">
    <tableColumn id="1" xr3:uid="{709CCF5B-F2A6-4E0B-8D17-0B47E67BA665}" name="No" dataDxfId="486"/>
    <tableColumn id="2" xr3:uid="{3850227A-99E2-4FB0-A4D9-F622C09455BD}" name="Id unit" dataDxfId="485"/>
    <tableColumn id="7" xr3:uid="{DBB1C713-0B66-436F-A96B-54E2CAE67B59}" name="JAM KELUAR" dataDxfId="484"/>
    <tableColumn id="6" xr3:uid="{DDEAF0F0-81D5-403A-A90E-B7C13E05FE69}" name="JAM MASUK" dataDxfId="483"/>
    <tableColumn id="5" xr3:uid="{BFA129F3-5238-4456-A28C-C17D8B45FA2C}" name="TOTAL JAM KERJA" dataDxfId="482">
      <calculatedColumnFormula>AD7-AC7</calculatedColumnFormula>
    </tableColumn>
    <tableColumn id="3" xr3:uid="{5C28D74C-DB51-4F70-ABB2-77D0ABCC76A7}" name="Retase" dataDxfId="481"/>
    <tableColumn id="4" xr3:uid="{AABD458A-A31A-4EC5-BBF3-759121D9E2D6}" name="Keterangan" dataDxfId="480"/>
  </tableColumns>
  <tableStyleInfo name="TableStyleLight9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D2B74C39-4B44-48CA-9DFE-989443144836}" name="Table134567891011151819232731374247525927121722273228414652909680103109115121126120135140813231829354147535965717681869196101106" displayName="Table134567891011151819232731374247525927121722273228414652909680103109115121126120135140813231829354147535965717681869196101106" ref="AM6:AS27" totalsRowShown="0" headerRowDxfId="479" dataDxfId="478">
  <autoFilter ref="AM6:AS27" xr:uid="{D7E74646-277B-4974-8CB5-5FC4622C64EB}"/>
  <sortState xmlns:xlrd2="http://schemas.microsoft.com/office/spreadsheetml/2017/richdata2" ref="AM7:AS27">
    <sortCondition ref="AR6:AR27"/>
  </sortState>
  <tableColumns count="7">
    <tableColumn id="1" xr3:uid="{87EE7BE7-8037-4531-9260-91F91AB7137E}" name="No" dataDxfId="477"/>
    <tableColumn id="2" xr3:uid="{0AAD8383-B0FF-492D-B4B4-554327613E38}" name="Id unit" dataDxfId="476"/>
    <tableColumn id="7" xr3:uid="{5733453F-20EC-4DE4-A1E2-DAA4142B268E}" name="JAM KELUAR" dataDxfId="475"/>
    <tableColumn id="6" xr3:uid="{F1C26988-EF93-41AC-A411-9ACB079A72A2}" name="JAM MASUK" dataDxfId="474"/>
    <tableColumn id="5" xr3:uid="{09B2C62B-7CC4-4905-8625-13794CECECE6}" name="TOTAL JAM KERJA" dataDxfId="473">
      <calculatedColumnFormula>AP7-AO7</calculatedColumnFormula>
    </tableColumn>
    <tableColumn id="3" xr3:uid="{0380785A-CF12-4D4B-9132-C5D27D1F386A}" name="Retase" dataDxfId="472"/>
    <tableColumn id="4" xr3:uid="{E88A5129-BA5B-4408-8867-AC31DBC56ED2}" name="Keterangan" dataDxfId="471"/>
  </tableColumns>
  <tableStyleInfo name="TableStyleLight9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4840C311-8EC1-4C34-AA12-52C6A49961D4}" name="Table13245678910111321252934394449546149141924293336424753919786104110116122127131136141914241930364248546066727782879297102107" displayName="Table13245678910111321252934394449546149141924293336424753919786104110116122127131136141914241930364248546066727782879297102107" ref="B6:H26" totalsRowShown="0" headerRowDxfId="470" dataDxfId="469">
  <autoFilter ref="B6:H26" xr:uid="{B9ABE090-A7D1-4C32-83AF-14F7024EA175}"/>
  <sortState xmlns:xlrd2="http://schemas.microsoft.com/office/spreadsheetml/2017/richdata2" ref="B7:H26">
    <sortCondition ref="G6:G26"/>
  </sortState>
  <tableColumns count="7">
    <tableColumn id="1" xr3:uid="{846D5279-B9FD-4C1C-8FD7-8BA8EA7EB18F}" name="No" dataDxfId="468"/>
    <tableColumn id="2" xr3:uid="{C927A4FB-B086-4A57-8E1B-C9F0A0D122A5}" name="Id unit" dataDxfId="467"/>
    <tableColumn id="7" xr3:uid="{EED2206E-5ADA-4C51-8984-250EF1DB4394}" name="JAM KELUAR" dataDxfId="466"/>
    <tableColumn id="6" xr3:uid="{91018B9C-544B-4AEF-8AA7-63C4CE8E069C}" name="JAM MASUK" dataDxfId="465"/>
    <tableColumn id="5" xr3:uid="{04E77522-CB02-4740-B60A-4FDFE328E6E5}" name="TOTAL JAM KERJA" dataDxfId="464">
      <calculatedColumnFormula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calculatedColumnFormula>
    </tableColumn>
    <tableColumn id="3" xr3:uid="{C39D41A3-1748-486D-8041-A531B21FF69B}" name="Retase" dataDxfId="463"/>
    <tableColumn id="4" xr3:uid="{C784FC0F-DB07-4715-8B9C-2136D3D3256F}" name="Keterangan" dataDxfId="462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E63922-D50E-4281-BDDA-3A5358E61182}" name="Table1345678910111518192327313742475259271217222732284146529096801031091151211261201351408" displayName="Table1345678910111518192327313742475259271217222732284146529096801031091151211261201351408" ref="AA5:AG19" totalsRowShown="0" headerRowDxfId="1352" dataDxfId="1351">
  <autoFilter ref="AA5:AG19" xr:uid="{D7E74646-277B-4974-8CB5-5FC4622C64EB}"/>
  <sortState xmlns:xlrd2="http://schemas.microsoft.com/office/spreadsheetml/2017/richdata2" ref="AA6:AG19">
    <sortCondition ref="AF5:AF19"/>
  </sortState>
  <tableColumns count="7">
    <tableColumn id="1" xr3:uid="{2E726493-81EE-4608-8D41-56DBCE2CCE2A}" name="No" dataDxfId="1350"/>
    <tableColumn id="2" xr3:uid="{23F0C4DD-1DDD-40DE-8E2C-D5495BDCCCEB}" name="Id unit" dataDxfId="1349"/>
    <tableColumn id="7" xr3:uid="{7A85DB4D-EC91-47D4-B08F-38B980403D95}" name="JAM KELUAR" dataDxfId="1348"/>
    <tableColumn id="6" xr3:uid="{EF901ABD-CD90-4308-BA0A-5345260C6002}" name="JAM MASUK" dataDxfId="1347"/>
    <tableColumn id="5" xr3:uid="{8AEE7BC9-8000-4707-B82D-0006EEC7B12A}" name="TOTAL JAM KERJA" dataDxfId="1346">
      <calculatedColumnFormula>AD6-AC6</calculatedColumnFormula>
    </tableColumn>
    <tableColumn id="3" xr3:uid="{18224C29-8E6B-4747-BB31-F37EA2472651}" name="Retase" dataDxfId="1345"/>
    <tableColumn id="4" xr3:uid="{93FA580E-B074-474C-8902-BC1F5FDB5B58}" name="Keterangan" dataDxfId="1344"/>
  </tableColumns>
  <tableStyleInfo name="TableStyleLight9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C57D1F45-6D11-436A-8BB4-645E34981F73}" name="Table134567891011172226303540455055625101520253034384348549298871051111171231281321371421015252031374349556167737883889398103108" displayName="Table134567891011172226303540455055625101520253034384348549298871051111171231281321371421015252031374349556167737883889398103108" ref="O6:U12" totalsRowShown="0" headerRowDxfId="461" dataDxfId="460">
  <autoFilter ref="O6:U12" xr:uid="{913DA601-D705-4926-AB5D-13C5C55E5198}"/>
  <sortState xmlns:xlrd2="http://schemas.microsoft.com/office/spreadsheetml/2017/richdata2" ref="O7:U12">
    <sortCondition ref="T6:T12"/>
  </sortState>
  <tableColumns count="7">
    <tableColumn id="1" xr3:uid="{A6C52677-6138-46F6-B9FB-1EE6D50A6065}" name="No" dataDxfId="459"/>
    <tableColumn id="2" xr3:uid="{F64825B9-D27C-41A6-AE3E-602CEDAD27CE}" name="Id unit" dataDxfId="458"/>
    <tableColumn id="7" xr3:uid="{428891D8-DC40-4120-8837-EEA4E9ADA3BB}" name="JAM KELUAR" dataDxfId="457"/>
    <tableColumn id="6" xr3:uid="{2355F8DB-DDDF-4905-94BF-2F6A6C2897D2}" name="JAM MASUK" dataDxfId="456"/>
    <tableColumn id="5" xr3:uid="{0075B358-177A-4CC7-9216-EBD754F05126}" name="TOTAL JAM KERJA" dataDxfId="455">
      <calculatedColumnFormula>R7-Q7</calculatedColumnFormula>
    </tableColumn>
    <tableColumn id="3" xr3:uid="{1BA6EDF7-2335-4F9E-9FDC-878A8E13E5C3}" name="Retase" dataDxfId="454"/>
    <tableColumn id="4" xr3:uid="{DE623B32-CE06-45B7-A113-E84F16E99191}" name="Keterangan" dataDxfId="453"/>
  </tableColumns>
  <tableStyleInfo name="TableStyleLight9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9595D8E1-ECD3-44AE-A7C6-D9BD3AF1324A}" name="Table134567891011172226303540455055625101520253034374045505694100891071131191251301341391441217272233394551576369747984899499104109" displayName="Table134567891011172226303540455055625101520253034374045505694100891071131191251301341391441217272233394551576369747984899499104109" ref="O53:U75" totalsRowShown="0" headerRowDxfId="452" dataDxfId="451">
  <autoFilter ref="O53:U75" xr:uid="{73F1D503-EB31-47E3-A68C-36339D21CE7D}"/>
  <tableColumns count="7">
    <tableColumn id="1" xr3:uid="{4535D857-30E0-4A7C-9C8B-05C8EEEA6EAD}" name="No" dataDxfId="450"/>
    <tableColumn id="2" xr3:uid="{5B6B4EA8-48DF-4062-A66E-B0C3FA0BFE5D}" name="Id unit" dataDxfId="449"/>
    <tableColumn id="7" xr3:uid="{BD426DA3-BB92-4C03-8193-D432A8541170}" name="JAM KELUAR" dataDxfId="448"/>
    <tableColumn id="6" xr3:uid="{28AC0E61-6F62-4251-A3A0-B7F498E35542}" name="JAM MASUK" dataDxfId="447"/>
    <tableColumn id="5" xr3:uid="{4CAE5FA7-43AB-4967-83D3-93F921FEFAC7}" name="TOTAL JAM KERJA" dataDxfId="446"/>
    <tableColumn id="3" xr3:uid="{2E85A14F-1F14-47E0-A763-84683292FD45}" name="Retase" dataDxfId="445"/>
    <tableColumn id="4" xr3:uid="{C4BB4B10-C87A-489A-BB9D-A9EBFCA2898D}" name="Keterangan" dataDxfId="444"/>
  </tableColumns>
  <tableStyleInfo name="TableStyleLight9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3F3ED37-546A-471D-B0D8-2B207EC853D3}" name="Table134567891011151819232731374247525927121722273228414652909680103109115121126120135140813231828344046525864707580859095100105110" displayName="Table134567891011151819232731374247525927121722273228414652909680103109115121126120135140813231828344046525864707580859095100105110" ref="AA6:AG30" totalsRowShown="0" headerRowDxfId="443" dataDxfId="442">
  <autoFilter ref="AA6:AG30" xr:uid="{1FD47352-F590-4544-A385-64ACA480A10C}"/>
  <sortState xmlns:xlrd2="http://schemas.microsoft.com/office/spreadsheetml/2017/richdata2" ref="AA7:AG30">
    <sortCondition ref="AF6:AF30"/>
  </sortState>
  <tableColumns count="7">
    <tableColumn id="1" xr3:uid="{C7C2F237-C85A-4C25-9797-E3B382591018}" name="No" dataDxfId="441"/>
    <tableColumn id="2" xr3:uid="{BB8991D6-F74B-47D3-B9D3-AD4AA15D24EC}" name="Id unit" dataDxfId="440"/>
    <tableColumn id="7" xr3:uid="{2683D9AA-ABEA-4003-8BB6-5E8BF7967531}" name="JAM KELUAR" dataDxfId="439"/>
    <tableColumn id="6" xr3:uid="{08CA29DF-5C63-4A55-84CB-FF26CC9DF067}" name="JAM MASUK" dataDxfId="438"/>
    <tableColumn id="5" xr3:uid="{3933E8B0-48AC-46A7-94DF-D20D2252039F}" name="TOTAL JAM KERJA" dataDxfId="437">
      <calculatedColumnFormula>AD7-AC7</calculatedColumnFormula>
    </tableColumn>
    <tableColumn id="3" xr3:uid="{4E0BF698-7FEE-4C8D-915F-DDD1B06EB604}" name="Retase" dataDxfId="436"/>
    <tableColumn id="4" xr3:uid="{70818745-9751-47A4-BFC7-46D1885CF5CD}" name="Keterangan" dataDxfId="435"/>
  </tableColumns>
  <tableStyleInfo name="TableStyleLight9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B7B0B3D9-FD15-4640-9AA2-74D5500D81EF}" name="Table134567891011151819232731374247525927121722273228414652909680103109115121126120135140813231829354147535965717681869196101106111" displayName="Table134567891011151819232731374247525927121722273228414652909680103109115121126120135140813231829354147535965717681869196101106111" ref="AM6:AS28" totalsRowShown="0" headerRowDxfId="434" dataDxfId="433">
  <autoFilter ref="AM6:AS28" xr:uid="{D7E74646-277B-4974-8CB5-5FC4622C64EB}"/>
  <sortState xmlns:xlrd2="http://schemas.microsoft.com/office/spreadsheetml/2017/richdata2" ref="AM7:AS28">
    <sortCondition ref="AR6:AR28"/>
  </sortState>
  <tableColumns count="7">
    <tableColumn id="1" xr3:uid="{D28D5DC6-DF69-4601-A4E2-C7AEC3C63E42}" name="No" dataDxfId="432"/>
    <tableColumn id="2" xr3:uid="{6D920054-AFE8-4A89-9B0C-4A1C19F0627B}" name="Id unit" dataDxfId="431"/>
    <tableColumn id="7" xr3:uid="{6210BC68-7AA3-4F80-BE41-259B7A2BA159}" name="JAM KELUAR" dataDxfId="430"/>
    <tableColumn id="6" xr3:uid="{BF1FA28B-2DEE-4511-9524-6D1E01405472}" name="JAM MASUK" dataDxfId="429"/>
    <tableColumn id="5" xr3:uid="{833AE695-DB1B-4A16-ABA8-7E8DF751F31E}" name="TOTAL JAM KERJA" dataDxfId="428">
      <calculatedColumnFormula>AP7-AO7</calculatedColumnFormula>
    </tableColumn>
    <tableColumn id="3" xr3:uid="{4F6BB1CD-8172-4458-82E6-613AFCCA4742}" name="Retase" dataDxfId="427"/>
    <tableColumn id="4" xr3:uid="{3DA43AD6-CB4F-4CF8-B7D0-8FF5201DF8EB}" name="Keterangan" dataDxfId="426"/>
  </tableColumns>
  <tableStyleInfo name="TableStyleLight9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CC8102C0-1C96-4867-83CE-0D379614DFC4}" name="Table13245678910111321252934394449546149141924293336424753919786104110116122127131136141914241930364248546066727782879297102107112" displayName="Table13245678910111321252934394449546149141924293336424753919786104110116122127131136141914241930364248546066727782879297102107112" ref="B6:H26" totalsRowShown="0" headerRowDxfId="425" dataDxfId="424">
  <autoFilter ref="B6:H26" xr:uid="{B9ABE090-A7D1-4C32-83AF-14F7024EA175}"/>
  <sortState xmlns:xlrd2="http://schemas.microsoft.com/office/spreadsheetml/2017/richdata2" ref="B7:H26">
    <sortCondition ref="G6:G26"/>
  </sortState>
  <tableColumns count="7">
    <tableColumn id="1" xr3:uid="{96D54864-ACE0-4369-BAD9-A139D60CB30A}" name="No" dataDxfId="423"/>
    <tableColumn id="2" xr3:uid="{8766ABA9-11F9-43D7-866C-F3EEFCC1DB77}" name="Id unit" dataDxfId="422"/>
    <tableColumn id="7" xr3:uid="{915E5D6F-9EF3-4263-9F84-97CFC0E0AED5}" name="JAM KELUAR" dataDxfId="421"/>
    <tableColumn id="6" xr3:uid="{707EBC5F-6ED5-4A7E-ABFD-A422A41360B7}" name="JAM MASUK" dataDxfId="420"/>
    <tableColumn id="5" xr3:uid="{CE315FC3-4A19-4322-87CF-100AE2F73FD9}" name="TOTAL JAM KERJA" dataDxfId="419">
      <calculatedColumnFormula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calculatedColumnFormula>
    </tableColumn>
    <tableColumn id="3" xr3:uid="{2ECBA190-0C53-4A6C-B9DC-D98C8CF8DFA8}" name="Retase" dataDxfId="418"/>
    <tableColumn id="4" xr3:uid="{6FFB9AC2-EDEE-4DD4-9D14-9FCA9F67F6AC}" name="Keterangan" dataDxfId="417"/>
  </tableColumns>
  <tableStyleInfo name="TableStyleLight9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61CD51A5-BA4C-4987-B9A0-0AB80F60EFEA}" name="Table134567891011172226303540455055625101520253034384348549298871051111171231281321371421015252031374349556167737883889398103108113" displayName="Table134567891011172226303540455055625101520253034384348549298871051111171231281321371421015252031374349556167737883889398103108113" ref="O6:U12" totalsRowShown="0" headerRowDxfId="416" dataDxfId="415">
  <autoFilter ref="O6:U12" xr:uid="{913DA601-D705-4926-AB5D-13C5C55E5198}"/>
  <sortState xmlns:xlrd2="http://schemas.microsoft.com/office/spreadsheetml/2017/richdata2" ref="O7:U12">
    <sortCondition ref="T6:T12"/>
  </sortState>
  <tableColumns count="7">
    <tableColumn id="1" xr3:uid="{6F7F52D1-3DC4-495F-BCFC-3C82272F451B}" name="No" dataDxfId="414"/>
    <tableColumn id="2" xr3:uid="{31B49D3C-8593-41DA-802E-A8679DE2246B}" name="Id unit" dataDxfId="413"/>
    <tableColumn id="7" xr3:uid="{73643369-7E21-4383-A5A3-6CF947DA480D}" name="JAM KELUAR" dataDxfId="412"/>
    <tableColumn id="6" xr3:uid="{58CA6629-A6F3-4142-88D1-EC00FBCADC39}" name="JAM MASUK" dataDxfId="411"/>
    <tableColumn id="5" xr3:uid="{A65EAE7A-5D6F-4B7E-952E-9638D7FBCF2A}" name="TOTAL JAM KERJA" dataDxfId="410">
      <calculatedColumnFormula>R7-Q7</calculatedColumnFormula>
    </tableColumn>
    <tableColumn id="3" xr3:uid="{CD1F8050-2A17-463F-8165-E519A91A12C5}" name="Retase" dataDxfId="409"/>
    <tableColumn id="4" xr3:uid="{3C30E225-A717-4FE6-832D-5C1A25C8275E}" name="Keterangan" dataDxfId="408"/>
  </tableColumns>
  <tableStyleInfo name="TableStyleLight9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EB171F4-264E-4852-8A1F-D8C2554B9AB2}" name="Table134567891011172226303540455055625101520253034374045505694100891071131191251301341391441217272233394551576369747984899499104109114" displayName="Table134567891011172226303540455055625101520253034374045505694100891071131191251301341391441217272233394551576369747984899499104109114" ref="O53:U75" totalsRowShown="0" headerRowDxfId="407" dataDxfId="406">
  <autoFilter ref="O53:U75" xr:uid="{73F1D503-EB31-47E3-A68C-36339D21CE7D}"/>
  <tableColumns count="7">
    <tableColumn id="1" xr3:uid="{71796DDE-0AA2-4B34-BA2A-50A97312D099}" name="No" dataDxfId="405"/>
    <tableColumn id="2" xr3:uid="{48266F8F-B58C-40CF-84E9-DF72AC30CC98}" name="Id unit" dataDxfId="404"/>
    <tableColumn id="7" xr3:uid="{E1466958-1D0B-4C8A-935C-84D1DC1B1662}" name="JAM KELUAR" dataDxfId="403"/>
    <tableColumn id="6" xr3:uid="{030A8123-C298-4478-9270-3D6DAC86B2A7}" name="JAM MASUK" dataDxfId="402"/>
    <tableColumn id="5" xr3:uid="{B6DD5B95-5556-44A0-93CC-CB7925B65224}" name="TOTAL JAM KERJA" dataDxfId="401"/>
    <tableColumn id="3" xr3:uid="{E1C5611F-A4FD-4270-8B71-4DA61E38FB26}" name="Retase" dataDxfId="400"/>
    <tableColumn id="4" xr3:uid="{F2897BD1-88BE-4EBF-8BA4-35D49FB664E8}" name="Keterangan" dataDxfId="399"/>
  </tableColumns>
  <tableStyleInfo name="TableStyleLight9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98A0ECFD-575D-4F1A-A11F-A9CF99DA55A7}" name="Table134567891011151819232731374247525927121722273228414652909680103109115121126120135140813231828344046525864707580859095100105110115" displayName="Table134567891011151819232731374247525927121722273228414652909680103109115121126120135140813231828344046525864707580859095100105110115" ref="AA6:AG34" totalsRowShown="0" headerRowDxfId="398" dataDxfId="397">
  <autoFilter ref="AA6:AG34" xr:uid="{1FD47352-F590-4544-A385-64ACA480A10C}"/>
  <sortState xmlns:xlrd2="http://schemas.microsoft.com/office/spreadsheetml/2017/richdata2" ref="AA7:AG34">
    <sortCondition ref="AF6:AF34"/>
  </sortState>
  <tableColumns count="7">
    <tableColumn id="1" xr3:uid="{635D119F-E8B0-4219-B393-32087B60A167}" name="No" dataDxfId="396"/>
    <tableColumn id="2" xr3:uid="{7ABC8F1F-7140-43BD-89D5-6A48C3008F19}" name="Id unit" dataDxfId="395"/>
    <tableColumn id="7" xr3:uid="{5128EF9B-93FE-4FF8-9316-B61342D6D792}" name="JAM KELUAR" dataDxfId="394"/>
    <tableColumn id="6" xr3:uid="{9B035E59-9619-42D0-B30A-1E23CE6E25A8}" name="JAM MASUK" dataDxfId="393"/>
    <tableColumn id="5" xr3:uid="{B6514545-0509-4CAE-9CAA-BDB5D721C011}" name="TOTAL JAM KERJA" dataDxfId="392">
      <calculatedColumnFormula>AD7-AC7</calculatedColumnFormula>
    </tableColumn>
    <tableColumn id="3" xr3:uid="{ED03E063-FACF-4B4E-AE60-F64A96BD835A}" name="Retase" dataDxfId="391"/>
    <tableColumn id="4" xr3:uid="{5BDBB41C-684B-41B4-9BBF-651B2A6455F0}" name="Keterangan" dataDxfId="390"/>
  </tableColumns>
  <tableStyleInfo name="TableStyleLight9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34A7D83E-3960-4B55-8A40-4945659DFDD5}" name="Table134567891011151819232731374247525927121722273228414652909680103109115121126120135140813231829354147535965717681869196101106111116" displayName="Table134567891011151819232731374247525927121722273228414652909680103109115121126120135140813231829354147535965717681869196101106111116" ref="AM6:AS27" totalsRowShown="0" headerRowDxfId="389" dataDxfId="388">
  <autoFilter ref="AM6:AS27" xr:uid="{D7E74646-277B-4974-8CB5-5FC4622C64EB}"/>
  <sortState xmlns:xlrd2="http://schemas.microsoft.com/office/spreadsheetml/2017/richdata2" ref="AM7:AS27">
    <sortCondition ref="AR6:AR27"/>
  </sortState>
  <tableColumns count="7">
    <tableColumn id="1" xr3:uid="{93BB3675-76D2-4C98-8EEC-52302D88BDC2}" name="No" dataDxfId="387"/>
    <tableColumn id="2" xr3:uid="{43F05378-DAD2-45A6-80E8-02B38CA2669D}" name="Id unit" dataDxfId="386"/>
    <tableColumn id="7" xr3:uid="{1FF1C60D-5422-4774-B13A-C6C6216D2AD4}" name="JAM KELUAR" dataDxfId="385"/>
    <tableColumn id="6" xr3:uid="{3A7BAA50-FDD9-4D71-B618-5042A922EA12}" name="JAM MASUK" dataDxfId="384"/>
    <tableColumn id="5" xr3:uid="{14D423F1-F908-4C93-9B1D-F09A20179A71}" name="TOTAL JAM KERJA" dataDxfId="383">
      <calculatedColumnFormula>AP7-AO7</calculatedColumnFormula>
    </tableColumn>
    <tableColumn id="3" xr3:uid="{DCC43E76-721F-4798-9FCE-F67250B1AAD6}" name="Retase" dataDxfId="382"/>
    <tableColumn id="4" xr3:uid="{7572F31B-927C-4352-85FE-674D45F5A7B9}" name="Keterangan" dataDxfId="381"/>
  </tableColumns>
  <tableStyleInfo name="TableStyleLight9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34063E98-AB48-428D-82C5-6722E266AF7F}" name="Table13245678910111321252934394449546149141924293336424753919786104110116122127131136141914241930364248546066727782879297102107112117" displayName="Table13245678910111321252934394449546149141924293336424753919786104110116122127131136141914241930364248546066727782879297102107112117" ref="B6:H27" totalsRowShown="0" headerRowDxfId="380" dataDxfId="379">
  <autoFilter ref="B6:H27" xr:uid="{B9ABE090-A7D1-4C32-83AF-14F7024EA175}"/>
  <sortState xmlns:xlrd2="http://schemas.microsoft.com/office/spreadsheetml/2017/richdata2" ref="B7:H27">
    <sortCondition ref="G6:G27"/>
  </sortState>
  <tableColumns count="7">
    <tableColumn id="1" xr3:uid="{6B2AC70D-180C-47E1-9537-4BE74E3A1F94}" name="No" dataDxfId="378"/>
    <tableColumn id="2" xr3:uid="{A53EFFE6-5160-4386-8DE9-ED875B8729AD}" name="Id unit" dataDxfId="377"/>
    <tableColumn id="7" xr3:uid="{F7E14E4F-97F4-46E7-A211-001C9A68E63F}" name="JAM KELUAR" dataDxfId="376"/>
    <tableColumn id="6" xr3:uid="{AAD483AC-05E2-4103-8BB1-23549A57EFA2}" name="JAM MASUK" dataDxfId="375"/>
    <tableColumn id="5" xr3:uid="{E9F2AB9C-7D90-4632-A976-EF9320B8CE3D}" name="TOTAL JAM KERJA" dataDxfId="374">
      <calculatedColumnFormula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calculatedColumnFormula>
    </tableColumn>
    <tableColumn id="3" xr3:uid="{6970C510-0A60-40E3-93BC-0EE6C692CA3A}" name="Retase" dataDxfId="373"/>
    <tableColumn id="4" xr3:uid="{D3A30530-7683-4AA6-9DF7-1D5EB6367064}" name="Keterangan" dataDxfId="37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B235DC-02C0-420D-B473-152D7C219B63}" name="Table132456789101113212529343944495461491419242933364247539197861041101161221271311361419" displayName="Table132456789101113212529343944495461491419242933364247539197861041101161221271311361419" ref="B5:H28" totalsRowShown="0" headerRowDxfId="1343" dataDxfId="1342">
  <autoFilter ref="B5:H28" xr:uid="{B9ABE090-A7D1-4C32-83AF-14F7024EA175}"/>
  <sortState xmlns:xlrd2="http://schemas.microsoft.com/office/spreadsheetml/2017/richdata2" ref="B6:H28">
    <sortCondition ref="G5:G28"/>
  </sortState>
  <tableColumns count="7">
    <tableColumn id="1" xr3:uid="{C96DD52B-C1A1-44E8-9CD0-282308DAD04D}" name="No" dataDxfId="1341"/>
    <tableColumn id="2" xr3:uid="{716D56E0-48EF-4859-8C13-75219C260EB6}" name="Id unit" dataDxfId="1340"/>
    <tableColumn id="7" xr3:uid="{3F618853-B264-4ACB-B896-BD25635D0928}" name="JAM KELUAR" dataDxfId="1339"/>
    <tableColumn id="6" xr3:uid="{0158E67A-7C10-4567-9510-2436285E9DEC}" name="JAM MASUK" dataDxfId="1338"/>
    <tableColumn id="5" xr3:uid="{AF261D60-67C7-49EC-BFB0-2641FF9A8B7D}" name="TOTAL JAM KERJA" dataDxfId="1337">
      <calculatedColumnFormula>Table132456789101113212529343944495461491419242933364247539197861041101161221271311361419[[#This Row],[JAM MASUK]]-Table132456789101113212529343944495461491419242933364247539197861041101161221271311361419[[#This Row],[JAM KELUAR]]</calculatedColumnFormula>
    </tableColumn>
    <tableColumn id="3" xr3:uid="{9104020E-6852-4157-9C04-237C50D7EF6B}" name="Retase" dataDxfId="1336"/>
    <tableColumn id="4" xr3:uid="{485BF067-2316-42A4-8515-A77DE2967518}" name="Keterangan" dataDxfId="1335"/>
  </tableColumns>
  <tableStyleInfo name="TableStyleLight9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47D6E08C-FD81-41AD-9D11-996620E2E0A1}" name="Table134567891011172226303540455055625101520253034384348549298871051111171231281321371421015252031374349556167737883889398103108113118" displayName="Table134567891011172226303540455055625101520253034384348549298871051111171231281321371421015252031374349556167737883889398103108113118" ref="O6:U10" totalsRowShown="0" headerRowDxfId="371" dataDxfId="370">
  <autoFilter ref="O6:U10" xr:uid="{913DA601-D705-4926-AB5D-13C5C55E5198}"/>
  <sortState xmlns:xlrd2="http://schemas.microsoft.com/office/spreadsheetml/2017/richdata2" ref="O7:U10">
    <sortCondition ref="T6:T10"/>
  </sortState>
  <tableColumns count="7">
    <tableColumn id="1" xr3:uid="{1CAFDED6-D4F0-464A-9477-30C0B33C31E3}" name="No" dataDxfId="369"/>
    <tableColumn id="2" xr3:uid="{A036CC20-5A27-4924-AAD9-18CD8702EE10}" name="Id unit" dataDxfId="368"/>
    <tableColumn id="7" xr3:uid="{F5B7F1A5-EC4A-4088-B7B2-BCA74E16B60A}" name="JAM KELUAR" dataDxfId="367"/>
    <tableColumn id="6" xr3:uid="{859653C8-7972-41A0-927A-98681D85E046}" name="JAM MASUK" dataDxfId="366"/>
    <tableColumn id="5" xr3:uid="{EEFD4CE5-8EAB-485C-8421-F0D68928B452}" name="TOTAL JAM KERJA" dataDxfId="365">
      <calculatedColumnFormula>R7-Q7</calculatedColumnFormula>
    </tableColumn>
    <tableColumn id="3" xr3:uid="{E4DFB074-D82D-4EC8-9799-1104A1C53884}" name="Retase" dataDxfId="364"/>
    <tableColumn id="4" xr3:uid="{9E734268-61E4-408E-85F0-4FB16365F593}" name="Keterangan" dataDxfId="363"/>
  </tableColumns>
  <tableStyleInfo name="TableStyleLight9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84F7A9CE-09B2-4062-99D2-B1F6FF2A1C6D}" name="Table134567891011172226303540455055625101520253034374045505694100891071131191251301341391441217272233394551576369747984899499104109114119" displayName="Table134567891011172226303540455055625101520253034374045505694100891071131191251301341391441217272233394551576369747984899499104109114119" ref="O51:U73" totalsRowShown="0" headerRowDxfId="362" dataDxfId="361">
  <autoFilter ref="O51:U73" xr:uid="{73F1D503-EB31-47E3-A68C-36339D21CE7D}"/>
  <tableColumns count="7">
    <tableColumn id="1" xr3:uid="{7B7A262D-D59E-4915-AB7A-BBB57F94B53C}" name="No" dataDxfId="360"/>
    <tableColumn id="2" xr3:uid="{C83AF1B4-61CE-4FBD-AF87-7DA9736F9CAC}" name="Id unit" dataDxfId="359"/>
    <tableColumn id="7" xr3:uid="{C584A39C-0447-46DF-8C6F-FDF204B62350}" name="JAM KELUAR" dataDxfId="358"/>
    <tableColumn id="6" xr3:uid="{639D1095-4FEF-40CD-91DE-C81CC0119C2D}" name="JAM MASUK" dataDxfId="357"/>
    <tableColumn id="5" xr3:uid="{A1C5E063-680E-47DE-AC7E-54C40F445FB7}" name="TOTAL JAM KERJA" dataDxfId="356"/>
    <tableColumn id="3" xr3:uid="{38E83DFD-CB9C-462A-9D82-FA092AA79F54}" name="Retase" dataDxfId="355"/>
    <tableColumn id="4" xr3:uid="{2F7B143C-6D9B-4F8C-A475-1F8E9C8DDF52}" name="Keterangan" dataDxfId="354"/>
  </tableColumns>
  <tableStyleInfo name="TableStyleLight9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6E04AB6B-979F-44A9-95FD-A7AD1A830AEC}" name="Table134567891011151819232731374247525927121722273228414652909680103109115121126120135140813231828344046525864707580859095100105110115120" displayName="Table134567891011151819232731374247525927121722273228414652909680103109115121126120135140813231828344046525864707580859095100105110115120" ref="AA6:AG34" totalsRowShown="0" headerRowDxfId="353" dataDxfId="352">
  <autoFilter ref="AA6:AG34" xr:uid="{1FD47352-F590-4544-A385-64ACA480A10C}"/>
  <sortState xmlns:xlrd2="http://schemas.microsoft.com/office/spreadsheetml/2017/richdata2" ref="AA7:AG34">
    <sortCondition ref="AF6:AF34"/>
  </sortState>
  <tableColumns count="7">
    <tableColumn id="1" xr3:uid="{DCF13FE9-C201-4D5E-B2E1-F66C4B8E6A45}" name="No" dataDxfId="351"/>
    <tableColumn id="2" xr3:uid="{BE073E00-B0D9-4924-860C-DE9C76A5512F}" name="Id unit" dataDxfId="350"/>
    <tableColumn id="7" xr3:uid="{BD387A98-9640-4AB1-A412-DA80B00585EB}" name="JAM KELUAR" dataDxfId="349"/>
    <tableColumn id="6" xr3:uid="{63B919E6-D426-4667-918C-D97848B4C694}" name="JAM MASUK" dataDxfId="348"/>
    <tableColumn id="5" xr3:uid="{34CCFEDB-9AF2-4F9E-B50F-D0B8D2DDA940}" name="TOTAL JAM KERJA" dataDxfId="347">
      <calculatedColumnFormula>AD7-AC7</calculatedColumnFormula>
    </tableColumn>
    <tableColumn id="3" xr3:uid="{76E26122-C651-4A8E-B032-26FA0726A582}" name="Retase" dataDxfId="346"/>
    <tableColumn id="4" xr3:uid="{D6571C7F-A651-4B5C-B45B-273E35A40422}" name="Keterangan" dataDxfId="345"/>
  </tableColumns>
  <tableStyleInfo name="TableStyleLight9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988ED1CF-4082-4A5C-92DC-361C0BAF5D6C}" name="Table134567891011151819232731374247525927121722273228414652909680103109115121126120135140813231829354147535965717681869196101106111116121" displayName="Table134567891011151819232731374247525927121722273228414652909680103109115121126120135140813231829354147535965717681869196101106111116121" ref="AM6:AS26" totalsRowShown="0" headerRowDxfId="344" dataDxfId="343">
  <autoFilter ref="AM6:AS26" xr:uid="{D7E74646-277B-4974-8CB5-5FC4622C64EB}"/>
  <sortState xmlns:xlrd2="http://schemas.microsoft.com/office/spreadsheetml/2017/richdata2" ref="AM7:AS26">
    <sortCondition ref="AR6:AR26"/>
  </sortState>
  <tableColumns count="7">
    <tableColumn id="1" xr3:uid="{0BE99519-6146-4E9A-8BFD-1FC328EE3B34}" name="No" dataDxfId="342"/>
    <tableColumn id="2" xr3:uid="{B8A92BFC-B563-4210-B04C-E7D96B2D4E18}" name="Id unit" dataDxfId="341"/>
    <tableColumn id="7" xr3:uid="{AC0870AF-B95F-48E5-AF10-739442C457E0}" name="JAM KELUAR" dataDxfId="340"/>
    <tableColumn id="6" xr3:uid="{F61A14DD-3599-4DCF-B940-C10E047D945D}" name="JAM MASUK" dataDxfId="339"/>
    <tableColumn id="5" xr3:uid="{BDDA679A-27E5-456C-85B9-044680A2AE20}" name="TOTAL JAM KERJA" dataDxfId="338">
      <calculatedColumnFormula>AP7-AO7</calculatedColumnFormula>
    </tableColumn>
    <tableColumn id="3" xr3:uid="{655DA29B-DE21-4912-AF1A-F4F4C307BE73}" name="Retase" dataDxfId="337"/>
    <tableColumn id="4" xr3:uid="{8A3564BD-D473-44C6-9D9B-DDDF384F8F22}" name="Keterangan" dataDxfId="336"/>
  </tableColumns>
  <tableStyleInfo name="TableStyleLight9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4ED6CC1E-265C-42F6-9AA5-974CF8907811}" name="Table13245678910111321252934394449546149141924293336424753919786104110116122127131136141914241930364248546066727782879297102107112117122" displayName="Table13245678910111321252934394449546149141924293336424753919786104110116122127131136141914241930364248546066727782879297102107112117122" ref="B6:H28" totalsRowShown="0" headerRowDxfId="335" dataDxfId="334">
  <autoFilter ref="B6:H28" xr:uid="{B9ABE090-A7D1-4C32-83AF-14F7024EA175}"/>
  <sortState xmlns:xlrd2="http://schemas.microsoft.com/office/spreadsheetml/2017/richdata2" ref="B7:H28">
    <sortCondition ref="G6:G28"/>
  </sortState>
  <tableColumns count="7">
    <tableColumn id="1" xr3:uid="{35EF8845-3F81-427C-A57F-5FE30FD489B1}" name="No" dataDxfId="333"/>
    <tableColumn id="2" xr3:uid="{E7AC6DE1-4F1C-4884-8F0B-6E620B23973E}" name="Id unit" dataDxfId="332"/>
    <tableColumn id="7" xr3:uid="{2FCB2EA9-55F5-4BFD-BD00-949905B29374}" name="JAM KELUAR" dataDxfId="331"/>
    <tableColumn id="6" xr3:uid="{06CBA3F2-E61F-472E-8C39-A0BCEE765ACE}" name="JAM MASUK" dataDxfId="330"/>
    <tableColumn id="5" xr3:uid="{588E15BC-4C80-420B-98EE-CA81BB5834F6}" name="TOTAL JAM KERJA" dataDxfId="329">
      <calculatedColumnFormula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calculatedColumnFormula>
    </tableColumn>
    <tableColumn id="3" xr3:uid="{76170078-E814-4A10-91AC-622852996FC0}" name="Retase" dataDxfId="328"/>
    <tableColumn id="4" xr3:uid="{5E98E7BF-5F93-4303-AB6B-18727B0549E0}" name="Keterangan" dataDxfId="327"/>
  </tableColumns>
  <tableStyleInfo name="TableStyleLight9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8010DDE7-9B0E-4581-B807-7D992A551498}" name="Table134567891011172226303540455055625101520253034384348549298871051111171231281321371421015252031374349556167737883889398103108113118123" displayName="Table134567891011172226303540455055625101520253034384348549298871051111171231281321371421015252031374349556167737883889398103108113118123" ref="O6:U12" totalsRowShown="0" headerRowDxfId="326" dataDxfId="325">
  <autoFilter ref="O6:U12" xr:uid="{913DA601-D705-4926-AB5D-13C5C55E5198}"/>
  <sortState xmlns:xlrd2="http://schemas.microsoft.com/office/spreadsheetml/2017/richdata2" ref="O7:U12">
    <sortCondition ref="T6:T12"/>
  </sortState>
  <tableColumns count="7">
    <tableColumn id="1" xr3:uid="{F050B8E2-D589-44DA-905B-829609BA9D9E}" name="No" dataDxfId="324"/>
    <tableColumn id="2" xr3:uid="{6671CD01-EF7C-41A3-B57C-A735A7842853}" name="Id unit" dataDxfId="323"/>
    <tableColumn id="7" xr3:uid="{0329DE3F-44E0-409E-B058-A0E7D0B404C7}" name="JAM KELUAR" dataDxfId="322"/>
    <tableColumn id="6" xr3:uid="{0CE1C8E9-3588-4B45-BD2C-4394D2551C4E}" name="JAM MASUK" dataDxfId="321"/>
    <tableColumn id="5" xr3:uid="{15AF72F3-660E-409E-AA10-2279C7CFE16C}" name="TOTAL JAM KERJA" dataDxfId="320">
      <calculatedColumnFormula>Table134567891011172226303540455055625101520253034384348549298871051111171231281321371421015252031374349556167737883889398103108113118123[[#This Row],[JAM MASUK]]-Table134567891011172226303540455055625101520253034384348549298871051111171231281321371421015252031374349556167737883889398103108113118123[[#This Row],[JAM KELUAR]]</calculatedColumnFormula>
    </tableColumn>
    <tableColumn id="3" xr3:uid="{4857C492-ED1A-49DE-B82F-92CC25BCBE55}" name="Retase" dataDxfId="319"/>
    <tableColumn id="4" xr3:uid="{89F82B4E-30A8-46D8-837D-056A69FEA62F}" name="Keterangan" dataDxfId="318"/>
  </tableColumns>
  <tableStyleInfo name="TableStyleLight9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9B2AD83C-6BA2-4738-B20F-A34F4D5909A8}" name="Table134567891011172226303540455055625101520253034374045505694100891071131191251301341391441217272233394551576369747984899499104109114119124" displayName="Table134567891011172226303540455055625101520253034374045505694100891071131191251301341391441217272233394551576369747984899499104109114119124" ref="O51:U73" totalsRowShown="0" headerRowDxfId="317" dataDxfId="316">
  <autoFilter ref="O51:U73" xr:uid="{73F1D503-EB31-47E3-A68C-36339D21CE7D}"/>
  <tableColumns count="7">
    <tableColumn id="1" xr3:uid="{7CF94141-6E8F-4BE9-9479-C04B14E7DFC3}" name="No" dataDxfId="315"/>
    <tableColumn id="2" xr3:uid="{968D3CD8-24FC-4457-8404-F5578E4E80E9}" name="Id unit" dataDxfId="314"/>
    <tableColumn id="7" xr3:uid="{AA77E130-45B7-412F-90FC-141B88772B7F}" name="JAM KELUAR" dataDxfId="313"/>
    <tableColumn id="6" xr3:uid="{23C0949F-B645-4236-8F52-8D034D0618EA}" name="JAM MASUK" dataDxfId="312"/>
    <tableColumn id="5" xr3:uid="{CE487406-BE68-4BDF-955D-5AC69D4C402B}" name="TOTAL JAM KERJA" dataDxfId="311"/>
    <tableColumn id="3" xr3:uid="{3D603AE7-4174-411F-9F14-E363DDF6F656}" name="Retase" dataDxfId="310"/>
    <tableColumn id="4" xr3:uid="{C60D6BC5-89E9-4BB6-ABA2-9965F5ED7D45}" name="Keterangan" dataDxfId="309"/>
  </tableColumns>
  <tableStyleInfo name="TableStyleLight9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2B51D256-5C5B-4A48-B005-8F7E6664C779}" name="Table134567891011151819232731374247525927121722273228414652909680103109115121126120135140813231828344046525864707580859095100105110115120125" displayName="Table134567891011151819232731374247525927121722273228414652909680103109115121126120135140813231828344046525864707580859095100105110115120125" ref="AA6:AG29" totalsRowShown="0" headerRowDxfId="308" dataDxfId="307">
  <autoFilter ref="AA6:AG29" xr:uid="{1FD47352-F590-4544-A385-64ACA480A10C}"/>
  <sortState xmlns:xlrd2="http://schemas.microsoft.com/office/spreadsheetml/2017/richdata2" ref="AA7:AG29">
    <sortCondition ref="AF6:AF29"/>
  </sortState>
  <tableColumns count="7">
    <tableColumn id="1" xr3:uid="{F6907624-72D5-43BD-B4CE-5FF7A8E1DB5E}" name="No" dataDxfId="306"/>
    <tableColumn id="2" xr3:uid="{207094DD-BB42-4247-AB33-6E653A30E8ED}" name="Id unit" dataDxfId="305"/>
    <tableColumn id="7" xr3:uid="{03B7C45B-A3DF-4600-A2F4-54F18DF6A7A5}" name="JAM KELUAR" dataDxfId="304"/>
    <tableColumn id="6" xr3:uid="{086868F1-25EB-4841-8D64-702132A34117}" name="JAM MASUK" dataDxfId="303"/>
    <tableColumn id="5" xr3:uid="{82F27256-315F-463E-9ECD-E777CF30FE7B}" name="TOTAL JAM KERJA" dataDxfId="302">
      <calculatedColumnFormula>AD7-AC7</calculatedColumnFormula>
    </tableColumn>
    <tableColumn id="3" xr3:uid="{DFB36C0C-E9A7-4269-89D5-CD66D6697DF5}" name="Retase" dataDxfId="301"/>
    <tableColumn id="4" xr3:uid="{32DF9FE0-6C5F-471A-9202-5AC2BC34231C}" name="Keterangan" dataDxfId="300"/>
  </tableColumns>
  <tableStyleInfo name="TableStyleLight9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A6DD5F07-3E43-4970-A3C9-F72374A5776B}" name="Table134567891011151819232731374247525927121722273228414652909680103109115121126120135140813231829354147535965717681869196101106111116121131" displayName="Table134567891011151819232731374247525927121722273228414652909680103109115121126120135140813231829354147535965717681869196101106111116121131" ref="AM6:AS26" totalsRowShown="0" headerRowDxfId="299" dataDxfId="298">
  <autoFilter ref="AM6:AS26" xr:uid="{D7E74646-277B-4974-8CB5-5FC4622C64EB}"/>
  <sortState xmlns:xlrd2="http://schemas.microsoft.com/office/spreadsheetml/2017/richdata2" ref="AM7:AS26">
    <sortCondition ref="AR6:AR26"/>
  </sortState>
  <tableColumns count="7">
    <tableColumn id="1" xr3:uid="{9301C483-A28F-47D6-B8B7-74A19A159FFC}" name="No" dataDxfId="297"/>
    <tableColumn id="2" xr3:uid="{59898317-D851-4A23-8BDE-774236D48723}" name="Id unit" dataDxfId="296"/>
    <tableColumn id="7" xr3:uid="{3764C65F-A8E1-4548-ACD7-62EBCB96E815}" name="JAM KELUAR" dataDxfId="295"/>
    <tableColumn id="6" xr3:uid="{4EFA7454-F70F-4A2A-8F41-684B6502113A}" name="JAM MASUK" dataDxfId="294"/>
    <tableColumn id="5" xr3:uid="{127B6D64-D3EC-47AC-9819-A4A5E5097C15}" name="TOTAL JAM KERJA" dataDxfId="293">
      <calculatedColumnFormula>AP7-AO7</calculatedColumnFormula>
    </tableColumn>
    <tableColumn id="3" xr3:uid="{48150EF8-E14F-42BE-88D8-A3B322C111E8}" name="Retase" dataDxfId="292"/>
    <tableColumn id="4" xr3:uid="{1B5C836C-7CA0-47F1-8048-4303332F1FB7}" name="Keterangan" dataDxfId="291"/>
  </tableColumns>
  <tableStyleInfo name="TableStyleLight9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A31709F-C1EC-48D5-90AB-2B422DFFF693}" name="Table13245678910111321252934394449546149141924293336424753919786104110116122127131136141914241930364248546066727782879297102107112117122132" displayName="Table13245678910111321252934394449546149141924293336424753919786104110116122127131136141914241930364248546066727782879297102107112117122132" ref="B6:H25" totalsRowShown="0" headerRowDxfId="290" dataDxfId="289">
  <autoFilter ref="B6:H25" xr:uid="{B9ABE090-A7D1-4C32-83AF-14F7024EA175}"/>
  <sortState xmlns:xlrd2="http://schemas.microsoft.com/office/spreadsheetml/2017/richdata2" ref="B7:H25">
    <sortCondition ref="G6:G25"/>
  </sortState>
  <tableColumns count="7">
    <tableColumn id="1" xr3:uid="{8C878075-5F2E-4E33-85F3-54C8E22E8E13}" name="No" dataDxfId="288"/>
    <tableColumn id="2" xr3:uid="{557340C3-5E38-4233-B9CD-AE4055A55698}" name="Id unit" dataDxfId="287"/>
    <tableColumn id="7" xr3:uid="{0E94FE2D-0A86-4C09-9B88-3BC71422A376}" name="JAM KELUAR" dataDxfId="286"/>
    <tableColumn id="6" xr3:uid="{40976C6B-84BF-4478-967C-34DCE4DBED23}" name="JAM MASUK" dataDxfId="285"/>
    <tableColumn id="5" xr3:uid="{86094BCE-F7E8-4450-8A34-1592F600A6A2}" name="TOTAL JAM KERJA" dataDxfId="284">
      <calculatedColumnFormula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calculatedColumnFormula>
    </tableColumn>
    <tableColumn id="3" xr3:uid="{1B7419AC-A0B0-4ABD-A9C9-44CD07429E5B}" name="Retase" dataDxfId="283"/>
    <tableColumn id="4" xr3:uid="{C4D1119F-9CD5-414A-B69F-C56F5CA056FD}" name="Keterangan" dataDxfId="28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192B2F-6487-451B-A7DC-EA900DD711DB}" name="Table1345678910111722263035404550556251015202530343843485492988710511111712312813213714210" displayName="Table1345678910111722263035404550556251015202530343843485492988710511111712312813213714210" ref="O5:U16" totalsRowShown="0" headerRowDxfId="1334" dataDxfId="1333">
  <autoFilter ref="O5:U16" xr:uid="{913DA601-D705-4926-AB5D-13C5C55E5198}"/>
  <sortState xmlns:xlrd2="http://schemas.microsoft.com/office/spreadsheetml/2017/richdata2" ref="O6:U16">
    <sortCondition ref="T5:T16"/>
  </sortState>
  <tableColumns count="7">
    <tableColumn id="1" xr3:uid="{AF81165A-D957-4CCB-A297-61DECFDB2116}" name="No" dataDxfId="1332"/>
    <tableColumn id="2" xr3:uid="{133F149C-FFAA-42F8-A527-D5F85167BEDC}" name="Id unit" dataDxfId="1331"/>
    <tableColumn id="7" xr3:uid="{2B3093BA-EE32-4EE5-8C8D-34DE0E753A43}" name="JAM KELUAR" dataDxfId="1330"/>
    <tableColumn id="6" xr3:uid="{2153C602-5C56-46C4-BD98-36672E5C8E32}" name="JAM MASUK" dataDxfId="1329"/>
    <tableColumn id="5" xr3:uid="{9E20EE63-1A4B-4C61-A6B5-F43C3BD4E664}" name="TOTAL JAM KERJA" dataDxfId="1328">
      <calculatedColumnFormula>R6-Q6</calculatedColumnFormula>
    </tableColumn>
    <tableColumn id="3" xr3:uid="{24C83813-863D-4603-B438-002C7A4E60F8}" name="Retase" dataDxfId="1327"/>
    <tableColumn id="4" xr3:uid="{A9F1E49E-377D-413A-BC4C-D379EEAC9936}" name="Keterangan" dataDxfId="1326"/>
  </tableColumns>
  <tableStyleInfo name="TableStyleLight9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C6A8A69F-66B3-47C3-8B1C-E16CB87331ED}" name="Table134567891011172226303540455055625101520253034384348549298871051111171231281321371421015252031374349556167737883889398103108113118123133" displayName="Table134567891011172226303540455055625101520253034384348549298871051111171231281321371421015252031374349556167737883889398103108113118123133" ref="O6:U9" totalsRowShown="0" headerRowDxfId="281" dataDxfId="280">
  <autoFilter ref="O6:U9" xr:uid="{913DA601-D705-4926-AB5D-13C5C55E5198}"/>
  <sortState xmlns:xlrd2="http://schemas.microsoft.com/office/spreadsheetml/2017/richdata2" ref="O7:U9">
    <sortCondition ref="T6:T9"/>
  </sortState>
  <tableColumns count="7">
    <tableColumn id="1" xr3:uid="{580A94BA-A598-42D5-AAF3-5BC3DF6B92A0}" name="No" dataDxfId="279"/>
    <tableColumn id="2" xr3:uid="{78EBEB80-7A32-4061-B424-85CA88B47974}" name="Id unit" dataDxfId="278"/>
    <tableColumn id="7" xr3:uid="{5060265E-9972-41BF-9912-D46B1A8353D4}" name="JAM KELUAR" dataDxfId="277"/>
    <tableColumn id="6" xr3:uid="{B81A6AD4-F5EB-4229-B90F-95B6D90519C2}" name="JAM MASUK" dataDxfId="276"/>
    <tableColumn id="5" xr3:uid="{98B78BB8-A72E-46C5-8D3E-D0C6CB1F0E08}" name="TOTAL JAM KERJA" dataDxfId="275">
      <calculatedColumnFormula>Table134567891011172226303540455055625101520253034384348549298871051111171231281321371421015252031374349556167737883889398103108113118123133[[#This Row],[JAM MASUK]]-Table134567891011172226303540455055625101520253034384348549298871051111171231281321371421015252031374349556167737883889398103108113118123133[[#This Row],[JAM KELUAR]]</calculatedColumnFormula>
    </tableColumn>
    <tableColumn id="3" xr3:uid="{AD6F0952-F67E-4327-8F35-5FFF9BCD670C}" name="Retase" dataDxfId="274"/>
    <tableColumn id="4" xr3:uid="{C38AE8EF-645F-4BDD-B061-A93AFEC5741B}" name="Keterangan" dataDxfId="273"/>
  </tableColumns>
  <tableStyleInfo name="TableStyleLight9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BCCEA109-A808-4F30-93FB-A5AF8A814D16}" name="Table134567891011172226303540455055625101520253034374045505694100891071131191251301341391441217272233394551576369747984899499104109114119124134" displayName="Table134567891011172226303540455055625101520253034374045505694100891071131191251301341391441217272233394551576369747984899499104109114119124134" ref="O48:U70" totalsRowShown="0" headerRowDxfId="272" dataDxfId="271">
  <autoFilter ref="O48:U70" xr:uid="{73F1D503-EB31-47E3-A68C-36339D21CE7D}"/>
  <tableColumns count="7">
    <tableColumn id="1" xr3:uid="{8A64B3F9-4111-4E94-8307-9C44477ADA9C}" name="No" dataDxfId="270"/>
    <tableColumn id="2" xr3:uid="{3A90766C-9C88-4887-9C20-8A0C3774F7FF}" name="Id unit" dataDxfId="269"/>
    <tableColumn id="7" xr3:uid="{27630B07-3498-4CAA-B64C-3EB9BD306822}" name="JAM KELUAR" dataDxfId="268"/>
    <tableColumn id="6" xr3:uid="{2CA5A6A9-4C6F-4406-ADBC-FBB36988AFD6}" name="JAM MASUK" dataDxfId="267"/>
    <tableColumn id="5" xr3:uid="{F311F87B-AB18-47F0-92D4-73EE6C4A8472}" name="TOTAL JAM KERJA" dataDxfId="266"/>
    <tableColumn id="3" xr3:uid="{459F9DB8-B499-45AB-A6E6-ADAE10367F4B}" name="Retase" dataDxfId="265"/>
    <tableColumn id="4" xr3:uid="{EF7086E6-5812-44E5-9004-30E73E52B146}" name="Keterangan" dataDxfId="264"/>
  </tableColumns>
  <tableStyleInfo name="TableStyleLight9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9576B51-BC8E-413F-82AA-86051B03018B}" name="Table134567891011151819232731374247525927121722273228414652909680103109115121126120135140813231828344046525864707580859095100105110115120125135" displayName="Table134567891011151819232731374247525927121722273228414652909680103109115121126120135140813231828344046525864707580859095100105110115120125135" ref="AA6:AG34" totalsRowShown="0" headerRowDxfId="263" dataDxfId="262">
  <autoFilter ref="AA6:AG34" xr:uid="{1FD47352-F590-4544-A385-64ACA480A10C}"/>
  <sortState xmlns:xlrd2="http://schemas.microsoft.com/office/spreadsheetml/2017/richdata2" ref="AA7:AG34">
    <sortCondition ref="AF6:AF34"/>
  </sortState>
  <tableColumns count="7">
    <tableColumn id="1" xr3:uid="{DE2592A8-473C-4059-B247-E0E60B7A57A7}" name="No" dataDxfId="261"/>
    <tableColumn id="2" xr3:uid="{0D26A0A7-EFC8-4EDB-85D7-A84F82331237}" name="Id unit" dataDxfId="260"/>
    <tableColumn id="7" xr3:uid="{3D167C4A-01DA-4A6A-BEA3-1E6DEE3250C3}" name="JAM KELUAR" dataDxfId="259"/>
    <tableColumn id="6" xr3:uid="{C445799D-258F-4A90-BC15-6B402339F51B}" name="JAM MASUK" dataDxfId="258"/>
    <tableColumn id="5" xr3:uid="{4B6634E3-91D2-4326-91D6-EF5C20B7FC93}" name="TOTAL JAM KERJA" dataDxfId="257">
      <calculatedColumnFormula>AD7-AC7</calculatedColumnFormula>
    </tableColumn>
    <tableColumn id="3" xr3:uid="{A2596276-6FE9-490C-B71F-145591EA70CE}" name="Retase" dataDxfId="256"/>
    <tableColumn id="4" xr3:uid="{F64DE6B0-180E-478E-BB21-D3C7EA545BAF}" name="Keterangan" dataDxfId="255"/>
  </tableColumns>
  <tableStyleInfo name="TableStyleLight9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48C98E29-4983-4EE4-8B12-8B4C04B6595B}" name="Table134567891011151819232731374247525927121722273228414652909680103109115121126120135140813231829354147535965717681869196101106111116121131136" displayName="Table134567891011151819232731374247525927121722273228414652909680103109115121126120135140813231829354147535965717681869196101106111116121131136" ref="AM6:AS31" totalsRowShown="0" headerRowDxfId="254" dataDxfId="253">
  <autoFilter ref="AM6:AS31" xr:uid="{D7E74646-277B-4974-8CB5-5FC4622C64EB}"/>
  <sortState xmlns:xlrd2="http://schemas.microsoft.com/office/spreadsheetml/2017/richdata2" ref="AM7:AS31">
    <sortCondition ref="AR6:AR31"/>
  </sortState>
  <tableColumns count="7">
    <tableColumn id="1" xr3:uid="{418DE810-02D2-4C9B-9A86-C6024A0533EC}" name="No" dataDxfId="252"/>
    <tableColumn id="2" xr3:uid="{8AE18F1B-2FAE-40A1-A0BD-796C741C01E5}" name="Id unit" dataDxfId="251"/>
    <tableColumn id="7" xr3:uid="{F5809D40-F811-41F6-84EB-23E13B22F87D}" name="JAM KELUAR" dataDxfId="250"/>
    <tableColumn id="6" xr3:uid="{F4A95428-D874-46B6-85CC-D809DBAD3C32}" name="JAM MASUK" dataDxfId="249"/>
    <tableColumn id="5" xr3:uid="{80CE212D-B215-47AE-B953-7E7DB8E6A981}" name="TOTAL JAM KERJA" dataDxfId="248">
      <calculatedColumnFormula>AP7-AO7</calculatedColumnFormula>
    </tableColumn>
    <tableColumn id="3" xr3:uid="{3BCC8D04-4E79-4E26-A5E8-E8BE208514B5}" name="Retase" dataDxfId="247"/>
    <tableColumn id="4" xr3:uid="{B89D9B51-23EC-41F5-8024-8576DC82EDF2}" name="Keterangan" dataDxfId="246"/>
  </tableColumns>
  <tableStyleInfo name="TableStyleLight9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F86B823F-E2C9-4152-BC26-2E2E29269E52}" name="Table13245678910111321252934394449546149141924293336424753919786104110116122127131136141914241930364248546066727782879297102107112117122132137" displayName="Table13245678910111321252934394449546149141924293336424753919786104110116122127131136141914241930364248546066727782879297102107112117122132137" ref="B6:H23" totalsRowShown="0" headerRowDxfId="245" dataDxfId="244">
  <autoFilter ref="B6:H23" xr:uid="{B9ABE090-A7D1-4C32-83AF-14F7024EA175}"/>
  <sortState xmlns:xlrd2="http://schemas.microsoft.com/office/spreadsheetml/2017/richdata2" ref="B7:H23">
    <sortCondition ref="G6:G23"/>
  </sortState>
  <tableColumns count="7">
    <tableColumn id="1" xr3:uid="{4EE2E815-8AA9-44C8-96A5-19CA09503800}" name="No" dataDxfId="243"/>
    <tableColumn id="2" xr3:uid="{AD19CF03-3679-4950-8C78-40D42F4A3E76}" name="Id unit" dataDxfId="242"/>
    <tableColumn id="7" xr3:uid="{D683C843-A4FA-409F-8219-DC786A9DFC35}" name="JAM KELUAR" dataDxfId="241"/>
    <tableColumn id="6" xr3:uid="{FDDAFE3C-A756-4985-8E9D-0F1F824D1357}" name="JAM MASUK" dataDxfId="240"/>
    <tableColumn id="5" xr3:uid="{EC806C43-9511-4E23-B69D-4104FDD7200B}" name="TOTAL JAM KERJA" dataDxfId="239">
      <calculatedColumnFormula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calculatedColumnFormula>
    </tableColumn>
    <tableColumn id="3" xr3:uid="{45F1C0E5-1F9F-45C7-99C9-1A0E9511316E}" name="Retase" dataDxfId="238"/>
    <tableColumn id="4" xr3:uid="{7103AB81-49B6-4E33-86D8-EB548B10BD03}" name="Keterangan" dataDxfId="237"/>
  </tableColumns>
  <tableStyleInfo name="TableStyleLight9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7D158F1-6D0E-4F76-ACF5-CA8F3314EBC0}" name="Table134567891011172226303540455055625101520253034384348549298871051111171231281321371421015252031374349556167737883889398103108113118123133138" displayName="Table134567891011172226303540455055625101520253034384348549298871051111171231281321371421015252031374349556167737883889398103108113118123133138" ref="O6:U11" totalsRowShown="0" headerRowDxfId="236" dataDxfId="235">
  <autoFilter ref="O6:U11" xr:uid="{913DA601-D705-4926-AB5D-13C5C55E5198}"/>
  <sortState xmlns:xlrd2="http://schemas.microsoft.com/office/spreadsheetml/2017/richdata2" ref="O7:U11">
    <sortCondition ref="T6:T11"/>
  </sortState>
  <tableColumns count="7">
    <tableColumn id="1" xr3:uid="{89B30E52-00D0-47E3-BF78-9382BE170236}" name="No" dataDxfId="234"/>
    <tableColumn id="2" xr3:uid="{09470E10-9569-4B53-B54C-170EC6A5C9F9}" name="Id unit" dataDxfId="233"/>
    <tableColumn id="7" xr3:uid="{DC2A9487-E909-4117-9C36-FA878925787F}" name="JAM KELUAR" dataDxfId="232"/>
    <tableColumn id="6" xr3:uid="{33388519-5E80-4DEA-B8DB-6061FD8E421B}" name="JAM MASUK" dataDxfId="231"/>
    <tableColumn id="5" xr3:uid="{99802D99-925C-431E-8629-30220C0526BA}" name="TOTAL JAM KERJA" dataDxfId="230">
      <calculatedColumnFormula>Table134567891011172226303540455055625101520253034384348549298871051111171231281321371421015252031374349556167737883889398103108113118123133138[[#This Row],[JAM MASUK]]-Table134567891011172226303540455055625101520253034384348549298871051111171231281321371421015252031374349556167737883889398103108113118123133138[[#This Row],[JAM KELUAR]]</calculatedColumnFormula>
    </tableColumn>
    <tableColumn id="3" xr3:uid="{C9E34E69-E1B3-49AB-9B46-0BDDCF0EC3DE}" name="Retase" dataDxfId="229"/>
    <tableColumn id="4" xr3:uid="{4C0B914D-85D5-4BB1-9606-AD0CB5B75B48}" name="Keterangan" dataDxfId="228"/>
  </tableColumns>
  <tableStyleInfo name="TableStyleLight9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1C630CEB-E322-41B6-A7C8-E3C7F29A8B3A}" name="Table134567891011172226303540455055625101520253034374045505694100891071131191251301341391441217272233394551576369747984899499104109114119124134139" displayName="Table134567891011172226303540455055625101520253034374045505694100891071131191251301341391441217272233394551576369747984899499104109114119124134139" ref="O50:U72" totalsRowShown="0" headerRowDxfId="227" dataDxfId="226">
  <autoFilter ref="O50:U72" xr:uid="{73F1D503-EB31-47E3-A68C-36339D21CE7D}"/>
  <tableColumns count="7">
    <tableColumn id="1" xr3:uid="{06AF38FE-566C-41BA-950C-67C18F21888D}" name="No" dataDxfId="225"/>
    <tableColumn id="2" xr3:uid="{6A17250E-3478-4D89-9C35-34E8D301088D}" name="Id unit" dataDxfId="224"/>
    <tableColumn id="7" xr3:uid="{CCD9BC1E-5375-4D67-BCE9-CFCCFEE47B6F}" name="JAM KELUAR" dataDxfId="223"/>
    <tableColumn id="6" xr3:uid="{0E9B56A8-FCDB-42C6-B64E-6B88D9DC17F1}" name="JAM MASUK" dataDxfId="222"/>
    <tableColumn id="5" xr3:uid="{65211B04-1151-40C3-8756-E02291C876CE}" name="TOTAL JAM KERJA" dataDxfId="221"/>
    <tableColumn id="3" xr3:uid="{3D82FE25-2059-4595-8495-6A85F1D49E50}" name="Retase" dataDxfId="220"/>
    <tableColumn id="4" xr3:uid="{5E53ED88-125F-461F-A3D1-4D7B6869931E}" name="Keterangan" dataDxfId="219"/>
  </tableColumns>
  <tableStyleInfo name="TableStyleLight9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21F7A753-C9F1-4EF7-A44B-9F4DC724AFDB}" name="Table134567891011151819232731374247525927121722273228414652909680103109115121126120135140813231828344046525864707580859095100105110115120125135145" displayName="Table134567891011151819232731374247525927121722273228414652909680103109115121126120135140813231828344046525864707580859095100105110115120125135145" ref="AA6:AG31" totalsRowShown="0" headerRowDxfId="218" dataDxfId="217">
  <autoFilter ref="AA6:AG31" xr:uid="{1FD47352-F590-4544-A385-64ACA480A10C}"/>
  <sortState xmlns:xlrd2="http://schemas.microsoft.com/office/spreadsheetml/2017/richdata2" ref="AA7:AG31">
    <sortCondition ref="AF6:AF31"/>
  </sortState>
  <tableColumns count="7">
    <tableColumn id="1" xr3:uid="{4CBE4DC6-0297-43B4-B1D1-1C4D0EBE201A}" name="No" dataDxfId="216"/>
    <tableColumn id="2" xr3:uid="{220EC53C-9CA2-4E6F-A330-FCAC668AB988}" name="Id unit" dataDxfId="215"/>
    <tableColumn id="7" xr3:uid="{B09A8193-D8C7-4B2A-AE34-ABBAF10F6C13}" name="JAM KELUAR" dataDxfId="214"/>
    <tableColumn id="6" xr3:uid="{038CD2A5-3512-4286-ABDE-1F61AF02F0C2}" name="JAM MASUK" dataDxfId="213"/>
    <tableColumn id="5" xr3:uid="{44F466F1-AAC4-437F-AB5C-C218A65278F3}" name="TOTAL JAM KERJA" dataDxfId="212">
      <calculatedColumnFormula>AD7-AC7</calculatedColumnFormula>
    </tableColumn>
    <tableColumn id="3" xr3:uid="{D88AA34B-4401-4961-9F7F-2424CFC33A6A}" name="Retase" dataDxfId="211"/>
    <tableColumn id="4" xr3:uid="{EA8F00F6-9D23-41A3-B286-B28687819C8F}" name="Keterangan" dataDxfId="210"/>
  </tableColumns>
  <tableStyleInfo name="TableStyleLight9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9F04F3A5-973B-4ACC-A94A-911B8CBC77CC}" name="Table134567891011151819232731374247525927121722273228414652909680103109115121126120135140813231829354147535965717681869196101106111116121131136146" displayName="Table134567891011151819232731374247525927121722273228414652909680103109115121126120135140813231829354147535965717681869196101106111116121131136146" ref="AM6:AS31" totalsRowShown="0" headerRowDxfId="209" dataDxfId="208">
  <autoFilter ref="AM6:AS31" xr:uid="{D7E74646-277B-4974-8CB5-5FC4622C64EB}"/>
  <sortState xmlns:xlrd2="http://schemas.microsoft.com/office/spreadsheetml/2017/richdata2" ref="AM7:AS31">
    <sortCondition ref="AR6:AR31"/>
  </sortState>
  <tableColumns count="7">
    <tableColumn id="1" xr3:uid="{3C19982C-BD1F-4B79-9B50-1C8C198F2773}" name="No" dataDxfId="207"/>
    <tableColumn id="2" xr3:uid="{7C73D6D9-BFE8-448E-B50D-26E920F8D21A}" name="Id unit" dataDxfId="206"/>
    <tableColumn id="7" xr3:uid="{A913F575-45A6-406E-9BCC-701ED95D73B2}" name="JAM KELUAR" dataDxfId="205"/>
    <tableColumn id="6" xr3:uid="{96E0C458-0FDD-45F0-B335-140F2327C163}" name="JAM MASUK" dataDxfId="204"/>
    <tableColumn id="5" xr3:uid="{154B4C3C-3592-4DE8-A388-6EF0915B78B1}" name="TOTAL JAM KERJA" dataDxfId="203">
      <calculatedColumnFormula>AP7-AO7</calculatedColumnFormula>
    </tableColumn>
    <tableColumn id="3" xr3:uid="{5D21FED7-3CC4-4E31-A000-0468567917A7}" name="Retase" dataDxfId="202"/>
    <tableColumn id="4" xr3:uid="{8EC658EF-3457-439B-A390-5D14C13F12D8}" name="Keterangan" dataDxfId="201"/>
  </tableColumns>
  <tableStyleInfo name="TableStyleLight9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CCD82708-3741-4880-BFBC-D926D04D180F}" name="Table13245678910111321252934394449546149141924293336424753919786104110116122127131136141914241930364248546066727782879297102107112117122132137147" displayName="Table13245678910111321252934394449546149141924293336424753919786104110116122127131136141914241930364248546066727782879297102107112117122132137147" ref="B6:H24" totalsRowShown="0" headerRowDxfId="200" dataDxfId="199">
  <autoFilter ref="B6:H24" xr:uid="{B9ABE090-A7D1-4C32-83AF-14F7024EA175}"/>
  <sortState xmlns:xlrd2="http://schemas.microsoft.com/office/spreadsheetml/2017/richdata2" ref="B7:H24">
    <sortCondition ref="G6:G24"/>
  </sortState>
  <tableColumns count="7">
    <tableColumn id="1" xr3:uid="{67ECBEAC-5713-4638-B3E5-3C5579C867BD}" name="No" dataDxfId="198"/>
    <tableColumn id="2" xr3:uid="{3315A0C4-F937-49B0-BCD9-A7145D452EF2}" name="Id unit" dataDxfId="197"/>
    <tableColumn id="7" xr3:uid="{F857DE91-82DE-4B4F-8B7B-B50928A3CAE4}" name="JAM KELUAR" dataDxfId="196"/>
    <tableColumn id="6" xr3:uid="{ADFB8D1B-F17B-49AD-82D0-398CC87900EE}" name="JAM MASUK" dataDxfId="195"/>
    <tableColumn id="5" xr3:uid="{54532A96-DFC7-4C8B-AE45-9E90A6D556BC}" name="TOTAL JAM KERJA" dataDxfId="194">
      <calculatedColumnFormula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calculatedColumnFormula>
    </tableColumn>
    <tableColumn id="3" xr3:uid="{588A7374-2299-4A0A-A4F4-8DAD2C88FFEE}" name="Retase" dataDxfId="193"/>
    <tableColumn id="4" xr3:uid="{DE9AF29F-9067-49D9-B56A-A2DBB282B115}" name="Keterangan" dataDxfId="192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303F2E-FD49-4FE5-813D-65B03311499A}" name="Table134567891011172226303236414651566361116212631353944495593998810611211812412913313814311" displayName="Table134567891011172226303236414651566361116212631353944495593998810611211812412913313814311" ref="O21:U27" totalsRowShown="0" headerRowDxfId="1325" dataDxfId="1324">
  <autoFilter ref="O21:U27" xr:uid="{4183E7DE-4616-45F9-AC6F-E29C0B38C832}"/>
  <sortState xmlns:xlrd2="http://schemas.microsoft.com/office/spreadsheetml/2017/richdata2" ref="O22:U27">
    <sortCondition ref="T21:T27"/>
  </sortState>
  <tableColumns count="7">
    <tableColumn id="1" xr3:uid="{066108E4-9F5A-4368-A16F-4DF65319638B}" name="No" dataDxfId="1323"/>
    <tableColumn id="2" xr3:uid="{FA520387-86DB-4F16-AC81-EF04D4C4000E}" name="Id unit" dataDxfId="1322"/>
    <tableColumn id="7" xr3:uid="{29FCE249-DAD6-424B-AAFF-B7310C49B20F}" name="JAM KELUAR" dataDxfId="1321"/>
    <tableColumn id="6" xr3:uid="{702FC4FA-B959-4226-8677-3E43E8ABBA75}" name="JAM MASUK" dataDxfId="1320"/>
    <tableColumn id="5" xr3:uid="{8267248C-1C1A-44A4-B6D6-6A08B3B908C8}" name="TOTAL JAM KERJA" dataDxfId="1319">
      <calculatedColumnFormula>R22-Q22</calculatedColumnFormula>
    </tableColumn>
    <tableColumn id="3" xr3:uid="{E78EC9DA-3A00-4D2C-A40E-47F8A443BEB2}" name="Retase" dataDxfId="1318"/>
    <tableColumn id="4" xr3:uid="{B632CCD3-6F66-4A5C-A339-D20A3693C36F}" name="Keterangan" dataDxfId="1317"/>
  </tableColumns>
  <tableStyleInfo name="TableStyleLight9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A54C0B7A-C6E9-4405-80D0-BB64B0885EC0}" name="Table134567891011172226303540455055625101520253034384348549298871051111171231281321371421015252031374349556167737883889398103108113118123133138148" displayName="Table134567891011172226303540455055625101520253034384348549298871051111171231281321371421015252031374349556167737883889398103108113118123133138148" ref="O6:U10" totalsRowShown="0" headerRowDxfId="191" dataDxfId="190">
  <autoFilter ref="O6:U10" xr:uid="{913DA601-D705-4926-AB5D-13C5C55E5198}"/>
  <sortState xmlns:xlrd2="http://schemas.microsoft.com/office/spreadsheetml/2017/richdata2" ref="O7:U10">
    <sortCondition ref="T6:T10"/>
  </sortState>
  <tableColumns count="7">
    <tableColumn id="1" xr3:uid="{5F5620DE-703D-4C62-AF66-98C4259F88A0}" name="No" dataDxfId="189"/>
    <tableColumn id="2" xr3:uid="{4D6F67FD-0538-4829-AAFD-F83B9BBE37C4}" name="Id unit" dataDxfId="188"/>
    <tableColumn id="7" xr3:uid="{863EF175-7FB3-4AD9-9A83-C7263F0E104E}" name="JAM KELUAR" dataDxfId="187"/>
    <tableColumn id="6" xr3:uid="{CFFAB83D-3EB8-4611-9236-913DE8B38EC7}" name="JAM MASUK" dataDxfId="186"/>
    <tableColumn id="5" xr3:uid="{2D04DA58-FD49-4570-964D-E8E9CC920374}" name="TOTAL JAM KERJA" dataDxfId="185">
      <calculatedColumnFormula>Table134567891011172226303540455055625101520253034384348549298871051111171231281321371421015252031374349556167737883889398103108113118123133138148[[#This Row],[JAM MASUK]]-Table134567891011172226303540455055625101520253034384348549298871051111171231281321371421015252031374349556167737883889398103108113118123133138148[[#This Row],[JAM KELUAR]]</calculatedColumnFormula>
    </tableColumn>
    <tableColumn id="3" xr3:uid="{1CBBC085-3DC3-43A4-A4EF-167864E3C580}" name="Retase" dataDxfId="184"/>
    <tableColumn id="4" xr3:uid="{45986722-A541-48DC-8FBA-CFB7DBC45DFD}" name="Keterangan" dataDxfId="183"/>
  </tableColumns>
  <tableStyleInfo name="TableStyleLight9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A8B4C2D9-5749-4F7D-A885-08CBA9EC3CB3}" name="Table134567891011172226303540455055625101520253034374045505694100891071131191251301341391441217272233394551576369747984899499104109114119124134139149" displayName="Table134567891011172226303540455055625101520253034374045505694100891071131191251301341391441217272233394551576369747984899499104109114119124134139149" ref="O49:U71" totalsRowShown="0" headerRowDxfId="182" dataDxfId="181">
  <autoFilter ref="O49:U71" xr:uid="{73F1D503-EB31-47E3-A68C-36339D21CE7D}"/>
  <tableColumns count="7">
    <tableColumn id="1" xr3:uid="{ECDF1AED-35AB-4063-8A82-717D408F841F}" name="No" dataDxfId="180"/>
    <tableColumn id="2" xr3:uid="{6205537C-3090-4A34-95AC-7334B8636190}" name="Id unit" dataDxfId="179"/>
    <tableColumn id="7" xr3:uid="{2FA06E15-D20F-490E-BE81-132D096456CB}" name="JAM KELUAR" dataDxfId="178"/>
    <tableColumn id="6" xr3:uid="{4AF9B3A4-21DB-4CD5-8226-C911E3729A20}" name="JAM MASUK" dataDxfId="177"/>
    <tableColumn id="5" xr3:uid="{6A89AC87-4169-4C34-965E-2856AC764C1B}" name="TOTAL JAM KERJA" dataDxfId="176"/>
    <tableColumn id="3" xr3:uid="{229DF03F-DF6B-4C26-B9FD-DC2FFF669404}" name="Retase" dataDxfId="175"/>
    <tableColumn id="4" xr3:uid="{48FE302B-DB60-4E13-AC94-A3E513E392E6}" name="Keterangan" dataDxfId="174"/>
  </tableColumns>
  <tableStyleInfo name="TableStyleLight9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656D300A-5AFD-4CE9-917E-B535EE64FAC7}" name="Table134567891011151819232731374247525927121722273228414652909680103109115121126120135140813231828344046525864707580859095100105110115120125135145150" displayName="Table134567891011151819232731374247525927121722273228414652909680103109115121126120135140813231828344046525864707580859095100105110115120125135145150" ref="AA6:AG33" totalsRowShown="0" headerRowDxfId="173" dataDxfId="172">
  <autoFilter ref="AA6:AG33" xr:uid="{1FD47352-F590-4544-A385-64ACA480A10C}"/>
  <sortState xmlns:xlrd2="http://schemas.microsoft.com/office/spreadsheetml/2017/richdata2" ref="AA7:AG33">
    <sortCondition ref="AF6:AF33"/>
  </sortState>
  <tableColumns count="7">
    <tableColumn id="1" xr3:uid="{909525E9-0EC2-40B7-8932-4EA50295873D}" name="No" dataDxfId="171"/>
    <tableColumn id="2" xr3:uid="{5B358191-A4B8-4DA8-AC8E-3681D23E5E6E}" name="Id unit" dataDxfId="170"/>
    <tableColumn id="7" xr3:uid="{74A481D1-9CB9-4497-A180-077D6AA96DD3}" name="JAM KELUAR" dataDxfId="169"/>
    <tableColumn id="6" xr3:uid="{648AC341-B4C6-4AFE-95AE-AB21D843DD49}" name="JAM MASUK" dataDxfId="168"/>
    <tableColumn id="5" xr3:uid="{9612ABB7-5A69-4449-BBAF-4CAA6707CF37}" name="TOTAL JAM KERJA" dataDxfId="167">
      <calculatedColumnFormula>AD7-AC7</calculatedColumnFormula>
    </tableColumn>
    <tableColumn id="3" xr3:uid="{6D169566-23F5-48F5-9D32-FC20385592F5}" name="Retase" dataDxfId="166"/>
    <tableColumn id="4" xr3:uid="{CB8F67C0-3A08-44B5-9FA5-B11BC56FD738}" name="Keterangan" dataDxfId="165"/>
  </tableColumns>
  <tableStyleInfo name="TableStyleLight9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31299D2D-3111-44AF-8F26-5655AFC5B7ED}" name="Table134567891011151819232731374247525927121722273228414652909680103109115121126120135140813231829354147535965717681869196101106111116121131136146151" displayName="Table134567891011151819232731374247525927121722273228414652909680103109115121126120135140813231829354147535965717681869196101106111116121131136146151" ref="AB6:AH32" totalsRowShown="0" headerRowDxfId="164" dataDxfId="163">
  <autoFilter ref="AB6:AH32" xr:uid="{D7E74646-277B-4974-8CB5-5FC4622C64EB}"/>
  <sortState xmlns:xlrd2="http://schemas.microsoft.com/office/spreadsheetml/2017/richdata2" ref="AB7:AH32">
    <sortCondition ref="AG6:AG32"/>
  </sortState>
  <tableColumns count="7">
    <tableColumn id="1" xr3:uid="{582078E8-0F34-4C16-83DD-E151439DDCE8}" name="No" dataDxfId="162"/>
    <tableColumn id="2" xr3:uid="{999A3969-9E58-4267-AFF8-DE9639C70740}" name="Id unit" dataDxfId="161"/>
    <tableColumn id="7" xr3:uid="{33C32C9A-1D7C-444F-911A-209AB1F5BA32}" name="JAM KELUAR" dataDxfId="160"/>
    <tableColumn id="6" xr3:uid="{9AF1A14E-12AF-4A9A-8B6A-6E08D816B754}" name="JAM MASUK" dataDxfId="159"/>
    <tableColumn id="5" xr3:uid="{22516A2C-628A-4E09-BDB8-EB4C8019296B}" name="TOTAL JAM KERJA" dataDxfId="158">
      <calculatedColumnFormula>AE7-AD7</calculatedColumnFormula>
    </tableColumn>
    <tableColumn id="3" xr3:uid="{656F29AF-FC2E-495D-9331-BC905142C506}" name="Retase" dataDxfId="157"/>
    <tableColumn id="4" xr3:uid="{BFCA7B61-9B38-4DDC-8B5C-9F5759B4D275}" name="Keterangan" dataDxfId="156"/>
  </tableColumns>
  <tableStyleInfo name="TableStyleLight9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49BAE572-BE65-4A6B-AE55-B337AC44E4A3}" name="Table13245678910111321252934394449546149141924293336424753919786104110116122127131136141914241930364248546066727782879297102107112117122132137147152" displayName="Table13245678910111321252934394449546149141924293336424753919786104110116122127131136141914241930364248546066727782879297102107112117122132137147152" ref="B6:H27" totalsRowShown="0" headerRowDxfId="155" dataDxfId="154">
  <autoFilter ref="B6:H27" xr:uid="{B9ABE090-A7D1-4C32-83AF-14F7024EA175}"/>
  <sortState xmlns:xlrd2="http://schemas.microsoft.com/office/spreadsheetml/2017/richdata2" ref="B7:H27">
    <sortCondition ref="G6:G27"/>
  </sortState>
  <tableColumns count="7">
    <tableColumn id="1" xr3:uid="{73754FDE-0196-4C73-A71D-6E5FD24F9D59}" name="No" dataDxfId="153"/>
    <tableColumn id="2" xr3:uid="{91137EE2-D083-4A6E-87EA-8C98C9F21FF9}" name="Id unit" dataDxfId="152"/>
    <tableColumn id="7" xr3:uid="{F1392056-BC7D-4B18-951F-25A514EF550F}" name="JAM KELUAR" dataDxfId="151"/>
    <tableColumn id="6" xr3:uid="{F0C76B8E-6F70-4267-AED7-E31DB964A954}" name="JAM MASUK" dataDxfId="150"/>
    <tableColumn id="5" xr3:uid="{4FA1F8EB-31A2-4F4D-8FA5-428938589678}" name="TOTAL JAM KERJA" dataDxfId="149">
      <calculatedColumnFormula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calculatedColumnFormula>
    </tableColumn>
    <tableColumn id="3" xr3:uid="{0534F06D-C928-4F51-AAAD-1547C32CDC1C}" name="Retase" dataDxfId="148"/>
    <tableColumn id="4" xr3:uid="{7ED73C8C-7AF4-42C5-AFCA-A1ED7D5D18A2}" name="Keterangan" dataDxfId="147"/>
  </tableColumns>
  <tableStyleInfo name="TableStyleLight9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D146CD41-357D-46D9-AFDC-1B5FFF761DA8}" name="Table134567891011151819232731374247525927121722273228414652909680103109115121126120135140813231828344046525864707580859095100105110115120125135145150155" displayName="Table134567891011151819232731374247525927121722273228414652909680103109115121126120135140813231828344046525864707580859095100105110115120125135145150155" ref="P6:V30" totalsRowShown="0" headerRowDxfId="146" dataDxfId="145">
  <autoFilter ref="P6:V30" xr:uid="{1FD47352-F590-4544-A385-64ACA480A10C}"/>
  <sortState xmlns:xlrd2="http://schemas.microsoft.com/office/spreadsheetml/2017/richdata2" ref="P7:V30">
    <sortCondition ref="U6:U30"/>
  </sortState>
  <tableColumns count="7">
    <tableColumn id="1" xr3:uid="{90E9A29D-0E3F-4078-A414-C5E36737BA4A}" name="No" dataDxfId="144"/>
    <tableColumn id="2" xr3:uid="{D969F5F4-C616-4BCD-9BEE-C337C47FC98B}" name="Id unit" dataDxfId="143"/>
    <tableColumn id="7" xr3:uid="{4B903080-BA13-4286-89D9-E0B99A7F5F14}" name="JAM KELUAR" dataDxfId="142"/>
    <tableColumn id="6" xr3:uid="{6B42B33F-B9D6-4792-880A-FFF4394C2B6B}" name="JAM MASUK" dataDxfId="141"/>
    <tableColumn id="5" xr3:uid="{13AE751E-A1FA-4D71-AD41-E8A6F7BC589F}" name="TOTAL JAM KERJA" dataDxfId="140">
      <calculatedColumnFormula>S7-R7</calculatedColumnFormula>
    </tableColumn>
    <tableColumn id="3" xr3:uid="{E3EFA9A3-D424-44F8-853F-D970AD685C18}" name="Retase" dataDxfId="139"/>
    <tableColumn id="4" xr3:uid="{6BFB72F3-F391-4A9C-B89C-E0AA31968D72}" name="Keterangan" dataDxfId="138"/>
  </tableColumns>
  <tableStyleInfo name="TableStyleLight9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652E7CB5-CF6C-48C0-833B-2248E565D08F}" name="Table134567891011151819232731374247525927121722273228414652909680103109115121126120135140813231829354147535965717681869196101106111116121131136146151153" displayName="Table134567891011151819232731374247525927121722273228414652909680103109115121126120135140813231829354147535965717681869196101106111116121131136146151153" ref="AB6:AH31" totalsRowShown="0" headerRowDxfId="137" dataDxfId="136">
  <autoFilter ref="AB6:AH31" xr:uid="{D7E74646-277B-4974-8CB5-5FC4622C64EB}"/>
  <sortState xmlns:xlrd2="http://schemas.microsoft.com/office/spreadsheetml/2017/richdata2" ref="AB7:AH31">
    <sortCondition ref="AG6:AG31"/>
  </sortState>
  <tableColumns count="7">
    <tableColumn id="1" xr3:uid="{110D9B2D-54C7-46E3-A080-BB7CDF6AFF92}" name="No" dataDxfId="135"/>
    <tableColumn id="2" xr3:uid="{DCB72F0F-D442-4071-AD08-DFE9B3FB1257}" name="Id unit" dataDxfId="134"/>
    <tableColumn id="7" xr3:uid="{F4CE3738-8BFA-4641-82F3-DDEBC5EABAC0}" name="JAM KELUAR" dataDxfId="133"/>
    <tableColumn id="6" xr3:uid="{9E665F35-D20C-4565-8292-271A8EA676EF}" name="JAM MASUK" dataDxfId="132"/>
    <tableColumn id="5" xr3:uid="{450E8E2F-934C-4CC4-8B7A-7641339D124E}" name="TOTAL JAM KERJA" dataDxfId="131">
      <calculatedColumnFormula>AE7-AD7</calculatedColumnFormula>
    </tableColumn>
    <tableColumn id="3" xr3:uid="{F5C4A6DD-C920-49A5-90C0-E41982E0EEEA}" name="Retase" dataDxfId="130"/>
    <tableColumn id="4" xr3:uid="{6D73B73A-1518-4811-83A6-84D376C3FDEE}" name="Keterangan" dataDxfId="129"/>
  </tableColumns>
  <tableStyleInfo name="TableStyleLight9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C9D62A5E-D474-448E-A7A1-1DA0001CDCF4}" name="Table13245678910111321252934394449546149141924293336424753919786104110116122127131136141914241930364248546066727782879297102107112117122132137147152154" displayName="Table13245678910111321252934394449546149141924293336424753919786104110116122127131136141914241930364248546066727782879297102107112117122132137147152154" ref="B6:H25" totalsRowShown="0" headerRowDxfId="128" dataDxfId="127">
  <autoFilter ref="B6:H25" xr:uid="{B9ABE090-A7D1-4C32-83AF-14F7024EA175}"/>
  <sortState xmlns:xlrd2="http://schemas.microsoft.com/office/spreadsheetml/2017/richdata2" ref="B7:H25">
    <sortCondition ref="G6:G25"/>
  </sortState>
  <tableColumns count="7">
    <tableColumn id="1" xr3:uid="{0B9463CC-F126-4A8C-B841-640FDD814B6C}" name="No" dataDxfId="126"/>
    <tableColumn id="2" xr3:uid="{4D8206CD-776C-4358-BF03-8115C4E169B7}" name="Id unit" dataDxfId="125"/>
    <tableColumn id="7" xr3:uid="{C47494BF-8947-4D3B-AD4F-449561098F2C}" name="JAM KELUAR" dataDxfId="124"/>
    <tableColumn id="6" xr3:uid="{367896B1-EF4F-4FAE-8628-E3BC41036DD5}" name="JAM MASUK" dataDxfId="123"/>
    <tableColumn id="5" xr3:uid="{715A7CBB-DCA7-46F8-8E89-2627D78AB0FC}" name="TOTAL JAM KERJA" dataDxfId="122">
      <calculatedColumnFormula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calculatedColumnFormula>
    </tableColumn>
    <tableColumn id="3" xr3:uid="{BD596604-F827-4AA4-A44A-5266A5BFC59C}" name="Retase" dataDxfId="121"/>
    <tableColumn id="4" xr3:uid="{C5205CA9-2EEA-46D9-9C79-E30574BFF10A}" name="Keterangan" dataDxfId="120"/>
  </tableColumns>
  <tableStyleInfo name="TableStyleLight9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9F5909BD-F9DC-441D-86C8-8734989E625E}" name="Table134567891011151819232731374247525927121722273228414652909680103109115121126120135140813231828344046525864707580859095100105110115120125135145150155156" displayName="Table134567891011151819232731374247525927121722273228414652909680103109115121126120135140813231828344046525864707580859095100105110115120125135145150155156" ref="P6:V32" totalsRowShown="0" headerRowDxfId="119" dataDxfId="118">
  <autoFilter ref="P6:V32" xr:uid="{1FD47352-F590-4544-A385-64ACA480A10C}"/>
  <sortState xmlns:xlrd2="http://schemas.microsoft.com/office/spreadsheetml/2017/richdata2" ref="P7:V32">
    <sortCondition ref="U6:U32"/>
  </sortState>
  <tableColumns count="7">
    <tableColumn id="1" xr3:uid="{03049E1E-1BA5-4DAC-9B0F-87F02A22A25A}" name="No" dataDxfId="117"/>
    <tableColumn id="2" xr3:uid="{7B3A3C5D-A941-43BE-A944-BC5EB79E160E}" name="Id unit" dataDxfId="116"/>
    <tableColumn id="7" xr3:uid="{8D267B2F-FA35-4EA1-8FDC-9DEEC8D46C06}" name="JAM KELUAR" dataDxfId="115"/>
    <tableColumn id="6" xr3:uid="{77D5E0E3-933D-4F83-9D42-F1AEEA7B6745}" name="JAM MASUK" dataDxfId="114"/>
    <tableColumn id="5" xr3:uid="{AE05147C-5C22-4B5B-8E0E-F63B145DCF19}" name="TOTAL JAM KERJA" dataDxfId="113">
      <calculatedColumnFormula>S7-R7</calculatedColumnFormula>
    </tableColumn>
    <tableColumn id="3" xr3:uid="{83BF5300-7B83-4783-B7DA-D02509D37148}" name="Retase" dataDxfId="112"/>
    <tableColumn id="4" xr3:uid="{B8445B5B-C87C-4591-A844-C97D0E8065A0}" name="Keterangan" dataDxfId="111"/>
  </tableColumns>
  <tableStyleInfo name="TableStyleLight9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BC51B6C7-C5A6-4EC5-8AF1-3DE36B10813A}" name="Table134567891011151819232731374247525927121722273228414652909680103109115121126120135140813231829354147535965717681869196101106111116121131136146151153157" displayName="Table134567891011151819232731374247525927121722273228414652909680103109115121126120135140813231829354147535965717681869196101106111116121131136146151153157" ref="AB6:AH31" totalsRowShown="0" headerRowDxfId="110" dataDxfId="109">
  <autoFilter ref="AB6:AH31" xr:uid="{D7E74646-277B-4974-8CB5-5FC4622C64EB}"/>
  <sortState xmlns:xlrd2="http://schemas.microsoft.com/office/spreadsheetml/2017/richdata2" ref="AB7:AH31">
    <sortCondition ref="AG6:AG31"/>
  </sortState>
  <tableColumns count="7">
    <tableColumn id="1" xr3:uid="{9E4EB38C-AEDF-4CF9-B6EF-AAE7115BCA1D}" name="No" dataDxfId="108"/>
    <tableColumn id="2" xr3:uid="{E8C358E8-10E0-4855-A21A-DB36344B9C04}" name="Id unit" dataDxfId="107"/>
    <tableColumn id="7" xr3:uid="{E4ACE9CC-AD3C-48BD-ABFB-48A375B81150}" name="JAM KELUAR" dataDxfId="106"/>
    <tableColumn id="6" xr3:uid="{010F5F8C-A812-47CF-B391-5C63BF6082A1}" name="JAM MASUK" dataDxfId="105"/>
    <tableColumn id="5" xr3:uid="{3A25E1B9-CEA0-4155-BF18-721E43AE5587}" name="TOTAL JAM KERJA" dataDxfId="104">
      <calculatedColumnFormula>AE7-AD7</calculatedColumnFormula>
    </tableColumn>
    <tableColumn id="3" xr3:uid="{789387F9-4CA9-45BF-A1BA-C0751CC09E73}" name="Retase" dataDxfId="103"/>
    <tableColumn id="4" xr3:uid="{0FE2CFFC-51D3-4615-BDF9-FF6FD828C1AA}" name="Keterangan" dataDxfId="102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473ABF-494C-4102-9C44-A7341D0B5E34}" name="Table1345678910111722263035404550556251015202530343740455056941008910711311912513013413914412" displayName="Table1345678910111722263035404550556251015202530343740455056941008910711311912513013413914412" ref="O41:U63" totalsRowShown="0" headerRowDxfId="1316" dataDxfId="1315">
  <autoFilter ref="O41:U63" xr:uid="{73F1D503-EB31-47E3-A68C-36339D21CE7D}"/>
  <sortState xmlns:xlrd2="http://schemas.microsoft.com/office/spreadsheetml/2017/richdata2" ref="O42:U54">
    <sortCondition ref="T27:T28"/>
  </sortState>
  <tableColumns count="7">
    <tableColumn id="1" xr3:uid="{7B06F84C-31CC-4536-AA04-F25AD0612649}" name="No" dataDxfId="1314"/>
    <tableColumn id="2" xr3:uid="{9F61A8A2-0B7B-423D-87B6-B53707277317}" name="Id unit" dataDxfId="1313"/>
    <tableColumn id="7" xr3:uid="{44DB09E7-0E86-4A6E-904E-D7DD7DF661FA}" name="JAM KELUAR" dataDxfId="1312"/>
    <tableColumn id="6" xr3:uid="{AA728EFD-B47E-4A7E-A852-42F3290E882A}" name="JAM MASUK" dataDxfId="1311"/>
    <tableColumn id="5" xr3:uid="{1DA100C7-A9F9-49D0-8793-7A099C4DFFC9}" name="TOTAL JAM KERJA" dataDxfId="1310"/>
    <tableColumn id="3" xr3:uid="{E1E6BAEE-294F-4954-B548-995A00C416E2}" name="Retase" dataDxfId="1309"/>
    <tableColumn id="4" xr3:uid="{6895B4E8-D895-4BE0-8436-AFCDDC93F281}" name="Keterangan" dataDxfId="1308"/>
  </tableColumns>
  <tableStyleInfo name="TableStyleLight9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1FC073B1-7159-43A5-9060-0C7D65A5CF43}" name="Table13245678910111321252934394449546149141924293336424753919786104110116122127131136141914241930364248546066727782879297102107112117122132137147152154158" displayName="Table13245678910111321252934394449546149141924293336424753919786104110116122127131136141914241930364248546066727782879297102107112117122132137147152154158" ref="B6:H25" totalsRowShown="0" headerRowDxfId="101" dataDxfId="100">
  <autoFilter ref="B6:H25" xr:uid="{B9ABE090-A7D1-4C32-83AF-14F7024EA175}"/>
  <sortState xmlns:xlrd2="http://schemas.microsoft.com/office/spreadsheetml/2017/richdata2" ref="B7:H25">
    <sortCondition ref="G6:G25"/>
  </sortState>
  <tableColumns count="7">
    <tableColumn id="1" xr3:uid="{9CBA8F2D-527A-461F-904E-810E6D61EEA2}" name="No" dataDxfId="99"/>
    <tableColumn id="2" xr3:uid="{F4C5C893-20E3-48D5-AA80-CF7327E954A5}" name="Id unit" dataDxfId="98"/>
    <tableColumn id="7" xr3:uid="{CD7A6783-3E22-4D13-B2D2-66DA14B1A579}" name="JAM KELUAR" dataDxfId="97"/>
    <tableColumn id="6" xr3:uid="{685F01E7-AF43-4118-9BA0-D09F0EDA6A35}" name="JAM MASUK" dataDxfId="96"/>
    <tableColumn id="5" xr3:uid="{A47A2250-38B7-407F-9286-3FEF70CAA62B}" name="TOTAL JAM KERJA" dataDxfId="95">
      <calculatedColumnFormula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calculatedColumnFormula>
    </tableColumn>
    <tableColumn id="3" xr3:uid="{A5A226FE-EBCB-4764-AAF7-DBCEF80C2119}" name="Retase" dataDxfId="94"/>
    <tableColumn id="4" xr3:uid="{0F96484A-618B-4248-AA00-04C17D2AD91D}" name="Keterangan" dataDxfId="93"/>
  </tableColumns>
  <tableStyleInfo name="TableStyleLight9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6A75CE5-EFA4-4DC0-8F69-CA93AB60C4A1}" name="Table134567891011151819232731374247525927121722273228414652909680103109115121126120135140813231828344046525864707580859095100105110115120125135145150155156159" displayName="Table134567891011151819232731374247525927121722273228414652909680103109115121126120135140813231828344046525864707580859095100105110115120125135145150155156159" ref="P6:V31" totalsRowShown="0" headerRowDxfId="92" dataDxfId="91">
  <autoFilter ref="P6:V31" xr:uid="{1FD47352-F590-4544-A385-64ACA480A10C}"/>
  <sortState xmlns:xlrd2="http://schemas.microsoft.com/office/spreadsheetml/2017/richdata2" ref="P7:V31">
    <sortCondition ref="U6:U31"/>
  </sortState>
  <tableColumns count="7">
    <tableColumn id="1" xr3:uid="{01071026-A583-468F-8638-21E18C0D336A}" name="No" dataDxfId="90"/>
    <tableColumn id="2" xr3:uid="{D279EFEC-46E5-4E59-B166-D3B9980EEC7E}" name="Id unit" dataDxfId="89"/>
    <tableColumn id="7" xr3:uid="{55AE80FD-9FA4-475E-9DB9-16125279E078}" name="JAM KELUAR" dataDxfId="88"/>
    <tableColumn id="6" xr3:uid="{DDDB92D0-36B8-47DF-BE54-37E566B91FF3}" name="JAM MASUK" dataDxfId="87"/>
    <tableColumn id="5" xr3:uid="{BED1266D-3369-4C18-861B-E2FEB5DDAD9A}" name="TOTAL JAM KERJA" dataDxfId="86">
      <calculatedColumnFormula>S7-R7</calculatedColumnFormula>
    </tableColumn>
    <tableColumn id="3" xr3:uid="{233B1CF3-B307-41D0-B332-9AF469CD160A}" name="Retase" dataDxfId="85"/>
    <tableColumn id="4" xr3:uid="{02F332D0-C5F7-4A1D-8C75-5EB5BC983A5B}" name="Keterangan" dataDxfId="84"/>
  </tableColumns>
  <tableStyleInfo name="TableStyleLight9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B4CC8D9E-4DB3-4667-89FF-A288C48AD09C}" name="Table134567891011151819232731374247525927121722273228414652909680103109115121126120135140813231829354147535965717681869196101106111116121131136146151153157160163" displayName="Table134567891011151819232731374247525927121722273228414652909680103109115121126120135140813231829354147535965717681869196101106111116121131136146151153157160163" ref="AB6:AH31" totalsRowShown="0" headerRowDxfId="83" dataDxfId="82">
  <autoFilter ref="AB6:AH31" xr:uid="{D7E74646-277B-4974-8CB5-5FC4622C64EB}"/>
  <sortState xmlns:xlrd2="http://schemas.microsoft.com/office/spreadsheetml/2017/richdata2" ref="AB7:AH30">
    <sortCondition ref="AG6:AG30"/>
  </sortState>
  <tableColumns count="7">
    <tableColumn id="1" xr3:uid="{9D0AECF8-111F-468B-B183-B2C531295123}" name="No" dataDxfId="81"/>
    <tableColumn id="2" xr3:uid="{A86FA851-5AD3-4009-A701-E83333F0FA50}" name="Id unit" dataDxfId="80"/>
    <tableColumn id="7" xr3:uid="{71441083-C20C-47D9-9766-2A53F4764CF6}" name="JAM KELUAR" dataDxfId="79"/>
    <tableColumn id="6" xr3:uid="{63509C3D-92AA-4FAA-8A87-9955124F126A}" name="JAM MASUK" dataDxfId="78"/>
    <tableColumn id="5" xr3:uid="{E39EB5BA-5674-40E1-878E-0E65CF98E0C7}" name="TOTAL JAM KERJA" dataDxfId="77">
      <calculatedColumnFormula>AE7-AD7</calculatedColumnFormula>
    </tableColumn>
    <tableColumn id="3" xr3:uid="{8BA6757C-B0A5-4E7F-B81B-154A4E258EE4}" name="Retase" dataDxfId="76"/>
    <tableColumn id="4" xr3:uid="{6D61C7F7-6FDB-406C-BF83-84FE5E8310B6}" name="Keterangan" dataDxfId="75"/>
  </tableColumns>
  <tableStyleInfo name="TableStyleLight9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C1305F92-CC1D-4EE2-B79A-213CF68A7EC6}" name="Table13245678910111321252934394449546149141924293336424753919786104110116122127131136141914241930364248546066727782879297102107112117122132137147152154158161164" displayName="Table13245678910111321252934394449546149141924293336424753919786104110116122127131136141914241930364248546066727782879297102107112117122132137147152154158161164" ref="B6:H24" totalsRowShown="0" headerRowDxfId="74" dataDxfId="73">
  <autoFilter ref="B6:H24" xr:uid="{B9ABE090-A7D1-4C32-83AF-14F7024EA175}"/>
  <sortState xmlns:xlrd2="http://schemas.microsoft.com/office/spreadsheetml/2017/richdata2" ref="B7:H24">
    <sortCondition ref="G6:G24"/>
  </sortState>
  <tableColumns count="7">
    <tableColumn id="1" xr3:uid="{DD12CA1F-00C9-4EAA-AD70-EEEB644C1CC3}" name="No" dataDxfId="72"/>
    <tableColumn id="2" xr3:uid="{DFB2AEBB-4FD2-4A65-9099-E37F95B08BF8}" name="Id unit" dataDxfId="71"/>
    <tableColumn id="7" xr3:uid="{F199EB62-C507-49AD-9611-C908F640A46A}" name="JAM KELUAR" dataDxfId="70"/>
    <tableColumn id="6" xr3:uid="{CA8E8E14-1B04-46C8-B15C-48B4D799C5D1}" name="JAM MASUK" dataDxfId="69"/>
    <tableColumn id="5" xr3:uid="{68529EEE-82B4-4C27-9FDB-D10C3583CD17}" name="TOTAL JAM KERJA" dataDxfId="68">
      <calculatedColumnFormula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calculatedColumnFormula>
    </tableColumn>
    <tableColumn id="3" xr3:uid="{70535BA1-1025-4426-9417-E78C388F022F}" name="Retase" dataDxfId="67"/>
    <tableColumn id="4" xr3:uid="{E822C4B2-2EE5-40EF-BD08-EA95D188AE52}" name="Keterangan" dataDxfId="66"/>
  </tableColumns>
  <tableStyleInfo name="TableStyleLight9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7908819-A196-4217-9EB7-AB8E8C8B2F52}" name="Table134567891011151819232731374247525927121722273228414652909680103109115121126120135140813231828344046525864707580859095100105110115120125135145150155156159162165" displayName="Table134567891011151819232731374247525927121722273228414652909680103109115121126120135140813231828344046525864707580859095100105110115120125135145150155156159162165" ref="P6:V37" totalsRowShown="0" headerRowDxfId="65" dataDxfId="64">
  <autoFilter ref="P6:V37" xr:uid="{1FD47352-F590-4544-A385-64ACA480A10C}"/>
  <sortState xmlns:xlrd2="http://schemas.microsoft.com/office/spreadsheetml/2017/richdata2" ref="P7:V37">
    <sortCondition ref="U6:U37"/>
  </sortState>
  <tableColumns count="7">
    <tableColumn id="1" xr3:uid="{A1587368-CE27-42E9-8A1E-4EC0FB9CCEDE}" name="No" dataDxfId="63"/>
    <tableColumn id="2" xr3:uid="{EF1D200E-5C2D-4490-A21D-DEE696E9642F}" name="Id unit" dataDxfId="62"/>
    <tableColumn id="7" xr3:uid="{C7D12BBD-A82D-4F1E-B3AE-1E21BD8D6077}" name="JAM KELUAR" dataDxfId="61"/>
    <tableColumn id="6" xr3:uid="{8491F863-E9A2-4F0E-A237-91FD3AE7BB50}" name="JAM MASUK" dataDxfId="60"/>
    <tableColumn id="5" xr3:uid="{99A70760-3310-4DFB-ADFD-C8B1C37F6696}" name="TOTAL JAM KERJA" dataDxfId="59">
      <calculatedColumnFormula>S7-R7</calculatedColumnFormula>
    </tableColumn>
    <tableColumn id="3" xr3:uid="{B71F3689-5A17-4894-8823-DD386648FE16}" name="Retase" dataDxfId="58"/>
    <tableColumn id="4" xr3:uid="{2192E5A9-749C-437F-96A4-FB1BABEA35D6}" name="Keterangan" dataDxfId="57"/>
  </tableColumns>
  <tableStyleInfo name="TableStyleLight9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2A31F416-C81D-4DF1-A67F-F6D6B672C32F}" name="Table134567891011151819232731374247525927121722273228414652909680103109115121126120135140813231829354147535965717681869196101106111116121131136146126" displayName="Table134567891011151819232731374247525927121722273228414652909680103109115121126120135140813231829354147535965717681869196101106111116121131136146126" ref="AM6:AS31" totalsRowShown="0" headerRowDxfId="56" dataDxfId="55">
  <autoFilter ref="AM6:AS31" xr:uid="{D7E74646-277B-4974-8CB5-5FC4622C64EB}"/>
  <sortState xmlns:xlrd2="http://schemas.microsoft.com/office/spreadsheetml/2017/richdata2" ref="AM7:AS31">
    <sortCondition ref="AR6:AR31"/>
  </sortState>
  <tableColumns count="7">
    <tableColumn id="1" xr3:uid="{93F5E612-BF13-41CF-8C61-BB8D41380B23}" name="No" dataDxfId="54"/>
    <tableColumn id="2" xr3:uid="{3BA5516B-90B3-40C2-A94B-529F6D5A359A}" name="Id unit" dataDxfId="53"/>
    <tableColumn id="7" xr3:uid="{20C7A4B7-7575-40C6-86A5-FF566E7164A3}" name="JAM KELUAR" dataDxfId="52"/>
    <tableColumn id="6" xr3:uid="{FE117121-7DA4-465A-9B99-EC16E26ED424}" name="JAM MASUK" dataDxfId="51"/>
    <tableColumn id="5" xr3:uid="{D98372FF-0A57-4A62-8076-8E280AE8327D}" name="TOTAL JAM KERJA" dataDxfId="50">
      <calculatedColumnFormula>AP7-AO7</calculatedColumnFormula>
    </tableColumn>
    <tableColumn id="3" xr3:uid="{A436778C-C938-417E-8022-D024A9B9CD5B}" name="Retase" dataDxfId="49"/>
    <tableColumn id="4" xr3:uid="{5FE1E682-7600-4BDF-B068-1B5047D73C9C}" name="Keterangan" dataDxfId="48"/>
  </tableColumns>
  <tableStyleInfo name="TableStyleLight9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EBB10263-8712-4CD5-97A0-BC13CEB8151E}" name="Table13245678910111321252934394449546149141924293336424753919786104110116122127131136141914241930364248546066727782879297102107112117122132137147127" displayName="Table13245678910111321252934394449546149141924293336424753919786104110116122127131136141914241930364248546066727782879297102107112117122132137147127" ref="B6:H24" totalsRowShown="0" headerRowDxfId="47" dataDxfId="46">
  <autoFilter ref="B6:H24" xr:uid="{B9ABE090-A7D1-4C32-83AF-14F7024EA175}"/>
  <sortState xmlns:xlrd2="http://schemas.microsoft.com/office/spreadsheetml/2017/richdata2" ref="B7:H24">
    <sortCondition ref="G6:G24"/>
  </sortState>
  <tableColumns count="7">
    <tableColumn id="1" xr3:uid="{E94658DF-8E18-49DD-AE9D-1044B2FB2317}" name="No" dataDxfId="45"/>
    <tableColumn id="2" xr3:uid="{1A9A08B7-DE46-4A84-A17A-87F1199C0FC5}" name="Id unit" dataDxfId="44"/>
    <tableColumn id="7" xr3:uid="{506AA831-4BF1-4F3F-8858-0F6966E6BE5E}" name="JAM KELUAR" dataDxfId="43"/>
    <tableColumn id="6" xr3:uid="{44E71AFE-5286-48E6-BA5C-4D28C5EFB3CE}" name="JAM MASUK" dataDxfId="42"/>
    <tableColumn id="5" xr3:uid="{26CFEE67-7AC4-4E6A-B272-859FD81FCA31}" name="TOTAL JAM KERJA" dataDxfId="41">
      <calculatedColumnFormula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calculatedColumnFormula>
    </tableColumn>
    <tableColumn id="3" xr3:uid="{EA8A2CB9-8849-43F5-9DDC-27CE94088F54}" name="Retase" dataDxfId="40"/>
    <tableColumn id="4" xr3:uid="{33B8ADC6-94DA-4750-B650-40385BB38B89}" name="Keterangan" dataDxfId="39"/>
  </tableColumns>
  <tableStyleInfo name="TableStyleLight9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D3337823-1A8F-463F-BE43-83D1945E10E6}" name="Table134567891011172226303540455055625101520253034384348549298871051111171231281321371421015252031374349556167737883889398103108113118123133138148128" displayName="Table134567891011172226303540455055625101520253034384348549298871051111171231281321371421015252031374349556167737883889398103108113118123133138148128" ref="O6:U10" totalsRowShown="0" headerRowDxfId="38" dataDxfId="37">
  <autoFilter ref="O6:U10" xr:uid="{913DA601-D705-4926-AB5D-13C5C55E5198}"/>
  <sortState xmlns:xlrd2="http://schemas.microsoft.com/office/spreadsheetml/2017/richdata2" ref="O7:U10">
    <sortCondition ref="T6:T10"/>
  </sortState>
  <tableColumns count="7">
    <tableColumn id="1" xr3:uid="{78EC6EB6-5A89-471A-BCCE-D76F7CF8B18F}" name="No" dataDxfId="36"/>
    <tableColumn id="2" xr3:uid="{AC04ED8E-8E94-4F93-9990-6F3FBBD0C3B7}" name="Id unit" dataDxfId="35"/>
    <tableColumn id="7" xr3:uid="{48DAAB34-A25E-4A7D-B3C2-C2F8B207915C}" name="JAM KELUAR" dataDxfId="34"/>
    <tableColumn id="6" xr3:uid="{60A26C81-5FA6-4D90-98A2-67F11A40D644}" name="JAM MASUK" dataDxfId="33"/>
    <tableColumn id="5" xr3:uid="{F4E70F8F-2871-40EA-A6BA-DDE0546DA1CA}" name="TOTAL JAM KERJA" dataDxfId="32">
      <calculatedColumnFormula>Table134567891011172226303540455055625101520253034384348549298871051111171231281321371421015252031374349556167737883889398103108113118123133138148128[[#This Row],[JAM MASUK]]-Table134567891011172226303540455055625101520253034384348549298871051111171231281321371421015252031374349556167737883889398103108113118123133138148128[[#This Row],[JAM KELUAR]]</calculatedColumnFormula>
    </tableColumn>
    <tableColumn id="3" xr3:uid="{2D0A6AE8-9C78-483E-A56D-6A2C7A083965}" name="Retase" dataDxfId="31"/>
    <tableColumn id="4" xr3:uid="{35AC62E7-839E-4F21-8BE1-EAFB213E85C0}" name="Keterangan" dataDxfId="30"/>
  </tableColumns>
  <tableStyleInfo name="TableStyleLight9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2D0EAB88-4CFC-49AC-B489-76B56F95A274}" name="Table134567891011172226303540455055625101520253034374045505694100891071131191251301341391441217272233394551576369747984899499104109114119124134139149129" displayName="Table134567891011172226303540455055625101520253034374045505694100891071131191251301341391441217272233394551576369747984899499104109114119124134139149129" ref="O49:U71" totalsRowShown="0" headerRowDxfId="29" dataDxfId="28">
  <autoFilter ref="O49:U71" xr:uid="{73F1D503-EB31-47E3-A68C-36339D21CE7D}"/>
  <tableColumns count="7">
    <tableColumn id="1" xr3:uid="{46EFE78A-8D94-4CDA-A706-398E44C5A465}" name="No" dataDxfId="27"/>
    <tableColumn id="2" xr3:uid="{D039CDE3-4A8F-45B5-947D-F10441378AE3}" name="Id unit" dataDxfId="26"/>
    <tableColumn id="7" xr3:uid="{B9326958-EDD0-4473-9AC9-51F34A9C949B}" name="JAM KELUAR" dataDxfId="25"/>
    <tableColumn id="6" xr3:uid="{F12485F6-B9C7-486D-9552-2F6DDD3CF063}" name="JAM MASUK" dataDxfId="24"/>
    <tableColumn id="5" xr3:uid="{29448F0A-D55B-4011-AD10-449B46C5908F}" name="TOTAL JAM KERJA" dataDxfId="23"/>
    <tableColumn id="3" xr3:uid="{203ADA50-6DB2-4213-83A3-BDE354C06771}" name="Retase" dataDxfId="22"/>
    <tableColumn id="4" xr3:uid="{578CFB21-46CA-4CB1-AF38-6CBC69103867}" name="Keterangan" dataDxfId="21"/>
  </tableColumns>
  <tableStyleInfo name="TableStyleLight9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150FC7BA-30EE-4348-9AB8-A382A4AA7CB1}" name="Table134567891011151819232731374247525927121722273228414652909680103109115121126120135140813231828344046525864707580859095100105110115120125135145150130" displayName="Table134567891011151819232731374247525927121722273228414652909680103109115121126120135140813231828344046525864707580859095100105110115120125135145150130" ref="AA6:AG33" totalsRowShown="0" headerRowDxfId="20" dataDxfId="19">
  <autoFilter ref="AA6:AG33" xr:uid="{1FD47352-F590-4544-A385-64ACA480A10C}"/>
  <sortState xmlns:xlrd2="http://schemas.microsoft.com/office/spreadsheetml/2017/richdata2" ref="AA7:AG33">
    <sortCondition ref="AF6:AF33"/>
  </sortState>
  <tableColumns count="7">
    <tableColumn id="1" xr3:uid="{454BD417-7A63-4E84-B1BF-982DF064C5A0}" name="No" dataDxfId="18"/>
    <tableColumn id="2" xr3:uid="{514AF53D-D0FD-42B0-B079-6461E1C7308F}" name="Id unit" dataDxfId="17"/>
    <tableColumn id="7" xr3:uid="{DBB05627-1408-4C1F-B517-96D602E3A53C}" name="JAM KELUAR" dataDxfId="16"/>
    <tableColumn id="6" xr3:uid="{9FF03E14-0B00-449A-87F2-ED889913312A}" name="JAM MASUK" dataDxfId="15"/>
    <tableColumn id="5" xr3:uid="{E2EDE32A-B5A4-4589-942E-090EA068CF4D}" name="TOTAL JAM KERJA" dataDxfId="14">
      <calculatedColumnFormula>AD7-AC7</calculatedColumnFormula>
    </tableColumn>
    <tableColumn id="3" xr3:uid="{C3CA2E6A-F1A0-439B-8121-19EEF5BFB4B3}" name="Retase" dataDxfId="13"/>
    <tableColumn id="4" xr3:uid="{59625BD1-6B16-411B-83FF-50419DA55F32}" name="Keterangan" dataDxfId="12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C30A85-54E2-4771-A935-DB10637AAD6D}" name="Table134567891011151819232731374247525927121722273228414652909680103109115121126120135140813" displayName="Table134567891011151819232731374247525927121722273228414652909680103109115121126120135140813" ref="AA5:AG19" totalsRowShown="0" headerRowDxfId="1307" dataDxfId="1306">
  <autoFilter ref="AA5:AG19" xr:uid="{D7E74646-277B-4974-8CB5-5FC4622C64EB}"/>
  <sortState xmlns:xlrd2="http://schemas.microsoft.com/office/spreadsheetml/2017/richdata2" ref="AA6:AG19">
    <sortCondition ref="AF5:AF19"/>
  </sortState>
  <tableColumns count="7">
    <tableColumn id="1" xr3:uid="{109A3B06-BC3A-43FD-807F-4F56CEDF3900}" name="No" dataDxfId="1305"/>
    <tableColumn id="2" xr3:uid="{512A9F36-6E4E-44E9-9AF4-61E42E0052D2}" name="Id unit" dataDxfId="1304"/>
    <tableColumn id="7" xr3:uid="{49B05EC6-DE75-4453-B107-CE69A375976E}" name="JAM KELUAR" dataDxfId="1303"/>
    <tableColumn id="6" xr3:uid="{611745D6-E29F-4E5D-B0E8-5AB485DB9F15}" name="JAM MASUK" dataDxfId="1302"/>
    <tableColumn id="5" xr3:uid="{A857F785-86E2-4582-BE8A-55DAFB6B0EE1}" name="TOTAL JAM KERJA" dataDxfId="1301">
      <calculatedColumnFormula>AD6-AC6</calculatedColumnFormula>
    </tableColumn>
    <tableColumn id="3" xr3:uid="{7817171F-C9C3-4D63-88A3-1B97C4C3B25B}" name="Retase" dataDxfId="1300"/>
    <tableColumn id="4" xr3:uid="{FC90BAC8-2F5A-4E8F-B5FF-455B9B1088A7}" name="Keterangan" dataDxfId="1299"/>
  </tableColumns>
  <tableStyleInfo name="TableStyleLight9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F15CCA-BD3F-46AF-AD4F-143C9C67A76C}" name="Table1345678910111518192327313742475259271217222732284146529096801031091151211261201351407" displayName="Table1345678910111518192327313742475259271217222732284146529096801031091151211261201351407" ref="A5:D11" totalsRowShown="0" headerRowDxfId="11" dataDxfId="10">
  <autoFilter ref="A5:D11" xr:uid="{D7E74646-277B-4974-8CB5-5FC4622C64EB}"/>
  <sortState xmlns:xlrd2="http://schemas.microsoft.com/office/spreadsheetml/2017/richdata2" ref="A6:D11">
    <sortCondition ref="C5:C11"/>
  </sortState>
  <tableColumns count="4">
    <tableColumn id="1" xr3:uid="{07CB9875-0422-49C8-B27F-677F91A6465F}" name="No" dataDxfId="9"/>
    <tableColumn id="2" xr3:uid="{D46499E0-B18A-4EC9-964E-C7EC90BA23A6}" name="Id unit" dataDxfId="8"/>
    <tableColumn id="3" xr3:uid="{EE4A4833-5EB3-4D93-BB82-4898B5889D26}" name="Retase" dataDxfId="7"/>
    <tableColumn id="4" xr3:uid="{B2F73B90-E6CB-4997-B19B-EA7B8F0217A3}" name="Keterangan" dataDxfId="6"/>
  </tableColumns>
  <tableStyleInfo name="TableStyleLight9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9F8ED7C7-66B5-4A77-822F-83CFB5BE0777}" name="Table134567891011151819232731374247525927121722273228414652909680103109115121126120135140768" displayName="Table134567891011151819232731374247525927121722273228414652909680103109115121126120135140768" ref="A17:D23" totalsRowShown="0" headerRowDxfId="5" dataDxfId="4">
  <autoFilter ref="A17:D23" xr:uid="{9F8ED7C7-66B5-4A77-822F-83CFB5BE0777}"/>
  <sortState xmlns:xlrd2="http://schemas.microsoft.com/office/spreadsheetml/2017/richdata2" ref="A18:D23">
    <sortCondition ref="C5:C11"/>
  </sortState>
  <tableColumns count="4">
    <tableColumn id="1" xr3:uid="{912E5D6E-070B-4971-A0FC-D2E5B6839BD0}" name="No" dataDxfId="3"/>
    <tableColumn id="2" xr3:uid="{2D1D2D2B-5A2E-4745-B839-E8BCD8F7A6B8}" name="Id unit" dataDxfId="2"/>
    <tableColumn id="3" xr3:uid="{D992F6C2-D82A-49CC-80BD-42A3432FCFB8}" name="Retase" dataDxfId="1"/>
    <tableColumn id="4" xr3:uid="{48FA9656-B403-43ED-A450-3EA0D4E9DA56}" name="Keterangan" dataDxfId="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F9FBE75-FB38-4EA1-9933-875147FD4B38}" name="Table13245678910111321252934394449546149141924293336424753919786104110116122127131136141914" displayName="Table13245678910111321252934394449546149141924293336424753919786104110116122127131136141914" ref="B5:H27" totalsRowShown="0" headerRowDxfId="1298" dataDxfId="1297">
  <autoFilter ref="B5:H27" xr:uid="{B9ABE090-A7D1-4C32-83AF-14F7024EA175}"/>
  <sortState xmlns:xlrd2="http://schemas.microsoft.com/office/spreadsheetml/2017/richdata2" ref="B6:H27">
    <sortCondition ref="G5:G27"/>
  </sortState>
  <tableColumns count="7">
    <tableColumn id="1" xr3:uid="{DC71795E-D2E5-4224-AAC8-8B301BCE0F72}" name="No" dataDxfId="1296"/>
    <tableColumn id="2" xr3:uid="{E6CB8DFD-4E41-48F0-AEFA-3B39611670DF}" name="Id unit" dataDxfId="1295"/>
    <tableColumn id="7" xr3:uid="{DAFC55D6-416E-4AF8-98B8-3AF195842109}" name="JAM KELUAR" dataDxfId="1294"/>
    <tableColumn id="6" xr3:uid="{080FAEED-8415-416A-BBBA-F7DE2A9B9952}" name="JAM MASUK" dataDxfId="1293"/>
    <tableColumn id="5" xr3:uid="{23738552-4266-4C3F-A521-6219CD79F756}" name="TOTAL JAM KERJA" dataDxfId="1292">
      <calculatedColumnFormula>Table13245678910111321252934394449546149141924293336424753919786104110116122127131136141914[[#This Row],[JAM MASUK]]-Table13245678910111321252934394449546149141924293336424753919786104110116122127131136141914[[#This Row],[JAM KELUAR]]</calculatedColumnFormula>
    </tableColumn>
    <tableColumn id="3" xr3:uid="{1278D809-C818-45B5-BAB1-90E18F2A177C}" name="Retase" dataDxfId="1291"/>
    <tableColumn id="4" xr3:uid="{3AB345C2-2098-451C-B0D7-C07C3C2884C3}" name="Keterangan" dataDxfId="129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791DA29-C654-4B93-A93E-20DDDB5199B1}" name="Table134567891011172226303540455055625101520253034384348549298871051111171231281321371421015" displayName="Table134567891011172226303540455055625101520253034384348549298871051111171231281321371421015" ref="O5:U18" totalsRowShown="0" headerRowDxfId="1289" dataDxfId="1288">
  <autoFilter ref="O5:U18" xr:uid="{913DA601-D705-4926-AB5D-13C5C55E5198}"/>
  <sortState xmlns:xlrd2="http://schemas.microsoft.com/office/spreadsheetml/2017/richdata2" ref="O6:U18">
    <sortCondition ref="T5:T18"/>
  </sortState>
  <tableColumns count="7">
    <tableColumn id="1" xr3:uid="{B21A4CE1-F786-410A-A9DF-4C24D1A8D689}" name="No" dataDxfId="1287"/>
    <tableColumn id="2" xr3:uid="{B2C1C7DF-EB1F-4DE1-9566-E21D83CE3ECB}" name="Id unit" dataDxfId="1286"/>
    <tableColumn id="7" xr3:uid="{16805BD7-3482-4E3F-9DEE-73EA3DB79568}" name="JAM KELUAR" dataDxfId="1285"/>
    <tableColumn id="6" xr3:uid="{D8D44DD0-A570-478B-89F9-0AD1A3DA7387}" name="JAM MASUK" dataDxfId="1284"/>
    <tableColumn id="5" xr3:uid="{DAF16807-BB94-448D-A084-52A03496FD4B}" name="TOTAL JAM KERJA" dataDxfId="1283">
      <calculatedColumnFormula>R6-Q6</calculatedColumnFormula>
    </tableColumn>
    <tableColumn id="3" xr3:uid="{B06F99C0-C3A8-497B-A81A-449C2B13C934}" name="Retase" dataDxfId="1282"/>
    <tableColumn id="4" xr3:uid="{304E3D35-5BAC-4902-BA62-E02B93D2E25F}" name="Keterangan" dataDxfId="1281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5554D2-2464-4F39-8F98-63445FF3A813}" name="Table13456789101117222630323641465156636111621263135394449559399881061121181241291331381431116" displayName="Table13456789101117222630323641465156636111621263135394449559399881061121181241291331381431116" ref="O23:U30" totalsRowShown="0" headerRowDxfId="1280" dataDxfId="1279">
  <autoFilter ref="O23:U30" xr:uid="{4183E7DE-4616-45F9-AC6F-E29C0B38C832}"/>
  <sortState xmlns:xlrd2="http://schemas.microsoft.com/office/spreadsheetml/2017/richdata2" ref="O24:U30">
    <sortCondition ref="T23:T30"/>
  </sortState>
  <tableColumns count="7">
    <tableColumn id="1" xr3:uid="{36E5052D-5B04-49DF-8F9B-83D10BCCDBD7}" name="No" dataDxfId="1278"/>
    <tableColumn id="2" xr3:uid="{749AC917-90B3-49BC-BB80-09CA6A6C81A3}" name="Id unit" dataDxfId="1277"/>
    <tableColumn id="7" xr3:uid="{546D7F7D-25A9-4780-A000-6C708741DF90}" name="JAM KELUAR" dataDxfId="1276"/>
    <tableColumn id="6" xr3:uid="{803AF287-97F7-40A5-A328-E515D582FD97}" name="JAM MASUK" dataDxfId="1275"/>
    <tableColumn id="5" xr3:uid="{EA993535-810F-4648-BE9B-2282291ED513}" name="TOTAL JAM KERJA" dataDxfId="1274">
      <calculatedColumnFormula>R24-Q24</calculatedColumnFormula>
    </tableColumn>
    <tableColumn id="3" xr3:uid="{17D41F19-8981-41BB-9C44-411BA8C4C711}" name="Retase" dataDxfId="1273"/>
    <tableColumn id="4" xr3:uid="{01331338-C6DD-46B0-A9C4-1521BD70DA59}" name="Keterangan" dataDxfId="12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9F0C60-E8C0-4E78-A001-D1CDA5D0AF70}" name="Table132456789101113212529343944495461491419242933364247539197861041101161221271311361413" displayName="Table132456789101113212529343944495461491419242933364247539197861041101161221271311361413" ref="B5:H26" totalsRowShown="0" headerRowDxfId="1432" dataDxfId="1431">
  <autoFilter ref="B5:H26" xr:uid="{B9ABE090-A7D1-4C32-83AF-14F7024EA175}"/>
  <sortState xmlns:xlrd2="http://schemas.microsoft.com/office/spreadsheetml/2017/richdata2" ref="B6:H26">
    <sortCondition ref="G5:G26"/>
  </sortState>
  <tableColumns count="7">
    <tableColumn id="1" xr3:uid="{5698F31F-5F9C-4A01-975F-C0B7ADC71609}" name="No" dataDxfId="1430"/>
    <tableColumn id="2" xr3:uid="{8E705709-7FC1-4A61-84E7-B3C21F5E0399}" name="Id unit" dataDxfId="1429"/>
    <tableColumn id="7" xr3:uid="{E9A34814-0641-4B2C-B84B-ED207E31A074}" name="JAM KELUAR" dataDxfId="1428"/>
    <tableColumn id="6" xr3:uid="{3069D805-5E61-4973-9540-2C9EFD19B2B6}" name="JAM MASUK" dataDxfId="1427"/>
    <tableColumn id="5" xr3:uid="{71D380E7-9E32-41ED-89E8-3269CA2CD3C6}" name="TOTAL JAM KERJA" dataDxfId="1426">
      <calculatedColumnFormula>Table132456789101113212529343944495461491419242933364247539197861041101161221271311361413[[#This Row],[JAM MASUK]]-Table132456789101113212529343944495461491419242933364247539197861041101161221271311361413[[#This Row],[JAM KELUAR]]</calculatedColumnFormula>
    </tableColumn>
    <tableColumn id="3" xr3:uid="{6BB5FC7E-5E75-4270-ADF0-C0952DFCB7C7}" name="Retase" dataDxfId="1425"/>
    <tableColumn id="4" xr3:uid="{0D3AE51F-5692-4BDE-8AE3-DF2FDCA89723}" name="Keterangan" dataDxfId="1424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51EE0A-785F-41FD-B89D-4FEB7A2C2059}" name="Table134567891011172226303540455055625101520253034374045505694100891071131191251301341391441217" displayName="Table134567891011172226303540455055625101520253034374045505694100891071131191251301341391441217" ref="O44:U66" totalsRowShown="0" headerRowDxfId="1271" dataDxfId="1270">
  <autoFilter ref="O44:U66" xr:uid="{73F1D503-EB31-47E3-A68C-36339D21CE7D}"/>
  <sortState xmlns:xlrd2="http://schemas.microsoft.com/office/spreadsheetml/2017/richdata2" ref="O45:U57">
    <sortCondition ref="T30:T31"/>
  </sortState>
  <tableColumns count="7">
    <tableColumn id="1" xr3:uid="{8725596B-1167-4180-9DC1-2CFC0C61C254}" name="No" dataDxfId="1269"/>
    <tableColumn id="2" xr3:uid="{5967A394-288E-448D-B39B-FC303AB6454B}" name="Id unit" dataDxfId="1268"/>
    <tableColumn id="7" xr3:uid="{8909776C-4521-4D62-830D-B2892746EA5A}" name="JAM KELUAR" dataDxfId="1267"/>
    <tableColumn id="6" xr3:uid="{98C3D6DE-A85D-4BCD-9849-0F7FEFAA823F}" name="JAM MASUK" dataDxfId="1266"/>
    <tableColumn id="5" xr3:uid="{DA16359D-6B17-4334-B6FB-BBFEC6458E32}" name="TOTAL JAM KERJA" dataDxfId="1265"/>
    <tableColumn id="3" xr3:uid="{3322C471-0594-4A71-A4BB-93089E10BA6F}" name="Retase" dataDxfId="1264"/>
    <tableColumn id="4" xr3:uid="{5E2C37C4-1403-4B5E-ACEB-1337B61594E2}" name="Keterangan" dataDxfId="1263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A44F33E-5C67-4F15-84F6-F3BE1AC59DBA}" name="Table13456789101115181923273137424752592712172227322841465290968010310911512112612013514081323" displayName="Table13456789101115181923273137424752592712172227322841465290968010310911512112612013514081323" ref="Z5:AF17" totalsRowShown="0" headerRowDxfId="1262" dataDxfId="1261">
  <autoFilter ref="Z5:AF17" xr:uid="{D7E74646-277B-4974-8CB5-5FC4622C64EB}"/>
  <sortState xmlns:xlrd2="http://schemas.microsoft.com/office/spreadsheetml/2017/richdata2" ref="Z6:AF17">
    <sortCondition ref="Z5:Z17"/>
  </sortState>
  <tableColumns count="7">
    <tableColumn id="1" xr3:uid="{19D2B52D-2062-45F0-9D7A-F54D02A98691}" name="No" dataDxfId="1260"/>
    <tableColumn id="2" xr3:uid="{30AD2230-DF07-4D0D-B0BB-1FBEF9E2B65A}" name="Id unit" dataDxfId="1259"/>
    <tableColumn id="7" xr3:uid="{2976268D-6096-42FD-8968-ED9C05FE0B04}" name="JAM KELUAR" dataDxfId="1258"/>
    <tableColumn id="6" xr3:uid="{462F485E-5128-4677-87F8-840D1EBB0B3A}" name="JAM MASUK" dataDxfId="1257"/>
    <tableColumn id="5" xr3:uid="{6FBD38C1-E593-4DAD-9012-7DE42CEA5A2F}" name="TOTAL JAM KERJA" dataDxfId="1256">
      <calculatedColumnFormula>AC6-AB6</calculatedColumnFormula>
    </tableColumn>
    <tableColumn id="3" xr3:uid="{F80543F5-DFB4-426A-824B-B5C727A2D5EB}" name="Retase" dataDxfId="1255"/>
    <tableColumn id="4" xr3:uid="{052C5E5A-9214-4EE9-82D8-23BC73D4D05B}" name="Keterangan" dataDxfId="1254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7D15532-8DE0-4F65-AEB5-4CF61916B488}" name="Table1324567891011132125293439444954614914192429333642475391978610411011612212713113614191424" displayName="Table1324567891011132125293439444954614914192429333642475391978610411011612212713113614191424" ref="B5:H24" totalsRowShown="0" headerRowDxfId="1253" dataDxfId="1252">
  <autoFilter ref="B5:H24" xr:uid="{B9ABE090-A7D1-4C32-83AF-14F7024EA175}"/>
  <sortState xmlns:xlrd2="http://schemas.microsoft.com/office/spreadsheetml/2017/richdata2" ref="B6:H24">
    <sortCondition ref="B5:B24"/>
  </sortState>
  <tableColumns count="7">
    <tableColumn id="1" xr3:uid="{9F10FF8F-9823-4412-844B-89EC89DBE03A}" name="No" dataDxfId="1251"/>
    <tableColumn id="2" xr3:uid="{843B8B11-4DB3-47EB-81AD-5222531834F2}" name="Id unit" dataDxfId="1250"/>
    <tableColumn id="7" xr3:uid="{A9022F9D-8B39-4CAA-85D9-0AA0099A5931}" name="JAM KELUAR" dataDxfId="1249"/>
    <tableColumn id="6" xr3:uid="{2D012D2C-AE64-4028-9579-50BF12961516}" name="JAM MASUK" dataDxfId="1248"/>
    <tableColumn id="5" xr3:uid="{EF41AD42-AB68-4013-A381-6C63A4E50D0B}" name="TOTAL JAM KERJA" dataDxfId="1247">
      <calculatedColumnFormula>Table1324567891011132125293439444954614914192429333642475391978610411011612212713113614191424[[#This Row],[JAM MASUK]]-Table1324567891011132125293439444954614914192429333642475391978610411011612212713113614191424[[#This Row],[JAM KELUAR]]</calculatedColumnFormula>
    </tableColumn>
    <tableColumn id="3" xr3:uid="{EEBE0652-EA39-494F-9851-42E22958016A}" name="Retase" dataDxfId="1246"/>
    <tableColumn id="4" xr3:uid="{2B2E6DD6-5061-4BCF-B402-137E28E89593}" name="Keterangan" dataDxfId="1245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937B7A6-65F5-42E9-A180-309FD55AD4CE}" name="Table13456789101117222630354045505562510152025303438434854929887105111117123128132137142101525" displayName="Table13456789101117222630354045505562510152025303438434854929887105111117123128132137142101525" ref="O5:U18" totalsRowShown="0" headerRowDxfId="1244" dataDxfId="1243">
  <autoFilter ref="O5:U18" xr:uid="{913DA601-D705-4926-AB5D-13C5C55E5198}"/>
  <sortState xmlns:xlrd2="http://schemas.microsoft.com/office/spreadsheetml/2017/richdata2" ref="O6:U18">
    <sortCondition ref="O5:O18"/>
  </sortState>
  <tableColumns count="7">
    <tableColumn id="1" xr3:uid="{718ED839-FB05-4902-8F70-0ADDAAD6B2E3}" name="No" dataDxfId="1242"/>
    <tableColumn id="2" xr3:uid="{56E5C621-3803-402D-9766-949526BB91A8}" name="Id unit" dataDxfId="1241"/>
    <tableColumn id="7" xr3:uid="{9FB59C0D-0E10-4C52-A2D5-1B58B99E56E2}" name="JAM KELUAR" dataDxfId="1240"/>
    <tableColumn id="6" xr3:uid="{63713A13-CE7E-46B7-9DFD-73F2AEE2F6C9}" name="JAM MASUK" dataDxfId="1239"/>
    <tableColumn id="5" xr3:uid="{FB8B7A8D-D640-4C5A-B0B1-BC896D5BC017}" name="TOTAL JAM KERJA" dataDxfId="1238">
      <calculatedColumnFormula>R6-Q6</calculatedColumnFormula>
    </tableColumn>
    <tableColumn id="3" xr3:uid="{B2FD0891-F277-4801-AC71-FB31120C8D95}" name="Retase" dataDxfId="1237"/>
    <tableColumn id="4" xr3:uid="{09719B99-A668-4ECE-A336-E60B9F15249F}" name="Keterangan" dataDxfId="1236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B96785-190B-47C3-ADB3-E34A50D22034}" name="Table1345678910111722263032364146515663611162126313539444955939988106112118124129133138143111626" displayName="Table1345678910111722263032364146515663611162126313539444955939988106112118124129133138143111626" ref="O22:U29" totalsRowShown="0" headerRowDxfId="1235" dataDxfId="1234">
  <autoFilter ref="O22:U29" xr:uid="{4183E7DE-4616-45F9-AC6F-E29C0B38C832}"/>
  <sortState xmlns:xlrd2="http://schemas.microsoft.com/office/spreadsheetml/2017/richdata2" ref="O23:U29">
    <sortCondition ref="O22:O29"/>
  </sortState>
  <tableColumns count="7">
    <tableColumn id="1" xr3:uid="{C3CC5F05-9F23-4936-9841-D9F363690120}" name="No" dataDxfId="1233"/>
    <tableColumn id="2" xr3:uid="{DDA4205E-80BF-43AD-A27A-255B26A01B4C}" name="Id unit" dataDxfId="1232"/>
    <tableColumn id="7" xr3:uid="{E2A691E5-8ADB-412A-9EFC-81D8FBEE8FAC}" name="JAM KELUAR" dataDxfId="1231"/>
    <tableColumn id="6" xr3:uid="{45343A8A-91FB-47CA-8DC7-91D07FB2674F}" name="JAM MASUK" dataDxfId="1230"/>
    <tableColumn id="5" xr3:uid="{E57FFC06-CD01-4A2B-9DC2-B6028A9F43B1}" name="TOTAL JAM KERJA" dataDxfId="1229">
      <calculatedColumnFormula>R23-Q23</calculatedColumnFormula>
    </tableColumn>
    <tableColumn id="3" xr3:uid="{70EC29A0-BD6E-4BBC-B656-09D3E0149175}" name="Retase" dataDxfId="1228"/>
    <tableColumn id="4" xr3:uid="{AFA551C6-3A74-4373-AB24-F80D8471CDD8}" name="Keterangan" dataDxfId="1227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053DE12-0EF6-4D92-95FA-136AB10BFFA8}" name="Table13456789101117222630354045505562510152025303437404550569410089107113119125130134139144121727" displayName="Table13456789101117222630354045505562510152025303437404550569410089107113119125130134139144121727" ref="O43:U65" totalsRowShown="0" headerRowDxfId="1226" dataDxfId="1225">
  <autoFilter ref="O43:U65" xr:uid="{73F1D503-EB31-47E3-A68C-36339D21CE7D}"/>
  <sortState xmlns:xlrd2="http://schemas.microsoft.com/office/spreadsheetml/2017/richdata2" ref="O44:U56">
    <sortCondition ref="T29:T30"/>
  </sortState>
  <tableColumns count="7">
    <tableColumn id="1" xr3:uid="{D30C2FFD-D550-4037-8F4D-02930EE1A8B6}" name="No" dataDxfId="1224"/>
    <tableColumn id="2" xr3:uid="{8D0FB2C7-58FC-4439-9FC3-2102E37A558A}" name="Id unit" dataDxfId="1223"/>
    <tableColumn id="7" xr3:uid="{47C2A599-B95C-4B1C-A37D-52BFDE5DC234}" name="JAM KELUAR" dataDxfId="1222"/>
    <tableColumn id="6" xr3:uid="{F78193FE-DF52-4093-84A3-386CDB6F1DC0}" name="JAM MASUK" dataDxfId="1221"/>
    <tableColumn id="5" xr3:uid="{21DEA895-CD31-4F15-B050-2AB0424BCC66}" name="TOTAL JAM KERJA" dataDxfId="1220"/>
    <tableColumn id="3" xr3:uid="{DE8A6EDB-DFE8-4C65-90E2-D530E8233BBB}" name="Retase" dataDxfId="1219"/>
    <tableColumn id="4" xr3:uid="{B029BCD8-F97F-4FA8-8F06-4F4EAE579E61}" name="Keterangan" dataDxfId="1218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F771B2B-C987-40DD-A5E6-F49AA6C1DB63}" name="Table1345678910111518192327313742475259271217222732284146529096801031091151211261201351408132318" displayName="Table1345678910111518192327313742475259271217222732284146529096801031091151211261201351408132318" ref="AM5:AS16" totalsRowShown="0" headerRowDxfId="1217" dataDxfId="1216">
  <autoFilter ref="AM5:AS16" xr:uid="{D7E74646-277B-4974-8CB5-5FC4622C64EB}"/>
  <sortState xmlns:xlrd2="http://schemas.microsoft.com/office/spreadsheetml/2017/richdata2" ref="AM6:AS16">
    <sortCondition ref="AR5:AR16"/>
  </sortState>
  <tableColumns count="7">
    <tableColumn id="1" xr3:uid="{F6F1170B-0348-4CC9-933E-4829F163BA94}" name="No" dataDxfId="1215"/>
    <tableColumn id="2" xr3:uid="{ACC1B291-334D-4668-984F-DD1841807AFD}" name="Id unit" dataDxfId="1214"/>
    <tableColumn id="7" xr3:uid="{CD09CC01-2FAD-40F4-926F-A425AC937A65}" name="JAM KELUAR" dataDxfId="1213"/>
    <tableColumn id="6" xr3:uid="{60A3110D-D730-47E8-BF55-989EEBFCFF2C}" name="JAM MASUK" dataDxfId="1212"/>
    <tableColumn id="5" xr3:uid="{9E7A8A59-F81E-405B-81BB-B35B4EABDD4D}" name="TOTAL JAM KERJA" dataDxfId="1211">
      <calculatedColumnFormula>AP6-AO6</calculatedColumnFormula>
    </tableColumn>
    <tableColumn id="3" xr3:uid="{73BA2B68-9D5A-419B-B663-B0B55EFE0CA2}" name="Retase" dataDxfId="1210"/>
    <tableColumn id="4" xr3:uid="{41A01944-F7B3-49B0-B438-F7D555803FA9}" name="Keterangan" dataDxfId="1209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EAA6509-513A-449E-B969-F1C1312D1787}" name="Table132456789101113212529343944495461491419242933364247539197861041101161221271311361419142419" displayName="Table132456789101113212529343944495461491419242933364247539197861041101161221271311361419142419" ref="B5:H24" totalsRowShown="0" headerRowDxfId="1208" dataDxfId="1207">
  <autoFilter ref="B5:H24" xr:uid="{B9ABE090-A7D1-4C32-83AF-14F7024EA175}"/>
  <sortState xmlns:xlrd2="http://schemas.microsoft.com/office/spreadsheetml/2017/richdata2" ref="B6:H24">
    <sortCondition ref="G5:G24"/>
  </sortState>
  <tableColumns count="7">
    <tableColumn id="1" xr3:uid="{003C4115-D870-4858-B524-FB115199FC75}" name="No" dataDxfId="1206"/>
    <tableColumn id="2" xr3:uid="{0B65B8DD-41D9-4321-BE1C-B100F4ED12C2}" name="Id unit" dataDxfId="1205"/>
    <tableColumn id="7" xr3:uid="{2BB9E5BC-7207-43C4-A5AB-F5A58DAD21B4}" name="JAM KELUAR" dataDxfId="1204"/>
    <tableColumn id="6" xr3:uid="{B3482ABD-50D2-483F-B4B5-DB9F26705667}" name="JAM MASUK" dataDxfId="1203"/>
    <tableColumn id="5" xr3:uid="{B3AE8D08-A445-4A0C-8A12-934C7EE3DF2C}" name="TOTAL JAM KERJA" dataDxfId="1202">
      <calculatedColumnFormula>Table132456789101113212529343944495461491419242933364247539197861041101161221271311361419142419[[#This Row],[JAM MASUK]]-Table132456789101113212529343944495461491419242933364247539197861041101161221271311361419142419[[#This Row],[JAM KELUAR]]</calculatedColumnFormula>
    </tableColumn>
    <tableColumn id="3" xr3:uid="{2883AEF5-DF55-44A4-8CF3-C1C391B6EF49}" name="Retase" dataDxfId="1201"/>
    <tableColumn id="4" xr3:uid="{31DD7B4B-CFDE-4C64-8C3E-9C6FDE1357D6}" name="Keterangan" dataDxfId="120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F68EB4E-C5EF-444A-A946-D761CC13818D}" name="Table1345678910111722263035404550556251015202530343843485492988710511111712312813213714210152520" displayName="Table1345678910111722263035404550556251015202530343843485492988710511111712312813213714210152520" ref="O5:U16" totalsRowShown="0" headerRowDxfId="1199" dataDxfId="1198">
  <autoFilter ref="O5:U16" xr:uid="{913DA601-D705-4926-AB5D-13C5C55E5198}"/>
  <sortState xmlns:xlrd2="http://schemas.microsoft.com/office/spreadsheetml/2017/richdata2" ref="O6:U16">
    <sortCondition ref="T5:T16"/>
  </sortState>
  <tableColumns count="7">
    <tableColumn id="1" xr3:uid="{4A856683-D77A-42B2-A535-5FCD0A9F0029}" name="No" dataDxfId="1197"/>
    <tableColumn id="2" xr3:uid="{A5ADB1B1-51DE-4E39-AC8E-345F67D1BC86}" name="Id unit" dataDxfId="1196"/>
    <tableColumn id="7" xr3:uid="{5FBB1F32-7BA4-4007-8539-C8180C9DC7B3}" name="JAM KELUAR" dataDxfId="1195"/>
    <tableColumn id="6" xr3:uid="{5FBEB25D-2861-4E27-A81D-628AD33444BE}" name="JAM MASUK" dataDxfId="1194"/>
    <tableColumn id="5" xr3:uid="{E76B06D6-CCFB-459C-AFF7-1D5FABB60D3E}" name="TOTAL JAM KERJA" dataDxfId="1193">
      <calculatedColumnFormula>R6-Q6</calculatedColumnFormula>
    </tableColumn>
    <tableColumn id="3" xr3:uid="{9E496F83-8AE2-45C7-8003-B39CC245B3C5}" name="Retase" dataDxfId="1192"/>
    <tableColumn id="4" xr3:uid="{FE87EF37-A210-43D4-B209-A304FA268331}" name="Keterangan" dataDxfId="1191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C5269B0-1312-4872-9AA3-9E7A633A547E}" name="Table134567891011172226303236414651566361116212631353944495593998810611211812412913313814311162621" displayName="Table134567891011172226303236414651566361116212631353944495593998810611211812412913313814311162621" ref="O20:U28" totalsRowShown="0" headerRowDxfId="1190" dataDxfId="1189">
  <autoFilter ref="O20:U28" xr:uid="{4183E7DE-4616-45F9-AC6F-E29C0B38C832}"/>
  <sortState xmlns:xlrd2="http://schemas.microsoft.com/office/spreadsheetml/2017/richdata2" ref="O21:U28">
    <sortCondition ref="T20:T28"/>
  </sortState>
  <tableColumns count="7">
    <tableColumn id="1" xr3:uid="{7E02ED55-E16E-4D27-9462-5237402F20DE}" name="No" dataDxfId="1188"/>
    <tableColumn id="2" xr3:uid="{07DF80DC-BC64-4641-8AAC-E36BCA54B78A}" name="Id unit" dataDxfId="1187"/>
    <tableColumn id="7" xr3:uid="{CFF9D72B-3878-482E-A136-48421E4694F8}" name="JAM KELUAR" dataDxfId="1186"/>
    <tableColumn id="6" xr3:uid="{9993762F-6516-45A9-B842-5B4C27651AFB}" name="JAM MASUK" dataDxfId="1185"/>
    <tableColumn id="5" xr3:uid="{E02E9864-5285-4ECC-8933-33031605C27A}" name="TOTAL JAM KERJA" dataDxfId="1184">
      <calculatedColumnFormula>R21-Q21</calculatedColumnFormula>
    </tableColumn>
    <tableColumn id="3" xr3:uid="{1B2006E5-25E9-4924-8AD6-40ED6A88DBA2}" name="Retase" dataDxfId="1183"/>
    <tableColumn id="4" xr3:uid="{BC8F008E-2AE5-40AB-8EC0-CC0F35042183}" name="Keterangan" dataDxfId="118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CA8E04-4F6F-44BE-A1CF-0B3D6BF81BE3}" name="Table134567891011172226303540455055625101520253034384348549298871051111171231281321371424" displayName="Table134567891011172226303540455055625101520253034384348549298871051111171231281321371424" ref="O5:U19" totalsRowShown="0" headerRowDxfId="1423" dataDxfId="1422">
  <autoFilter ref="O5:U19" xr:uid="{913DA601-D705-4926-AB5D-13C5C55E5198}"/>
  <sortState xmlns:xlrd2="http://schemas.microsoft.com/office/spreadsheetml/2017/richdata2" ref="O6:U19">
    <sortCondition ref="T5:T19"/>
  </sortState>
  <tableColumns count="7">
    <tableColumn id="1" xr3:uid="{EBB540B7-B524-4DC1-9FFE-2940BB7D1871}" name="No" dataDxfId="1421"/>
    <tableColumn id="2" xr3:uid="{8C5DF15D-3284-4240-9FF7-D9BC948C4BB5}" name="Id unit" dataDxfId="1420"/>
    <tableColumn id="7" xr3:uid="{1EE3127A-A878-4503-8692-3A90E0728A00}" name="JAM KELUAR" dataDxfId="1419"/>
    <tableColumn id="6" xr3:uid="{11460D36-31F5-4CC1-9BD1-C8C5518E6C44}" name="JAM MASUK" dataDxfId="1418"/>
    <tableColumn id="5" xr3:uid="{53AB7E62-C641-4690-B8B6-59631E1038D3}" name="TOTAL JAM KERJA" dataDxfId="1417">
      <calculatedColumnFormula>R6-Q6</calculatedColumnFormula>
    </tableColumn>
    <tableColumn id="3" xr3:uid="{47375B95-252E-43A2-BC80-9D84D9AC8244}" name="Retase" dataDxfId="1416"/>
    <tableColumn id="4" xr3:uid="{A39E1EA2-8A0E-4BEC-B634-CF1F741A5FD2}" name="Keterangan" dataDxfId="1415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4602FE2-1CFD-4DB4-BA26-690E3E306F7D}" name="Table1345678910111722263035404550556251015202530343740455056941008910711311912513013413914412172722" displayName="Table1345678910111722263035404550556251015202530343740455056941008910711311912513013413914412172722" ref="O42:U64" totalsRowShown="0" headerRowDxfId="1181" dataDxfId="1180">
  <autoFilter ref="O42:U64" xr:uid="{73F1D503-EB31-47E3-A68C-36339D21CE7D}"/>
  <sortState xmlns:xlrd2="http://schemas.microsoft.com/office/spreadsheetml/2017/richdata2" ref="O43:U55">
    <sortCondition ref="T28:T29"/>
  </sortState>
  <tableColumns count="7">
    <tableColumn id="1" xr3:uid="{14D5ED80-4B1B-446C-A6F5-74559BBE5E87}" name="No" dataDxfId="1179"/>
    <tableColumn id="2" xr3:uid="{A25AFCC0-47A2-47BC-A9E1-C7EAE21D1DE1}" name="Id unit" dataDxfId="1178"/>
    <tableColumn id="7" xr3:uid="{76F6DA23-D01D-4E65-B913-3AEFE7F9A2A2}" name="JAM KELUAR" dataDxfId="1177"/>
    <tableColumn id="6" xr3:uid="{DE8CB04F-7C49-4D61-B317-4F8CFE807E4D}" name="JAM MASUK" dataDxfId="1176"/>
    <tableColumn id="5" xr3:uid="{9EF0E10F-D5AF-470F-8236-3221E3AE32E8}" name="TOTAL JAM KERJA" dataDxfId="1175"/>
    <tableColumn id="3" xr3:uid="{7474377E-5564-4933-8236-70F793AC8FEA}" name="Retase" dataDxfId="1174"/>
    <tableColumn id="4" xr3:uid="{E2FD2728-1F1D-443B-9E0A-4EB09E97148C}" name="Keterangan" dataDxfId="1173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293B637-3E38-44DB-BC63-F5709C056B45}" name="Table134567891011151819232731374247525927121722273228414652909680103109115121126120135140813231828" displayName="Table134567891011151819232731374247525927121722273228414652909680103109115121126120135140813231828" ref="AA5:AG17" totalsRowShown="0" headerRowDxfId="1172" dataDxfId="1171">
  <autoFilter ref="AA5:AG17" xr:uid="{1FD47352-F590-4544-A385-64ACA480A10C}"/>
  <sortState xmlns:xlrd2="http://schemas.microsoft.com/office/spreadsheetml/2017/richdata2" ref="AA6:AG17">
    <sortCondition ref="AF5:AF17"/>
  </sortState>
  <tableColumns count="7">
    <tableColumn id="1" xr3:uid="{C0950C35-0521-4E84-BC53-8D37BAC7911E}" name="No" dataDxfId="1170"/>
    <tableColumn id="2" xr3:uid="{D19053F6-D64D-461F-B5F9-783517F75B51}" name="Id unit" dataDxfId="1169"/>
    <tableColumn id="7" xr3:uid="{15001DD4-7E7D-4ED5-96CA-D7B84640E63C}" name="JAM KELUAR" dataDxfId="1168"/>
    <tableColumn id="6" xr3:uid="{F9E746B7-DC94-4E33-AD37-1C7A0B7F8EFC}" name="JAM MASUK" dataDxfId="1167"/>
    <tableColumn id="5" xr3:uid="{F7856ACD-355B-4F8C-851C-7618C00E1A09}" name="TOTAL JAM KERJA" dataDxfId="1166">
      <calculatedColumnFormula>AD6-AC6</calculatedColumnFormula>
    </tableColumn>
    <tableColumn id="3" xr3:uid="{4228B0D5-97E6-4A61-802D-DA8E2F3CBA4F}" name="Retase" dataDxfId="1165"/>
    <tableColumn id="4" xr3:uid="{B4E08F8F-2585-43AD-84A1-21851FB8EA9D}" name="Keterangan" dataDxfId="1164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05E865D-2EB7-473D-8A0C-688BAAFB0B9F}" name="Table134567891011151819232731374247525927121722273228414652909680103109115121126120135140813231829" displayName="Table134567891011151819232731374247525927121722273228414652909680103109115121126120135140813231829" ref="AM5:AS16" totalsRowShown="0" headerRowDxfId="1163" dataDxfId="1162">
  <autoFilter ref="AM5:AS16" xr:uid="{D7E74646-277B-4974-8CB5-5FC4622C64EB}"/>
  <sortState xmlns:xlrd2="http://schemas.microsoft.com/office/spreadsheetml/2017/richdata2" ref="AM6:AS16">
    <sortCondition ref="AR5:AR16"/>
  </sortState>
  <tableColumns count="7">
    <tableColumn id="1" xr3:uid="{4CEE3A97-8335-4324-8AEA-B7FEB6654340}" name="No" dataDxfId="1161"/>
    <tableColumn id="2" xr3:uid="{0F4BB445-385F-4A48-AD1F-ADC22A8E4800}" name="Id unit" dataDxfId="1160"/>
    <tableColumn id="7" xr3:uid="{4ACB9D02-0014-41C3-B5E7-97F58A6A0921}" name="JAM KELUAR" dataDxfId="1159"/>
    <tableColumn id="6" xr3:uid="{B5E0AA3B-97E4-49D7-8388-E53926D14278}" name="JAM MASUK" dataDxfId="1158"/>
    <tableColumn id="5" xr3:uid="{7F75123C-D5AA-40EA-B5A8-E537240DC4E2}" name="TOTAL JAM KERJA" dataDxfId="1157">
      <calculatedColumnFormula>AP6-AO6</calculatedColumnFormula>
    </tableColumn>
    <tableColumn id="3" xr3:uid="{BF898CB9-4C6F-4F0C-B11D-72F523002AD7}" name="Retase" dataDxfId="1156"/>
    <tableColumn id="4" xr3:uid="{F241B565-A702-471B-8471-D5B2C97B1E4A}" name="Keterangan" dataDxfId="1155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94DDCEB-C77A-44DC-ACCB-D92866BF853D}" name="Table13245678910111321252934394449546149141924293336424753919786104110116122127131136141914241930" displayName="Table13245678910111321252934394449546149141924293336424753919786104110116122127131136141914241930" ref="B5:H27" totalsRowShown="0" headerRowDxfId="1154" dataDxfId="1153">
  <autoFilter ref="B5:H27" xr:uid="{B9ABE090-A7D1-4C32-83AF-14F7024EA175}"/>
  <sortState xmlns:xlrd2="http://schemas.microsoft.com/office/spreadsheetml/2017/richdata2" ref="B6:H27">
    <sortCondition ref="G5:G27"/>
  </sortState>
  <tableColumns count="7">
    <tableColumn id="1" xr3:uid="{E6177D40-3CC6-4593-A56E-DEC432DF588A}" name="No" dataDxfId="1152"/>
    <tableColumn id="2" xr3:uid="{BD2A05D7-38DE-4DE1-A646-3276088711F2}" name="Id unit" dataDxfId="1151"/>
    <tableColumn id="7" xr3:uid="{47934B44-24BF-445B-8938-D1AB7CCB46C5}" name="JAM KELUAR" dataDxfId="1150"/>
    <tableColumn id="6" xr3:uid="{DB3FE1BF-6F03-4C85-AAFD-C7B3C5A739CE}" name="JAM MASUK" dataDxfId="1149"/>
    <tableColumn id="5" xr3:uid="{53D009C3-F625-4A91-B2C6-38DA54F32D54}" name="TOTAL JAM KERJA" dataDxfId="1148">
      <calculatedColumnFormula>Table13245678910111321252934394449546149141924293336424753919786104110116122127131136141914241930[[#This Row],[JAM MASUK]]-Table13245678910111321252934394449546149141924293336424753919786104110116122127131136141914241930[[#This Row],[JAM KELUAR]]</calculatedColumnFormula>
    </tableColumn>
    <tableColumn id="3" xr3:uid="{9AB12C82-E6E4-45F5-985D-61C4048DAEEF}" name="Retase" dataDxfId="1147"/>
    <tableColumn id="4" xr3:uid="{9EE678A2-C2C6-4F58-8EDA-4BE2052A0C61}" name="Keterangan" dataDxfId="1146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DDEC206-8E15-435A-B9DF-C38772FD4F8E}" name="Table134567891011172226303540455055625101520253034384348549298871051111171231281321371421015252031" displayName="Table134567891011172226303540455055625101520253034384348549298871051111171231281321371421015252031" ref="O5:U17" totalsRowShown="0" headerRowDxfId="1145" dataDxfId="1144">
  <autoFilter ref="O5:U17" xr:uid="{913DA601-D705-4926-AB5D-13C5C55E5198}"/>
  <sortState xmlns:xlrd2="http://schemas.microsoft.com/office/spreadsheetml/2017/richdata2" ref="O6:U17">
    <sortCondition ref="T5:T17"/>
  </sortState>
  <tableColumns count="7">
    <tableColumn id="1" xr3:uid="{A2F491C0-646D-4C7F-908E-D4C5755A4D63}" name="No" dataDxfId="1143"/>
    <tableColumn id="2" xr3:uid="{7EA3E9EC-1034-454D-8497-791523AE0102}" name="Id unit" dataDxfId="1142"/>
    <tableColumn id="7" xr3:uid="{7E564F65-41BE-42B7-8C8C-4B66AC6F425A}" name="JAM KELUAR" dataDxfId="1141"/>
    <tableColumn id="6" xr3:uid="{FD670813-6BD9-45E7-8C24-6DF9985F6A7E}" name="JAM MASUK" dataDxfId="1140"/>
    <tableColumn id="5" xr3:uid="{051B9CF3-A3BA-4CF1-A0DA-84BEC808A0A1}" name="TOTAL JAM KERJA" dataDxfId="1139">
      <calculatedColumnFormula>R6-Q6</calculatedColumnFormula>
    </tableColumn>
    <tableColumn id="3" xr3:uid="{8119DE80-AAE9-4CED-AD5C-B1A46650095D}" name="Retase" dataDxfId="1138"/>
    <tableColumn id="4" xr3:uid="{ECB08157-B751-4D44-97FB-20E3848AC251}" name="Keterangan" dataDxfId="1137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5523370-FDCB-4431-87CE-E659DD65D685}" name="Table13456789101117222630323641465156636111621263135394449559399881061121181241291331381431116262132" displayName="Table13456789101117222630323641465156636111621263135394449559399881061121181241291331381431116262132" ref="O22:U28" totalsRowShown="0" headerRowDxfId="1136" dataDxfId="1135">
  <autoFilter ref="O22:U28" xr:uid="{4183E7DE-4616-45F9-AC6F-E29C0B38C832}"/>
  <sortState xmlns:xlrd2="http://schemas.microsoft.com/office/spreadsheetml/2017/richdata2" ref="O23:U28">
    <sortCondition ref="T22:T28"/>
  </sortState>
  <tableColumns count="7">
    <tableColumn id="1" xr3:uid="{2B12CA5A-9763-42D3-8AA2-945EA0A614BF}" name="No" dataDxfId="1134"/>
    <tableColumn id="2" xr3:uid="{C756A1F1-C1BA-48FD-A6A7-00F5059F1E46}" name="Id unit" dataDxfId="1133"/>
    <tableColumn id="7" xr3:uid="{D23DA245-6447-4FDB-8B2E-6B77A6C25474}" name="JAM KELUAR" dataDxfId="1132"/>
    <tableColumn id="6" xr3:uid="{48B1B8A4-085C-467C-97DA-86180CE0E1AD}" name="JAM MASUK" dataDxfId="1131"/>
    <tableColumn id="5" xr3:uid="{91210F6C-2865-4BB4-AF66-4CF48CC604D5}" name="TOTAL JAM KERJA" dataDxfId="1130">
      <calculatedColumnFormula>R23-Q23</calculatedColumnFormula>
    </tableColumn>
    <tableColumn id="3" xr3:uid="{9C2D918A-56CB-4E2B-BEDE-4BAAA3707A5F}" name="Retase" dataDxfId="1129"/>
    <tableColumn id="4" xr3:uid="{7C50D42E-A5AE-4428-A0EF-D2C074F0E9BD}" name="Keterangan" dataDxfId="1128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15D9F8C-E8F6-4E4F-B368-3EDC0D0A1FF3}" name="Table134567891011172226303540455055625101520253034374045505694100891071131191251301341391441217272233" displayName="Table134567891011172226303540455055625101520253034374045505694100891071131191251301341391441217272233" ref="O41:U63" totalsRowShown="0" headerRowDxfId="1127" dataDxfId="1126">
  <autoFilter ref="O41:U63" xr:uid="{73F1D503-EB31-47E3-A68C-36339D21CE7D}"/>
  <sortState xmlns:xlrd2="http://schemas.microsoft.com/office/spreadsheetml/2017/richdata2" ref="O42:U54">
    <sortCondition ref="T27:T28"/>
  </sortState>
  <tableColumns count="7">
    <tableColumn id="1" xr3:uid="{2F88C7F8-F2C2-435D-A836-579962A08FA3}" name="No" dataDxfId="1125"/>
    <tableColumn id="2" xr3:uid="{6BA87688-F49D-4BAB-8FCD-F7AFF76C5E28}" name="Id unit" dataDxfId="1124"/>
    <tableColumn id="7" xr3:uid="{C98BE80C-71B3-43D5-9FDD-0DF978FC828E}" name="JAM KELUAR" dataDxfId="1123"/>
    <tableColumn id="6" xr3:uid="{3157695B-7033-423F-83F8-004288212313}" name="JAM MASUK" dataDxfId="1122"/>
    <tableColumn id="5" xr3:uid="{DD3E91B6-E6E6-4CCE-9F85-B9945A903878}" name="TOTAL JAM KERJA" dataDxfId="1121"/>
    <tableColumn id="3" xr3:uid="{6EDCAB26-6A8B-466B-A1BA-8A785A8AB69E}" name="Retase" dataDxfId="1120"/>
    <tableColumn id="4" xr3:uid="{F47263E6-8852-4077-BBD2-69D5A10FF95C}" name="Keterangan" dataDxfId="1119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E4E10B6-D5A0-4308-8987-DFB34E3932BE}" name="Table13456789101115181923273137424752592712172227322841465290968010310911512112612013514081323182834" displayName="Table13456789101115181923273137424752592712172227322841465290968010310911512112612013514081323182834" ref="AA5:AG17" totalsRowShown="0" headerRowDxfId="1118" dataDxfId="1117">
  <autoFilter ref="AA5:AG17" xr:uid="{1FD47352-F590-4544-A385-64ACA480A10C}"/>
  <sortState xmlns:xlrd2="http://schemas.microsoft.com/office/spreadsheetml/2017/richdata2" ref="AA6:AG17">
    <sortCondition ref="AF5:AF17"/>
  </sortState>
  <tableColumns count="7">
    <tableColumn id="1" xr3:uid="{A977323E-A6DA-47E1-92D9-C950B810BDB3}" name="No" dataDxfId="1116"/>
    <tableColumn id="2" xr3:uid="{AE7A6295-5E3D-4145-B728-ACBFBD7A265B}" name="Id unit" dataDxfId="1115"/>
    <tableColumn id="7" xr3:uid="{19ACE4BE-6F58-41EA-A516-3E8032D40A15}" name="JAM KELUAR" dataDxfId="1114"/>
    <tableColumn id="6" xr3:uid="{14C8BE72-9E87-4334-9471-BE94EB24526D}" name="JAM MASUK" dataDxfId="1113"/>
    <tableColumn id="5" xr3:uid="{5E8287A9-DF20-4418-9AC1-0A10586EE5DD}" name="TOTAL JAM KERJA" dataDxfId="1112">
      <calculatedColumnFormula>AD6-AC6</calculatedColumnFormula>
    </tableColumn>
    <tableColumn id="3" xr3:uid="{577C3410-A80D-40E6-8FBD-A6BD711674EB}" name="Retase" dataDxfId="1111"/>
    <tableColumn id="4" xr3:uid="{84F88D0A-A939-4443-AAB8-DAD5B484508C}" name="Keterangan" dataDxfId="111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E5B5E58-C942-4497-8E99-FBFDA438E98F}" name="Table13456789101115181923273137424752592712172227322841465290968010310911512112612013514081323182935" displayName="Table13456789101115181923273137424752592712172227322841465290968010310911512112612013514081323182935" ref="AM6:AS16" totalsRowShown="0" headerRowDxfId="1109" dataDxfId="1108">
  <autoFilter ref="AM6:AS16" xr:uid="{D7E74646-277B-4974-8CB5-5FC4622C64EB}"/>
  <sortState xmlns:xlrd2="http://schemas.microsoft.com/office/spreadsheetml/2017/richdata2" ref="AM7:AS16">
    <sortCondition ref="AR6:AR16"/>
  </sortState>
  <tableColumns count="7">
    <tableColumn id="1" xr3:uid="{505CC62B-820B-4B20-8906-3DAC512F6311}" name="No" dataDxfId="1107"/>
    <tableColumn id="2" xr3:uid="{A8761409-1844-4E17-94BC-49A39C51C604}" name="Id unit" dataDxfId="1106"/>
    <tableColumn id="7" xr3:uid="{968AA314-C8D4-4FBE-BAE8-2B3155821675}" name="JAM KELUAR" dataDxfId="1105"/>
    <tableColumn id="6" xr3:uid="{37D82781-77D7-4B02-A66D-61B0150724F7}" name="JAM MASUK" dataDxfId="1104"/>
    <tableColumn id="5" xr3:uid="{1F79FBA3-D351-4EF5-9E36-8CE924DE62CE}" name="TOTAL JAM KERJA" dataDxfId="1103">
      <calculatedColumnFormula>AP7-AO7</calculatedColumnFormula>
    </tableColumn>
    <tableColumn id="3" xr3:uid="{A38ED6D7-F61F-4033-9FED-A9558E029E17}" name="Retase" dataDxfId="1102"/>
    <tableColumn id="4" xr3:uid="{1A6404A2-34DD-4A65-91DA-E32F5FD18582}" name="Keterangan" dataDxfId="1101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59DA0E1C-FCB7-4B7C-9534-51167E934185}" name="Table1324567891011132125293439444954614914192429333642475391978610411011612212713113614191424193036" displayName="Table1324567891011132125293439444954614914192429333642475391978610411011612212713113614191424193036" ref="B6:H28" totalsRowShown="0" headerRowDxfId="1100" dataDxfId="1099">
  <autoFilter ref="B6:H28" xr:uid="{B9ABE090-A7D1-4C32-83AF-14F7024EA175}"/>
  <sortState xmlns:xlrd2="http://schemas.microsoft.com/office/spreadsheetml/2017/richdata2" ref="B7:H28">
    <sortCondition ref="G6:G28"/>
  </sortState>
  <tableColumns count="7">
    <tableColumn id="1" xr3:uid="{766A74A0-43DA-401D-9F23-24E47E671673}" name="No" dataDxfId="1098"/>
    <tableColumn id="2" xr3:uid="{F296E08F-A88E-4710-B1E1-DA3073496D3F}" name="Id unit" dataDxfId="1097"/>
    <tableColumn id="7" xr3:uid="{A8540CF4-8598-4D70-A550-77D1E5846278}" name="JAM KELUAR" dataDxfId="1096"/>
    <tableColumn id="6" xr3:uid="{4400CA3A-DBBB-449E-B4BF-8B6899B82097}" name="JAM MASUK" dataDxfId="1095"/>
    <tableColumn id="5" xr3:uid="{A3C0ED80-52AC-4D37-A538-B5A007D46656}" name="TOTAL JAM KERJA" dataDxfId="1094">
      <calculatedColumnFormula>Table1324567891011132125293439444954614914192429333642475391978610411011612212713113614191424193036[[#This Row],[JAM MASUK]]-Table1324567891011132125293439444954614914192429333642475391978610411011612212713113614191424193036[[#This Row],[JAM KELUAR]]</calculatedColumnFormula>
    </tableColumn>
    <tableColumn id="3" xr3:uid="{04D07EA9-E212-4035-9F1A-84DB604E859A}" name="Retase" dataDxfId="1093"/>
    <tableColumn id="4" xr3:uid="{5B11A268-C7EB-4DE8-91C7-6895F89621A8}" name="Keterangan" dataDxfId="109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13A32C-C2EA-4F02-A804-7C69956A29CA}" name="Table13456789101117222630323641465156636111621263135394449559399881061121181241291331381435" displayName="Table13456789101117222630323641465156636111621263135394449559399881061121181241291331381435" ref="O24:U32" totalsRowShown="0" headerRowDxfId="1414">
  <autoFilter ref="O24:U32" xr:uid="{4183E7DE-4616-45F9-AC6F-E29C0B38C832}"/>
  <sortState xmlns:xlrd2="http://schemas.microsoft.com/office/spreadsheetml/2017/richdata2" ref="O25:U32">
    <sortCondition ref="T24:T32"/>
  </sortState>
  <tableColumns count="7">
    <tableColumn id="1" xr3:uid="{E4BCBBF8-2AE5-43A8-8AAE-F9AF1CC01997}" name="No" dataDxfId="1413"/>
    <tableColumn id="2" xr3:uid="{9580E3AB-8E0B-463D-9BB8-A429EA20E848}" name="Id unit" dataDxfId="1412"/>
    <tableColumn id="7" xr3:uid="{2D8D11DC-0583-4C4B-8C14-36CA4FD9A50C}" name="JAM KELUAR" dataDxfId="1411"/>
    <tableColumn id="6" xr3:uid="{341BB1B9-5F4A-4AF6-B621-31A235C96B51}" name="JAM MASUK" dataDxfId="1410"/>
    <tableColumn id="5" xr3:uid="{051845D9-E7A3-4F01-BF44-D1807067DDBB}" name="TOTAL JAM KERJA" dataDxfId="1409">
      <calculatedColumnFormula>R25-Q25</calculatedColumnFormula>
    </tableColumn>
    <tableColumn id="3" xr3:uid="{0029942F-C561-4CEA-ADAC-FEB72CDC5743}" name="Retase" dataDxfId="1408"/>
    <tableColumn id="4" xr3:uid="{5DE12764-9EED-4DEF-AEE3-65B22164FF6D}" name="Keterangan" dataDxfId="1407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8162CE0-ABFA-4F49-BDD6-EBE2C01C62E9}" name="Table13456789101117222630354045505562510152025303438434854929887105111117123128132137142101525203137" displayName="Table13456789101117222630354045505562510152025303438434854929887105111117123128132137142101525203137" ref="O6:U21" totalsRowShown="0" headerRowDxfId="1091" dataDxfId="1090">
  <autoFilter ref="O6:U21" xr:uid="{913DA601-D705-4926-AB5D-13C5C55E5198}"/>
  <sortState xmlns:xlrd2="http://schemas.microsoft.com/office/spreadsheetml/2017/richdata2" ref="O7:U21">
    <sortCondition ref="O6:O21"/>
  </sortState>
  <tableColumns count="7">
    <tableColumn id="1" xr3:uid="{0AFDAA56-560E-460C-BAD9-A79A4BA82738}" name="No" dataDxfId="1089"/>
    <tableColumn id="2" xr3:uid="{B7F10897-F63A-4505-8DF2-E70174CB0EA5}" name="Id unit" dataDxfId="1088"/>
    <tableColumn id="7" xr3:uid="{32C5C110-4854-44A5-8386-AF03DCF4ED9E}" name="JAM KELUAR" dataDxfId="1087"/>
    <tableColumn id="6" xr3:uid="{5B1C7438-7658-4E07-B83B-4400CCF24C05}" name="JAM MASUK" dataDxfId="1086"/>
    <tableColumn id="5" xr3:uid="{AEC90AB2-74D2-4DF5-BFAA-1C5018C5F2FC}" name="TOTAL JAM KERJA" dataDxfId="1085">
      <calculatedColumnFormula>R7-Q7</calculatedColumnFormula>
    </tableColumn>
    <tableColumn id="3" xr3:uid="{22623A35-1A38-474F-ABF0-B31AC2499695}" name="Retase" dataDxfId="1084"/>
    <tableColumn id="4" xr3:uid="{34D01770-F13F-498E-9184-0E962A8D7B71}" name="Keterangan" dataDxfId="1083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96C776E-83CE-42E3-BEF9-B2789048A7F3}" name="Table1345678910111722263032364146515663611162126313539444955939988106112118124129133138143111626213238" displayName="Table1345678910111722263032364146515663611162126313539444955939988106112118124129133138143111626213238" ref="O25:U33" totalsRowShown="0" headerRowDxfId="1082" dataDxfId="1081">
  <autoFilter ref="O25:U33" xr:uid="{4183E7DE-4616-45F9-AC6F-E29C0B38C832}"/>
  <sortState xmlns:xlrd2="http://schemas.microsoft.com/office/spreadsheetml/2017/richdata2" ref="O26:U33">
    <sortCondition ref="O25:O33"/>
  </sortState>
  <tableColumns count="7">
    <tableColumn id="1" xr3:uid="{C2C3B5F3-5E37-4EB4-9E10-EF37FECA1736}" name="No" dataDxfId="1080"/>
    <tableColumn id="2" xr3:uid="{2200681D-4CF9-4AEF-92B5-FCB2FA6B0F0D}" name="Id unit" dataDxfId="1079"/>
    <tableColumn id="7" xr3:uid="{9D19C81A-D508-44AE-AC68-92D23F1353C6}" name="JAM KELUAR" dataDxfId="1078"/>
    <tableColumn id="6" xr3:uid="{5EA49B0F-11CC-45C4-AC7B-30DFB125657C}" name="JAM MASUK" dataDxfId="1077"/>
    <tableColumn id="5" xr3:uid="{A65C4328-ABA3-41AC-ADDC-921B801E40C5}" name="TOTAL JAM KERJA" dataDxfId="1076">
      <calculatedColumnFormula>R26-Q26</calculatedColumnFormula>
    </tableColumn>
    <tableColumn id="3" xr3:uid="{4D6D4F67-280D-457B-83A9-6A3A18D2DCA1}" name="Retase" dataDxfId="1075"/>
    <tableColumn id="4" xr3:uid="{5347D339-0E83-4A76-B0F0-4A6DF95565BC}" name="Keterangan" dataDxfId="1074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31FA7F9-0130-405F-8FBB-9F1E853A6D8A}" name="Table13456789101117222630354045505562510152025303437404550569410089107113119125130134139144121727223339" displayName="Table13456789101117222630354045505562510152025303437404550569410089107113119125130134139144121727223339" ref="O49:U71" totalsRowShown="0" headerRowDxfId="1073" dataDxfId="1072">
  <autoFilter ref="O49:U71" xr:uid="{73F1D503-EB31-47E3-A68C-36339D21CE7D}"/>
  <sortState xmlns:xlrd2="http://schemas.microsoft.com/office/spreadsheetml/2017/richdata2" ref="O50:U62">
    <sortCondition ref="T36:T37"/>
  </sortState>
  <tableColumns count="7">
    <tableColumn id="1" xr3:uid="{543C6A8D-4717-49D5-8215-E342CA4DE2B4}" name="No" dataDxfId="1071"/>
    <tableColumn id="2" xr3:uid="{171BFF2A-8AB8-4D15-B6A9-13F095B73AC6}" name="Id unit" dataDxfId="1070"/>
    <tableColumn id="7" xr3:uid="{8DAD16D6-BDE9-4E74-BD25-A877F4192ABC}" name="JAM KELUAR" dataDxfId="1069"/>
    <tableColumn id="6" xr3:uid="{7C6426AF-2908-40AC-B64C-168F360FCBC2}" name="JAM MASUK" dataDxfId="1068"/>
    <tableColumn id="5" xr3:uid="{8DDFB7C9-6A02-4AD7-A7F8-2F53F6CCA26A}" name="TOTAL JAM KERJA" dataDxfId="1067"/>
    <tableColumn id="3" xr3:uid="{10C0430E-A3FD-419C-A05F-927E45572216}" name="Retase" dataDxfId="1066"/>
    <tableColumn id="4" xr3:uid="{C2876C6D-C758-4EFF-9DCC-F70B57FC362C}" name="Keterangan" dataDxfId="1065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3EC102DF-AC90-46D2-9707-ABF34CF2A30C}" name="Table1345678910111518192327313742475259271217222732284146529096801031091151211261201351408132318283440" displayName="Table1345678910111518192327313742475259271217222732284146529096801031091151211261201351408132318283440" ref="AA6:AG20" totalsRowShown="0" headerRowDxfId="1064" dataDxfId="1063">
  <autoFilter ref="AA6:AG20" xr:uid="{1FD47352-F590-4544-A385-64ACA480A10C}"/>
  <sortState xmlns:xlrd2="http://schemas.microsoft.com/office/spreadsheetml/2017/richdata2" ref="AA7:AG20">
    <sortCondition ref="AF6:AF20"/>
  </sortState>
  <tableColumns count="7">
    <tableColumn id="1" xr3:uid="{0E58D153-CFF7-4830-A925-8F9C82A605E7}" name="No" dataDxfId="1062"/>
    <tableColumn id="2" xr3:uid="{772482E6-F215-46C5-A8E9-255DD76985CB}" name="Id unit" dataDxfId="1061"/>
    <tableColumn id="7" xr3:uid="{8A76DF64-D5C1-4D78-A094-CFD2CA296DA3}" name="JAM KELUAR" dataDxfId="1060"/>
    <tableColumn id="6" xr3:uid="{9C898DA2-B9C0-43D4-8660-4A9F57A6E381}" name="JAM MASUK" dataDxfId="1059"/>
    <tableColumn id="5" xr3:uid="{FF590801-2CFF-4581-A7E5-89DB0CA6E058}" name="TOTAL JAM KERJA" dataDxfId="1058">
      <calculatedColumnFormula>AD7-AC7</calculatedColumnFormula>
    </tableColumn>
    <tableColumn id="3" xr3:uid="{B7C909D0-39D7-428D-BA08-5EFBC961836B}" name="Retase" dataDxfId="1057"/>
    <tableColumn id="4" xr3:uid="{4B294776-2410-4203-B8CD-78C5808C8D35}" name="Keterangan" dataDxfId="1056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EC2B232-91A5-47B1-96EE-7BA8F48F2498}" name="Table1345678910111518192327313742475259271217222732284146529096801031091151211261201351408132318293541" displayName="Table1345678910111518192327313742475259271217222732284146529096801031091151211261201351408132318293541" ref="AM6:AS16" totalsRowShown="0" headerRowDxfId="1055" dataDxfId="1054">
  <autoFilter ref="AM6:AS16" xr:uid="{D7E74646-277B-4974-8CB5-5FC4622C64EB}"/>
  <sortState xmlns:xlrd2="http://schemas.microsoft.com/office/spreadsheetml/2017/richdata2" ref="AM7:AS16">
    <sortCondition ref="AR6:AR16"/>
  </sortState>
  <tableColumns count="7">
    <tableColumn id="1" xr3:uid="{5868B925-0BE6-4078-A727-808AAD0AEF4F}" name="No" dataDxfId="1053"/>
    <tableColumn id="2" xr3:uid="{39EC8B26-3A8B-4884-B748-437015868C21}" name="Id unit" dataDxfId="1052"/>
    <tableColumn id="7" xr3:uid="{E794F860-15E7-4F4D-B819-D010F5209B89}" name="JAM KELUAR" dataDxfId="1051"/>
    <tableColumn id="6" xr3:uid="{0B5D55E7-1BD7-4E9F-8C96-E440F3771C7D}" name="JAM MASUK" dataDxfId="1050"/>
    <tableColumn id="5" xr3:uid="{C528CF05-C887-4DF9-B749-9F9E9C06EB9B}" name="TOTAL JAM KERJA" dataDxfId="1049">
      <calculatedColumnFormula>AP7-AO7</calculatedColumnFormula>
    </tableColumn>
    <tableColumn id="3" xr3:uid="{0CD5D9C9-3033-41C0-843D-BA94C9E73496}" name="Retase" dataDxfId="1048"/>
    <tableColumn id="4" xr3:uid="{CF1EF926-FECA-44EF-8F4A-B16CF25661AB}" name="Keterangan" dataDxfId="1047"/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548AF4B-4CD4-4632-BE55-BE05FDAB6179}" name="Table132456789101113212529343944495461491419242933364247539197861041101161221271311361419142419303642" displayName="Table132456789101113212529343944495461491419242933364247539197861041101161221271311361419142419303642" ref="B6:H27" totalsRowShown="0" headerRowDxfId="1046" dataDxfId="1045">
  <autoFilter ref="B6:H27" xr:uid="{B9ABE090-A7D1-4C32-83AF-14F7024EA175}"/>
  <sortState xmlns:xlrd2="http://schemas.microsoft.com/office/spreadsheetml/2017/richdata2" ref="B7:H27">
    <sortCondition ref="G6:G27"/>
  </sortState>
  <tableColumns count="7">
    <tableColumn id="1" xr3:uid="{0310BF1F-0C08-4028-87AF-780FFCCF38C4}" name="No" dataDxfId="1044"/>
    <tableColumn id="2" xr3:uid="{A54486F7-05DA-4DC3-A5C5-E6B3D7661409}" name="Id unit" dataDxfId="1043"/>
    <tableColumn id="7" xr3:uid="{2A794A69-EACE-44FA-8D80-EE76D822DEAA}" name="JAM KELUAR" dataDxfId="1042"/>
    <tableColumn id="6" xr3:uid="{D588C7DD-093A-4512-B53D-F80DF00B2611}" name="JAM MASUK" dataDxfId="1041"/>
    <tableColumn id="5" xr3:uid="{617BFF98-AE2C-40EC-839E-F5233BD0BDB3}" name="TOTAL JAM KERJA" dataDxfId="1040">
      <calculatedColumnFormula>Table132456789101113212529343944495461491419242933364247539197861041101161221271311361419142419303642[[#This Row],[JAM MASUK]]-Table132456789101113212529343944495461491419242933364247539197861041101161221271311361419142419303642[[#This Row],[JAM KELUAR]]</calculatedColumnFormula>
    </tableColumn>
    <tableColumn id="3" xr3:uid="{4EBDD869-2697-48E8-A9AC-CDE955DC10CE}" name="Retase" dataDxfId="1039"/>
    <tableColumn id="4" xr3:uid="{B848B7C1-66E0-4A3D-BF5D-2D90C638E31E}" name="Keterangan" dataDxfId="1038"/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F063823-A726-4797-83F5-2E22D7D5B236}" name="Table1345678910111722263035404550556251015202530343843485492988710511111712312813213714210152520313743" displayName="Table1345678910111722263035404550556251015202530343843485492988710511111712312813213714210152520313743" ref="O6:U21" totalsRowShown="0" headerRowDxfId="1037" dataDxfId="1036">
  <autoFilter ref="O6:U21" xr:uid="{913DA601-D705-4926-AB5D-13C5C55E5198}"/>
  <sortState xmlns:xlrd2="http://schemas.microsoft.com/office/spreadsheetml/2017/richdata2" ref="O7:U21">
    <sortCondition ref="T6:T21"/>
  </sortState>
  <tableColumns count="7">
    <tableColumn id="1" xr3:uid="{04375205-7620-48A9-B7AA-23A1474FBAB6}" name="No" dataDxfId="1035"/>
    <tableColumn id="2" xr3:uid="{21CCD286-986B-4A6C-948D-8C7FB3C6EB1D}" name="Id unit" dataDxfId="1034"/>
    <tableColumn id="7" xr3:uid="{6350DF3C-EFD1-4A50-ABA8-D80F76344240}" name="JAM KELUAR" dataDxfId="1033"/>
    <tableColumn id="6" xr3:uid="{4D126BAE-ECEF-4503-A8A8-91E7A67E6156}" name="JAM MASUK" dataDxfId="1032"/>
    <tableColumn id="5" xr3:uid="{22763916-B508-47AA-AB31-6EF70BC34DF2}" name="TOTAL JAM KERJA" dataDxfId="1031">
      <calculatedColumnFormula>R7-Q7</calculatedColumnFormula>
    </tableColumn>
    <tableColumn id="3" xr3:uid="{CFE665F9-4369-497C-A3B2-8BB8DBDF2D2C}" name="Retase" dataDxfId="1030"/>
    <tableColumn id="4" xr3:uid="{2D2A3336-CDE4-4D5E-974D-15CA016EAECF}" name="Keterangan" dataDxfId="1029"/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8E5E89C9-007C-4D76-A594-03556660CC94}" name="Table134567891011172226303236414651566361116212631353944495593998810611211812412913313814311162621323844" displayName="Table134567891011172226303236414651566361116212631353944495593998810611211812412913313814311162621323844" ref="O25:U31" totalsRowShown="0" headerRowDxfId="1028" dataDxfId="1027">
  <autoFilter ref="O25:U31" xr:uid="{4183E7DE-4616-45F9-AC6F-E29C0B38C832}"/>
  <sortState xmlns:xlrd2="http://schemas.microsoft.com/office/spreadsheetml/2017/richdata2" ref="O26:U31">
    <sortCondition ref="T25:T31"/>
  </sortState>
  <tableColumns count="7">
    <tableColumn id="1" xr3:uid="{135D9377-7BEE-4E9F-8377-F76F732E2F30}" name="No" dataDxfId="1026"/>
    <tableColumn id="2" xr3:uid="{FFC05A0A-7C65-4AFB-9F14-391279CA71B7}" name="Id unit" dataDxfId="1025"/>
    <tableColumn id="7" xr3:uid="{FA1FF6C5-27E8-4C74-84DE-18E4BD0C636C}" name="JAM KELUAR" dataDxfId="1024"/>
    <tableColumn id="6" xr3:uid="{8D183143-3989-443F-A1D5-3D6ED08AC7E2}" name="JAM MASUK" dataDxfId="1023"/>
    <tableColumn id="5" xr3:uid="{F21D980C-713D-4E5B-A199-5EFF27F6AAEB}" name="TOTAL JAM KERJA" dataDxfId="1022">
      <calculatedColumnFormula>R26-Q26</calculatedColumnFormula>
    </tableColumn>
    <tableColumn id="3" xr3:uid="{1AF03DBD-2632-44B7-A82D-8866FD9A79AC}" name="Retase" dataDxfId="1021"/>
    <tableColumn id="4" xr3:uid="{FFBE4EC8-DFF7-4264-8F91-967784614D48}" name="Keterangan" dataDxfId="1020"/>
  </tableColumns>
  <tableStyleInfo name="TableStyleLight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B9D3CBC7-C4E1-4615-9CBC-F9BEDE0DA5A5}" name="Table1345678910111722263035404550556251015202530343740455056941008910711311912513013413914412172722333945" displayName="Table1345678910111722263035404550556251015202530343740455056941008910711311912513013413914412172722333945" ref="O47:U69" totalsRowShown="0" headerRowDxfId="1019" dataDxfId="1018">
  <autoFilter ref="O47:U69" xr:uid="{73F1D503-EB31-47E3-A68C-36339D21CE7D}"/>
  <sortState xmlns:xlrd2="http://schemas.microsoft.com/office/spreadsheetml/2017/richdata2" ref="O48:U60">
    <sortCondition ref="T34:T35"/>
  </sortState>
  <tableColumns count="7">
    <tableColumn id="1" xr3:uid="{A014EC43-1F4D-4239-8F29-5A841697252A}" name="No" dataDxfId="1017"/>
    <tableColumn id="2" xr3:uid="{91789F6F-8504-41A6-8B82-FC43F8EAE04C}" name="Id unit" dataDxfId="1016"/>
    <tableColumn id="7" xr3:uid="{D30CB00E-1C62-4A45-BADE-6BFB572B6AE5}" name="JAM KELUAR" dataDxfId="1015"/>
    <tableColumn id="6" xr3:uid="{F880A628-573E-4A78-A4D9-DB2713896938}" name="JAM MASUK" dataDxfId="1014"/>
    <tableColumn id="5" xr3:uid="{CCFD762D-DE2D-484E-B629-4642A520122B}" name="TOTAL JAM KERJA" dataDxfId="1013"/>
    <tableColumn id="3" xr3:uid="{E45E03CC-A749-4120-81AA-508554FBD012}" name="Retase" dataDxfId="1012"/>
    <tableColumn id="4" xr3:uid="{081BE4C4-6A89-459D-B735-6A8725635C9B}" name="Keterangan" dataDxfId="1011"/>
  </tableColumns>
  <tableStyleInfo name="TableStyleLight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24E1A23-81DD-436A-8711-443CF7389BCE}" name="Table134567891011151819232731374247525927121722273228414652909680103109115121126120135140813231828344046" displayName="Table134567891011151819232731374247525927121722273228414652909680103109115121126120135140813231828344046" ref="AA6:AG20" totalsRowShown="0" headerRowDxfId="1010" dataDxfId="1009">
  <autoFilter ref="AA6:AG20" xr:uid="{1FD47352-F590-4544-A385-64ACA480A10C}"/>
  <sortState xmlns:xlrd2="http://schemas.microsoft.com/office/spreadsheetml/2017/richdata2" ref="AA7:AG20">
    <sortCondition ref="AF6:AF20"/>
  </sortState>
  <tableColumns count="7">
    <tableColumn id="1" xr3:uid="{E21978C2-E727-4ADB-9165-A9DD1A3AE4DB}" name="No" dataDxfId="1008"/>
    <tableColumn id="2" xr3:uid="{637FE7A2-84B6-44C6-B5CD-6CCCE385D561}" name="Id unit" dataDxfId="1007"/>
    <tableColumn id="7" xr3:uid="{FC6C765A-97DD-4E79-A785-E25472FFF8ED}" name="JAM KELUAR" dataDxfId="1006"/>
    <tableColumn id="6" xr3:uid="{B177B300-4A08-4FDF-A0E5-E3CBB6E6BBAE}" name="JAM MASUK" dataDxfId="1005"/>
    <tableColumn id="5" xr3:uid="{F7938BE8-C53E-4C1D-9406-97EB6DB4B97D}" name="TOTAL JAM KERJA" dataDxfId="1004">
      <calculatedColumnFormula>AD7-AC7</calculatedColumnFormula>
    </tableColumn>
    <tableColumn id="3" xr3:uid="{26FC41FF-1D21-4902-9628-34EB520A5AD6}" name="Retase" dataDxfId="1003"/>
    <tableColumn id="4" xr3:uid="{47EB0541-00BF-4A0A-849A-C9BAFAB44CD3}" name="Keterangan" dataDxfId="100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9B0395-17B1-4DF8-9E75-0BA4B3A76248}" name="Table134567891011172226303540455055625101520253034374045505694100891071131191251301341391446" displayName="Table134567891011172226303540455055625101520253034374045505694100891071131191251301341391446" ref="O46:U68" totalsRowShown="0" headerRowDxfId="1406" dataDxfId="1405">
  <autoFilter ref="O46:U68" xr:uid="{73F1D503-EB31-47E3-A68C-36339D21CE7D}"/>
  <sortState xmlns:xlrd2="http://schemas.microsoft.com/office/spreadsheetml/2017/richdata2" ref="O47:U59">
    <sortCondition ref="T30:T33"/>
  </sortState>
  <tableColumns count="7">
    <tableColumn id="1" xr3:uid="{F7E45C1B-6EDB-482A-8B31-414700D24B8F}" name="No" dataDxfId="1404"/>
    <tableColumn id="2" xr3:uid="{DA3029C8-E1D7-4441-9FDB-F7DF0016EEDF}" name="Id unit" dataDxfId="1403"/>
    <tableColumn id="7" xr3:uid="{93CE370E-6B99-4C41-A569-3C7EDCB67632}" name="JAM KELUAR" dataDxfId="1402"/>
    <tableColumn id="6" xr3:uid="{7BA38845-7D75-4075-BDDA-414DAC7F1CA2}" name="JAM MASUK" dataDxfId="1401"/>
    <tableColumn id="5" xr3:uid="{1B84554A-B80A-448F-B266-E7C9CA2926BB}" name="TOTAL JAM KERJA" dataDxfId="1400"/>
    <tableColumn id="3" xr3:uid="{151211A4-D275-4FB6-98EB-4EBD4505E29C}" name="Retase" dataDxfId="1399"/>
    <tableColumn id="4" xr3:uid="{D18B079E-4D44-43B6-A951-8B67DA436C21}" name="Keterangan" dataDxfId="1398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38440896-E0C9-440E-91BB-BB7898ADD01C}" name="Table134567891011151819232731374247525927121722273228414652909680103109115121126120135140813231829354147" displayName="Table134567891011151819232731374247525927121722273228414652909680103109115121126120135140813231829354147" ref="AM6:AS16" totalsRowShown="0" headerRowDxfId="1001" dataDxfId="1000">
  <autoFilter ref="AM6:AS16" xr:uid="{D7E74646-277B-4974-8CB5-5FC4622C64EB}"/>
  <sortState xmlns:xlrd2="http://schemas.microsoft.com/office/spreadsheetml/2017/richdata2" ref="AM7:AS16">
    <sortCondition ref="AR6:AR16"/>
  </sortState>
  <tableColumns count="7">
    <tableColumn id="1" xr3:uid="{0241C0C3-7563-4F16-B206-34AFE3172130}" name="No" dataDxfId="999"/>
    <tableColumn id="2" xr3:uid="{986ED35D-5BB4-4C92-AE89-CB3D1AD5A2A4}" name="Id unit" dataDxfId="998"/>
    <tableColumn id="7" xr3:uid="{0CC9960A-D55C-48D2-9827-18AF88EBF141}" name="JAM KELUAR" dataDxfId="997"/>
    <tableColumn id="6" xr3:uid="{9CE4EAAF-008F-4872-806F-8B56BDDD9261}" name="JAM MASUK" dataDxfId="996"/>
    <tableColumn id="5" xr3:uid="{7F283599-E3DF-4EFA-908B-87DD27D56D58}" name="TOTAL JAM KERJA" dataDxfId="995">
      <calculatedColumnFormula>AP7-AO7</calculatedColumnFormula>
    </tableColumn>
    <tableColumn id="3" xr3:uid="{B2A4B9E0-7AA8-4AC9-9366-AB8119A35405}" name="Retase" dataDxfId="994"/>
    <tableColumn id="4" xr3:uid="{5412CFA4-F4E5-44E4-8C24-4966C90BEA5E}" name="Keterangan" dataDxfId="993"/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8BDE11C-CE7F-41CB-9D8E-00171C1C21E0}" name="Table13245678910111321252934394449546149141924293336424753919786104110116122127131136141914241930364248" displayName="Table13245678910111321252934394449546149141924293336424753919786104110116122127131136141914241930364248" ref="B6:H27" totalsRowShown="0" headerRowDxfId="992" dataDxfId="991">
  <autoFilter ref="B6:H27" xr:uid="{B9ABE090-A7D1-4C32-83AF-14F7024EA175}"/>
  <sortState xmlns:xlrd2="http://schemas.microsoft.com/office/spreadsheetml/2017/richdata2" ref="B7:H27">
    <sortCondition ref="G6:G27"/>
  </sortState>
  <tableColumns count="7">
    <tableColumn id="1" xr3:uid="{38A42085-7034-409A-8019-0CBF393AD77B}" name="No" dataDxfId="990"/>
    <tableColumn id="2" xr3:uid="{A19D9AD0-3000-4B0F-AB30-E1EEA39BB480}" name="Id unit" dataDxfId="989"/>
    <tableColumn id="7" xr3:uid="{C3C58EFD-B897-4922-B75B-D874F4BF20C3}" name="JAM KELUAR" dataDxfId="988"/>
    <tableColumn id="6" xr3:uid="{003DCFE1-6112-4B7C-9436-85F576A96D11}" name="JAM MASUK" dataDxfId="987"/>
    <tableColumn id="5" xr3:uid="{015E273E-134B-49D4-8FAE-22E78E9B535D}" name="TOTAL JAM KERJA" dataDxfId="986">
      <calculatedColumnFormula>Table13245678910111321252934394449546149141924293336424753919786104110116122127131136141914241930364248[[#This Row],[JAM MASUK]]-Table13245678910111321252934394449546149141924293336424753919786104110116122127131136141914241930364248[[#This Row],[JAM KELUAR]]</calculatedColumnFormula>
    </tableColumn>
    <tableColumn id="3" xr3:uid="{D0ECACD3-6594-4844-AF73-9D4B78E2A45E}" name="Retase" dataDxfId="985"/>
    <tableColumn id="4" xr3:uid="{981C9C7F-F68D-4C53-8522-8DF997EBE13D}" name="Keterangan" dataDxfId="984"/>
  </tableColumns>
  <tableStyleInfo name="TableStyleLight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E975CF2-AF7B-493D-BA26-82B6C81BD129}" name="Table134567891011172226303540455055625101520253034384348549298871051111171231281321371421015252031374349" displayName="Table134567891011172226303540455055625101520253034384348549298871051111171231281321371421015252031374349" ref="O6:U18" totalsRowShown="0" headerRowDxfId="983" dataDxfId="982">
  <autoFilter ref="O6:U18" xr:uid="{913DA601-D705-4926-AB5D-13C5C55E5198}"/>
  <sortState xmlns:xlrd2="http://schemas.microsoft.com/office/spreadsheetml/2017/richdata2" ref="O7:U18">
    <sortCondition ref="T6:T18"/>
  </sortState>
  <tableColumns count="7">
    <tableColumn id="1" xr3:uid="{2AC27FEB-F429-40A3-BBA2-F83CF670013B}" name="No" dataDxfId="981"/>
    <tableColumn id="2" xr3:uid="{EDF67EBA-D756-4B5D-B2FC-E7E9432C1555}" name="Id unit" dataDxfId="980"/>
    <tableColumn id="7" xr3:uid="{A686017D-439C-4567-B010-314672B05504}" name="JAM KELUAR" dataDxfId="979"/>
    <tableColumn id="6" xr3:uid="{A46123BA-384B-42E2-9627-30E9A0E93034}" name="JAM MASUK" dataDxfId="978"/>
    <tableColumn id="5" xr3:uid="{D2B8B669-8826-4AD8-8EEB-035A7BA610F8}" name="TOTAL JAM KERJA" dataDxfId="977">
      <calculatedColumnFormula>R7-Q7</calculatedColumnFormula>
    </tableColumn>
    <tableColumn id="3" xr3:uid="{7B44E880-8FEB-49DB-956F-30206E038398}" name="Retase" dataDxfId="976"/>
    <tableColumn id="4" xr3:uid="{278E33E2-18B3-4FB8-AAB1-A01D3A79ED6C}" name="Keterangan" dataDxfId="975"/>
  </tableColumns>
  <tableStyleInfo name="TableStyleLight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3F2770FF-17C6-4519-8BCD-43CC907BD096}" name="Table13456789101117222630323641465156636111621263135394449559399881061121181241291331381431116262132384450" displayName="Table13456789101117222630323641465156636111621263135394449559399881061121181241291331381431116262132384450" ref="O23:U30" totalsRowShown="0" headerRowDxfId="974" dataDxfId="973">
  <autoFilter ref="O23:U30" xr:uid="{4183E7DE-4616-45F9-AC6F-E29C0B38C832}"/>
  <sortState xmlns:xlrd2="http://schemas.microsoft.com/office/spreadsheetml/2017/richdata2" ref="O24:U30">
    <sortCondition ref="T23:T30"/>
  </sortState>
  <tableColumns count="7">
    <tableColumn id="1" xr3:uid="{39D52DE7-E24F-4218-8578-086FB785BB87}" name="No" dataDxfId="972"/>
    <tableColumn id="2" xr3:uid="{A65FE22D-513D-424B-9D1C-1B17844D35A3}" name="Id unit" dataDxfId="971"/>
    <tableColumn id="7" xr3:uid="{67FB1EE4-3046-43A0-8B51-B977DE5823DE}" name="JAM KELUAR" dataDxfId="970"/>
    <tableColumn id="6" xr3:uid="{C317E848-3FC1-4F76-8597-3A3F7499DE6C}" name="JAM MASUK" dataDxfId="969"/>
    <tableColumn id="5" xr3:uid="{17E51BAA-7D4F-40BB-8D19-30DC3F3028BE}" name="TOTAL JAM KERJA" dataDxfId="968">
      <calculatedColumnFormula>R24-Q24</calculatedColumnFormula>
    </tableColumn>
    <tableColumn id="3" xr3:uid="{20D1B2C1-A029-416A-857B-32E2554201AF}" name="Retase" dataDxfId="967"/>
    <tableColumn id="4" xr3:uid="{CD25B782-D066-4CD9-A243-76495F4C62E3}" name="Keterangan" dataDxfId="966"/>
  </tableColumns>
  <tableStyleInfo name="TableStyleLight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90DB0788-D972-4830-911F-F0269307F7A8}" name="Table134567891011172226303540455055625101520253034374045505694100891071131191251301341391441217272233394551" displayName="Table134567891011172226303540455055625101520253034374045505694100891071131191251301341391441217272233394551" ref="O43:U65" totalsRowShown="0" headerRowDxfId="965" dataDxfId="964">
  <autoFilter ref="O43:U65" xr:uid="{73F1D503-EB31-47E3-A68C-36339D21CE7D}"/>
  <sortState xmlns:xlrd2="http://schemas.microsoft.com/office/spreadsheetml/2017/richdata2" ref="O44:U56">
    <sortCondition ref="T30:T31"/>
  </sortState>
  <tableColumns count="7">
    <tableColumn id="1" xr3:uid="{E79E2FE3-2D3C-4DD5-9806-5F839E41D84D}" name="No" dataDxfId="963"/>
    <tableColumn id="2" xr3:uid="{D910A2D1-5DC3-4660-AFA6-8C23A1FBACD9}" name="Id unit" dataDxfId="962"/>
    <tableColumn id="7" xr3:uid="{DBDE66D7-7CFD-4E31-87A6-723E27EC0FF3}" name="JAM KELUAR" dataDxfId="961"/>
    <tableColumn id="6" xr3:uid="{968F5A6B-4923-42F7-962E-BEAFB487956E}" name="JAM MASUK" dataDxfId="960"/>
    <tableColumn id="5" xr3:uid="{DC95407A-D32B-4A14-ADC1-A0D9DAE737FF}" name="TOTAL JAM KERJA" dataDxfId="959"/>
    <tableColumn id="3" xr3:uid="{68A90F30-4B4C-45D3-95DA-56647550ED4D}" name="Retase" dataDxfId="958"/>
    <tableColumn id="4" xr3:uid="{BB21A03C-F790-49D3-8A73-241205A8FCEB}" name="Keterangan" dataDxfId="957"/>
  </tableColumns>
  <tableStyleInfo name="TableStyleLight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A02DAB5-1F9C-4985-9396-F195CB83A507}" name="Table13456789101115181923273137424752592712172227322841465290968010310911512112612013514081323182834404652" displayName="Table13456789101115181923273137424752592712172227322841465290968010310911512112612013514081323182834404652" ref="AA6:AG20" totalsRowShown="0" headerRowDxfId="956" dataDxfId="955">
  <autoFilter ref="AA6:AG20" xr:uid="{1FD47352-F590-4544-A385-64ACA480A10C}"/>
  <sortState xmlns:xlrd2="http://schemas.microsoft.com/office/spreadsheetml/2017/richdata2" ref="AA7:AG20">
    <sortCondition ref="AF6:AF20"/>
  </sortState>
  <tableColumns count="7">
    <tableColumn id="1" xr3:uid="{D75998D6-F52D-40C9-8953-898779A7F3E9}" name="No" dataDxfId="954"/>
    <tableColumn id="2" xr3:uid="{121D8E8A-75EB-44A8-A858-1067D43C9284}" name="Id unit" dataDxfId="953"/>
    <tableColumn id="7" xr3:uid="{0166257C-6732-4B6D-9447-6F68F88FA23D}" name="JAM KELUAR" dataDxfId="952"/>
    <tableColumn id="6" xr3:uid="{B7E1885A-22B6-46D3-A1A8-39D461CE68DF}" name="JAM MASUK" dataDxfId="951"/>
    <tableColumn id="5" xr3:uid="{B5C4BC30-F26F-40FF-8050-071BE8B61E7C}" name="TOTAL JAM KERJA" dataDxfId="950">
      <calculatedColumnFormula>AD7-AC7</calculatedColumnFormula>
    </tableColumn>
    <tableColumn id="3" xr3:uid="{2D653E5F-087E-4D02-858C-725C67B6D3F6}" name="Retase" dataDxfId="949"/>
    <tableColumn id="4" xr3:uid="{A71C9E55-7CCA-44ED-991A-1456F07D8B97}" name="Keterangan" dataDxfId="948"/>
  </tableColumns>
  <tableStyleInfo name="TableStyleLight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24C226E6-25F6-4733-9AFC-176124F5F1B5}" name="Table13456789101115181923273137424752592712172227322841465290968010310911512112612013514081323182935414753" displayName="Table13456789101115181923273137424752592712172227322841465290968010310911512112612013514081323182935414753" ref="AM6:AS17" totalsRowShown="0" headerRowDxfId="947" dataDxfId="946">
  <autoFilter ref="AM6:AS17" xr:uid="{D7E74646-277B-4974-8CB5-5FC4622C64EB}"/>
  <sortState xmlns:xlrd2="http://schemas.microsoft.com/office/spreadsheetml/2017/richdata2" ref="AM7:AS17">
    <sortCondition ref="AR6:AR17"/>
  </sortState>
  <tableColumns count="7">
    <tableColumn id="1" xr3:uid="{C814CA3B-4685-45CF-AEF6-FAACB4566532}" name="No" dataDxfId="945"/>
    <tableColumn id="2" xr3:uid="{8191DF55-93DE-4039-9BC3-FB49E553B2DC}" name="Id unit" dataDxfId="944"/>
    <tableColumn id="7" xr3:uid="{85466900-CE54-47EA-8762-F78C23742E87}" name="JAM KELUAR" dataDxfId="943"/>
    <tableColumn id="6" xr3:uid="{BA639C0E-819F-44A7-A866-D142E31E1D0E}" name="JAM MASUK" dataDxfId="942"/>
    <tableColumn id="5" xr3:uid="{650A4CBE-911B-496A-A8FF-9C7279BB3258}" name="TOTAL JAM KERJA" dataDxfId="941">
      <calculatedColumnFormula>AP7-AO7</calculatedColumnFormula>
    </tableColumn>
    <tableColumn id="3" xr3:uid="{5E7BAB30-5BC6-4644-AFA7-0A80A082AAAF}" name="Retase" dataDxfId="940"/>
    <tableColumn id="4" xr3:uid="{1E49F713-E768-425C-9CF0-FFACC2D93B06}" name="Keterangan" dataDxfId="939"/>
  </tableColumns>
  <tableStyleInfo name="TableStyleLight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C5A48ED-1266-49DB-BA4C-B4B0152BA619}" name="Table1324567891011132125293439444954614914192429333642475391978610411011612212713113614191424193036424854" displayName="Table1324567891011132125293439444954614914192429333642475391978610411011612212713113614191424193036424854" ref="B6:H29" totalsRowShown="0" headerRowDxfId="938" dataDxfId="937">
  <autoFilter ref="B6:H29" xr:uid="{B9ABE090-A7D1-4C32-83AF-14F7024EA175}"/>
  <sortState xmlns:xlrd2="http://schemas.microsoft.com/office/spreadsheetml/2017/richdata2" ref="B7:H29">
    <sortCondition ref="G6:G29"/>
  </sortState>
  <tableColumns count="7">
    <tableColumn id="1" xr3:uid="{CABDCC82-0EF4-4A61-B4E6-54437870E62F}" name="No" dataDxfId="936"/>
    <tableColumn id="2" xr3:uid="{A4B7F4BC-8500-44F6-9A52-6741932B746C}" name="Id unit" dataDxfId="935"/>
    <tableColumn id="7" xr3:uid="{EA756726-26CA-4267-8AB4-A38B20F81E91}" name="JAM KELUAR" dataDxfId="934"/>
    <tableColumn id="6" xr3:uid="{964938DA-6B5C-441F-8746-E169E1347165}" name="JAM MASUK" dataDxfId="933"/>
    <tableColumn id="5" xr3:uid="{DA0BDF74-8758-4F18-8A9A-587186828B9C}" name="TOTAL JAM KERJA" dataDxfId="932">
      <calculatedColumnFormula>Table1324567891011132125293439444954614914192429333642475391978610411011612212713113614191424193036424854[[#This Row],[JAM MASUK]]-Table1324567891011132125293439444954614914192429333642475391978610411011612212713113614191424193036424854[[#This Row],[JAM KELUAR]]</calculatedColumnFormula>
    </tableColumn>
    <tableColumn id="3" xr3:uid="{423EC0E4-1004-44B5-9BAA-5D80D8295EAB}" name="Retase" dataDxfId="931"/>
    <tableColumn id="4" xr3:uid="{099CA504-BA52-4B31-9373-7DCFAEB5CB68}" name="Keterangan" dataDxfId="930"/>
  </tableColumns>
  <tableStyleInfo name="TableStyleLight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4568DF45-5B11-42AF-872B-B0666A49F2C9}" name="Table13456789101117222630354045505562510152025303438434854929887105111117123128132137142101525203137434955" displayName="Table13456789101117222630354045505562510152025303438434854929887105111117123128132137142101525203137434955" ref="O6:U20" totalsRowShown="0" headerRowDxfId="929" dataDxfId="928">
  <autoFilter ref="O6:U20" xr:uid="{913DA601-D705-4926-AB5D-13C5C55E5198}"/>
  <sortState xmlns:xlrd2="http://schemas.microsoft.com/office/spreadsheetml/2017/richdata2" ref="O7:U20">
    <sortCondition ref="T6:T20"/>
  </sortState>
  <tableColumns count="7">
    <tableColumn id="1" xr3:uid="{E2BDD7AB-C44B-4E5A-8551-BC7E603319C2}" name="No" dataDxfId="927"/>
    <tableColumn id="2" xr3:uid="{6DCFDA4C-57FC-4A8C-91B2-F71923F6E617}" name="Id unit" dataDxfId="926"/>
    <tableColumn id="7" xr3:uid="{83409654-9DB6-4DC3-B53D-DD935028A620}" name="JAM KELUAR" dataDxfId="925"/>
    <tableColumn id="6" xr3:uid="{67A21627-4EAD-4557-A1EA-4094310DA4F8}" name="JAM MASUK" dataDxfId="924"/>
    <tableColumn id="5" xr3:uid="{EFA09AEE-87C3-4EB6-90F7-BF9032CCF261}" name="TOTAL JAM KERJA" dataDxfId="923">
      <calculatedColumnFormula>R7-Q7</calculatedColumnFormula>
    </tableColumn>
    <tableColumn id="3" xr3:uid="{7030E338-1E00-4B7D-B2E2-8DF9A3331EE3}" name="Retase" dataDxfId="922"/>
    <tableColumn id="4" xr3:uid="{A9E3524D-2A04-4E55-B9B8-931F28EA4233}" name="Keterangan" dataDxfId="921"/>
  </tableColumns>
  <tableStyleInfo name="TableStyleLight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F777F069-F071-4EED-9245-EFBE76F4AA59}" name="Table1345678910111722263032364146515663611162126313539444955939988106112118124129133138143111626213238445056" displayName="Table1345678910111722263032364146515663611162126313539444955939988106112118124129133138143111626213238445056" ref="O25:U33" totalsRowShown="0" headerRowDxfId="920" dataDxfId="919">
  <autoFilter ref="O25:U33" xr:uid="{4183E7DE-4616-45F9-AC6F-E29C0B38C832}"/>
  <sortState xmlns:xlrd2="http://schemas.microsoft.com/office/spreadsheetml/2017/richdata2" ref="O26:U33">
    <sortCondition ref="T25:T33"/>
  </sortState>
  <tableColumns count="7">
    <tableColumn id="1" xr3:uid="{CC661E46-A35B-43BC-9A96-EC301143F663}" name="No" dataDxfId="918"/>
    <tableColumn id="2" xr3:uid="{D4F84EFA-2AEC-4114-8EB3-C1C8FE519404}" name="Id unit" dataDxfId="917"/>
    <tableColumn id="7" xr3:uid="{740AE89A-4B6E-4F5D-92F7-E175ECAA7026}" name="JAM KELUAR" dataDxfId="916"/>
    <tableColumn id="6" xr3:uid="{AA544061-A1E3-4599-A6A1-55E7C3CCFDAD}" name="JAM MASUK" dataDxfId="915"/>
    <tableColumn id="5" xr3:uid="{245EF912-C7CB-4729-BF9E-C1A38BC28687}" name="TOTAL JAM KERJA" dataDxfId="914">
      <calculatedColumnFormula>R26-Q26</calculatedColumnFormula>
    </tableColumn>
    <tableColumn id="3" xr3:uid="{75921610-FD6C-4B9E-80FA-0D65F2ED577E}" name="Retase" dataDxfId="913"/>
    <tableColumn id="4" xr3:uid="{A0C6318E-F474-4DC6-8293-845F3DA656A6}" name="Keterangan" dataDxfId="91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FA823B4-5A80-4E13-A61E-F926C28ED1D9}" name="Table134567891011151819232731374247525927121722273228414652909680103109115121126120135140" displayName="Table134567891011151819232731374247525927121722273228414652909680103109115121126120135140" ref="AA5:AG19" totalsRowShown="0" headerRowDxfId="1397" dataDxfId="1396">
  <autoFilter ref="AA5:AG19" xr:uid="{D7E74646-277B-4974-8CB5-5FC4622C64EB}"/>
  <sortState xmlns:xlrd2="http://schemas.microsoft.com/office/spreadsheetml/2017/richdata2" ref="AA6:AG19">
    <sortCondition ref="AF5:AF19"/>
  </sortState>
  <tableColumns count="7">
    <tableColumn id="1" xr3:uid="{E5CBC51E-39F9-4A3E-AA2D-DE00E37AFDC6}" name="No" dataDxfId="1395"/>
    <tableColumn id="2" xr3:uid="{12D23CA0-8DE7-45BA-AA9F-618EEA16FBB6}" name="Id unit" dataDxfId="1394"/>
    <tableColumn id="7" xr3:uid="{68490B89-4590-4D71-AECC-6556522288F0}" name="JAM KELUAR" dataDxfId="1393"/>
    <tableColumn id="6" xr3:uid="{0ADAA063-D494-4228-807F-B009207FB627}" name="JAM MASUK" dataDxfId="1392"/>
    <tableColumn id="5" xr3:uid="{24079067-74AC-4D49-842D-9DEA2135AB62}" name="TOTAL JAM KERJA" dataDxfId="1391">
      <calculatedColumnFormula>AD6-AC6</calculatedColumnFormula>
    </tableColumn>
    <tableColumn id="3" xr3:uid="{58E1F365-CB01-4351-9B25-B87FD650A8C1}" name="Retase" dataDxfId="1390"/>
    <tableColumn id="4" xr3:uid="{E67ACE5E-8098-415E-BDB2-094C30003687}" name="Keterangan" dataDxfId="1389"/>
  </tableColumns>
  <tableStyleInfo name="TableStyleLight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9CB3036-4625-433A-BF65-44A888D7B4AF}" name="Table13456789101117222630354045505562510152025303437404550569410089107113119125130134139144121727223339455157" displayName="Table13456789101117222630354045505562510152025303437404550569410089107113119125130134139144121727223339455157" ref="O44:U66" totalsRowShown="0" headerRowDxfId="911" dataDxfId="910">
  <autoFilter ref="O44:U66" xr:uid="{73F1D503-EB31-47E3-A68C-36339D21CE7D}"/>
  <tableColumns count="7">
    <tableColumn id="1" xr3:uid="{25CAD200-2A2E-48D6-96B9-00B3CEEC98F1}" name="No" dataDxfId="909"/>
    <tableColumn id="2" xr3:uid="{18C71706-FD12-4778-B397-05256CD89A95}" name="Id unit" dataDxfId="908"/>
    <tableColumn id="7" xr3:uid="{A740C377-9F16-4163-822B-8236E2FF37E5}" name="JAM KELUAR" dataDxfId="907"/>
    <tableColumn id="6" xr3:uid="{FBF40BCD-64B0-4A9A-95FD-DE685D662819}" name="JAM MASUK" dataDxfId="906"/>
    <tableColumn id="5" xr3:uid="{0D7F2A93-D931-4591-B943-19B42CB36A5D}" name="TOTAL JAM KERJA" dataDxfId="905"/>
    <tableColumn id="3" xr3:uid="{DD0F2D29-8FF4-4377-B36F-4F3698E0F4E0}" name="Retase" dataDxfId="904"/>
    <tableColumn id="4" xr3:uid="{8322E1E4-109B-4C01-AC72-0CBA0E8E58D7}" name="Keterangan" dataDxfId="903"/>
  </tableColumns>
  <tableStyleInfo name="TableStyleLight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82934B48-644A-4D06-A372-81AF47DFD2DC}" name="Table1345678910111518192327313742475259271217222732284146529096801031091151211261201351408132318283440465258" displayName="Table1345678910111518192327313742475259271217222732284146529096801031091151211261201351408132318283440465258" ref="AA6:AG20" totalsRowShown="0" headerRowDxfId="902" dataDxfId="901">
  <autoFilter ref="AA6:AG20" xr:uid="{1FD47352-F590-4544-A385-64ACA480A10C}"/>
  <sortState xmlns:xlrd2="http://schemas.microsoft.com/office/spreadsheetml/2017/richdata2" ref="AA7:AG20">
    <sortCondition ref="AF6:AF20"/>
  </sortState>
  <tableColumns count="7">
    <tableColumn id="1" xr3:uid="{D4BB51B4-4631-4762-84D9-019E37AC8177}" name="No" dataDxfId="900"/>
    <tableColumn id="2" xr3:uid="{87D5C687-C1F2-4454-AEA0-19E980C64C67}" name="Id unit" dataDxfId="899"/>
    <tableColumn id="7" xr3:uid="{EADDC4D0-8822-49FB-AECB-E36AC4B40CC2}" name="JAM KELUAR" dataDxfId="898"/>
    <tableColumn id="6" xr3:uid="{F21D1DFE-5AEA-4E1E-9550-3B9CC04A1985}" name="JAM MASUK" dataDxfId="897"/>
    <tableColumn id="5" xr3:uid="{2434D7AC-E95A-432D-A85D-6A3296F73694}" name="TOTAL JAM KERJA" dataDxfId="896">
      <calculatedColumnFormula>AD7-AC7</calculatedColumnFormula>
    </tableColumn>
    <tableColumn id="3" xr3:uid="{1CE63815-4E8E-420F-9A6B-C5675E9B6910}" name="Retase" dataDxfId="895"/>
    <tableColumn id="4" xr3:uid="{5AE107FA-8834-4961-BD44-B914C61096E5}" name="Keterangan" dataDxfId="894"/>
  </tableColumns>
  <tableStyleInfo name="TableStyleLight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FFCD32C-AC3D-4063-9777-492973ED8B7F}" name="Table1345678910111518192327313742475259271217222732284146529096801031091151211261201351408132318293541475359" displayName="Table1345678910111518192327313742475259271217222732284146529096801031091151211261201351408132318293541475359" ref="AM6:AS18" totalsRowShown="0" headerRowDxfId="893" dataDxfId="892">
  <autoFilter ref="AM6:AS18" xr:uid="{D7E74646-277B-4974-8CB5-5FC4622C64EB}"/>
  <sortState xmlns:xlrd2="http://schemas.microsoft.com/office/spreadsheetml/2017/richdata2" ref="AM7:AS18">
    <sortCondition ref="AR6:AR18"/>
  </sortState>
  <tableColumns count="7">
    <tableColumn id="1" xr3:uid="{04873E37-6B64-445B-BE2B-24BEEA4E3F4D}" name="No" dataDxfId="891"/>
    <tableColumn id="2" xr3:uid="{F91221A9-3CBD-4572-81B2-FE67823C3F8E}" name="Id unit" dataDxfId="890"/>
    <tableColumn id="7" xr3:uid="{DC840F84-7F28-4836-8B61-30944DBC9E64}" name="JAM KELUAR" dataDxfId="889"/>
    <tableColumn id="6" xr3:uid="{441743D1-8727-491B-893E-14A677D8ED48}" name="JAM MASUK" dataDxfId="888"/>
    <tableColumn id="5" xr3:uid="{85218F2F-B74C-4DB0-B087-3A90E5A9F2CB}" name="TOTAL JAM KERJA" dataDxfId="887">
      <calculatedColumnFormula>AP7-AO7</calculatedColumnFormula>
    </tableColumn>
    <tableColumn id="3" xr3:uid="{CF7F7126-7411-4912-9FEC-2D00EBDE551F}" name="Retase" dataDxfId="886"/>
    <tableColumn id="4" xr3:uid="{E8383BDF-A3EB-4FCC-BF6C-39A4DE2A2630}" name="Keterangan" dataDxfId="885"/>
  </tableColumns>
  <tableStyleInfo name="TableStyleLight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931BF16C-9DA4-40C2-B0A5-D1E34EC3E0F0}" name="Table132456789101113212529343944495461491419242933364247539197861041101161221271311361419142419303642485460" displayName="Table132456789101113212529343944495461491419242933364247539197861041101161221271311361419142419303642485460" ref="B6:H27" totalsRowShown="0" headerRowDxfId="884" dataDxfId="883">
  <autoFilter ref="B6:H27" xr:uid="{B9ABE090-A7D1-4C32-83AF-14F7024EA175}"/>
  <sortState xmlns:xlrd2="http://schemas.microsoft.com/office/spreadsheetml/2017/richdata2" ref="B7:H27">
    <sortCondition ref="G6:G27"/>
  </sortState>
  <tableColumns count="7">
    <tableColumn id="1" xr3:uid="{2865659B-6AB2-4858-80DE-AD0002CC73B9}" name="No" dataDxfId="882"/>
    <tableColumn id="2" xr3:uid="{E68B99C6-CEDD-44E0-AF89-053B8CDBE01D}" name="Id unit" dataDxfId="881"/>
    <tableColumn id="7" xr3:uid="{1CB776F9-057A-49AE-B377-C0AF43E0BD58}" name="JAM KELUAR" dataDxfId="880"/>
    <tableColumn id="6" xr3:uid="{EF5C6572-E0B6-4615-8EAA-5E11D6FB3F97}" name="JAM MASUK" dataDxfId="879"/>
    <tableColumn id="5" xr3:uid="{26C98F46-2D68-4E30-8B64-A667FFB71BFC}" name="TOTAL JAM KERJA" dataDxfId="878">
      <calculatedColumnFormula>Table132456789101113212529343944495461491419242933364247539197861041101161221271311361419142419303642485460[[#This Row],[JAM MASUK]]-Table132456789101113212529343944495461491419242933364247539197861041101161221271311361419142419303642485460[[#This Row],[JAM KELUAR]]</calculatedColumnFormula>
    </tableColumn>
    <tableColumn id="3" xr3:uid="{533D4DA8-2060-4904-9AFA-3720C069C5A9}" name="Retase" dataDxfId="877"/>
    <tableColumn id="4" xr3:uid="{38B1E41F-FC79-4510-880A-9192C72E714F}" name="Keterangan" dataDxfId="876"/>
  </tableColumns>
  <tableStyleInfo name="TableStyleLight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B5D54159-B11B-489B-86C3-810BF1645285}" name="Table1345678910111722263035404550556251015202530343843485492988710511111712312813213714210152520313743495561" displayName="Table1345678910111722263035404550556251015202530343843485492988710511111712312813213714210152520313743495561" ref="O6:U18" totalsRowShown="0" headerRowDxfId="875" dataDxfId="874">
  <autoFilter ref="O6:U18" xr:uid="{913DA601-D705-4926-AB5D-13C5C55E5198}"/>
  <sortState xmlns:xlrd2="http://schemas.microsoft.com/office/spreadsheetml/2017/richdata2" ref="O7:U18">
    <sortCondition ref="T6:T18"/>
  </sortState>
  <tableColumns count="7">
    <tableColumn id="1" xr3:uid="{162518E9-49F9-4794-A9B7-D05921BD5FBF}" name="No" dataDxfId="873"/>
    <tableColumn id="2" xr3:uid="{88AFE558-A39E-43EA-B565-0A86D900D583}" name="Id unit" dataDxfId="872"/>
    <tableColumn id="7" xr3:uid="{A1AA0EE5-42FC-4758-AB38-779B9DE689A0}" name="JAM KELUAR" dataDxfId="871"/>
    <tableColumn id="6" xr3:uid="{43737340-80FB-41E9-8B6F-9F8EAF7EE8B9}" name="JAM MASUK" dataDxfId="870"/>
    <tableColumn id="5" xr3:uid="{6E76D0A7-98B1-48F5-8FE7-0C59DF6D4D5C}" name="TOTAL JAM KERJA" dataDxfId="869">
      <calculatedColumnFormula>R7-Q7</calculatedColumnFormula>
    </tableColumn>
    <tableColumn id="3" xr3:uid="{F7B015FC-A3D8-4C2B-AAE2-A2F7B255D26B}" name="Retase" dataDxfId="868"/>
    <tableColumn id="4" xr3:uid="{9329F20B-38C9-4103-8D97-81E203EFF168}" name="Keterangan" dataDxfId="867"/>
  </tableColumns>
  <tableStyleInfo name="TableStyleLight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DD64203-E1F3-45AA-83C8-F6F55A5BCDE5}" name="Table134567891011172226303236414651566361116212631353944495593998810611211812412913313814311162621323844505662" displayName="Table134567891011172226303236414651566361116212631353944495593998810611211812412913313814311162621323844505662" ref="O23:U27" totalsRowShown="0" headerRowDxfId="866" dataDxfId="865">
  <autoFilter ref="O23:U27" xr:uid="{4183E7DE-4616-45F9-AC6F-E29C0B38C832}"/>
  <sortState xmlns:xlrd2="http://schemas.microsoft.com/office/spreadsheetml/2017/richdata2" ref="O24:U27">
    <sortCondition ref="T23:T27"/>
  </sortState>
  <tableColumns count="7">
    <tableColumn id="1" xr3:uid="{06AA61FB-40D3-4C74-82CE-801DCCAB6172}" name="No" dataDxfId="864"/>
    <tableColumn id="2" xr3:uid="{D88C7270-A6A4-4DFD-A4E5-5FE08A3805FC}" name="Id unit" dataDxfId="863"/>
    <tableColumn id="7" xr3:uid="{B4DDFDAA-6DEF-43F5-8E6F-AE35A3A9EA5C}" name="JAM KELUAR" dataDxfId="862"/>
    <tableColumn id="6" xr3:uid="{B9DD0606-F9E5-43CB-BCB3-9FE8298FB6E6}" name="JAM MASUK" dataDxfId="861"/>
    <tableColumn id="5" xr3:uid="{34BED8CA-1DE2-42C0-93C9-6E3F576FB4C6}" name="TOTAL JAM KERJA" dataDxfId="860">
      <calculatedColumnFormula>R24-Q24</calculatedColumnFormula>
    </tableColumn>
    <tableColumn id="3" xr3:uid="{9AE3C714-BDB7-4744-A13A-7FAA07191E4C}" name="Retase" dataDxfId="859"/>
    <tableColumn id="4" xr3:uid="{0D2A3185-0268-4DC3-8A6A-89E514E51E7F}" name="Keterangan" dataDxfId="858"/>
  </tableColumns>
  <tableStyleInfo name="TableStyleLight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E3274A0-F263-417F-B3A4-FA82B261861F}" name="Table1345678910111722263035404550556251015202530343740455056941008910711311912513013413914412172722333945515763" displayName="Table1345678910111722263035404550556251015202530343740455056941008910711311912513013413914412172722333945515763" ref="O45:U67" totalsRowShown="0" headerRowDxfId="857" dataDxfId="856">
  <autoFilter ref="O45:U67" xr:uid="{73F1D503-EB31-47E3-A68C-36339D21CE7D}"/>
  <tableColumns count="7">
    <tableColumn id="1" xr3:uid="{B1A69475-47C7-4D07-9FA4-D36D7E9E4C0E}" name="No" dataDxfId="855"/>
    <tableColumn id="2" xr3:uid="{C7E8C7E9-11C1-427E-8E6E-2A0B9971A7B1}" name="Id unit" dataDxfId="854"/>
    <tableColumn id="7" xr3:uid="{C583B309-E659-4E07-9D19-E70024F3ED33}" name="JAM KELUAR" dataDxfId="853"/>
    <tableColumn id="6" xr3:uid="{0B675545-1576-4CAC-A3BF-7A3BEC2B4A50}" name="JAM MASUK" dataDxfId="852"/>
    <tableColumn id="5" xr3:uid="{6DBD8AEE-BF11-4B2B-A14D-CC7ECB71032D}" name="TOTAL JAM KERJA" dataDxfId="851"/>
    <tableColumn id="3" xr3:uid="{24CE19C1-CE12-4F3B-801C-E81A05CC18A3}" name="Retase" dataDxfId="850"/>
    <tableColumn id="4" xr3:uid="{67F491A8-28A4-4388-ABF4-F8FB3E180804}" name="Keterangan" dataDxfId="849"/>
  </tableColumns>
  <tableStyleInfo name="TableStyleLight9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42DB73AA-AEA1-4183-8427-C4C57EEE2E8E}" name="Table134567891011151819232731374247525927121722273228414652909680103109115121126120135140813231828344046525864" displayName="Table134567891011151819232731374247525927121722273228414652909680103109115121126120135140813231828344046525864" ref="AA6:AG19" totalsRowShown="0" headerRowDxfId="848" dataDxfId="847">
  <autoFilter ref="AA6:AG19" xr:uid="{1FD47352-F590-4544-A385-64ACA480A10C}"/>
  <sortState xmlns:xlrd2="http://schemas.microsoft.com/office/spreadsheetml/2017/richdata2" ref="AA7:AG19">
    <sortCondition ref="AF6:AF19"/>
  </sortState>
  <tableColumns count="7">
    <tableColumn id="1" xr3:uid="{AD7485D6-0DF4-4A3B-B785-66F772736D4B}" name="No" dataDxfId="846"/>
    <tableColumn id="2" xr3:uid="{E50A1DC8-84A2-468A-904E-B7C15349634B}" name="Id unit" dataDxfId="845"/>
    <tableColumn id="7" xr3:uid="{FDC57106-DCD7-4EB2-A929-CBE9C4CF5532}" name="JAM KELUAR" dataDxfId="844"/>
    <tableColumn id="6" xr3:uid="{E6AD575B-3517-4357-92E0-2D6FE21260EF}" name="JAM MASUK" dataDxfId="843"/>
    <tableColumn id="5" xr3:uid="{D7E31875-F64E-4474-B174-AB3D1A0BCFD0}" name="TOTAL JAM KERJA" dataDxfId="842">
      <calculatedColumnFormula>AD7-AC7</calculatedColumnFormula>
    </tableColumn>
    <tableColumn id="3" xr3:uid="{B3A1A673-54A6-4BDC-8EA3-E8F20D547A3E}" name="Retase" dataDxfId="841"/>
    <tableColumn id="4" xr3:uid="{57EBCFC9-032F-4ACE-8F8E-54845A3364AE}" name="Keterangan" dataDxfId="840"/>
  </tableColumns>
  <tableStyleInfo name="TableStyleLight9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9ED031A7-051A-4083-B2E8-3D31D42F1AA1}" name="Table134567891011151819232731374247525927121722273228414652909680103109115121126120135140813231829354147535965" displayName="Table134567891011151819232731374247525927121722273228414652909680103109115121126120135140813231829354147535965" ref="AM6:AS16" totalsRowShown="0" headerRowDxfId="839" dataDxfId="838">
  <autoFilter ref="AM6:AS16" xr:uid="{D7E74646-277B-4974-8CB5-5FC4622C64EB}"/>
  <sortState xmlns:xlrd2="http://schemas.microsoft.com/office/spreadsheetml/2017/richdata2" ref="AM7:AS16">
    <sortCondition ref="AR6:AR16"/>
  </sortState>
  <tableColumns count="7">
    <tableColumn id="1" xr3:uid="{722D5C1D-0C45-4CD8-90F7-2843C86F9741}" name="No" dataDxfId="837"/>
    <tableColumn id="2" xr3:uid="{69F71E02-2839-4D5E-B71C-6ECC645EF83C}" name="Id unit" dataDxfId="836"/>
    <tableColumn id="7" xr3:uid="{B5212A25-4934-4ADB-A687-94DF70D5B827}" name="JAM KELUAR" dataDxfId="835"/>
    <tableColumn id="6" xr3:uid="{3CA7C7BB-4A63-4630-9BF6-3DB67E8B826C}" name="JAM MASUK" dataDxfId="834"/>
    <tableColumn id="5" xr3:uid="{2BAA6434-2F0B-4D2A-B3E7-C3CBCD2ED28C}" name="TOTAL JAM KERJA" dataDxfId="833">
      <calculatedColumnFormula>AP7-AO7</calculatedColumnFormula>
    </tableColumn>
    <tableColumn id="3" xr3:uid="{02BADC6E-005C-435A-9EA7-5A636EE6DE62}" name="Retase" dataDxfId="832"/>
    <tableColumn id="4" xr3:uid="{84324D1C-E948-443C-A07C-8621A697ABAF}" name="Keterangan" dataDxfId="831"/>
  </tableColumns>
  <tableStyleInfo name="TableStyleLight9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569080F-9F85-452B-8CF8-80750964FAD1}" name="Table13245678910111321252934394449546149141924293336424753919786104110116122127131136141914241930364248546066" displayName="Table13245678910111321252934394449546149141924293336424753919786104110116122127131136141914241930364248546066" ref="B6:H26" totalsRowShown="0" headerRowDxfId="830" dataDxfId="829">
  <autoFilter ref="B6:H26" xr:uid="{B9ABE090-A7D1-4C32-83AF-14F7024EA175}"/>
  <sortState xmlns:xlrd2="http://schemas.microsoft.com/office/spreadsheetml/2017/richdata2" ref="B7:H26">
    <sortCondition ref="G6:G26"/>
  </sortState>
  <tableColumns count="7">
    <tableColumn id="1" xr3:uid="{51C552C1-6AE0-42FD-BEE5-A3EC0A425BB1}" name="No" dataDxfId="828"/>
    <tableColumn id="2" xr3:uid="{BFB540FB-CA7B-4112-986F-84C9871BB0B9}" name="Id unit" dataDxfId="827"/>
    <tableColumn id="7" xr3:uid="{18A61FFF-8F5F-469D-9665-5863766153D4}" name="JAM KELUAR" dataDxfId="826"/>
    <tableColumn id="6" xr3:uid="{AF1F0FF6-C85A-4CCE-84F6-3B5EC9C85C10}" name="JAM MASUK" dataDxfId="825"/>
    <tableColumn id="5" xr3:uid="{3BDCB32C-E04B-4DCE-86F4-970BD8BA82FE}" name="TOTAL JAM KERJA" dataDxfId="824">
      <calculatedColumnFormula>Table13245678910111321252934394449546149141924293336424753919786104110116122127131136141914241930364248546066[[#This Row],[JAM MASUK]]-Table13245678910111321252934394449546149141924293336424753919786104110116122127131136141914241930364248546066[[#This Row],[JAM KELUAR]]</calculatedColumnFormula>
    </tableColumn>
    <tableColumn id="3" xr3:uid="{9C9C040F-3033-462F-98DE-0BC73679CF57}" name="Retase" dataDxfId="823"/>
    <tableColumn id="4" xr3:uid="{75329DDF-F4E4-441F-B91D-31AF848E8FA0}" name="Keterangan" dataDxfId="82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FD28DFD8-7118-4588-9892-D6DEBE52BDD1}" name="Table13245678910111321252934394449546149141924293336424753919786104110116122127131136141" displayName="Table13245678910111321252934394449546149141924293336424753919786104110116122127131136141" ref="B5:H27" totalsRowShown="0" headerRowDxfId="1388" dataDxfId="1387">
  <autoFilter ref="B5:H27" xr:uid="{B9ABE090-A7D1-4C32-83AF-14F7024EA175}"/>
  <sortState xmlns:xlrd2="http://schemas.microsoft.com/office/spreadsheetml/2017/richdata2" ref="B6:H27">
    <sortCondition ref="G5:G27"/>
  </sortState>
  <tableColumns count="7">
    <tableColumn id="1" xr3:uid="{E277A949-B4B2-4FA2-B7C3-301B8DC10B1F}" name="No" dataDxfId="1386"/>
    <tableColumn id="2" xr3:uid="{F46C4194-210C-4778-B1FF-01CB91A673B9}" name="Id unit" dataDxfId="1385"/>
    <tableColumn id="7" xr3:uid="{C18CF1C5-C1D3-4F24-80A0-FC2B16F5438C}" name="JAM KELUAR" dataDxfId="1384"/>
    <tableColumn id="6" xr3:uid="{B4158560-40AA-42B6-B045-5B79F43CA1FF}" name="JAM MASUK" dataDxfId="1383"/>
    <tableColumn id="5" xr3:uid="{09B3CE9C-8381-4FEE-94A7-55419C25D9AF}" name="TOTAL JAM KERJA" dataDxfId="1382">
      <calculatedColumnFormula>Table13245678910111321252934394449546149141924293336424753919786104110116122127131136141[[#This Row],[JAM MASUK]]-Table13245678910111321252934394449546149141924293336424753919786104110116122127131136141[[#This Row],[JAM KELUAR]]</calculatedColumnFormula>
    </tableColumn>
    <tableColumn id="3" xr3:uid="{A54814DC-F95E-49E8-AC05-738DE493BB48}" name="Retase" dataDxfId="1381"/>
    <tableColumn id="4" xr3:uid="{FCE279B2-FD9A-418F-831A-1F31AC45D494}" name="Keterangan" dataDxfId="1380"/>
  </tableColumns>
  <tableStyleInfo name="TableStyleLight9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199E6FFF-32CE-4C24-86F3-65B38E9DBB77}" name="Table134567891011172226303540455055625101520253034384348549298871051111171231281321371421015252031374349556167" displayName="Table134567891011172226303540455055625101520253034384348549298871051111171231281321371421015252031374349556167" ref="O6:U12" totalsRowShown="0" headerRowDxfId="821" dataDxfId="820">
  <autoFilter ref="O6:U12" xr:uid="{913DA601-D705-4926-AB5D-13C5C55E5198}"/>
  <sortState xmlns:xlrd2="http://schemas.microsoft.com/office/spreadsheetml/2017/richdata2" ref="O7:U12">
    <sortCondition ref="T6:T12"/>
  </sortState>
  <tableColumns count="7">
    <tableColumn id="1" xr3:uid="{68103AD3-C7D8-421F-B6B0-39BF28AB0B2D}" name="No" dataDxfId="819"/>
    <tableColumn id="2" xr3:uid="{211C444A-03AD-46E9-9CBA-80CA1B404201}" name="Id unit" dataDxfId="818"/>
    <tableColumn id="7" xr3:uid="{CBC8DC5F-F0D3-4BB1-9E87-C966EE6316FF}" name="JAM KELUAR" dataDxfId="817"/>
    <tableColumn id="6" xr3:uid="{2EE1E2E4-0FE3-4F7C-AC15-23249BA9DBAF}" name="JAM MASUK" dataDxfId="816"/>
    <tableColumn id="5" xr3:uid="{5AEC8282-C64C-4672-BFF1-B1E4B3645857}" name="TOTAL JAM KERJA" dataDxfId="815">
      <calculatedColumnFormula>R7-Q7</calculatedColumnFormula>
    </tableColumn>
    <tableColumn id="3" xr3:uid="{719CECDF-DF09-4B6A-B3AC-7A888C4A7608}" name="Retase" dataDxfId="814"/>
    <tableColumn id="4" xr3:uid="{DA3E2B3A-5FF2-4DEA-81E4-2257A2F394AA}" name="Keterangan" dataDxfId="813"/>
  </tableColumns>
  <tableStyleInfo name="TableStyleLight9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E53B6E95-2D81-43AE-8511-0166BEDA7E06}" name="Table134567891011172226303540455055625101520253034374045505694100891071131191251301341391441217272233394551576369" displayName="Table134567891011172226303540455055625101520253034374045505694100891071131191251301341391441217272233394551576369" ref="O59:U81" totalsRowShown="0" headerRowDxfId="812" dataDxfId="811">
  <autoFilter ref="O59:U81" xr:uid="{73F1D503-EB31-47E3-A68C-36339D21CE7D}"/>
  <tableColumns count="7">
    <tableColumn id="1" xr3:uid="{A36D84A5-2F5E-45BA-942B-EC486208977F}" name="No" dataDxfId="810"/>
    <tableColumn id="2" xr3:uid="{FEDE3B7B-090A-4EB5-94C5-66AFE0B86E83}" name="Id unit" dataDxfId="809"/>
    <tableColumn id="7" xr3:uid="{583789A6-78EF-4A7A-9DC2-25B8F20F64FB}" name="JAM KELUAR" dataDxfId="808"/>
    <tableColumn id="6" xr3:uid="{112C3F2D-1750-4B62-8347-66D37FC853A9}" name="JAM MASUK" dataDxfId="807"/>
    <tableColumn id="5" xr3:uid="{B2584D53-3A86-48A1-AFDF-55D107E1BE30}" name="TOTAL JAM KERJA" dataDxfId="806"/>
    <tableColumn id="3" xr3:uid="{7948B1DE-0491-4C95-99BF-C268C2B3D247}" name="Retase" dataDxfId="805"/>
    <tableColumn id="4" xr3:uid="{F3DBB73C-4A5B-4913-83CF-AA1AB2E4F4A2}" name="Keterangan" dataDxfId="804"/>
  </tableColumns>
  <tableStyleInfo name="TableStyleLight9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F18F465-D1CD-4A8A-8F30-CBE0C34B7911}" name="Table13456789101115181923273137424752592712172227322841465290968010310911512112612013514081323182834404652586470" displayName="Table13456789101115181923273137424752592712172227322841465290968010310911512112612013514081323182834404652586470" ref="AA6:AG34" totalsRowShown="0" headerRowDxfId="803" dataDxfId="802">
  <autoFilter ref="AA6:AG34" xr:uid="{1FD47352-F590-4544-A385-64ACA480A10C}"/>
  <sortState xmlns:xlrd2="http://schemas.microsoft.com/office/spreadsheetml/2017/richdata2" ref="AA7:AG34">
    <sortCondition ref="AF6:AF34"/>
  </sortState>
  <tableColumns count="7">
    <tableColumn id="1" xr3:uid="{ED5F6207-9CC5-4F7A-AB15-763E40529F7B}" name="No" dataDxfId="801"/>
    <tableColumn id="2" xr3:uid="{9C295598-1F87-472F-8230-9D371A6C5B2C}" name="Id unit" dataDxfId="800"/>
    <tableColumn id="7" xr3:uid="{BA5F3392-F420-45E6-B7C8-0D87E82B6C98}" name="JAM KELUAR" dataDxfId="799"/>
    <tableColumn id="6" xr3:uid="{48B1AFF3-D9B4-4D8F-84C4-EB9AB9D3661A}" name="JAM MASUK" dataDxfId="798"/>
    <tableColumn id="5" xr3:uid="{A0909F5B-78B4-4AD3-BE43-A4B9383DC455}" name="TOTAL JAM KERJA" dataDxfId="797">
      <calculatedColumnFormula>AD7-AC7</calculatedColumnFormula>
    </tableColumn>
    <tableColumn id="3" xr3:uid="{6AF1640C-E582-4824-B893-C046E978F84C}" name="Retase" dataDxfId="796"/>
    <tableColumn id="4" xr3:uid="{70295764-C15A-4A67-8AB4-E456DFAA49AE}" name="Keterangan" dataDxfId="795"/>
  </tableColumns>
  <tableStyleInfo name="TableStyleLight9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F623810-D848-4A6A-B10B-F38FF084B9FF}" name="Table13456789101115181923273137424752592712172227322841465290968010310911512112612013514081323182935414753596571" displayName="Table13456789101115181923273137424752592712172227322841465290968010310911512112612013514081323182935414753596571" ref="AM6:AS16" totalsRowShown="0" headerRowDxfId="794" dataDxfId="793">
  <autoFilter ref="AM6:AS16" xr:uid="{D7E74646-277B-4974-8CB5-5FC4622C64EB}"/>
  <sortState xmlns:xlrd2="http://schemas.microsoft.com/office/spreadsheetml/2017/richdata2" ref="AM7:AS16">
    <sortCondition ref="AR6:AR16"/>
  </sortState>
  <tableColumns count="7">
    <tableColumn id="1" xr3:uid="{6EA55DDD-0FF2-47CB-AF0B-381440DB54F7}" name="No" dataDxfId="792"/>
    <tableColumn id="2" xr3:uid="{A6B962EF-48C6-4741-9CE2-1B17812B779B}" name="Id unit" dataDxfId="791"/>
    <tableColumn id="7" xr3:uid="{D7961FCB-E5A6-4BEF-BC4A-16A8B5E3D15B}" name="JAM KELUAR" dataDxfId="790"/>
    <tableColumn id="6" xr3:uid="{1E1CFBD2-A0D2-45CE-B560-594EC1E81504}" name="JAM MASUK" dataDxfId="789"/>
    <tableColumn id="5" xr3:uid="{BFA1609A-9F49-45D7-AD92-63A21193C438}" name="TOTAL JAM KERJA" dataDxfId="788">
      <calculatedColumnFormula>AP7-AO7</calculatedColumnFormula>
    </tableColumn>
    <tableColumn id="3" xr3:uid="{07A0CB8A-032F-47E4-9173-005F1DFCE2C6}" name="Retase" dataDxfId="787"/>
    <tableColumn id="4" xr3:uid="{FEE5A59F-154A-47CE-B4FE-60E68D3D5BF6}" name="Keterangan" dataDxfId="786"/>
  </tableColumns>
  <tableStyleInfo name="TableStyleLight9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81EF60D7-F81E-4F5F-B623-2D191DC0AFA5}" name="Table1324567891011132125293439444954614914192429333642475391978610411011612212713113614191424193036424854606672" displayName="Table1324567891011132125293439444954614914192429333642475391978610411011612212713113614191424193036424854606672" ref="B6:H27" totalsRowShown="0" headerRowDxfId="785" dataDxfId="784">
  <autoFilter ref="B6:H27" xr:uid="{B9ABE090-A7D1-4C32-83AF-14F7024EA175}"/>
  <sortState xmlns:xlrd2="http://schemas.microsoft.com/office/spreadsheetml/2017/richdata2" ref="B7:H27">
    <sortCondition ref="G6:G27"/>
  </sortState>
  <tableColumns count="7">
    <tableColumn id="1" xr3:uid="{34B3AD9B-98C0-482E-977E-56A50FE149D1}" name="No" dataDxfId="783"/>
    <tableColumn id="2" xr3:uid="{9F70E9EA-DC94-4CE8-A5A4-F086D59D2D66}" name="Id unit" dataDxfId="782"/>
    <tableColumn id="7" xr3:uid="{56EBE9F1-B708-4F4B-ADFD-0283D81FA442}" name="JAM KELUAR" dataDxfId="781"/>
    <tableColumn id="6" xr3:uid="{D2B599DD-D09D-4264-B20F-5183242866A5}" name="JAM MASUK" dataDxfId="780"/>
    <tableColumn id="5" xr3:uid="{E615A900-9B46-40C7-BD1E-6BAF72B99C89}" name="TOTAL JAM KERJA" dataDxfId="779">
      <calculatedColumnFormula>Table1324567891011132125293439444954614914192429333642475391978610411011612212713113614191424193036424854606672[[#This Row],[JAM MASUK]]-Table1324567891011132125293439444954614914192429333642475391978610411011612212713113614191424193036424854606672[[#This Row],[JAM KELUAR]]</calculatedColumnFormula>
    </tableColumn>
    <tableColumn id="3" xr3:uid="{E9B883BA-FF89-45FA-800B-CA6054C5C8F2}" name="Retase" dataDxfId="778"/>
    <tableColumn id="4" xr3:uid="{2618165E-1112-4BC1-960C-3810F7697E51}" name="Keterangan" dataDxfId="777"/>
  </tableColumns>
  <tableStyleInfo name="TableStyleLight9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BB7283AB-38C0-4A35-8E54-43F3119845F3}" name="Table13456789101117222630354045505562510152025303438434854929887105111117123128132137142101525203137434955616773" displayName="Table13456789101117222630354045505562510152025303438434854929887105111117123128132137142101525203137434955616773" ref="O6:U12" totalsRowShown="0" headerRowDxfId="776" dataDxfId="775">
  <autoFilter ref="O6:U12" xr:uid="{913DA601-D705-4926-AB5D-13C5C55E5198}"/>
  <sortState xmlns:xlrd2="http://schemas.microsoft.com/office/spreadsheetml/2017/richdata2" ref="O7:U12">
    <sortCondition ref="T6:T12"/>
  </sortState>
  <tableColumns count="7">
    <tableColumn id="1" xr3:uid="{AB879D39-CCA5-4E85-A336-BB70FE21C4FA}" name="No" dataDxfId="774"/>
    <tableColumn id="2" xr3:uid="{F56CE0E2-C08F-4EAA-9765-EF0BC7DC39E2}" name="Id unit" dataDxfId="773"/>
    <tableColumn id="7" xr3:uid="{8171B507-D159-43A5-84FA-384672E9B6BB}" name="JAM KELUAR" dataDxfId="772"/>
    <tableColumn id="6" xr3:uid="{08266B17-3E90-4446-881B-BBC64026DB5C}" name="JAM MASUK" dataDxfId="771"/>
    <tableColumn id="5" xr3:uid="{1C5AE19B-6A60-4799-91A7-86AA32289D2F}" name="TOTAL JAM KERJA" dataDxfId="770">
      <calculatedColumnFormula>R7-Q7</calculatedColumnFormula>
    </tableColumn>
    <tableColumn id="3" xr3:uid="{5D507B51-5C45-4E9E-AA05-75CCC02F0D00}" name="Retase" dataDxfId="769"/>
    <tableColumn id="4" xr3:uid="{7218DA47-4B62-4E0D-A153-8AC04D9C6ABA}" name="Keterangan" dataDxfId="768"/>
  </tableColumns>
  <tableStyleInfo name="TableStyleLight9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ABEE4262-AAE8-4719-885C-B0713527BE4D}" name="Table13456789101117222630354045505562510152025303437404550569410089107113119125130134139144121727223339455157636974" displayName="Table13456789101117222630354045505562510152025303437404550569410089107113119125130134139144121727223339455157636974" ref="O59:U81" totalsRowShown="0" headerRowDxfId="767" dataDxfId="766">
  <autoFilter ref="O59:U81" xr:uid="{73F1D503-EB31-47E3-A68C-36339D21CE7D}"/>
  <tableColumns count="7">
    <tableColumn id="1" xr3:uid="{E7118EBA-B6CD-40D7-80B2-29779284496D}" name="No" dataDxfId="765"/>
    <tableColumn id="2" xr3:uid="{004BE8E1-7F24-433E-A9A2-048F7E39CC50}" name="Id unit" dataDxfId="764"/>
    <tableColumn id="7" xr3:uid="{F2723869-F84F-470A-8919-BD4FEFD5CBB6}" name="JAM KELUAR" dataDxfId="763"/>
    <tableColumn id="6" xr3:uid="{A5B70F47-A65F-4EDC-BC41-D037ACF18EBB}" name="JAM MASUK" dataDxfId="762"/>
    <tableColumn id="5" xr3:uid="{85FA41C4-57EB-4B45-AA54-17B44DC76241}" name="TOTAL JAM KERJA" dataDxfId="761"/>
    <tableColumn id="3" xr3:uid="{C6C88564-372B-4081-BFC8-C36C51399885}" name="Retase" dataDxfId="760"/>
    <tableColumn id="4" xr3:uid="{A9D5908E-24A7-4536-87B6-2F68C5584C94}" name="Keterangan" dataDxfId="759"/>
  </tableColumns>
  <tableStyleInfo name="TableStyleLight9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11C3C71-FFCF-4FA2-BB8D-10F67F9A3B8B}" name="Table1345678910111518192327313742475259271217222732284146529096801031091151211261201351408132318283440465258647075" displayName="Table1345678910111518192327313742475259271217222732284146529096801031091151211261201351408132318283440465258647075" ref="AA6:AG30" totalsRowShown="0" headerRowDxfId="758" dataDxfId="757">
  <autoFilter ref="AA6:AG30" xr:uid="{1FD47352-F590-4544-A385-64ACA480A10C}"/>
  <sortState xmlns:xlrd2="http://schemas.microsoft.com/office/spreadsheetml/2017/richdata2" ref="AA7:AG30">
    <sortCondition ref="AF6:AF30"/>
  </sortState>
  <tableColumns count="7">
    <tableColumn id="1" xr3:uid="{8FA1A831-2CBA-45A6-89E6-FAF96328C1F6}" name="No" dataDxfId="756"/>
    <tableColumn id="2" xr3:uid="{3FA43A10-1510-4D81-9EA8-B5C2E2B41B75}" name="Id unit" dataDxfId="755"/>
    <tableColumn id="7" xr3:uid="{224ED94F-0811-438D-AF3E-B1252423AA4D}" name="JAM KELUAR" dataDxfId="754"/>
    <tableColumn id="6" xr3:uid="{AB330288-BFD5-47F6-A7D8-9A635AD1CA9F}" name="JAM MASUK" dataDxfId="753"/>
    <tableColumn id="5" xr3:uid="{CEE66B29-AEA6-435E-8464-A73FF810BFB6}" name="TOTAL JAM KERJA" dataDxfId="752">
      <calculatedColumnFormula>AD7-AC7</calculatedColumnFormula>
    </tableColumn>
    <tableColumn id="3" xr3:uid="{7C9A6501-B2A8-4C22-A9BF-5B1C928D4B37}" name="Retase" dataDxfId="751"/>
    <tableColumn id="4" xr3:uid="{A210DC3E-631D-4BD0-815D-1742B41CEDD5}" name="Keterangan" dataDxfId="750"/>
  </tableColumns>
  <tableStyleInfo name="TableStyleLight9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5365BE49-A966-4F24-99B1-40FC87EB49D4}" name="Table1345678910111518192327313742475259271217222732284146529096801031091151211261201351408132318293541475359657176" displayName="Table1345678910111518192327313742475259271217222732284146529096801031091151211261201351408132318293541475359657176" ref="AM6:AS16" totalsRowShown="0" headerRowDxfId="749" dataDxfId="748">
  <autoFilter ref="AM6:AS16" xr:uid="{D7E74646-277B-4974-8CB5-5FC4622C64EB}"/>
  <sortState xmlns:xlrd2="http://schemas.microsoft.com/office/spreadsheetml/2017/richdata2" ref="AM7:AS16">
    <sortCondition ref="AR6:AR16"/>
  </sortState>
  <tableColumns count="7">
    <tableColumn id="1" xr3:uid="{DFA09050-47F9-42DB-8186-F31B7F0F58FA}" name="No" dataDxfId="747"/>
    <tableColumn id="2" xr3:uid="{12D8C13A-A6AB-43BC-9B6D-363DC3201F81}" name="Id unit" dataDxfId="746"/>
    <tableColumn id="7" xr3:uid="{01CE130D-C752-45AB-B351-DF5733432D7E}" name="JAM KELUAR" dataDxfId="745"/>
    <tableColumn id="6" xr3:uid="{1662A86C-4E74-470E-A4E0-CFB019CB3566}" name="JAM MASUK" dataDxfId="744"/>
    <tableColumn id="5" xr3:uid="{DE37537E-7153-4A32-A717-D348DC3B5D87}" name="TOTAL JAM KERJA" dataDxfId="743">
      <calculatedColumnFormula>AP7-AO7</calculatedColumnFormula>
    </tableColumn>
    <tableColumn id="3" xr3:uid="{87A2AEA5-E33F-476B-84E0-BFAB0F0AD296}" name="Retase" dataDxfId="742"/>
    <tableColumn id="4" xr3:uid="{18A35786-435E-4813-87A1-326A72E42300}" name="Keterangan" dataDxfId="741"/>
  </tableColumns>
  <tableStyleInfo name="TableStyleLight9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9F9BF4F-6A8F-4278-9BB7-4D4AE170B045}" name="Table132456789101113212529343944495461491419242933364247539197861041101161221271311361419142419303642485460667277" displayName="Table132456789101113212529343944495461491419242933364247539197861041101161221271311361419142419303642485460667277" ref="B6:H27" totalsRowShown="0" headerRowDxfId="740" dataDxfId="739">
  <autoFilter ref="B6:H27" xr:uid="{B9ABE090-A7D1-4C32-83AF-14F7024EA175}"/>
  <sortState xmlns:xlrd2="http://schemas.microsoft.com/office/spreadsheetml/2017/richdata2" ref="B7:H27">
    <sortCondition ref="G6:G27"/>
  </sortState>
  <tableColumns count="7">
    <tableColumn id="1" xr3:uid="{239557F2-AA3C-471B-AA7E-30849DAF89F6}" name="No" dataDxfId="738"/>
    <tableColumn id="2" xr3:uid="{9B7B028F-25EB-4F78-BF86-ADB02A6B9677}" name="Id unit" dataDxfId="737"/>
    <tableColumn id="7" xr3:uid="{90B4AB42-AED6-44F5-A5A1-54E80E58C2C6}" name="JAM KELUAR" dataDxfId="736"/>
    <tableColumn id="6" xr3:uid="{FDBFAFAA-9465-41A1-9E17-39DA7C95B68B}" name="JAM MASUK" dataDxfId="735"/>
    <tableColumn id="5" xr3:uid="{B9A36DE7-1DE4-449F-A04E-44F35992FD00}" name="TOTAL JAM KERJA" dataDxfId="734">
      <calculatedColumnFormula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calculatedColumnFormula>
    </tableColumn>
    <tableColumn id="3" xr3:uid="{6B92E7ED-DCA9-459E-8560-C048F422A40B}" name="Retase" dataDxfId="733"/>
    <tableColumn id="4" xr3:uid="{DBD2EA2E-9489-4DAF-B241-CA3673DAF1AF}" name="Keterangan" dataDxfId="73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D7BDC09-7D5B-490C-ACE6-96880623C7EF}" name="Table13456789101117222630354045505562510152025303438434854929887105111117123128132137142" displayName="Table13456789101117222630354045505562510152025303438434854929887105111117123128132137142" ref="O5:U16" totalsRowShown="0" headerRowDxfId="1379" dataDxfId="1378">
  <autoFilter ref="O5:U16" xr:uid="{913DA601-D705-4926-AB5D-13C5C55E5198}"/>
  <sortState xmlns:xlrd2="http://schemas.microsoft.com/office/spreadsheetml/2017/richdata2" ref="O6:U16">
    <sortCondition ref="T5:T16"/>
  </sortState>
  <tableColumns count="7">
    <tableColumn id="1" xr3:uid="{372DFE75-C3FA-42E6-9ECC-55A0C2153707}" name="No" dataDxfId="1377"/>
    <tableColumn id="2" xr3:uid="{E66B2574-8E58-4ABB-8A98-2403FBF49D9F}" name="Id unit" dataDxfId="1376"/>
    <tableColumn id="7" xr3:uid="{6E9953DF-8F3E-48EF-8343-E7F684692B54}" name="JAM KELUAR" dataDxfId="1375"/>
    <tableColumn id="6" xr3:uid="{1A035D9D-ED01-4387-AB78-61879B154231}" name="JAM MASUK" dataDxfId="1374"/>
    <tableColumn id="5" xr3:uid="{3BB8254F-403A-4397-8714-810D7F885B79}" name="TOTAL JAM KERJA" dataDxfId="1373">
      <calculatedColumnFormula>R6-Q6</calculatedColumnFormula>
    </tableColumn>
    <tableColumn id="3" xr3:uid="{E33D2AAE-09B3-4D0C-AA9D-B88F1B48F4A6}" name="Retase" dataDxfId="1372"/>
    <tableColumn id="4" xr3:uid="{91A5C04A-3AFB-4FDF-8408-C0CCB5758042}" name="Keterangan" dataDxfId="1371"/>
  </tableColumns>
  <tableStyleInfo name="TableStyleLight9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CA4ECD55-3D3D-4621-B484-1751F0FA277C}" name="Table1345678910111722263035404550556251015202530343843485492988710511111712312813213714210152520313743495561677378" displayName="Table1345678910111722263035404550556251015202530343843485492988710511111712312813213714210152520313743495561677378" ref="O6:U12" totalsRowShown="0" headerRowDxfId="731" dataDxfId="730">
  <autoFilter ref="O6:U12" xr:uid="{913DA601-D705-4926-AB5D-13C5C55E5198}"/>
  <sortState xmlns:xlrd2="http://schemas.microsoft.com/office/spreadsheetml/2017/richdata2" ref="O7:U12">
    <sortCondition ref="T6:T12"/>
  </sortState>
  <tableColumns count="7">
    <tableColumn id="1" xr3:uid="{82ECD759-BCB1-45C5-9F45-146704AAE454}" name="No" dataDxfId="729"/>
    <tableColumn id="2" xr3:uid="{C57C1D8B-3463-43F3-9D02-6A9518E4E56C}" name="Id unit" dataDxfId="728"/>
    <tableColumn id="7" xr3:uid="{E30E4859-F7D9-4E91-BF93-1630A055ED9C}" name="JAM KELUAR" dataDxfId="727"/>
    <tableColumn id="6" xr3:uid="{1E289D4E-B80D-4CE6-AAAF-C8A0B776EAC7}" name="JAM MASUK" dataDxfId="726"/>
    <tableColumn id="5" xr3:uid="{5C30EF95-7D8A-4B4F-BFB8-628A3AEC23D1}" name="TOTAL JAM KERJA" dataDxfId="725">
      <calculatedColumnFormula>R7-Q7</calculatedColumnFormula>
    </tableColumn>
    <tableColumn id="3" xr3:uid="{17A18A61-1A52-48E2-856C-C396460DF683}" name="Retase" dataDxfId="724"/>
    <tableColumn id="4" xr3:uid="{66140086-9C58-4688-891F-14D41F7BAF2E}" name="Keterangan" dataDxfId="723"/>
  </tableColumns>
  <tableStyleInfo name="TableStyleLight9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73CCFFB7-FE5D-42B4-93A9-83D799308E1A}" name="Table1345678910111722263035404550556251015202530343740455056941008910711311912513013413914412172722333945515763697479" displayName="Table1345678910111722263035404550556251015202530343740455056941008910711311912513013413914412172722333945515763697479" ref="O58:U80" totalsRowShown="0" headerRowDxfId="722" dataDxfId="721">
  <autoFilter ref="O58:U80" xr:uid="{73F1D503-EB31-47E3-A68C-36339D21CE7D}"/>
  <tableColumns count="7">
    <tableColumn id="1" xr3:uid="{0653E716-39EE-4E34-92E3-2F966EAFF340}" name="No" dataDxfId="720"/>
    <tableColumn id="2" xr3:uid="{6C36EB0D-332F-48C0-95DE-F9182D07EA76}" name="Id unit" dataDxfId="719"/>
    <tableColumn id="7" xr3:uid="{C63135ED-48F1-4008-8332-86A311BD0445}" name="JAM KELUAR" dataDxfId="718"/>
    <tableColumn id="6" xr3:uid="{220A9BBF-8E1A-4B6C-92C3-D9D69911B071}" name="JAM MASUK" dataDxfId="717"/>
    <tableColumn id="5" xr3:uid="{B30EC917-72E4-493B-8E64-D411513F0872}" name="TOTAL JAM KERJA" dataDxfId="716"/>
    <tableColumn id="3" xr3:uid="{48196F27-C12A-4354-800B-3B62EFC13B85}" name="Retase" dataDxfId="715"/>
    <tableColumn id="4" xr3:uid="{191F1EF7-F0A3-4A1C-AB13-4290E66F7C14}" name="Keterangan" dataDxfId="714"/>
  </tableColumns>
  <tableStyleInfo name="TableStyleLight9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B96191B2-A17E-4B16-A59C-5406FDB0B8D5}" name="Table134567891011151819232731374247525927121722273228414652909680103109115121126120135140813231828344046525864707580" displayName="Table134567891011151819232731374247525927121722273228414652909680103109115121126120135140813231828344046525864707580" ref="AA6:AG31" totalsRowShown="0" headerRowDxfId="713" dataDxfId="712">
  <autoFilter ref="AA6:AG31" xr:uid="{1FD47352-F590-4544-A385-64ACA480A10C}"/>
  <sortState xmlns:xlrd2="http://schemas.microsoft.com/office/spreadsheetml/2017/richdata2" ref="AA7:AG31">
    <sortCondition ref="AF6:AF31"/>
  </sortState>
  <tableColumns count="7">
    <tableColumn id="1" xr3:uid="{0B7E475A-C034-458F-B363-A066E3DB9E82}" name="No" dataDxfId="711"/>
    <tableColumn id="2" xr3:uid="{1D14D91F-9A88-4700-80D7-5F6E87A43202}" name="Id unit" dataDxfId="710"/>
    <tableColumn id="7" xr3:uid="{FC42538B-924B-4D26-8296-F53CAEAA7893}" name="JAM KELUAR" dataDxfId="709"/>
    <tableColumn id="6" xr3:uid="{E4A54735-1E28-4702-B6B7-14AA901CFD01}" name="JAM MASUK" dataDxfId="708"/>
    <tableColumn id="5" xr3:uid="{FCE6A053-C200-4C29-B2CF-33662084E992}" name="TOTAL JAM KERJA" dataDxfId="707">
      <calculatedColumnFormula>AD7-AC7</calculatedColumnFormula>
    </tableColumn>
    <tableColumn id="3" xr3:uid="{DC0F5C3C-F653-4150-984A-8B4FC0F3F52A}" name="Retase" dataDxfId="706"/>
    <tableColumn id="4" xr3:uid="{B557A7E9-21EA-4CF9-86F6-B583EDF66C30}" name="Keterangan" dataDxfId="705"/>
  </tableColumns>
  <tableStyleInfo name="TableStyleLight9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3C8EE049-0234-4C66-A061-3D5FBECFA64B}" name="Table134567891011151819232731374247525927121722273228414652909680103109115121126120135140813231829354147535965717681" displayName="Table134567891011151819232731374247525927121722273228414652909680103109115121126120135140813231829354147535965717681" ref="AM6:AS21" totalsRowShown="0" headerRowDxfId="704" dataDxfId="703">
  <autoFilter ref="AM6:AS21" xr:uid="{D7E74646-277B-4974-8CB5-5FC4622C64EB}"/>
  <sortState xmlns:xlrd2="http://schemas.microsoft.com/office/spreadsheetml/2017/richdata2" ref="AM7:AS21">
    <sortCondition ref="AR6:AR21"/>
  </sortState>
  <tableColumns count="7">
    <tableColumn id="1" xr3:uid="{3395910F-D7F9-4406-8BE9-4D2E5B2A8180}" name="No" dataDxfId="702"/>
    <tableColumn id="2" xr3:uid="{8048E7A6-85EF-4245-A8E1-FBC0E50C752B}" name="Id unit" dataDxfId="701"/>
    <tableColumn id="7" xr3:uid="{0DDF28D6-AD54-45AC-8277-139DE67EB433}" name="JAM KELUAR" dataDxfId="700"/>
    <tableColumn id="6" xr3:uid="{CC0F2BFB-6A39-4CEE-A2B8-DBA1B887B9B9}" name="JAM MASUK" dataDxfId="699"/>
    <tableColumn id="5" xr3:uid="{E29B0002-068C-4D46-94B5-60B2248920AD}" name="TOTAL JAM KERJA" dataDxfId="698">
      <calculatedColumnFormula>AP7-AO7</calculatedColumnFormula>
    </tableColumn>
    <tableColumn id="3" xr3:uid="{EEF90AED-4A5A-4C50-88B2-59159DE40180}" name="Retase" dataDxfId="697"/>
    <tableColumn id="4" xr3:uid="{7A6AC471-B7FB-4444-8F2A-F290534612CF}" name="Keterangan" dataDxfId="696"/>
  </tableColumns>
  <tableStyleInfo name="TableStyleLight9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FDAC3B0E-9217-41B4-A2EA-743ADBB84479}" name="Table13245678910111321252934394449546149141924293336424753919786104110116122127131136141914241930364248546066727782" displayName="Table13245678910111321252934394449546149141924293336424753919786104110116122127131136141914241930364248546066727782" ref="B6:H28" totalsRowShown="0" headerRowDxfId="695" dataDxfId="694">
  <autoFilter ref="B6:H28" xr:uid="{B9ABE090-A7D1-4C32-83AF-14F7024EA175}"/>
  <sortState xmlns:xlrd2="http://schemas.microsoft.com/office/spreadsheetml/2017/richdata2" ref="B7:H28">
    <sortCondition ref="G6:G28"/>
  </sortState>
  <tableColumns count="7">
    <tableColumn id="1" xr3:uid="{80DCFCB3-6CE8-4BDC-8E4F-FAB5DDF3E8F4}" name="No" dataDxfId="693"/>
    <tableColumn id="2" xr3:uid="{92C56B9F-8FB4-4FE9-9C07-D2ECF2558848}" name="Id unit" dataDxfId="692"/>
    <tableColumn id="7" xr3:uid="{4DF40646-68F2-4395-B33B-AA205BAFD679}" name="JAM KELUAR" dataDxfId="691"/>
    <tableColumn id="6" xr3:uid="{511FF29E-E019-4134-A1AF-B56FA97D4A38}" name="JAM MASUK" dataDxfId="690"/>
    <tableColumn id="5" xr3:uid="{72890948-67AC-41BA-8F01-AE0890880B32}" name="TOTAL JAM KERJA" dataDxfId="689">
      <calculatedColumnFormula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calculatedColumnFormula>
    </tableColumn>
    <tableColumn id="3" xr3:uid="{0D4814B4-FA6F-411E-A15A-0376B3FD314D}" name="Retase" dataDxfId="688"/>
    <tableColumn id="4" xr3:uid="{86ECE919-FB2B-4F4F-BEAC-B2AB6996C133}" name="Keterangan" dataDxfId="687"/>
  </tableColumns>
  <tableStyleInfo name="TableStyleLight9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CD9CF68-06F6-4C6E-9588-984AD4557777}" name="Table134567891011172226303540455055625101520253034384348549298871051111171231281321371421015252031374349556167737883" displayName="Table134567891011172226303540455055625101520253034384348549298871051111171231281321371421015252031374349556167737883" ref="O6:U11" totalsRowShown="0" headerRowDxfId="686" dataDxfId="685">
  <autoFilter ref="O6:U11" xr:uid="{913DA601-D705-4926-AB5D-13C5C55E5198}"/>
  <sortState xmlns:xlrd2="http://schemas.microsoft.com/office/spreadsheetml/2017/richdata2" ref="O7:U11">
    <sortCondition ref="T6:T11"/>
  </sortState>
  <tableColumns count="7">
    <tableColumn id="1" xr3:uid="{2D0766F3-39F8-4001-977E-A4663CAD8F90}" name="No" dataDxfId="684"/>
    <tableColumn id="2" xr3:uid="{9C22FF37-C74F-4EA5-858E-79073CC650D9}" name="Id unit" dataDxfId="683"/>
    <tableColumn id="7" xr3:uid="{6E88D8A7-882D-4B8C-BD66-18D1642BCA48}" name="JAM KELUAR" dataDxfId="682"/>
    <tableColumn id="6" xr3:uid="{220A1AE5-FDA2-440D-A8C4-66603A8218BF}" name="JAM MASUK" dataDxfId="681"/>
    <tableColumn id="5" xr3:uid="{553B20FF-A811-4CE6-91E8-9D4D6C3C164E}" name="TOTAL JAM KERJA" dataDxfId="680">
      <calculatedColumnFormula>R7-Q7</calculatedColumnFormula>
    </tableColumn>
    <tableColumn id="3" xr3:uid="{2EFB9A49-A358-4D80-AB42-E1195259950D}" name="Retase" dataDxfId="679"/>
    <tableColumn id="4" xr3:uid="{C2E813E4-05C0-47CA-AAF7-5C87DF51DE47}" name="Keterangan" dataDxfId="678"/>
  </tableColumns>
  <tableStyleInfo name="TableStyleLight9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B9B0E01A-A450-4D28-B1A3-F6D93546EE61}" name="Table134567891011172226303540455055625101520253034374045505694100891071131191251301341391441217272233394551576369747984" displayName="Table134567891011172226303540455055625101520253034374045505694100891071131191251301341391441217272233394551576369747984" ref="O56:U78" totalsRowShown="0" headerRowDxfId="677" dataDxfId="676">
  <autoFilter ref="O56:U78" xr:uid="{73F1D503-EB31-47E3-A68C-36339D21CE7D}"/>
  <tableColumns count="7">
    <tableColumn id="1" xr3:uid="{CB6E892D-CE38-4EA0-BAD2-848769AF1C44}" name="No" dataDxfId="675"/>
    <tableColumn id="2" xr3:uid="{43B585E6-F4CD-4887-BD05-6CECBF9BC3FD}" name="Id unit" dataDxfId="674"/>
    <tableColumn id="7" xr3:uid="{655454F3-6761-4BB2-8253-9F9853898ABE}" name="JAM KELUAR" dataDxfId="673"/>
    <tableColumn id="6" xr3:uid="{DBEE93B8-E8AF-47A4-BF49-673BE3486DDB}" name="JAM MASUK" dataDxfId="672"/>
    <tableColumn id="5" xr3:uid="{0046421E-FFE0-4DC9-84D2-BA288BBA4B92}" name="TOTAL JAM KERJA" dataDxfId="671"/>
    <tableColumn id="3" xr3:uid="{7BF4A409-2585-49F1-8CD1-4A57EEFB4B57}" name="Retase" dataDxfId="670"/>
    <tableColumn id="4" xr3:uid="{5503E40A-3DD2-4B07-99A1-5FEC25154A5E}" name="Keterangan" dataDxfId="669"/>
  </tableColumns>
  <tableStyleInfo name="TableStyleLight9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A46B788C-CB3C-4CD9-89B8-737CDA5C2452}" name="Table13456789101115181923273137424752592712172227322841465290968010310911512112612013514081323182834404652586470758085" displayName="Table13456789101115181923273137424752592712172227322841465290968010310911512112612013514081323182834404652586470758085" ref="AA6:AG31" totalsRowShown="0" headerRowDxfId="668" dataDxfId="667">
  <autoFilter ref="AA6:AG31" xr:uid="{1FD47352-F590-4544-A385-64ACA480A10C}"/>
  <sortState xmlns:xlrd2="http://schemas.microsoft.com/office/spreadsheetml/2017/richdata2" ref="AA7:AG31">
    <sortCondition ref="AF6:AF31"/>
  </sortState>
  <tableColumns count="7">
    <tableColumn id="1" xr3:uid="{2218182A-C773-4644-94CB-1FBAFF715E27}" name="No" dataDxfId="666"/>
    <tableColumn id="2" xr3:uid="{045B2C3E-EA58-49BC-9570-81ABB023FB5F}" name="Id unit" dataDxfId="665"/>
    <tableColumn id="7" xr3:uid="{9015B336-DE31-4056-8EBA-50E2D7D8F088}" name="JAM KELUAR" dataDxfId="664"/>
    <tableColumn id="6" xr3:uid="{37C12EFF-E097-4501-BD55-D976A1FC3CF1}" name="JAM MASUK" dataDxfId="663"/>
    <tableColumn id="5" xr3:uid="{C2E6752A-00B4-4DD2-8D71-E6490F95C822}" name="TOTAL JAM KERJA" dataDxfId="662">
      <calculatedColumnFormula>AD7-AC7</calculatedColumnFormula>
    </tableColumn>
    <tableColumn id="3" xr3:uid="{B6AC31D7-F8EB-4ED1-96F8-84E617374762}" name="Retase" dataDxfId="661"/>
    <tableColumn id="4" xr3:uid="{1DD61C41-5E6B-447A-8306-247546CD5792}" name="Keterangan" dataDxfId="660"/>
  </tableColumns>
  <tableStyleInfo name="TableStyleLight9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8E6E0555-BB85-4791-B094-77C865E2D781}" name="Table13456789101115181923273137424752592712172227322841465290968010310911512112612013514081323182935414753596571768186" displayName="Table13456789101115181923273137424752592712172227322841465290968010310911512112612013514081323182935414753596571768186" ref="AM6:AS21" totalsRowShown="0" headerRowDxfId="659" dataDxfId="658">
  <autoFilter ref="AM6:AS21" xr:uid="{D7E74646-277B-4974-8CB5-5FC4622C64EB}"/>
  <sortState xmlns:xlrd2="http://schemas.microsoft.com/office/spreadsheetml/2017/richdata2" ref="AM7:AS21">
    <sortCondition ref="AR6:AR21"/>
  </sortState>
  <tableColumns count="7">
    <tableColumn id="1" xr3:uid="{44DE0314-89EB-4F9E-B4FA-2ED50543248D}" name="No" dataDxfId="657"/>
    <tableColumn id="2" xr3:uid="{88B68270-FB85-4454-9E45-34144555F0BC}" name="Id unit" dataDxfId="656"/>
    <tableColumn id="7" xr3:uid="{344AB1F8-0ACA-4022-A427-F88E7EC39540}" name="JAM KELUAR" dataDxfId="655"/>
    <tableColumn id="6" xr3:uid="{22976D1C-3294-4397-A078-149BA2C24E57}" name="JAM MASUK" dataDxfId="654"/>
    <tableColumn id="5" xr3:uid="{A3454637-2999-4224-86F9-D962E13764D3}" name="TOTAL JAM KERJA" dataDxfId="653">
      <calculatedColumnFormula>AP7-AO7</calculatedColumnFormula>
    </tableColumn>
    <tableColumn id="3" xr3:uid="{AD4DDB8B-75B4-4E19-9641-1729D1C9A6AC}" name="Retase" dataDxfId="652"/>
    <tableColumn id="4" xr3:uid="{2CE3B904-4052-4892-A5A7-8E9C8F4167AE}" name="Keterangan" dataDxfId="651"/>
  </tableColumns>
  <tableStyleInfo name="TableStyleLight9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2D29D51-D80B-42ED-912C-D8BB66E93DB6}" name="Table1324567891011132125293439444954614914192429333642475391978610411011612212713113614191424193036424854606672778287" displayName="Table1324567891011132125293439444954614914192429333642475391978610411011612212713113614191424193036424854606672778287" ref="B6:H22" totalsRowShown="0" headerRowDxfId="650" dataDxfId="649">
  <autoFilter ref="B6:H22" xr:uid="{B9ABE090-A7D1-4C32-83AF-14F7024EA175}"/>
  <sortState xmlns:xlrd2="http://schemas.microsoft.com/office/spreadsheetml/2017/richdata2" ref="B7:H22">
    <sortCondition ref="G6:G22"/>
  </sortState>
  <tableColumns count="7">
    <tableColumn id="1" xr3:uid="{958B1D32-6DDD-4BBD-8E6D-B78D42186695}" name="No" dataDxfId="648"/>
    <tableColumn id="2" xr3:uid="{18122F3A-C77B-4202-8D8D-9FC9834D14A2}" name="Id unit" dataDxfId="647"/>
    <tableColumn id="7" xr3:uid="{163D0C3E-DF87-4669-9A51-1EDC097702DA}" name="JAM KELUAR" dataDxfId="646"/>
    <tableColumn id="6" xr3:uid="{BC3A061C-F39B-4052-BFB0-859D4F613BEC}" name="JAM MASUK" dataDxfId="645"/>
    <tableColumn id="5" xr3:uid="{9C4731B3-9BED-48B3-9054-C9950529F742}" name="TOTAL JAM KERJA" dataDxfId="644">
      <calculatedColumnFormula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calculatedColumnFormula>
    </tableColumn>
    <tableColumn id="3" xr3:uid="{D90967E5-4598-44CA-9D63-7DB3637EE834}" name="Retase" dataDxfId="643"/>
    <tableColumn id="4" xr3:uid="{6E0CB00E-B52D-4B65-A000-5CAC393C2C8E}" name="Keterangan" dataDxfId="64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B650166B-81DF-4449-8E5D-D738720CDC75}" name="Table1345678910111722263032364146515663611162126313539444955939988106112118124129133138143" displayName="Table1345678910111722263032364146515663611162126313539444955939988106112118124129133138143" ref="O21:U28" totalsRowShown="0" headerRowDxfId="1370" dataDxfId="1369">
  <autoFilter ref="O21:U28" xr:uid="{4183E7DE-4616-45F9-AC6F-E29C0B38C832}"/>
  <sortState xmlns:xlrd2="http://schemas.microsoft.com/office/spreadsheetml/2017/richdata2" ref="O22:U28">
    <sortCondition ref="T21:T28"/>
  </sortState>
  <tableColumns count="7">
    <tableColumn id="1" xr3:uid="{9F241B0C-8701-4564-99C0-CCE48B468B22}" name="No" dataDxfId="1368"/>
    <tableColumn id="2" xr3:uid="{EE1DCF24-067D-4297-AC4B-2E71C07842E6}" name="Id unit" dataDxfId="1367"/>
    <tableColumn id="7" xr3:uid="{9BB208AA-2033-486E-82BC-C129D9A5FDAC}" name="JAM KELUAR" dataDxfId="1366"/>
    <tableColumn id="6" xr3:uid="{D21707EA-9E2A-41C7-A3D2-DDBDD7DEC00C}" name="JAM MASUK" dataDxfId="1365"/>
    <tableColumn id="5" xr3:uid="{D9A626F3-9E01-4F8D-B325-FC8A37D2705A}" name="TOTAL JAM KERJA" dataDxfId="1364">
      <calculatedColumnFormula>R22-Q22</calculatedColumnFormula>
    </tableColumn>
    <tableColumn id="3" xr3:uid="{8BE76F9C-3BF3-4AF5-8891-C87C50586A94}" name="Retase" dataDxfId="1363"/>
    <tableColumn id="4" xr3:uid="{52655385-2C70-4CDF-8EB2-4BC6D8C09E59}" name="Keterangan" dataDxfId="1362"/>
  </tableColumns>
  <tableStyleInfo name="TableStyleLight9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3DCB6905-42DE-4DE1-8932-C82F2D96D7EB}" name="Table13456789101117222630354045505562510152025303438434854929887105111117123128132137142101525203137434955616773788388" displayName="Table13456789101117222630354045505562510152025303438434854929887105111117123128132137142101525203137434955616773788388" ref="O6:U13" totalsRowShown="0" headerRowDxfId="641" dataDxfId="640">
  <autoFilter ref="O6:U13" xr:uid="{913DA601-D705-4926-AB5D-13C5C55E5198}"/>
  <sortState xmlns:xlrd2="http://schemas.microsoft.com/office/spreadsheetml/2017/richdata2" ref="O7:U13">
    <sortCondition ref="T6:T13"/>
  </sortState>
  <tableColumns count="7">
    <tableColumn id="1" xr3:uid="{9DCAB9F9-D3C7-48EC-A411-7486829597E1}" name="No" dataDxfId="639"/>
    <tableColumn id="2" xr3:uid="{61F4C216-548E-40AB-8829-F80DC3728C4A}" name="Id unit" dataDxfId="638"/>
    <tableColumn id="7" xr3:uid="{35C3992D-3A10-45C6-A825-1073A84D7473}" name="JAM KELUAR" dataDxfId="637"/>
    <tableColumn id="6" xr3:uid="{AB16E30A-B1FD-492E-89C8-A01A29AFDFAC}" name="JAM MASUK" dataDxfId="636"/>
    <tableColumn id="5" xr3:uid="{FFEB6CEC-7A73-4BBB-9CBF-FB2FF75C7218}" name="TOTAL JAM KERJA" dataDxfId="635">
      <calculatedColumnFormula>R7-Q7</calculatedColumnFormula>
    </tableColumn>
    <tableColumn id="3" xr3:uid="{BB3BE46E-E412-4791-8889-E85781771E5D}" name="Retase" dataDxfId="634"/>
    <tableColumn id="4" xr3:uid="{F305F7D1-F45F-48C5-A61B-4851621281F2}" name="Keterangan" dataDxfId="633"/>
  </tableColumns>
  <tableStyleInfo name="TableStyleLight9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36119742-9F5B-480A-88A2-57C8EE4A9433}" name="Table13456789101117222630354045505562510152025303437404550569410089107113119125130134139144121727223339455157636974798489" displayName="Table13456789101117222630354045505562510152025303437404550569410089107113119125130134139144121727223339455157636974798489" ref="O56:U78" totalsRowShown="0" headerRowDxfId="632" dataDxfId="631">
  <autoFilter ref="O56:U78" xr:uid="{73F1D503-EB31-47E3-A68C-36339D21CE7D}"/>
  <tableColumns count="7">
    <tableColumn id="1" xr3:uid="{02DDA1F1-F7F0-42CB-9632-E3C4C133866D}" name="No" dataDxfId="630"/>
    <tableColumn id="2" xr3:uid="{2245DA98-D7E7-4294-A97A-A84362D706A5}" name="Id unit" dataDxfId="629"/>
    <tableColumn id="7" xr3:uid="{B5EAA6A8-8AA1-4E18-B485-FFBFC112BC04}" name="JAM KELUAR" dataDxfId="628"/>
    <tableColumn id="6" xr3:uid="{EC9D4F4A-0A52-40F8-87F4-4A13F19F6BAE}" name="JAM MASUK" dataDxfId="627"/>
    <tableColumn id="5" xr3:uid="{B1BF3E2E-7120-4804-8B4C-7EB5F6A723C3}" name="TOTAL JAM KERJA" dataDxfId="626"/>
    <tableColumn id="3" xr3:uid="{FBFF65B6-3261-4AED-9D92-4095E0B3F6E6}" name="Retase" dataDxfId="625"/>
    <tableColumn id="4" xr3:uid="{DA8B8EE3-FD14-4CDD-8885-C841D95AABB6}" name="Keterangan" dataDxfId="624"/>
  </tableColumns>
  <tableStyleInfo name="TableStyleLight9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F96EEDF1-8FEF-4B33-A050-62CBF8FB90E3}" name="Table1345678910111518192327313742475259271217222732284146529096801031091151211261201351408132318283440465258647075808590" displayName="Table1345678910111518192327313742475259271217222732284146529096801031091151211261201351408132318283440465258647075808590" ref="AA6:AG32" totalsRowShown="0" headerRowDxfId="623" dataDxfId="622">
  <autoFilter ref="AA6:AG32" xr:uid="{1FD47352-F590-4544-A385-64ACA480A10C}"/>
  <sortState xmlns:xlrd2="http://schemas.microsoft.com/office/spreadsheetml/2017/richdata2" ref="AA7:AG32">
    <sortCondition ref="AF6:AF32"/>
  </sortState>
  <tableColumns count="7">
    <tableColumn id="1" xr3:uid="{AB1ECAF3-7354-4716-A272-04BF2218A78C}" name="No" dataDxfId="621"/>
    <tableColumn id="2" xr3:uid="{2CB0AB21-CE0E-4AE2-89D1-9B62A2FBA273}" name="Id unit" dataDxfId="620"/>
    <tableColumn id="7" xr3:uid="{EB679FB8-4A80-406B-8C20-2A621066F65C}" name="JAM KELUAR" dataDxfId="619"/>
    <tableColumn id="6" xr3:uid="{784ED371-283D-4593-B208-D7DAE978BBF3}" name="JAM MASUK" dataDxfId="618"/>
    <tableColumn id="5" xr3:uid="{60D1A847-DD80-4EC9-8D23-E057923F4C81}" name="TOTAL JAM KERJA" dataDxfId="617">
      <calculatedColumnFormula>AD7-AC7</calculatedColumnFormula>
    </tableColumn>
    <tableColumn id="3" xr3:uid="{02A1846A-53A3-493B-86CA-026BC7AE87E8}" name="Retase" dataDxfId="616"/>
    <tableColumn id="4" xr3:uid="{E005BCDA-22A5-4E05-BAF6-3F0D7E56ED57}" name="Keterangan" dataDxfId="615"/>
  </tableColumns>
  <tableStyleInfo name="TableStyleLight9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A1E687A6-B8BF-4EE8-83FB-23D5B40C8B4B}" name="Table1345678910111518192327313742475259271217222732284146529096801031091151211261201351408132318293541475359657176818691" displayName="Table1345678910111518192327313742475259271217222732284146529096801031091151211261201351408132318293541475359657176818691" ref="AM6:AS21" totalsRowShown="0" headerRowDxfId="614" dataDxfId="613">
  <autoFilter ref="AM6:AS21" xr:uid="{D7E74646-277B-4974-8CB5-5FC4622C64EB}"/>
  <sortState xmlns:xlrd2="http://schemas.microsoft.com/office/spreadsheetml/2017/richdata2" ref="AM7:AS21">
    <sortCondition ref="AR6:AR21"/>
  </sortState>
  <tableColumns count="7">
    <tableColumn id="1" xr3:uid="{FAD5C353-A64C-4AB2-AF83-7B5C0629D981}" name="No" dataDxfId="612"/>
    <tableColumn id="2" xr3:uid="{C0518CE3-F803-46C6-9D84-158B1DB3F91F}" name="Id unit" dataDxfId="611"/>
    <tableColumn id="7" xr3:uid="{77B40481-1AAE-46FD-B744-A99954825E28}" name="JAM KELUAR" dataDxfId="610"/>
    <tableColumn id="6" xr3:uid="{15D23D49-5CDC-4614-844F-35D86352726E}" name="JAM MASUK" dataDxfId="609"/>
    <tableColumn id="5" xr3:uid="{9CB6DBE8-D3DF-4917-A1A1-FC3E42EC290A}" name="TOTAL JAM KERJA" dataDxfId="608">
      <calculatedColumnFormula>AP7-AO7</calculatedColumnFormula>
    </tableColumn>
    <tableColumn id="3" xr3:uid="{FC35AEAC-0730-4675-B60F-754F7C4954A0}" name="Retase" dataDxfId="607"/>
    <tableColumn id="4" xr3:uid="{B5BA7803-57FB-4626-9FE7-735852EBB838}" name="Keterangan" dataDxfId="606"/>
  </tableColumns>
  <tableStyleInfo name="TableStyleLight9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23D269F6-8017-4400-B165-D1DD2DDEA97E}" name="Table132456789101113212529343944495461491419242933364247539197861041101161221271311361419142419303642485460667277828792" displayName="Table132456789101113212529343944495461491419242933364247539197861041101161221271311361419142419303642485460667277828792" ref="B6:H27" totalsRowShown="0" headerRowDxfId="605" dataDxfId="604">
  <autoFilter ref="B6:H27" xr:uid="{B9ABE090-A7D1-4C32-83AF-14F7024EA175}"/>
  <sortState xmlns:xlrd2="http://schemas.microsoft.com/office/spreadsheetml/2017/richdata2" ref="B7:H27">
    <sortCondition ref="G6:G27"/>
  </sortState>
  <tableColumns count="7">
    <tableColumn id="1" xr3:uid="{AEE86836-4C30-4343-8CA1-EC23A442B0A6}" name="No" dataDxfId="603"/>
    <tableColumn id="2" xr3:uid="{B4D7914E-6D61-458A-B6D0-16F93264101C}" name="Id unit" dataDxfId="602"/>
    <tableColumn id="7" xr3:uid="{F9D3F236-72EC-41EF-A6B5-806C36939A32}" name="JAM KELUAR" dataDxfId="601"/>
    <tableColumn id="6" xr3:uid="{4224EC7E-11B2-46EC-9606-DC54BAD4BDC7}" name="JAM MASUK" dataDxfId="600"/>
    <tableColumn id="5" xr3:uid="{6F9D8CDE-68BC-4FA1-9945-42636FF18A7A}" name="TOTAL JAM KERJA" dataDxfId="599">
      <calculatedColumnFormula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calculatedColumnFormula>
    </tableColumn>
    <tableColumn id="3" xr3:uid="{7CD09633-7414-489C-93BF-D93FA10CF314}" name="Retase" dataDxfId="598"/>
    <tableColumn id="4" xr3:uid="{F70EB06F-FDB3-4EC2-B8D0-49CCA33DCE5A}" name="Keterangan" dataDxfId="597"/>
  </tableColumns>
  <tableStyleInfo name="TableStyleLight9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10D07516-7026-4876-B6C6-EB087D1B28F8}" name="Table1345678910111722263035404550556251015202530343843485492988710511111712312813213714210152520313743495561677378838893" displayName="Table1345678910111722263035404550556251015202530343843485492988710511111712312813213714210152520313743495561677378838893" ref="O6:U12" totalsRowShown="0" headerRowDxfId="596" dataDxfId="595">
  <autoFilter ref="O6:U12" xr:uid="{913DA601-D705-4926-AB5D-13C5C55E5198}"/>
  <sortState xmlns:xlrd2="http://schemas.microsoft.com/office/spreadsheetml/2017/richdata2" ref="O7:U12">
    <sortCondition ref="T6:T12"/>
  </sortState>
  <tableColumns count="7">
    <tableColumn id="1" xr3:uid="{32FC99C6-909B-43F3-8D9F-DC9553A340D2}" name="No" dataDxfId="594"/>
    <tableColumn id="2" xr3:uid="{59A04AAD-AA08-4F13-9A48-DF9769A0A40A}" name="Id unit" dataDxfId="593"/>
    <tableColumn id="7" xr3:uid="{639B274A-0E02-4400-A764-891767BD6452}" name="JAM KELUAR" dataDxfId="592"/>
    <tableColumn id="6" xr3:uid="{2C6507F9-A4F0-4A0D-BB74-FABD07F7C03F}" name="JAM MASUK" dataDxfId="591"/>
    <tableColumn id="5" xr3:uid="{D47D5850-037D-4318-BDD6-B309DB41C84C}" name="TOTAL JAM KERJA" dataDxfId="590">
      <calculatedColumnFormula>R7-Q7</calculatedColumnFormula>
    </tableColumn>
    <tableColumn id="3" xr3:uid="{A2B5051C-E0DD-410C-AB3B-9C9A7B2ED310}" name="Retase" dataDxfId="589"/>
    <tableColumn id="4" xr3:uid="{50582F2D-4E67-4554-9252-ADE7B4EE74D5}" name="Keterangan" dataDxfId="588"/>
  </tableColumns>
  <tableStyleInfo name="TableStyleLight9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D052C135-0AE5-4ACB-99D8-953C7CB474B2}" name="Table1345678910111722263035404550556251015202530343740455056941008910711311912513013413914412172722333945515763697479848994" displayName="Table1345678910111722263035404550556251015202530343740455056941008910711311912513013413914412172722333945515763697479848994" ref="O55:U77" totalsRowShown="0" headerRowDxfId="587" dataDxfId="586">
  <autoFilter ref="O55:U77" xr:uid="{73F1D503-EB31-47E3-A68C-36339D21CE7D}"/>
  <tableColumns count="7">
    <tableColumn id="1" xr3:uid="{E7A0BD0F-AC11-44E3-B92C-C05DFFC07815}" name="No" dataDxfId="585"/>
    <tableColumn id="2" xr3:uid="{0B9F37F7-F594-4D77-8B1E-02A0F79B9EE7}" name="Id unit" dataDxfId="584"/>
    <tableColumn id="7" xr3:uid="{EB1DE154-5A95-4715-97B4-FB2839F26670}" name="JAM KELUAR" dataDxfId="583"/>
    <tableColumn id="6" xr3:uid="{152B7609-B3D8-461F-A463-7DABD9105B2C}" name="JAM MASUK" dataDxfId="582"/>
    <tableColumn id="5" xr3:uid="{0535E373-40BA-42A2-ABCF-F20F74FA3FCB}" name="TOTAL JAM KERJA" dataDxfId="581"/>
    <tableColumn id="3" xr3:uid="{99880630-5D44-493F-9370-4430D5225A5E}" name="Retase" dataDxfId="580"/>
    <tableColumn id="4" xr3:uid="{965483EB-CA30-422B-A6EF-8D802E9BF724}" name="Keterangan" dataDxfId="579"/>
  </tableColumns>
  <tableStyleInfo name="TableStyleLight9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FCBA5230-7F1E-4370-8542-52E7BB53734F}" name="Table134567891011151819232731374247525927121722273228414652909680103109115121126120135140813231828344046525864707580859095" displayName="Table134567891011151819232731374247525927121722273228414652909680103109115121126120135140813231828344046525864707580859095" ref="AA6:AG27" totalsRowShown="0" headerRowDxfId="578" dataDxfId="577">
  <autoFilter ref="AA6:AG27" xr:uid="{1FD47352-F590-4544-A385-64ACA480A10C}"/>
  <sortState xmlns:xlrd2="http://schemas.microsoft.com/office/spreadsheetml/2017/richdata2" ref="AA7:AG27">
    <sortCondition ref="AF6:AF27"/>
  </sortState>
  <tableColumns count="7">
    <tableColumn id="1" xr3:uid="{0555B832-FF02-4BCC-832C-0390F45B5206}" name="No" dataDxfId="576"/>
    <tableColumn id="2" xr3:uid="{9613470F-F260-4098-8413-6FE59B10303B}" name="Id unit" dataDxfId="575"/>
    <tableColumn id="7" xr3:uid="{94A5016E-BC30-444F-9560-F2D487CB6E83}" name="JAM KELUAR" dataDxfId="574"/>
    <tableColumn id="6" xr3:uid="{4B521AF8-90FE-4352-9F0D-53C80FE58CCE}" name="JAM MASUK" dataDxfId="573"/>
    <tableColumn id="5" xr3:uid="{653F7CE2-B8E0-4335-8551-460B51425352}" name="TOTAL JAM KERJA" dataDxfId="572">
      <calculatedColumnFormula>AD7-AC7</calculatedColumnFormula>
    </tableColumn>
    <tableColumn id="3" xr3:uid="{0D3C2460-2773-4BC0-8278-7018211190C9}" name="Retase" dataDxfId="571"/>
    <tableColumn id="4" xr3:uid="{1DA1A696-AE7A-4D63-A85C-0E6232798EAE}" name="Keterangan" dataDxfId="570"/>
  </tableColumns>
  <tableStyleInfo name="TableStyleLight9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4628088-12F7-4CBE-8511-5C2FCEB77B4D}" name="Table134567891011151819232731374247525927121722273228414652909680103109115121126120135140813231829354147535965717681869196" displayName="Table134567891011151819232731374247525927121722273228414652909680103109115121126120135140813231829354147535965717681869196" ref="AM6:AS21" totalsRowShown="0" headerRowDxfId="569" dataDxfId="568">
  <autoFilter ref="AM6:AS21" xr:uid="{D7E74646-277B-4974-8CB5-5FC4622C64EB}"/>
  <sortState xmlns:xlrd2="http://schemas.microsoft.com/office/spreadsheetml/2017/richdata2" ref="AM7:AS21">
    <sortCondition ref="AR6:AR21"/>
  </sortState>
  <tableColumns count="7">
    <tableColumn id="1" xr3:uid="{3415D5DC-F82B-403E-A384-F4BE6A02A04C}" name="No" dataDxfId="567"/>
    <tableColumn id="2" xr3:uid="{80F8C157-A396-4FA0-9001-B7FA2B37B874}" name="Id unit" dataDxfId="566"/>
    <tableColumn id="7" xr3:uid="{8277810F-6C78-4723-B07F-769FD78ED404}" name="JAM KELUAR" dataDxfId="565"/>
    <tableColumn id="6" xr3:uid="{39CFFCCD-2C74-4568-A3C9-C5E5A9B5BEA7}" name="JAM MASUK" dataDxfId="564"/>
    <tableColumn id="5" xr3:uid="{53B89920-C707-484D-A62F-2FAFA126A88D}" name="TOTAL JAM KERJA" dataDxfId="563">
      <calculatedColumnFormula>AP7-AO7</calculatedColumnFormula>
    </tableColumn>
    <tableColumn id="3" xr3:uid="{12CA6BC5-654F-4DEE-A433-95781122EEAE}" name="Retase" dataDxfId="562"/>
    <tableColumn id="4" xr3:uid="{D8341552-3FF0-4FED-83AE-2B6A67A04B31}" name="Keterangan" dataDxfId="561"/>
  </tableColumns>
  <tableStyleInfo name="TableStyleLight9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AE8EA041-4F9A-4F51-BEAA-AF7BA085FF83}" name="Table13245678910111321252934394449546149141924293336424753919786104110116122127131136141914241930364248546066727782879297" displayName="Table13245678910111321252934394449546149141924293336424753919786104110116122127131136141914241930364248546066727782879297" ref="B6:H29" totalsRowShown="0" headerRowDxfId="560" dataDxfId="559">
  <autoFilter ref="B6:H29" xr:uid="{B9ABE090-A7D1-4C32-83AF-14F7024EA175}"/>
  <sortState xmlns:xlrd2="http://schemas.microsoft.com/office/spreadsheetml/2017/richdata2" ref="B7:H29">
    <sortCondition ref="G6:G29"/>
  </sortState>
  <tableColumns count="7">
    <tableColumn id="1" xr3:uid="{7BD4F28F-29CA-4FFD-858C-B72A71719BBE}" name="No" dataDxfId="558"/>
    <tableColumn id="2" xr3:uid="{AAB4B618-A558-4899-B5C9-0B45622B3591}" name="Id unit" dataDxfId="557"/>
    <tableColumn id="7" xr3:uid="{DC83ACD8-BD6F-4ED2-B2A9-C0F6CE6A201A}" name="JAM KELUAR" dataDxfId="556"/>
    <tableColumn id="6" xr3:uid="{01444619-3B90-4723-B73F-FB8CC77A8A04}" name="JAM MASUK" dataDxfId="555"/>
    <tableColumn id="5" xr3:uid="{80F70B61-6BA3-4EDC-924F-A68F0B849C3E}" name="TOTAL JAM KERJA" dataDxfId="554">
      <calculatedColumnFormula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calculatedColumnFormula>
    </tableColumn>
    <tableColumn id="3" xr3:uid="{D59C9165-2FBB-4676-8199-7C55C46C984F}" name="Retase" dataDxfId="553"/>
    <tableColumn id="4" xr3:uid="{E72B94C5-4104-4AFB-98DD-713EE76772C3}" name="Keterangan" dataDxfId="55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7" Type="http://schemas.openxmlformats.org/officeDocument/2006/relationships/table" Target="../tables/table55.xml"/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54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7" Type="http://schemas.openxmlformats.org/officeDocument/2006/relationships/table" Target="../tables/table61.xml"/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60.xml"/><Relationship Id="rId5" Type="http://schemas.openxmlformats.org/officeDocument/2006/relationships/table" Target="../tables/table59.xml"/><Relationship Id="rId4" Type="http://schemas.openxmlformats.org/officeDocument/2006/relationships/table" Target="../tables/table5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7" Type="http://schemas.openxmlformats.org/officeDocument/2006/relationships/table" Target="../tables/table67.xml"/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4" Type="http://schemas.openxmlformats.org/officeDocument/2006/relationships/table" Target="../tables/table6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table" Target="../tables/table7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77.xml"/><Relationship Id="rId5" Type="http://schemas.openxmlformats.org/officeDocument/2006/relationships/table" Target="../tables/table76.xml"/><Relationship Id="rId4" Type="http://schemas.openxmlformats.org/officeDocument/2006/relationships/table" Target="../tables/table7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9.xml"/><Relationship Id="rId2" Type="http://schemas.openxmlformats.org/officeDocument/2006/relationships/table" Target="../tables/table78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82.xml"/><Relationship Id="rId5" Type="http://schemas.openxmlformats.org/officeDocument/2006/relationships/table" Target="../tables/table81.xml"/><Relationship Id="rId4" Type="http://schemas.openxmlformats.org/officeDocument/2006/relationships/table" Target="../tables/table8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4.xml"/><Relationship Id="rId2" Type="http://schemas.openxmlformats.org/officeDocument/2006/relationships/table" Target="../tables/table83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87.xml"/><Relationship Id="rId5" Type="http://schemas.openxmlformats.org/officeDocument/2006/relationships/table" Target="../tables/table86.xml"/><Relationship Id="rId4" Type="http://schemas.openxmlformats.org/officeDocument/2006/relationships/table" Target="../tables/table8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9.xml"/><Relationship Id="rId2" Type="http://schemas.openxmlformats.org/officeDocument/2006/relationships/table" Target="../tables/table88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92.xml"/><Relationship Id="rId5" Type="http://schemas.openxmlformats.org/officeDocument/2006/relationships/table" Target="../tables/table91.xml"/><Relationship Id="rId4" Type="http://schemas.openxmlformats.org/officeDocument/2006/relationships/table" Target="../tables/table90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4.xml"/><Relationship Id="rId2" Type="http://schemas.openxmlformats.org/officeDocument/2006/relationships/table" Target="../tables/table93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97.xml"/><Relationship Id="rId5" Type="http://schemas.openxmlformats.org/officeDocument/2006/relationships/table" Target="../tables/table96.xml"/><Relationship Id="rId4" Type="http://schemas.openxmlformats.org/officeDocument/2006/relationships/table" Target="../tables/table9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9.xml"/><Relationship Id="rId2" Type="http://schemas.openxmlformats.org/officeDocument/2006/relationships/table" Target="../tables/table98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102.xml"/><Relationship Id="rId5" Type="http://schemas.openxmlformats.org/officeDocument/2006/relationships/table" Target="../tables/table101.xml"/><Relationship Id="rId4" Type="http://schemas.openxmlformats.org/officeDocument/2006/relationships/table" Target="../tables/table10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107.xml"/><Relationship Id="rId5" Type="http://schemas.openxmlformats.org/officeDocument/2006/relationships/table" Target="../tables/table106.xml"/><Relationship Id="rId4" Type="http://schemas.openxmlformats.org/officeDocument/2006/relationships/table" Target="../tables/table10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9.xml"/><Relationship Id="rId2" Type="http://schemas.openxmlformats.org/officeDocument/2006/relationships/table" Target="../tables/table108.xml"/><Relationship Id="rId1" Type="http://schemas.openxmlformats.org/officeDocument/2006/relationships/printerSettings" Target="../printerSettings/printerSettings21.bin"/><Relationship Id="rId6" Type="http://schemas.openxmlformats.org/officeDocument/2006/relationships/table" Target="../tables/table112.xml"/><Relationship Id="rId5" Type="http://schemas.openxmlformats.org/officeDocument/2006/relationships/table" Target="../tables/table111.xml"/><Relationship Id="rId4" Type="http://schemas.openxmlformats.org/officeDocument/2006/relationships/table" Target="../tables/table11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printerSettings" Target="../printerSettings/printerSettings22.bin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9.xml"/><Relationship Id="rId2" Type="http://schemas.openxmlformats.org/officeDocument/2006/relationships/table" Target="../tables/table118.xml"/><Relationship Id="rId1" Type="http://schemas.openxmlformats.org/officeDocument/2006/relationships/printerSettings" Target="../printerSettings/printerSettings23.bin"/><Relationship Id="rId6" Type="http://schemas.openxmlformats.org/officeDocument/2006/relationships/table" Target="../tables/table122.xml"/><Relationship Id="rId5" Type="http://schemas.openxmlformats.org/officeDocument/2006/relationships/table" Target="../tables/table121.xml"/><Relationship Id="rId4" Type="http://schemas.openxmlformats.org/officeDocument/2006/relationships/table" Target="../tables/table1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4.xml"/><Relationship Id="rId2" Type="http://schemas.openxmlformats.org/officeDocument/2006/relationships/table" Target="../tables/table123.xml"/><Relationship Id="rId1" Type="http://schemas.openxmlformats.org/officeDocument/2006/relationships/printerSettings" Target="../printerSettings/printerSettings24.bin"/><Relationship Id="rId6" Type="http://schemas.openxmlformats.org/officeDocument/2006/relationships/table" Target="../tables/table127.xml"/><Relationship Id="rId5" Type="http://schemas.openxmlformats.org/officeDocument/2006/relationships/table" Target="../tables/table126.xml"/><Relationship Id="rId4" Type="http://schemas.openxmlformats.org/officeDocument/2006/relationships/table" Target="../tables/table12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9.xml"/><Relationship Id="rId2" Type="http://schemas.openxmlformats.org/officeDocument/2006/relationships/table" Target="../tables/table128.xml"/><Relationship Id="rId1" Type="http://schemas.openxmlformats.org/officeDocument/2006/relationships/printerSettings" Target="../printerSettings/printerSettings25.bin"/><Relationship Id="rId6" Type="http://schemas.openxmlformats.org/officeDocument/2006/relationships/table" Target="../tables/table132.xml"/><Relationship Id="rId5" Type="http://schemas.openxmlformats.org/officeDocument/2006/relationships/table" Target="../tables/table131.xml"/><Relationship Id="rId4" Type="http://schemas.openxmlformats.org/officeDocument/2006/relationships/table" Target="../tables/table13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4.xml"/><Relationship Id="rId2" Type="http://schemas.openxmlformats.org/officeDocument/2006/relationships/table" Target="../tables/table133.xml"/><Relationship Id="rId1" Type="http://schemas.openxmlformats.org/officeDocument/2006/relationships/printerSettings" Target="../printerSettings/printerSettings26.bin"/><Relationship Id="rId6" Type="http://schemas.openxmlformats.org/officeDocument/2006/relationships/table" Target="../tables/table137.xml"/><Relationship Id="rId5" Type="http://schemas.openxmlformats.org/officeDocument/2006/relationships/table" Target="../tables/table136.xml"/><Relationship Id="rId4" Type="http://schemas.openxmlformats.org/officeDocument/2006/relationships/table" Target="../tables/table13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9.xml"/><Relationship Id="rId2" Type="http://schemas.openxmlformats.org/officeDocument/2006/relationships/table" Target="../tables/table138.xml"/><Relationship Id="rId1" Type="http://schemas.openxmlformats.org/officeDocument/2006/relationships/printerSettings" Target="../printerSettings/printerSettings27.bin"/><Relationship Id="rId6" Type="http://schemas.openxmlformats.org/officeDocument/2006/relationships/table" Target="../tables/table142.xml"/><Relationship Id="rId5" Type="http://schemas.openxmlformats.org/officeDocument/2006/relationships/table" Target="../tables/table141.xml"/><Relationship Id="rId4" Type="http://schemas.openxmlformats.org/officeDocument/2006/relationships/table" Target="../tables/table140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4.xml"/><Relationship Id="rId2" Type="http://schemas.openxmlformats.org/officeDocument/2006/relationships/table" Target="../tables/table143.xml"/><Relationship Id="rId1" Type="http://schemas.openxmlformats.org/officeDocument/2006/relationships/printerSettings" Target="../printerSettings/printerSettings28.bin"/><Relationship Id="rId4" Type="http://schemas.openxmlformats.org/officeDocument/2006/relationships/table" Target="../tables/table14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7.xml"/><Relationship Id="rId2" Type="http://schemas.openxmlformats.org/officeDocument/2006/relationships/table" Target="../tables/table146.xml"/><Relationship Id="rId1" Type="http://schemas.openxmlformats.org/officeDocument/2006/relationships/printerSettings" Target="../printerSettings/printerSettings29.bin"/><Relationship Id="rId4" Type="http://schemas.openxmlformats.org/officeDocument/2006/relationships/table" Target="../tables/table14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0.xml"/><Relationship Id="rId2" Type="http://schemas.openxmlformats.org/officeDocument/2006/relationships/table" Target="../tables/table149.xml"/><Relationship Id="rId1" Type="http://schemas.openxmlformats.org/officeDocument/2006/relationships/printerSettings" Target="../printerSettings/printerSettings30.bin"/><Relationship Id="rId4" Type="http://schemas.openxmlformats.org/officeDocument/2006/relationships/table" Target="../tables/table15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3.xml"/><Relationship Id="rId2" Type="http://schemas.openxmlformats.org/officeDocument/2006/relationships/table" Target="../tables/table152.xml"/><Relationship Id="rId1" Type="http://schemas.openxmlformats.org/officeDocument/2006/relationships/printerSettings" Target="../printerSettings/printerSettings31.bin"/><Relationship Id="rId4" Type="http://schemas.openxmlformats.org/officeDocument/2006/relationships/table" Target="../tables/table154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6.xml"/><Relationship Id="rId2" Type="http://schemas.openxmlformats.org/officeDocument/2006/relationships/table" Target="../tables/table155.xml"/><Relationship Id="rId1" Type="http://schemas.openxmlformats.org/officeDocument/2006/relationships/printerSettings" Target="../printerSettings/printerSettings32.bin"/><Relationship Id="rId6" Type="http://schemas.openxmlformats.org/officeDocument/2006/relationships/table" Target="../tables/table159.xml"/><Relationship Id="rId5" Type="http://schemas.openxmlformats.org/officeDocument/2006/relationships/table" Target="../tables/table158.xml"/><Relationship Id="rId4" Type="http://schemas.openxmlformats.org/officeDocument/2006/relationships/table" Target="../tables/table15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1.xml"/><Relationship Id="rId2" Type="http://schemas.openxmlformats.org/officeDocument/2006/relationships/table" Target="../tables/table160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7" Type="http://schemas.openxmlformats.org/officeDocument/2006/relationships/table" Target="../tables/table43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42.xml"/><Relationship Id="rId5" Type="http://schemas.openxmlformats.org/officeDocument/2006/relationships/table" Target="../tables/table41.xml"/><Relationship Id="rId4" Type="http://schemas.openxmlformats.org/officeDocument/2006/relationships/table" Target="../tables/table4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7" Type="http://schemas.openxmlformats.org/officeDocument/2006/relationships/table" Target="../tables/table49.xml"/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F3FC-D301-449F-ADB1-8671B348C230}">
  <sheetPr>
    <tabColor theme="7" tint="0.39997558519241921"/>
  </sheetPr>
  <dimension ref="A1:AJ68"/>
  <sheetViews>
    <sheetView showGridLines="0" topLeftCell="AK1" zoomScale="191" zoomScaleNormal="55" zoomScaleSheetLayoutView="85" workbookViewId="0">
      <selection activeCell="AB6" sqref="AB6:AG18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6.83203125" customWidth="1"/>
    <col min="9" max="9" width="3.1640625" customWidth="1"/>
    <col min="10" max="10" width="30.83203125" bestFit="1" customWidth="1"/>
    <col min="11" max="11" width="18.1640625" customWidth="1"/>
    <col min="12" max="12" width="0.33203125" style="18" hidden="1" customWidth="1"/>
    <col min="13" max="14" width="1.5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81.5" customWidth="1"/>
    <col min="22" max="22" width="1.6640625" customWidth="1"/>
    <col min="23" max="23" width="28.5" customWidth="1"/>
    <col min="24" max="24" width="16.5" customWidth="1"/>
    <col min="25" max="25" width="1.83203125" customWidth="1"/>
    <col min="26" max="26" width="2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0.83203125" bestFit="1" customWidth="1"/>
    <col min="36" max="36" width="10" customWidth="1"/>
    <col min="37" max="37" width="17.83203125" customWidth="1"/>
    <col min="38" max="38" width="15.83203125" customWidth="1"/>
  </cols>
  <sheetData>
    <row r="1" spans="1:36" ht="21" x14ac:dyDescent="0.25">
      <c r="B1" s="104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O1" s="104" t="s">
        <v>53</v>
      </c>
      <c r="P1" s="104"/>
      <c r="Q1" s="104"/>
      <c r="R1" s="104"/>
      <c r="S1" s="104"/>
      <c r="T1" s="104"/>
      <c r="U1" s="104"/>
      <c r="V1" s="104"/>
      <c r="W1" s="104"/>
      <c r="X1" s="104"/>
      <c r="AA1" s="104" t="s">
        <v>54</v>
      </c>
      <c r="AB1" s="104"/>
      <c r="AC1" s="104"/>
      <c r="AD1" s="104"/>
      <c r="AE1" s="104"/>
      <c r="AF1" s="104"/>
      <c r="AG1" s="104"/>
      <c r="AH1" s="104"/>
      <c r="AI1" s="104"/>
      <c r="AJ1" s="104"/>
    </row>
    <row r="3" spans="1:36" ht="19" x14ac:dyDescent="0.25">
      <c r="B3" s="105" t="s">
        <v>22</v>
      </c>
      <c r="C3" s="105"/>
      <c r="D3" s="105"/>
      <c r="E3" s="105"/>
      <c r="F3" s="105"/>
      <c r="G3" s="105"/>
      <c r="H3" s="105"/>
      <c r="J3" s="106" t="s">
        <v>23</v>
      </c>
      <c r="K3" s="106"/>
      <c r="O3" s="108" t="s">
        <v>95</v>
      </c>
      <c r="P3" s="108"/>
      <c r="Q3" s="108"/>
      <c r="R3" s="108"/>
      <c r="S3" s="108"/>
      <c r="T3" s="108"/>
      <c r="U3" s="108"/>
      <c r="W3" s="106" t="s">
        <v>28</v>
      </c>
      <c r="X3" s="106"/>
      <c r="AA3" s="105" t="s">
        <v>43</v>
      </c>
      <c r="AB3" s="105"/>
      <c r="AC3" s="105"/>
      <c r="AD3" s="105"/>
      <c r="AE3" s="105"/>
      <c r="AF3" s="105"/>
      <c r="AG3" s="105"/>
      <c r="AI3" s="106" t="s">
        <v>44</v>
      </c>
      <c r="AJ3" s="106"/>
    </row>
    <row r="4" spans="1:36" x14ac:dyDescent="0.2">
      <c r="B4" s="109">
        <v>45413</v>
      </c>
      <c r="C4" s="109"/>
      <c r="D4" s="109"/>
      <c r="E4" s="109"/>
      <c r="F4" s="109"/>
      <c r="G4" s="109"/>
      <c r="H4" s="109"/>
      <c r="J4" s="107"/>
      <c r="K4" s="107"/>
      <c r="O4" s="109">
        <f>B4</f>
        <v>45413</v>
      </c>
      <c r="P4" s="109"/>
      <c r="Q4" s="109"/>
      <c r="R4" s="109"/>
      <c r="S4" s="109"/>
      <c r="T4" s="109"/>
      <c r="U4" s="109"/>
      <c r="W4" s="107"/>
      <c r="X4" s="107"/>
      <c r="AA4" s="109">
        <f>B4</f>
        <v>45413</v>
      </c>
      <c r="AB4" s="109"/>
      <c r="AC4" s="109"/>
      <c r="AD4" s="109"/>
      <c r="AE4" s="109"/>
      <c r="AF4" s="109"/>
      <c r="AG4" s="109"/>
      <c r="AI4" s="107"/>
      <c r="AJ4" s="107"/>
    </row>
    <row r="5" spans="1:36" s="1" customFormat="1" x14ac:dyDescent="0.2">
      <c r="A5"/>
      <c r="B5" s="2" t="s">
        <v>0</v>
      </c>
      <c r="C5" s="2" t="s">
        <v>1</v>
      </c>
      <c r="D5" s="2" t="s">
        <v>61</v>
      </c>
      <c r="E5" s="26" t="s">
        <v>62</v>
      </c>
      <c r="F5" s="2" t="s">
        <v>63</v>
      </c>
      <c r="G5" s="2" t="s">
        <v>2</v>
      </c>
      <c r="H5" s="2" t="s">
        <v>3</v>
      </c>
      <c r="J5" s="3" t="s">
        <v>21</v>
      </c>
      <c r="K5" s="5">
        <f>SUM(K7:K10)</f>
        <v>23</v>
      </c>
      <c r="L5" s="19"/>
      <c r="O5" s="2" t="s">
        <v>0</v>
      </c>
      <c r="P5" s="2" t="s">
        <v>1</v>
      </c>
      <c r="Q5" s="22" t="s">
        <v>61</v>
      </c>
      <c r="R5" s="22" t="s">
        <v>62</v>
      </c>
      <c r="S5" s="22" t="s">
        <v>63</v>
      </c>
      <c r="T5" s="2" t="s">
        <v>2</v>
      </c>
      <c r="U5" s="2" t="s">
        <v>3</v>
      </c>
      <c r="W5" s="3" t="s">
        <v>29</v>
      </c>
      <c r="X5" s="5">
        <f>SUM(X7:X10)</f>
        <v>19</v>
      </c>
      <c r="AA5" s="2" t="s">
        <v>0</v>
      </c>
      <c r="AB5" s="2" t="s">
        <v>1</v>
      </c>
      <c r="AC5" s="2" t="s">
        <v>61</v>
      </c>
      <c r="AD5" s="2" t="s">
        <v>62</v>
      </c>
      <c r="AE5" s="2" t="s">
        <v>63</v>
      </c>
      <c r="AF5" s="2" t="s">
        <v>2</v>
      </c>
      <c r="AG5" s="2" t="s">
        <v>3</v>
      </c>
      <c r="AI5" s="3" t="s">
        <v>21</v>
      </c>
      <c r="AJ5" s="5">
        <f>SUM(AJ7:AJ10)</f>
        <v>15</v>
      </c>
    </row>
    <row r="6" spans="1:36" s="1" customFormat="1" x14ac:dyDescent="0.2">
      <c r="A6"/>
      <c r="B6" s="15">
        <v>1</v>
      </c>
      <c r="C6" s="20" t="s">
        <v>70</v>
      </c>
      <c r="D6" s="21">
        <v>0.27291666666666664</v>
      </c>
      <c r="E6" s="21">
        <v>0.57638888888888895</v>
      </c>
      <c r="F6" s="38">
        <f>Table132456789101113212529343944495461491419242933364247539197861041101161221271311361413[[#This Row],[JAM MASUK]]-Table132456789101113212529343944495461491419242933364247539197861041101161221271311361413[[#This Row],[JAM KELUAR]]</f>
        <v>0.30347222222222231</v>
      </c>
      <c r="G6" s="20">
        <v>2</v>
      </c>
      <c r="H6" s="24" t="s">
        <v>87</v>
      </c>
      <c r="J6" s="4" t="s">
        <v>10</v>
      </c>
      <c r="K6" s="6">
        <v>23</v>
      </c>
      <c r="L6" s="19"/>
      <c r="O6" s="27">
        <v>1</v>
      </c>
      <c r="P6" s="20" t="s">
        <v>34</v>
      </c>
      <c r="Q6" s="21">
        <v>0.26874999999999999</v>
      </c>
      <c r="R6" s="21">
        <v>0.39027777777777778</v>
      </c>
      <c r="S6" s="37">
        <f t="shared" ref="S6:S19" si="0">R6-Q6</f>
        <v>0.12152777777777779</v>
      </c>
      <c r="T6" s="20">
        <v>1</v>
      </c>
      <c r="U6" s="24" t="s">
        <v>99</v>
      </c>
      <c r="W6" s="4" t="s">
        <v>10</v>
      </c>
      <c r="X6" s="6">
        <v>18</v>
      </c>
      <c r="AA6" s="15">
        <v>1</v>
      </c>
      <c r="AB6" s="20" t="s">
        <v>79</v>
      </c>
      <c r="AC6" s="21">
        <v>0.33611111111111108</v>
      </c>
      <c r="AD6" s="21">
        <v>0.56180555555555556</v>
      </c>
      <c r="AE6" s="37">
        <f t="shared" ref="AE6:AE18" si="1">AD6-AC6</f>
        <v>0.22569444444444448</v>
      </c>
      <c r="AF6" s="20">
        <v>2</v>
      </c>
      <c r="AG6" s="15" t="s">
        <v>109</v>
      </c>
      <c r="AI6" s="4" t="s">
        <v>10</v>
      </c>
      <c r="AJ6" s="6">
        <v>15</v>
      </c>
    </row>
    <row r="7" spans="1:36" s="1" customFormat="1" x14ac:dyDescent="0.2">
      <c r="A7"/>
      <c r="B7" s="15">
        <v>2</v>
      </c>
      <c r="C7" s="20" t="s">
        <v>71</v>
      </c>
      <c r="D7" s="21">
        <v>0.23611111111111113</v>
      </c>
      <c r="E7" s="21">
        <v>0.6381944444444444</v>
      </c>
      <c r="F7" s="38">
        <f>Table132456789101113212529343944495461491419242933364247539197861041101161221271311361413[[#This Row],[JAM MASUK]]-Table132456789101113212529343944495461491419242933364247539197861041101161221271311361413[[#This Row],[JAM KELUAR]]</f>
        <v>0.40208333333333324</v>
      </c>
      <c r="G7" s="20">
        <v>3</v>
      </c>
      <c r="H7" s="16" t="s">
        <v>96</v>
      </c>
      <c r="J7" s="4" t="s">
        <v>9</v>
      </c>
      <c r="K7" s="7">
        <v>21</v>
      </c>
      <c r="L7" s="19"/>
      <c r="O7" s="15">
        <v>2</v>
      </c>
      <c r="P7" s="33" t="s">
        <v>57</v>
      </c>
      <c r="Q7" s="44">
        <v>0.32222222222222224</v>
      </c>
      <c r="R7" s="40">
        <v>0.58472222222222225</v>
      </c>
      <c r="S7" s="37">
        <f t="shared" si="0"/>
        <v>0.26250000000000001</v>
      </c>
      <c r="T7" s="23">
        <v>3</v>
      </c>
      <c r="U7" s="24" t="s">
        <v>100</v>
      </c>
      <c r="W7" s="4" t="s">
        <v>9</v>
      </c>
      <c r="X7" s="7">
        <v>14</v>
      </c>
      <c r="AA7" s="15">
        <v>2</v>
      </c>
      <c r="AB7" s="20" t="s">
        <v>45</v>
      </c>
      <c r="AC7" s="21">
        <v>0.26805555555555555</v>
      </c>
      <c r="AD7" s="21">
        <v>0.56111111111111112</v>
      </c>
      <c r="AE7" s="38">
        <f t="shared" si="1"/>
        <v>0.29305555555555557</v>
      </c>
      <c r="AF7" s="20">
        <v>3</v>
      </c>
      <c r="AG7" s="15" t="s">
        <v>110</v>
      </c>
      <c r="AI7" s="4" t="s">
        <v>9</v>
      </c>
      <c r="AJ7" s="6">
        <v>13</v>
      </c>
    </row>
    <row r="8" spans="1:36" s="1" customFormat="1" x14ac:dyDescent="0.2">
      <c r="A8"/>
      <c r="B8" s="15">
        <v>3</v>
      </c>
      <c r="C8" s="20" t="s">
        <v>73</v>
      </c>
      <c r="D8" s="21">
        <v>0.37847222222222227</v>
      </c>
      <c r="E8" s="21">
        <v>0.69513888888888886</v>
      </c>
      <c r="F8" s="38">
        <f>Table132456789101113212529343944495461491419242933364247539197861041101161221271311361413[[#This Row],[JAM MASUK]]-Table132456789101113212529343944495461491419242933364247539197861041101161221271311361413[[#This Row],[JAM KELUAR]]</f>
        <v>0.3166666666666666</v>
      </c>
      <c r="G8" s="20">
        <v>3</v>
      </c>
      <c r="H8" s="24" t="s">
        <v>89</v>
      </c>
      <c r="J8" s="4" t="s">
        <v>4</v>
      </c>
      <c r="K8" s="7">
        <v>0</v>
      </c>
      <c r="L8" s="19"/>
      <c r="O8" s="27">
        <v>3</v>
      </c>
      <c r="P8" s="33" t="s">
        <v>32</v>
      </c>
      <c r="Q8" s="44">
        <v>0.34097222222222223</v>
      </c>
      <c r="R8" s="40">
        <v>0.60486111111111118</v>
      </c>
      <c r="S8" s="37">
        <f t="shared" si="0"/>
        <v>0.26388888888888895</v>
      </c>
      <c r="T8" s="23">
        <v>3</v>
      </c>
      <c r="U8" s="16" t="s">
        <v>101</v>
      </c>
      <c r="W8" s="4" t="s">
        <v>4</v>
      </c>
      <c r="X8" s="7">
        <v>0</v>
      </c>
      <c r="AA8" s="15">
        <v>3</v>
      </c>
      <c r="AB8" s="20" t="s">
        <v>56</v>
      </c>
      <c r="AC8" s="21">
        <v>0.31944444444444448</v>
      </c>
      <c r="AD8" s="21">
        <v>0.59513888888888888</v>
      </c>
      <c r="AE8" s="38">
        <f t="shared" si="1"/>
        <v>0.27569444444444441</v>
      </c>
      <c r="AF8" s="20">
        <v>3</v>
      </c>
      <c r="AG8" s="15" t="s">
        <v>26</v>
      </c>
      <c r="AI8" s="4" t="s">
        <v>4</v>
      </c>
      <c r="AJ8" s="7">
        <v>1</v>
      </c>
    </row>
    <row r="9" spans="1:36" s="1" customFormat="1" x14ac:dyDescent="0.2">
      <c r="A9"/>
      <c r="B9" s="15">
        <v>4</v>
      </c>
      <c r="C9" s="20" t="s">
        <v>75</v>
      </c>
      <c r="D9" s="21">
        <v>0.24027777777777778</v>
      </c>
      <c r="E9" s="43">
        <v>0.5625</v>
      </c>
      <c r="F9" s="38">
        <f>Table132456789101113212529343944495461491419242933364247539197861041101161221271311361413[[#This Row],[JAM MASUK]]-Table132456789101113212529343944495461491419242933364247539197861041101161221271311361413[[#This Row],[JAM KELUAR]]</f>
        <v>0.32222222222222219</v>
      </c>
      <c r="G9" s="20">
        <v>3</v>
      </c>
      <c r="H9" s="16" t="s">
        <v>97</v>
      </c>
      <c r="J9" s="4" t="s">
        <v>5</v>
      </c>
      <c r="K9" s="7">
        <v>2</v>
      </c>
      <c r="L9" s="19"/>
      <c r="O9" s="27">
        <v>4</v>
      </c>
      <c r="P9" s="33" t="s">
        <v>31</v>
      </c>
      <c r="Q9" s="44">
        <v>0.30138888888888887</v>
      </c>
      <c r="R9" s="40">
        <v>0.64444444444444449</v>
      </c>
      <c r="S9" s="37">
        <f t="shared" si="0"/>
        <v>0.34305555555555561</v>
      </c>
      <c r="T9" s="23">
        <v>3</v>
      </c>
      <c r="U9" s="16" t="s">
        <v>26</v>
      </c>
      <c r="W9" s="4" t="s">
        <v>5</v>
      </c>
      <c r="X9" s="7">
        <v>5</v>
      </c>
      <c r="AA9" s="15">
        <v>4</v>
      </c>
      <c r="AB9" s="31" t="s">
        <v>50</v>
      </c>
      <c r="AC9" s="32">
        <v>0.32222222222222224</v>
      </c>
      <c r="AD9" s="21">
        <v>0.6</v>
      </c>
      <c r="AE9" s="38">
        <f t="shared" si="1"/>
        <v>0.27777777777777773</v>
      </c>
      <c r="AF9" s="20">
        <v>3</v>
      </c>
      <c r="AG9" s="15" t="s">
        <v>114</v>
      </c>
      <c r="AI9" s="4" t="s">
        <v>5</v>
      </c>
      <c r="AJ9" s="7">
        <v>1</v>
      </c>
    </row>
    <row r="10" spans="1:36" s="1" customFormat="1" x14ac:dyDescent="0.2">
      <c r="A10"/>
      <c r="B10" s="15">
        <v>5</v>
      </c>
      <c r="C10" s="20" t="s">
        <v>15</v>
      </c>
      <c r="D10" s="21">
        <v>0.26944444444444443</v>
      </c>
      <c r="E10" s="21">
        <v>0.66736111111111107</v>
      </c>
      <c r="F10" s="38">
        <f>Table132456789101113212529343944495461491419242933364247539197861041101161221271311361413[[#This Row],[JAM MASUK]]-Table132456789101113212529343944495461491419242933364247539197861041101161221271311361413[[#This Row],[JAM KELUAR]]</f>
        <v>0.39791666666666664</v>
      </c>
      <c r="G10" s="20">
        <v>3</v>
      </c>
      <c r="H10" s="24" t="s">
        <v>89</v>
      </c>
      <c r="J10" s="4" t="s">
        <v>6</v>
      </c>
      <c r="K10" s="7">
        <v>0</v>
      </c>
      <c r="L10" s="19"/>
      <c r="O10" s="15">
        <v>5</v>
      </c>
      <c r="P10" s="23" t="s">
        <v>60</v>
      </c>
      <c r="Q10" s="40">
        <v>0.27569444444444446</v>
      </c>
      <c r="R10" s="40">
        <v>0.60347222222222219</v>
      </c>
      <c r="S10" s="37">
        <f t="shared" si="0"/>
        <v>0.32777777777777772</v>
      </c>
      <c r="T10" s="23">
        <v>3</v>
      </c>
      <c r="U10" s="16" t="s">
        <v>93</v>
      </c>
      <c r="W10" s="4" t="s">
        <v>33</v>
      </c>
      <c r="X10" s="7">
        <v>0</v>
      </c>
      <c r="AA10" s="15">
        <v>5</v>
      </c>
      <c r="AB10" s="20" t="s">
        <v>51</v>
      </c>
      <c r="AC10" s="21">
        <v>0.28263888888888888</v>
      </c>
      <c r="AD10" s="21">
        <v>0.72361111111111109</v>
      </c>
      <c r="AE10" s="38">
        <f t="shared" si="1"/>
        <v>0.44097222222222221</v>
      </c>
      <c r="AF10" s="20">
        <v>3</v>
      </c>
      <c r="AG10" s="15" t="s">
        <v>111</v>
      </c>
      <c r="AI10" s="4" t="s">
        <v>6</v>
      </c>
      <c r="AJ10" s="7">
        <v>0</v>
      </c>
    </row>
    <row r="11" spans="1:36" s="1" customFormat="1" x14ac:dyDescent="0.2">
      <c r="A11"/>
      <c r="B11" s="15">
        <v>6</v>
      </c>
      <c r="C11" s="31" t="s">
        <v>115</v>
      </c>
      <c r="D11" s="32">
        <v>0.3430555555555555</v>
      </c>
      <c r="E11" s="21">
        <v>0.64027777777777783</v>
      </c>
      <c r="F11" s="38">
        <f>Table132456789101113212529343944495461491419242933364247539197861041101161221271311361413[[#This Row],[JAM MASUK]]-Table132456789101113212529343944495461491419242933364247539197861041101161221271311361413[[#This Row],[JAM KELUAR]]</f>
        <v>0.29722222222222233</v>
      </c>
      <c r="G11" s="20">
        <v>3</v>
      </c>
      <c r="H11" s="16" t="s">
        <v>55</v>
      </c>
      <c r="J11" s="8" t="s">
        <v>8</v>
      </c>
      <c r="K11" s="9">
        <f>SUM(Table132456789101113212529343944495461491419242933364247539197861041101161221271311361413[Retase])</f>
        <v>79</v>
      </c>
      <c r="L11" s="19"/>
      <c r="O11" s="27">
        <v>6</v>
      </c>
      <c r="P11" s="33" t="s">
        <v>103</v>
      </c>
      <c r="Q11" s="44">
        <v>0.33124999999999999</v>
      </c>
      <c r="R11" s="40">
        <v>0.69861111111111107</v>
      </c>
      <c r="S11" s="37">
        <f t="shared" si="0"/>
        <v>0.36736111111111108</v>
      </c>
      <c r="T11" s="23">
        <v>4</v>
      </c>
      <c r="U11" s="16" t="s">
        <v>102</v>
      </c>
      <c r="W11" s="8" t="s">
        <v>8</v>
      </c>
      <c r="X11" s="9">
        <f>SUM(Table134567891011172226303540455055625101520253034384348549298871051111171231281321371424[Retase])</f>
        <v>55</v>
      </c>
      <c r="AA11" s="15">
        <v>6</v>
      </c>
      <c r="AB11" s="20" t="s">
        <v>48</v>
      </c>
      <c r="AC11" s="21">
        <v>0.27152777777777776</v>
      </c>
      <c r="AD11" s="21">
        <v>0.63124999999999998</v>
      </c>
      <c r="AE11" s="38">
        <f t="shared" si="1"/>
        <v>0.35972222222222222</v>
      </c>
      <c r="AF11" s="20">
        <v>4</v>
      </c>
      <c r="AG11" s="15" t="s">
        <v>112</v>
      </c>
      <c r="AI11" s="8" t="s">
        <v>8</v>
      </c>
      <c r="AJ11" s="9">
        <f>SUM(Table1345678910111518192327313742475259271217222732284146529096801031091151211261201351402[Retase])</f>
        <v>52</v>
      </c>
    </row>
    <row r="12" spans="1:36" s="1" customFormat="1" x14ac:dyDescent="0.2">
      <c r="A12"/>
      <c r="B12" s="15">
        <v>7</v>
      </c>
      <c r="C12" s="31" t="s">
        <v>116</v>
      </c>
      <c r="D12" s="32">
        <v>0.35347222222222219</v>
      </c>
      <c r="E12" s="21">
        <v>0.66249999999999998</v>
      </c>
      <c r="F12" s="38">
        <f>Table132456789101113212529343944495461491419242933364247539197861041101161221271311361413[[#This Row],[JAM MASUK]]-Table132456789101113212529343944495461491419242933364247539197861041101161221271311361413[[#This Row],[JAM KELUAR]]</f>
        <v>0.30902777777777779</v>
      </c>
      <c r="G12" s="20">
        <v>3</v>
      </c>
      <c r="H12" s="16" t="s">
        <v>98</v>
      </c>
      <c r="J12" s="10" t="s">
        <v>7</v>
      </c>
      <c r="K12" s="11">
        <f>K11/K7</f>
        <v>3.7619047619047619</v>
      </c>
      <c r="L12" s="19"/>
      <c r="O12" s="27">
        <v>7</v>
      </c>
      <c r="P12" s="23" t="s">
        <v>35</v>
      </c>
      <c r="Q12" s="40">
        <v>0.27361111111111108</v>
      </c>
      <c r="R12" s="40">
        <v>0.66249999999999998</v>
      </c>
      <c r="S12" s="37">
        <f t="shared" si="0"/>
        <v>0.3888888888888889</v>
      </c>
      <c r="T12" s="23">
        <v>4</v>
      </c>
      <c r="U12" s="16" t="s">
        <v>64</v>
      </c>
      <c r="W12" s="10" t="s">
        <v>7</v>
      </c>
      <c r="X12" s="11">
        <f>X11/X7</f>
        <v>3.9285714285714284</v>
      </c>
      <c r="AA12" s="15">
        <v>7</v>
      </c>
      <c r="AB12" s="20" t="s">
        <v>81</v>
      </c>
      <c r="AC12" s="21">
        <v>0.24444444444444446</v>
      </c>
      <c r="AD12" s="21">
        <v>0.63194444444444442</v>
      </c>
      <c r="AE12" s="38">
        <f t="shared" si="1"/>
        <v>0.38749999999999996</v>
      </c>
      <c r="AF12" s="20">
        <v>4</v>
      </c>
      <c r="AG12" s="15" t="s">
        <v>113</v>
      </c>
      <c r="AI12" s="10" t="s">
        <v>7</v>
      </c>
      <c r="AJ12" s="11">
        <f>AJ11/AJ7</f>
        <v>4</v>
      </c>
    </row>
    <row r="13" spans="1:36" s="1" customFormat="1" x14ac:dyDescent="0.2">
      <c r="A13"/>
      <c r="B13" s="1">
        <v>8</v>
      </c>
      <c r="C13" s="2" t="s">
        <v>65</v>
      </c>
      <c r="D13" s="41">
        <v>0.27013888888888887</v>
      </c>
      <c r="E13" s="41">
        <v>0.6777777777777777</v>
      </c>
      <c r="F13" s="26">
        <f>Table132456789101113212529343944495461491419242933364247539197861041101161221271311361413[[#This Row],[JAM MASUK]]-Table132456789101113212529343944495461491419242933364247539197861041101161221271311361413[[#This Row],[JAM KELUAR]]</f>
        <v>0.40763888888888883</v>
      </c>
      <c r="G13" s="2">
        <v>4</v>
      </c>
      <c r="H13" s="45" t="s">
        <v>25</v>
      </c>
      <c r="J13" s="12" t="s">
        <v>11</v>
      </c>
      <c r="K13" s="13">
        <v>4</v>
      </c>
      <c r="L13" s="19"/>
      <c r="O13" s="15">
        <v>8</v>
      </c>
      <c r="P13" s="23" t="s">
        <v>59</v>
      </c>
      <c r="Q13" s="40">
        <v>0.27708333333333335</v>
      </c>
      <c r="R13" s="40">
        <v>0.63888888888888895</v>
      </c>
      <c r="S13" s="37">
        <f t="shared" si="0"/>
        <v>0.3618055555555556</v>
      </c>
      <c r="T13" s="23">
        <v>4</v>
      </c>
      <c r="U13" s="16" t="s">
        <v>94</v>
      </c>
      <c r="W13" s="12" t="s">
        <v>11</v>
      </c>
      <c r="X13" s="13">
        <v>5</v>
      </c>
      <c r="AA13" s="1">
        <v>8</v>
      </c>
      <c r="AB13" s="2" t="s">
        <v>77</v>
      </c>
      <c r="AC13" s="41">
        <v>0.2638888888888889</v>
      </c>
      <c r="AD13" s="41">
        <v>0.75138888888888899</v>
      </c>
      <c r="AE13" s="26">
        <f t="shared" si="1"/>
        <v>0.4875000000000001</v>
      </c>
      <c r="AF13" s="2">
        <v>5</v>
      </c>
      <c r="AG13" s="1" t="s">
        <v>25</v>
      </c>
      <c r="AI13" s="12" t="s">
        <v>11</v>
      </c>
      <c r="AJ13" s="13">
        <v>5</v>
      </c>
    </row>
    <row r="14" spans="1:36" s="1" customFormat="1" x14ac:dyDescent="0.2">
      <c r="A14"/>
      <c r="B14" s="1">
        <v>9</v>
      </c>
      <c r="C14" s="31" t="s">
        <v>12</v>
      </c>
      <c r="D14" s="32">
        <v>0.30694444444444441</v>
      </c>
      <c r="E14" s="41">
        <v>0.70833333333333337</v>
      </c>
      <c r="F14" s="26">
        <f>Table132456789101113212529343944495461491419242933364247539197861041101161221271311361413[[#This Row],[JAM MASUK]]-Table132456789101113212529343944495461491419242933364247539197861041101161221271311361413[[#This Row],[JAM KELUAR]]</f>
        <v>0.40138888888888896</v>
      </c>
      <c r="G14" s="2">
        <v>4</v>
      </c>
      <c r="H14" s="45" t="s">
        <v>25</v>
      </c>
      <c r="J14" s="12" t="s">
        <v>88</v>
      </c>
      <c r="K14" s="14">
        <f>14/21</f>
        <v>0.66666666666666663</v>
      </c>
      <c r="L14" s="19"/>
      <c r="O14" s="28">
        <v>9</v>
      </c>
      <c r="P14" s="33" t="s">
        <v>82</v>
      </c>
      <c r="Q14" s="44">
        <v>0.3</v>
      </c>
      <c r="R14" s="30">
        <v>0.74930555555555556</v>
      </c>
      <c r="S14" s="39">
        <f t="shared" si="0"/>
        <v>0.44930555555555557</v>
      </c>
      <c r="T14" s="29">
        <v>5</v>
      </c>
      <c r="U14" s="45" t="s">
        <v>25</v>
      </c>
      <c r="W14" s="12" t="s">
        <v>88</v>
      </c>
      <c r="X14" s="14">
        <f>6/14</f>
        <v>0.42857142857142855</v>
      </c>
      <c r="AA14" s="1">
        <v>9</v>
      </c>
      <c r="AB14" s="2" t="s">
        <v>78</v>
      </c>
      <c r="AC14" s="41">
        <v>0.26944444444444443</v>
      </c>
      <c r="AD14" s="41">
        <v>0.77083333333333337</v>
      </c>
      <c r="AE14" s="26">
        <f t="shared" si="1"/>
        <v>0.50138888888888888</v>
      </c>
      <c r="AF14" s="2">
        <v>5</v>
      </c>
      <c r="AG14" s="1" t="s">
        <v>25</v>
      </c>
      <c r="AI14" s="12" t="s">
        <v>88</v>
      </c>
      <c r="AJ14" s="14">
        <f>6/13</f>
        <v>0.46153846153846156</v>
      </c>
    </row>
    <row r="15" spans="1:36" x14ac:dyDescent="0.2">
      <c r="B15" s="1">
        <v>10</v>
      </c>
      <c r="C15" s="2" t="s">
        <v>13</v>
      </c>
      <c r="D15" s="41">
        <v>0.24722222222222223</v>
      </c>
      <c r="E15" s="41">
        <v>0.6020833333333333</v>
      </c>
      <c r="F15" s="26">
        <f>Table132456789101113212529343944495461491419242933364247539197861041101161221271311361413[[#This Row],[JAM MASUK]]-Table132456789101113212529343944495461491419242933364247539197861041101161221271311361413[[#This Row],[JAM KELUAR]]</f>
        <v>0.35486111111111107</v>
      </c>
      <c r="G15" s="2">
        <v>4</v>
      </c>
      <c r="H15" s="45" t="s">
        <v>25</v>
      </c>
      <c r="J15" s="12" t="s">
        <v>24</v>
      </c>
      <c r="K15" s="14">
        <f>K7/K6</f>
        <v>0.91304347826086951</v>
      </c>
      <c r="O15" s="28">
        <v>10</v>
      </c>
      <c r="P15" s="33" t="s">
        <v>58</v>
      </c>
      <c r="Q15" s="44">
        <v>0.33680555555555558</v>
      </c>
      <c r="R15" s="30">
        <v>0.77777777777777779</v>
      </c>
      <c r="S15" s="39">
        <f t="shared" si="0"/>
        <v>0.44097222222222221</v>
      </c>
      <c r="T15" s="29">
        <v>5</v>
      </c>
      <c r="U15" s="45" t="s">
        <v>25</v>
      </c>
      <c r="W15" s="12" t="s">
        <v>27</v>
      </c>
      <c r="X15" s="14">
        <f>X7/X6</f>
        <v>0.77777777777777779</v>
      </c>
      <c r="AA15" s="1">
        <v>10</v>
      </c>
      <c r="AB15" s="2" t="s">
        <v>46</v>
      </c>
      <c r="AC15" s="41">
        <v>0.27499999999999997</v>
      </c>
      <c r="AD15" s="41">
        <v>0.75277777777777777</v>
      </c>
      <c r="AE15" s="26">
        <f t="shared" si="1"/>
        <v>0.4777777777777778</v>
      </c>
      <c r="AF15" s="2">
        <v>5</v>
      </c>
      <c r="AG15" s="1" t="s">
        <v>25</v>
      </c>
      <c r="AI15" s="12" t="s">
        <v>27</v>
      </c>
      <c r="AJ15" s="14">
        <f>AJ7/AJ6</f>
        <v>0.8666666666666667</v>
      </c>
    </row>
    <row r="16" spans="1:36" x14ac:dyDescent="0.2">
      <c r="B16" s="1">
        <v>11</v>
      </c>
      <c r="C16" s="2" t="s">
        <v>20</v>
      </c>
      <c r="D16" s="41">
        <v>0.27499999999999997</v>
      </c>
      <c r="E16" s="41">
        <v>0.67013888888888884</v>
      </c>
      <c r="F16" s="26">
        <f>Table132456789101113212529343944495461491419242933364247539197861041101161221271311361413[[#This Row],[JAM MASUK]]-Table132456789101113212529343944495461491419242933364247539197861041101161221271311361413[[#This Row],[JAM KELUAR]]</f>
        <v>0.39513888888888887</v>
      </c>
      <c r="G16" s="2">
        <v>4</v>
      </c>
      <c r="H16" s="45" t="s">
        <v>25</v>
      </c>
      <c r="J16" s="12" t="s">
        <v>117</v>
      </c>
      <c r="K16" s="48">
        <f>AVERAGE(Table132456789101113212529343944495461491419242933364247539197861041101161221271311361413[JAM KELUAR])</f>
        <v>0.27791005291005294</v>
      </c>
      <c r="O16" s="1">
        <v>11</v>
      </c>
      <c r="P16" s="33" t="s">
        <v>40</v>
      </c>
      <c r="Q16" s="44">
        <v>0.29166666666666669</v>
      </c>
      <c r="R16" s="30">
        <v>0.73402777777777783</v>
      </c>
      <c r="S16" s="39">
        <f t="shared" si="0"/>
        <v>0.44236111111111115</v>
      </c>
      <c r="T16" s="29">
        <v>5</v>
      </c>
      <c r="U16" s="45" t="s">
        <v>25</v>
      </c>
      <c r="W16" s="12" t="s">
        <v>117</v>
      </c>
      <c r="X16" s="48">
        <f>AVERAGE(Table134567891011172226303540455055625101520253034384348549298871051111171231281321371424[JAM KELUAR])</f>
        <v>0.29379960317460319</v>
      </c>
      <c r="AA16" s="1">
        <v>11</v>
      </c>
      <c r="AB16" s="2" t="s">
        <v>49</v>
      </c>
      <c r="AC16" s="41">
        <v>0.26250000000000001</v>
      </c>
      <c r="AD16" s="41">
        <v>0.75763888888888886</v>
      </c>
      <c r="AE16" s="26">
        <f t="shared" si="1"/>
        <v>0.49513888888888885</v>
      </c>
      <c r="AF16" s="2">
        <v>5</v>
      </c>
      <c r="AG16" s="1" t="s">
        <v>25</v>
      </c>
      <c r="AI16" s="12" t="s">
        <v>117</v>
      </c>
      <c r="AJ16" s="48">
        <f>AVERAGE(Table1345678910111518192327313742475259271217222732284146529096801031091151211261201351402[JAM KELUAR])</f>
        <v>0.2771367521367521</v>
      </c>
    </row>
    <row r="17" spans="2:35" x14ac:dyDescent="0.2">
      <c r="B17" s="1">
        <v>12</v>
      </c>
      <c r="C17" s="31" t="s">
        <v>14</v>
      </c>
      <c r="D17" s="32">
        <v>0.3034722222222222</v>
      </c>
      <c r="E17" s="41">
        <v>0.70277777777777783</v>
      </c>
      <c r="F17" s="26">
        <f>Table132456789101113212529343944495461491419242933364247539197861041101161221271311361413[[#This Row],[JAM MASUK]]-Table132456789101113212529343944495461491419242933364247539197861041101161221271311361413[[#This Row],[JAM KELUAR]]</f>
        <v>0.39930555555555564</v>
      </c>
      <c r="G17" s="2">
        <v>4</v>
      </c>
      <c r="H17" s="45" t="s">
        <v>25</v>
      </c>
      <c r="O17" s="28">
        <v>12</v>
      </c>
      <c r="P17" s="29" t="s">
        <v>30</v>
      </c>
      <c r="Q17" s="30">
        <v>0.25694444444444448</v>
      </c>
      <c r="R17" s="30">
        <v>0.73958333333333337</v>
      </c>
      <c r="S17" s="39">
        <f t="shared" si="0"/>
        <v>0.4826388888888889</v>
      </c>
      <c r="T17" s="29">
        <v>5</v>
      </c>
      <c r="U17" s="45" t="s">
        <v>25</v>
      </c>
      <c r="AA17" s="1">
        <v>12</v>
      </c>
      <c r="AB17" s="2" t="s">
        <v>80</v>
      </c>
      <c r="AC17" s="41">
        <v>0.22916666666666666</v>
      </c>
      <c r="AD17" s="41">
        <v>0.70694444444444438</v>
      </c>
      <c r="AE17" s="26">
        <f t="shared" si="1"/>
        <v>0.47777777777777775</v>
      </c>
      <c r="AF17" s="2">
        <v>5</v>
      </c>
      <c r="AG17" s="1" t="s">
        <v>25</v>
      </c>
      <c r="AI17" s="17"/>
    </row>
    <row r="18" spans="2:35" ht="15.75" customHeight="1" x14ac:dyDescent="0.2">
      <c r="B18" s="1">
        <v>13</v>
      </c>
      <c r="C18" s="2" t="s">
        <v>69</v>
      </c>
      <c r="D18" s="41">
        <v>0.28680555555555554</v>
      </c>
      <c r="E18" s="41">
        <v>0.68541666666666667</v>
      </c>
      <c r="F18" s="26">
        <f>Table132456789101113212529343944495461491419242933364247539197861041101161221271311361413[[#This Row],[JAM MASUK]]-Table132456789101113212529343944495461491419242933364247539197861041101161221271311361413[[#This Row],[JAM KELUAR]]</f>
        <v>0.39861111111111114</v>
      </c>
      <c r="G18" s="2">
        <v>4</v>
      </c>
      <c r="H18" s="45" t="s">
        <v>25</v>
      </c>
      <c r="O18" s="28">
        <v>13</v>
      </c>
      <c r="P18" s="29" t="s">
        <v>41</v>
      </c>
      <c r="Q18" s="30">
        <v>0.26527777777777778</v>
      </c>
      <c r="R18" s="30">
        <v>0.74652777777777779</v>
      </c>
      <c r="S18" s="39">
        <f t="shared" si="0"/>
        <v>0.48125000000000001</v>
      </c>
      <c r="T18" s="29">
        <v>5</v>
      </c>
      <c r="U18" s="45" t="s">
        <v>25</v>
      </c>
      <c r="AA18" s="1">
        <v>13</v>
      </c>
      <c r="AB18" s="2" t="s">
        <v>47</v>
      </c>
      <c r="AC18" s="41">
        <v>0.25833333333333336</v>
      </c>
      <c r="AD18" s="41">
        <v>0.72499999999999998</v>
      </c>
      <c r="AE18" s="26">
        <f t="shared" si="1"/>
        <v>0.46666666666666662</v>
      </c>
      <c r="AF18" s="2">
        <v>5</v>
      </c>
      <c r="AG18" s="1" t="s">
        <v>25</v>
      </c>
    </row>
    <row r="19" spans="2:35" ht="17.25" customHeight="1" x14ac:dyDescent="0.2">
      <c r="B19" s="1">
        <v>14</v>
      </c>
      <c r="C19" s="2" t="s">
        <v>74</v>
      </c>
      <c r="D19" s="41">
        <v>0.28819444444444448</v>
      </c>
      <c r="E19" s="41">
        <v>0.66041666666666665</v>
      </c>
      <c r="F19" s="26">
        <f>Table132456789101113212529343944495461491419242933364247539197861041101161221271311361413[[#This Row],[JAM MASUK]]-Table132456789101113212529343944495461491419242933364247539197861041101161221271311361413[[#This Row],[JAM KELUAR]]</f>
        <v>0.37222222222222218</v>
      </c>
      <c r="G19" s="2">
        <v>4</v>
      </c>
      <c r="H19" s="45" t="s">
        <v>25</v>
      </c>
      <c r="O19" s="1">
        <v>14</v>
      </c>
      <c r="P19" s="29" t="s">
        <v>67</v>
      </c>
      <c r="Q19" s="30">
        <v>0.27152777777777776</v>
      </c>
      <c r="R19" s="30">
        <v>0.72222222222222221</v>
      </c>
      <c r="S19" s="39">
        <f t="shared" si="0"/>
        <v>0.45069444444444445</v>
      </c>
      <c r="T19" s="29">
        <v>5</v>
      </c>
      <c r="U19" s="45" t="s">
        <v>25</v>
      </c>
    </row>
    <row r="20" spans="2:35" x14ac:dyDescent="0.2">
      <c r="B20" s="1">
        <v>15</v>
      </c>
      <c r="C20" s="2" t="s">
        <v>16</v>
      </c>
      <c r="D20" s="41">
        <v>0.25625000000000003</v>
      </c>
      <c r="E20" s="41">
        <v>0.70763888888888893</v>
      </c>
      <c r="F20" s="26">
        <f>Table132456789101113212529343944495461491419242933364247539197861041101161221271311361413[[#This Row],[JAM MASUK]]-Table132456789101113212529343944495461491419242933364247539197861041101161221271311361413[[#This Row],[JAM KELUAR]]</f>
        <v>0.4513888888888889</v>
      </c>
      <c r="G20" s="2">
        <v>4</v>
      </c>
      <c r="H20" s="45" t="s">
        <v>25</v>
      </c>
    </row>
    <row r="21" spans="2:35" x14ac:dyDescent="0.2">
      <c r="B21" s="1">
        <v>16</v>
      </c>
      <c r="C21" s="2" t="s">
        <v>17</v>
      </c>
      <c r="D21" s="41">
        <v>0.24791666666666667</v>
      </c>
      <c r="E21" s="41">
        <v>0.6645833333333333</v>
      </c>
      <c r="F21" s="26">
        <f>Table132456789101113212529343944495461491419242933364247539197861041101161221271311361413[[#This Row],[JAM MASUK]]-Table132456789101113212529343944495461491419242933364247539197861041101161221271311361413[[#This Row],[JAM KELUAR]]</f>
        <v>0.41666666666666663</v>
      </c>
      <c r="G21" s="2">
        <v>4</v>
      </c>
      <c r="H21" s="45" t="s">
        <v>25</v>
      </c>
      <c r="AF21" s="34"/>
      <c r="AG21" s="35" t="s">
        <v>90</v>
      </c>
    </row>
    <row r="22" spans="2:35" ht="19" x14ac:dyDescent="0.25">
      <c r="B22" s="1">
        <v>17</v>
      </c>
      <c r="C22" s="2" t="s">
        <v>18</v>
      </c>
      <c r="D22" s="41">
        <v>0.26458333333333334</v>
      </c>
      <c r="E22" s="41">
        <v>0.67847222222222225</v>
      </c>
      <c r="F22" s="26">
        <f>Table132456789101113212529343944495461491419242933364247539197861041101161221271311361413[[#This Row],[JAM MASUK]]-Table132456789101113212529343944495461491419242933364247539197861041101161221271311361413[[#This Row],[JAM KELUAR]]</f>
        <v>0.41388888888888892</v>
      </c>
      <c r="G22" s="2">
        <v>4</v>
      </c>
      <c r="H22" s="45" t="s">
        <v>25</v>
      </c>
      <c r="O22" s="108" t="s">
        <v>66</v>
      </c>
      <c r="P22" s="108"/>
      <c r="Q22" s="108"/>
      <c r="R22" s="108"/>
      <c r="S22" s="108"/>
      <c r="T22" s="108"/>
      <c r="U22" s="108"/>
      <c r="AF22" s="1" t="s">
        <v>91</v>
      </c>
      <c r="AG22" s="35" t="s">
        <v>92</v>
      </c>
    </row>
    <row r="23" spans="2:35" ht="15" customHeight="1" x14ac:dyDescent="0.2">
      <c r="B23" s="1">
        <v>18</v>
      </c>
      <c r="C23" s="2" t="s">
        <v>19</v>
      </c>
      <c r="D23" s="41">
        <v>0.26874999999999999</v>
      </c>
      <c r="E23" s="41">
        <v>0.69444444444444453</v>
      </c>
      <c r="F23" s="26">
        <f>Table132456789101113212529343944495461491419242933364247539197861041101161221271311361413[[#This Row],[JAM MASUK]]-Table132456789101113212529343944495461491419242933364247539197861041101161221271311361413[[#This Row],[JAM KELUAR]]</f>
        <v>0.42569444444444454</v>
      </c>
      <c r="G23" s="2">
        <v>4</v>
      </c>
      <c r="H23" s="45" t="s">
        <v>25</v>
      </c>
      <c r="O23" s="109">
        <f>B4</f>
        <v>45413</v>
      </c>
      <c r="P23" s="109"/>
      <c r="Q23" s="109"/>
      <c r="R23" s="109"/>
      <c r="S23" s="109"/>
      <c r="T23" s="109"/>
      <c r="U23" s="109"/>
      <c r="W23" s="106" t="s">
        <v>28</v>
      </c>
      <c r="X23" s="106"/>
    </row>
    <row r="24" spans="2:35" ht="14.5" customHeight="1" x14ac:dyDescent="0.2">
      <c r="B24" s="1">
        <v>19</v>
      </c>
      <c r="C24" s="2" t="s">
        <v>72</v>
      </c>
      <c r="D24" s="41">
        <v>0.23541666666666669</v>
      </c>
      <c r="E24" s="41">
        <v>0.67638888888888893</v>
      </c>
      <c r="F24" s="26">
        <f>Table132456789101113212529343944495461491419242933364247539197861041101161221271311361413[[#This Row],[JAM MASUK]]-Table132456789101113212529343944495461491419242933364247539197861041101161221271311361413[[#This Row],[JAM KELUAR]]</f>
        <v>0.44097222222222221</v>
      </c>
      <c r="G24" s="2">
        <v>5</v>
      </c>
      <c r="H24" s="45" t="s">
        <v>25</v>
      </c>
      <c r="O24" s="2" t="s">
        <v>0</v>
      </c>
      <c r="P24" s="2" t="s">
        <v>1</v>
      </c>
      <c r="Q24" s="22" t="s">
        <v>61</v>
      </c>
      <c r="R24" s="22" t="s">
        <v>62</v>
      </c>
      <c r="S24" s="22" t="s">
        <v>63</v>
      </c>
      <c r="T24" s="2" t="s">
        <v>2</v>
      </c>
      <c r="U24" s="2" t="s">
        <v>3</v>
      </c>
      <c r="W24" s="110"/>
      <c r="X24" s="110"/>
    </row>
    <row r="25" spans="2:35" ht="14.5" customHeight="1" x14ac:dyDescent="0.2">
      <c r="B25" s="1">
        <v>20</v>
      </c>
      <c r="C25" s="2" t="s">
        <v>68</v>
      </c>
      <c r="D25" s="41">
        <v>0.25694444444444448</v>
      </c>
      <c r="E25" s="41">
        <v>0.70694444444444438</v>
      </c>
      <c r="F25" s="26">
        <f>Table132456789101113212529343944495461491419242933364247539197861041101161221271311361413[[#This Row],[JAM MASUK]]-Table132456789101113212529343944495461491419242933364247539197861041101161221271311361413[[#This Row],[JAM KELUAR]]</f>
        <v>0.4499999999999999</v>
      </c>
      <c r="G25" s="2">
        <v>5</v>
      </c>
      <c r="H25" s="45" t="s">
        <v>25</v>
      </c>
      <c r="O25" s="15">
        <v>1</v>
      </c>
      <c r="P25" s="33" t="s">
        <v>83</v>
      </c>
      <c r="Q25" s="44">
        <v>0.32083333333333336</v>
      </c>
      <c r="R25" s="40">
        <v>0.4826388888888889</v>
      </c>
      <c r="S25" s="37">
        <f t="shared" ref="S25:S32" si="2">R25-Q25</f>
        <v>0.16180555555555554</v>
      </c>
      <c r="T25" s="23">
        <v>1</v>
      </c>
      <c r="U25" s="16" t="s">
        <v>104</v>
      </c>
      <c r="W25" s="3" t="s">
        <v>29</v>
      </c>
      <c r="X25" s="5">
        <f>SUM(X27:X30)</f>
        <v>8</v>
      </c>
    </row>
    <row r="26" spans="2:35" ht="14.5" customHeight="1" x14ac:dyDescent="0.2">
      <c r="B26" s="1">
        <v>21</v>
      </c>
      <c r="C26" s="2" t="s">
        <v>76</v>
      </c>
      <c r="D26" s="41">
        <v>0.23472222222222219</v>
      </c>
      <c r="E26" s="41">
        <v>0.70347222222222217</v>
      </c>
      <c r="F26" s="26">
        <f>Table132456789101113212529343944495461491419242933364247539197861041101161221271311361413[[#This Row],[JAM MASUK]]-Table132456789101113212529343944495461491419242933364247539197861041101161221271311361413[[#This Row],[JAM KELUAR]]</f>
        <v>0.46875</v>
      </c>
      <c r="G26" s="2">
        <v>5</v>
      </c>
      <c r="H26" s="45" t="s">
        <v>25</v>
      </c>
      <c r="O26" s="15">
        <v>2</v>
      </c>
      <c r="P26" s="33" t="s">
        <v>36</v>
      </c>
      <c r="Q26" s="44">
        <v>0.30416666666666664</v>
      </c>
      <c r="R26" s="40">
        <v>0.48194444444444445</v>
      </c>
      <c r="S26" s="37">
        <f t="shared" si="2"/>
        <v>0.17777777777777781</v>
      </c>
      <c r="T26" s="23">
        <v>1</v>
      </c>
      <c r="U26" s="47" t="s">
        <v>105</v>
      </c>
      <c r="W26" s="4" t="s">
        <v>10</v>
      </c>
      <c r="X26" s="6">
        <v>8</v>
      </c>
    </row>
    <row r="27" spans="2:35" x14ac:dyDescent="0.2">
      <c r="O27" s="15">
        <v>3</v>
      </c>
      <c r="P27" s="23" t="s">
        <v>85</v>
      </c>
      <c r="Q27" s="40">
        <v>0.29097222222222224</v>
      </c>
      <c r="R27" s="40">
        <v>0.44722222222222219</v>
      </c>
      <c r="S27" s="37">
        <f t="shared" si="2"/>
        <v>0.15624999999999994</v>
      </c>
      <c r="T27" s="23">
        <v>1</v>
      </c>
      <c r="U27" s="24" t="s">
        <v>106</v>
      </c>
      <c r="W27" s="4" t="s">
        <v>9</v>
      </c>
      <c r="X27" s="7">
        <v>8</v>
      </c>
    </row>
    <row r="28" spans="2:35" x14ac:dyDescent="0.2">
      <c r="G28" s="34"/>
      <c r="H28" s="35" t="s">
        <v>90</v>
      </c>
      <c r="O28" s="15">
        <v>4</v>
      </c>
      <c r="P28" s="33" t="s">
        <v>37</v>
      </c>
      <c r="Q28" s="44">
        <v>0.30624999999999997</v>
      </c>
      <c r="R28" s="40">
        <v>0.66388888888888886</v>
      </c>
      <c r="S28" s="37">
        <f t="shared" si="2"/>
        <v>0.3576388888888889</v>
      </c>
      <c r="T28" s="23">
        <v>3</v>
      </c>
      <c r="U28" s="24" t="s">
        <v>86</v>
      </c>
      <c r="W28" s="4" t="s">
        <v>4</v>
      </c>
      <c r="X28" s="7">
        <v>0</v>
      </c>
    </row>
    <row r="29" spans="2:35" x14ac:dyDescent="0.2">
      <c r="G29" s="1" t="s">
        <v>91</v>
      </c>
      <c r="H29" s="35" t="s">
        <v>92</v>
      </c>
      <c r="O29" s="15">
        <v>5</v>
      </c>
      <c r="P29" s="33" t="s">
        <v>38</v>
      </c>
      <c r="Q29" s="44">
        <v>0.3354166666666667</v>
      </c>
      <c r="R29" s="40">
        <v>0.68055555555555547</v>
      </c>
      <c r="S29" s="37">
        <f t="shared" si="2"/>
        <v>0.34513888888888877</v>
      </c>
      <c r="T29" s="23">
        <v>3</v>
      </c>
      <c r="U29" s="24" t="s">
        <v>107</v>
      </c>
      <c r="W29" s="4" t="s">
        <v>5</v>
      </c>
      <c r="X29" s="7">
        <v>0</v>
      </c>
    </row>
    <row r="30" spans="2:35" x14ac:dyDescent="0.2">
      <c r="O30" s="15">
        <v>6</v>
      </c>
      <c r="P30" s="33" t="s">
        <v>39</v>
      </c>
      <c r="Q30" s="44">
        <v>0.3576388888888889</v>
      </c>
      <c r="R30" s="40">
        <v>0.68958333333333333</v>
      </c>
      <c r="S30" s="37">
        <f t="shared" si="2"/>
        <v>0.33194444444444443</v>
      </c>
      <c r="T30" s="23">
        <v>3</v>
      </c>
      <c r="U30" s="24" t="s">
        <v>108</v>
      </c>
      <c r="W30" s="4" t="s">
        <v>33</v>
      </c>
      <c r="X30" s="7">
        <v>0</v>
      </c>
    </row>
    <row r="31" spans="2:35" x14ac:dyDescent="0.2">
      <c r="O31" s="15">
        <v>7</v>
      </c>
      <c r="P31" s="33" t="s">
        <v>42</v>
      </c>
      <c r="Q31" s="44">
        <v>0.29652777777777778</v>
      </c>
      <c r="R31" s="40">
        <v>0.62986111111111109</v>
      </c>
      <c r="S31" s="37">
        <f t="shared" si="2"/>
        <v>0.33333333333333331</v>
      </c>
      <c r="T31" s="23">
        <v>3</v>
      </c>
      <c r="U31" s="24" t="s">
        <v>108</v>
      </c>
      <c r="V31" s="1"/>
      <c r="W31" s="8" t="s">
        <v>8</v>
      </c>
      <c r="X31" s="9">
        <f>SUM(Table13456789101117222630323641465156636111621263135394449559399881061121181241291331381435[Retase])</f>
        <v>19</v>
      </c>
    </row>
    <row r="32" spans="2:35" x14ac:dyDescent="0.2">
      <c r="O32" s="1">
        <v>8</v>
      </c>
      <c r="P32" s="33" t="s">
        <v>84</v>
      </c>
      <c r="Q32" s="44">
        <v>0.2951388888888889</v>
      </c>
      <c r="R32" s="30">
        <v>0.69930555555555562</v>
      </c>
      <c r="S32" s="39">
        <f t="shared" si="2"/>
        <v>0.40416666666666673</v>
      </c>
      <c r="T32" s="29">
        <v>4</v>
      </c>
      <c r="U32" s="45" t="s">
        <v>25</v>
      </c>
      <c r="V32" s="1"/>
      <c r="W32" s="10" t="s">
        <v>7</v>
      </c>
      <c r="X32" s="11">
        <f>X31/X27</f>
        <v>2.375</v>
      </c>
    </row>
    <row r="33" spans="1:24" x14ac:dyDescent="0.2">
      <c r="T33" s="34"/>
      <c r="U33" s="35" t="s">
        <v>90</v>
      </c>
      <c r="V33" s="1"/>
      <c r="W33" s="12" t="s">
        <v>11</v>
      </c>
      <c r="X33" s="13">
        <v>4</v>
      </c>
    </row>
    <row r="34" spans="1:24" x14ac:dyDescent="0.2">
      <c r="T34" s="1" t="s">
        <v>91</v>
      </c>
      <c r="U34" s="35" t="s">
        <v>92</v>
      </c>
      <c r="V34" s="1"/>
      <c r="W34" s="12" t="s">
        <v>88</v>
      </c>
      <c r="X34" s="14">
        <f>1/8</f>
        <v>0.125</v>
      </c>
    </row>
    <row r="35" spans="1:24" x14ac:dyDescent="0.2">
      <c r="V35" s="1"/>
      <c r="W35" s="12" t="s">
        <v>27</v>
      </c>
      <c r="X35" s="14">
        <f>X27/X26</f>
        <v>1</v>
      </c>
    </row>
    <row r="36" spans="1:24" x14ac:dyDescent="0.2">
      <c r="V36" s="1"/>
      <c r="W36" s="12" t="s">
        <v>117</v>
      </c>
      <c r="X36" s="48">
        <f>AVERAGE(Table13456789101117222630323641465156636111621263135394449559399881061121181241291331381435[JAM KELUAR])</f>
        <v>0.31336805555555552</v>
      </c>
    </row>
    <row r="37" spans="1:24" x14ac:dyDescent="0.2">
      <c r="V37" s="1"/>
    </row>
    <row r="38" spans="1:24" x14ac:dyDescent="0.2">
      <c r="V38" s="1"/>
    </row>
    <row r="39" spans="1:24" x14ac:dyDescent="0.2">
      <c r="V39" s="1"/>
    </row>
    <row r="40" spans="1:24" ht="21" x14ac:dyDescent="0.25">
      <c r="A40" s="46"/>
    </row>
    <row r="46" spans="1:24" x14ac:dyDescent="0.2">
      <c r="O46" s="2" t="s">
        <v>0</v>
      </c>
      <c r="P46" s="2" t="s">
        <v>1</v>
      </c>
      <c r="Q46" s="22" t="s">
        <v>61</v>
      </c>
      <c r="R46" s="22" t="s">
        <v>62</v>
      </c>
      <c r="S46" s="22" t="s">
        <v>63</v>
      </c>
      <c r="T46" s="2" t="s">
        <v>2</v>
      </c>
      <c r="U46" s="2" t="s">
        <v>3</v>
      </c>
    </row>
    <row r="47" spans="1:24" x14ac:dyDescent="0.2">
      <c r="O47" s="27">
        <v>1</v>
      </c>
      <c r="P47" s="2"/>
      <c r="Q47" s="41"/>
      <c r="R47" s="42"/>
      <c r="S47" s="26"/>
      <c r="T47" s="2"/>
      <c r="U47" s="24"/>
    </row>
    <row r="48" spans="1:24" x14ac:dyDescent="0.2">
      <c r="O48" s="15">
        <v>2</v>
      </c>
      <c r="P48" s="29"/>
      <c r="Q48" s="30"/>
      <c r="R48" s="36"/>
      <c r="S48" s="26"/>
      <c r="T48" s="29"/>
      <c r="U48" s="24"/>
    </row>
    <row r="49" spans="15:22" x14ac:dyDescent="0.2">
      <c r="O49" s="15">
        <v>3</v>
      </c>
      <c r="P49" s="29"/>
      <c r="Q49" s="30"/>
      <c r="R49" s="36"/>
      <c r="S49" s="39"/>
      <c r="T49" s="29"/>
      <c r="U49" s="16"/>
    </row>
    <row r="50" spans="15:22" x14ac:dyDescent="0.2">
      <c r="O50" s="27">
        <v>4</v>
      </c>
      <c r="P50" s="29"/>
      <c r="Q50" s="30"/>
      <c r="R50" s="36"/>
      <c r="S50" s="39"/>
      <c r="T50" s="29"/>
      <c r="U50" s="24"/>
    </row>
    <row r="51" spans="15:22" x14ac:dyDescent="0.2">
      <c r="O51" s="15">
        <v>5</v>
      </c>
      <c r="P51" s="29"/>
      <c r="Q51" s="30"/>
      <c r="R51" s="36"/>
      <c r="S51" s="26"/>
      <c r="T51" s="29"/>
      <c r="U51" s="24"/>
    </row>
    <row r="52" spans="15:22" x14ac:dyDescent="0.2">
      <c r="O52" s="15">
        <v>6</v>
      </c>
      <c r="P52" s="29"/>
      <c r="Q52" s="30"/>
      <c r="R52" s="36"/>
      <c r="S52" s="26"/>
      <c r="T52" s="29"/>
      <c r="U52" s="24"/>
    </row>
    <row r="53" spans="15:22" x14ac:dyDescent="0.2">
      <c r="O53" s="27">
        <v>7</v>
      </c>
      <c r="P53" s="29"/>
      <c r="Q53" s="30"/>
      <c r="R53" s="36"/>
      <c r="S53" s="39"/>
      <c r="T53" s="29"/>
      <c r="U53" s="24"/>
    </row>
    <row r="54" spans="15:22" x14ac:dyDescent="0.2">
      <c r="O54" s="15">
        <v>8</v>
      </c>
      <c r="P54" s="29"/>
      <c r="Q54" s="30"/>
      <c r="R54" s="36"/>
      <c r="S54" s="26"/>
      <c r="T54" s="29"/>
      <c r="U54" s="24"/>
    </row>
    <row r="55" spans="15:22" x14ac:dyDescent="0.2">
      <c r="O55" s="15">
        <v>9</v>
      </c>
      <c r="P55" s="29"/>
      <c r="Q55" s="30"/>
      <c r="R55" s="36"/>
      <c r="S55" s="26"/>
      <c r="T55" s="29"/>
      <c r="U55" s="24"/>
    </row>
    <row r="56" spans="15:22" x14ac:dyDescent="0.2">
      <c r="O56" s="27">
        <v>10</v>
      </c>
      <c r="P56" s="29"/>
      <c r="Q56" s="30"/>
      <c r="R56" s="36"/>
      <c r="S56" s="26"/>
      <c r="T56" s="29"/>
      <c r="U56" s="24"/>
    </row>
    <row r="57" spans="15:22" x14ac:dyDescent="0.2">
      <c r="O57" s="15">
        <v>11</v>
      </c>
      <c r="P57" s="29"/>
      <c r="Q57" s="30"/>
      <c r="R57" s="36"/>
      <c r="S57" s="26"/>
      <c r="T57" s="29"/>
      <c r="U57" s="24"/>
    </row>
    <row r="58" spans="15:22" x14ac:dyDescent="0.2">
      <c r="O58" s="1">
        <v>12</v>
      </c>
      <c r="P58" s="29"/>
      <c r="Q58" s="30"/>
      <c r="R58" s="36"/>
      <c r="S58" s="39"/>
      <c r="T58" s="29"/>
      <c r="U58" s="25"/>
    </row>
    <row r="59" spans="15:22" x14ac:dyDescent="0.2">
      <c r="O59" s="28">
        <v>13</v>
      </c>
      <c r="P59" s="29"/>
      <c r="Q59" s="30"/>
      <c r="R59" s="36"/>
      <c r="S59" s="26"/>
      <c r="T59" s="29"/>
      <c r="U59" s="25"/>
    </row>
    <row r="60" spans="15:22" x14ac:dyDescent="0.2">
      <c r="O60" s="27">
        <v>14</v>
      </c>
      <c r="P60" s="29"/>
      <c r="Q60" s="30"/>
      <c r="R60" s="36"/>
      <c r="S60" s="26"/>
      <c r="T60" s="29"/>
      <c r="U60" s="24"/>
    </row>
    <row r="61" spans="15:22" x14ac:dyDescent="0.2">
      <c r="O61" s="15">
        <v>15</v>
      </c>
      <c r="P61" s="29"/>
      <c r="Q61" s="30"/>
      <c r="R61" s="36"/>
      <c r="S61" s="26"/>
      <c r="T61" s="29"/>
      <c r="U61" s="24"/>
    </row>
    <row r="62" spans="15:22" x14ac:dyDescent="0.2">
      <c r="O62" s="1">
        <v>16</v>
      </c>
      <c r="P62" s="29"/>
      <c r="Q62" s="30"/>
      <c r="R62" s="36"/>
      <c r="S62" s="26"/>
      <c r="T62" s="29"/>
      <c r="U62" s="25"/>
      <c r="V62" s="1"/>
    </row>
    <row r="63" spans="15:22" x14ac:dyDescent="0.2">
      <c r="O63" s="28">
        <v>17</v>
      </c>
      <c r="P63" s="29"/>
      <c r="Q63" s="30"/>
      <c r="R63" s="36"/>
      <c r="S63" s="26"/>
      <c r="T63" s="29"/>
      <c r="U63" s="25"/>
      <c r="V63" s="1"/>
    </row>
    <row r="64" spans="15:22" x14ac:dyDescent="0.2">
      <c r="O64" s="27">
        <v>18</v>
      </c>
      <c r="P64" s="29"/>
      <c r="Q64" s="30"/>
      <c r="R64" s="36"/>
      <c r="S64" s="26"/>
      <c r="T64" s="29"/>
      <c r="U64" s="24"/>
      <c r="V64" s="1"/>
    </row>
    <row r="65" spans="15:21" x14ac:dyDescent="0.2">
      <c r="O65" s="1">
        <v>19</v>
      </c>
      <c r="P65" s="29"/>
      <c r="Q65" s="30"/>
      <c r="R65" s="36"/>
      <c r="S65" s="39"/>
      <c r="T65" s="29"/>
      <c r="U65" s="25"/>
    </row>
    <row r="66" spans="15:21" x14ac:dyDescent="0.2">
      <c r="O66" s="1">
        <v>20</v>
      </c>
      <c r="P66" s="29"/>
      <c r="Q66" s="30"/>
      <c r="R66" s="36"/>
      <c r="S66" s="39"/>
      <c r="T66" s="29"/>
      <c r="U66" s="25"/>
    </row>
    <row r="67" spans="15:21" x14ac:dyDescent="0.2">
      <c r="O67" s="28">
        <v>21</v>
      </c>
      <c r="P67" s="29"/>
      <c r="Q67" s="30"/>
      <c r="R67" s="36"/>
      <c r="S67" s="26"/>
      <c r="T67" s="29"/>
      <c r="U67" s="25"/>
    </row>
    <row r="68" spans="15:21" x14ac:dyDescent="0.2">
      <c r="O68" s="27">
        <v>22</v>
      </c>
      <c r="P68" s="29"/>
      <c r="Q68" s="30"/>
      <c r="R68" s="36"/>
      <c r="S68" s="26"/>
      <c r="T68" s="29"/>
      <c r="U68" s="25"/>
    </row>
  </sheetData>
  <mergeCells count="15">
    <mergeCell ref="O22:U22"/>
    <mergeCell ref="O23:U23"/>
    <mergeCell ref="W23:X24"/>
    <mergeCell ref="B1:K1"/>
    <mergeCell ref="O1:X1"/>
    <mergeCell ref="AA1:AJ1"/>
    <mergeCell ref="B3:H3"/>
    <mergeCell ref="J3:K4"/>
    <mergeCell ref="O3:U3"/>
    <mergeCell ref="W3:X4"/>
    <mergeCell ref="AA3:AG3"/>
    <mergeCell ref="AI3:AJ4"/>
    <mergeCell ref="B4:H4"/>
    <mergeCell ref="O4:U4"/>
    <mergeCell ref="AA4:AG4"/>
  </mergeCells>
  <pageMargins left="0.12" right="0.12" top="0.75" bottom="0.75" header="0.3" footer="0.3"/>
  <pageSetup paperSize="5" scale="83" fitToWidth="0" orientation="landscape" horizontalDpi="360" verticalDpi="360" r:id="rId1"/>
  <rowBreaks count="1" manualBreakCount="1">
    <brk id="39" max="46" man="1"/>
  </rowBreaks>
  <colBreaks count="2" manualBreakCount="2">
    <brk id="13" max="38" man="1"/>
    <brk id="25" max="38" man="1"/>
  </colBreaks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03E7-303C-47EB-AEAE-3B794B170C05}">
  <sheetPr>
    <tabColor theme="7" tint="0.39997558519241921"/>
  </sheetPr>
  <dimension ref="A1:AV65"/>
  <sheetViews>
    <sheetView showGridLines="0" view="pageBreakPreview" topLeftCell="AU1" zoomScale="55" zoomScaleNormal="55" zoomScaleSheetLayoutView="55" workbookViewId="0">
      <selection activeCell="AN7" sqref="AN7:AS16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1.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COUNTIF(Table13245678910111321252934394449546149141924293336424753919786104110116122127131136141914241930364248[Retase],"&gt;3")</f>
        <v>0</v>
      </c>
      <c r="D3" t="s">
        <v>241</v>
      </c>
      <c r="O3" s="60">
        <f>COUNTIF(Table134567891011172226303540455055625101520253034384348549298871051111171231281321371421015252031374349[Retase],"&gt;4")</f>
        <v>1</v>
      </c>
      <c r="P3" s="60">
        <f>COUNTIF(Table13456789101117222630323641465156636111621263135394449559399881061121181241291331381431116262132384450[Retase],"&gt;3")</f>
        <v>1</v>
      </c>
      <c r="AA3" s="60">
        <f>COUNTIF(Table13456789101115181923273137424752592712172227322841465290968010310911512112612013514081323182834404652[Retase],"&gt;4")</f>
        <v>4</v>
      </c>
      <c r="AM3" s="60">
        <f>COUNTIF(Table134567891011151819232731374247525927121722273228414652909680103109115121126120135140813231829354147[Retase],"&gt;3")</f>
        <v>7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45422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45422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45422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45422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18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15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0" t="s">
        <v>16</v>
      </c>
      <c r="D7" s="21">
        <v>0.25694444444444448</v>
      </c>
      <c r="E7" s="21">
        <v>0.27430555555555552</v>
      </c>
      <c r="F7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1.7361111111111049E-2</v>
      </c>
      <c r="G7" s="20">
        <v>0</v>
      </c>
      <c r="H7" s="24" t="s">
        <v>340</v>
      </c>
      <c r="J7" s="4" t="s">
        <v>10</v>
      </c>
      <c r="K7" s="6">
        <v>23</v>
      </c>
      <c r="L7" s="19"/>
      <c r="N7" s="54"/>
      <c r="O7" s="27">
        <v>1</v>
      </c>
      <c r="P7" s="23" t="s">
        <v>31</v>
      </c>
      <c r="Q7" s="21">
        <v>0.24444444444444446</v>
      </c>
      <c r="R7" s="21">
        <v>0.39513888888888887</v>
      </c>
      <c r="S7" s="37">
        <f t="shared" ref="S7:S18" si="0">R7-Q7</f>
        <v>0.15069444444444441</v>
      </c>
      <c r="T7" s="20">
        <v>1</v>
      </c>
      <c r="U7" s="24" t="s">
        <v>355</v>
      </c>
      <c r="W7" s="4" t="s">
        <v>10</v>
      </c>
      <c r="X7" s="6">
        <v>18</v>
      </c>
      <c r="AA7" s="15">
        <v>1</v>
      </c>
      <c r="AB7" s="20" t="s">
        <v>77</v>
      </c>
      <c r="AC7" s="21">
        <v>0.27013888888888887</v>
      </c>
      <c r="AD7" s="21">
        <v>0.44791666666666669</v>
      </c>
      <c r="AE7" s="37">
        <f t="shared" ref="AE7:AE20" si="1">AD7-AC7</f>
        <v>0.17777777777777781</v>
      </c>
      <c r="AF7" s="20">
        <v>1</v>
      </c>
      <c r="AG7" s="16" t="s">
        <v>355</v>
      </c>
      <c r="AI7" s="4" t="s">
        <v>10</v>
      </c>
      <c r="AJ7" s="6">
        <v>15</v>
      </c>
      <c r="AM7" s="15">
        <v>1</v>
      </c>
      <c r="AN7" s="20" t="s">
        <v>305</v>
      </c>
      <c r="AO7" s="21">
        <v>0.29097222222222224</v>
      </c>
      <c r="AP7" s="21">
        <v>0.6958333333333333</v>
      </c>
      <c r="AQ7" s="37">
        <f t="shared" ref="AQ7:AQ16" si="2">AP7-AO7</f>
        <v>0.40486111111111106</v>
      </c>
      <c r="AR7" s="20">
        <v>2</v>
      </c>
      <c r="AS7" s="16" t="s">
        <v>352</v>
      </c>
      <c r="AU7" s="4" t="s">
        <v>10</v>
      </c>
      <c r="AV7" s="6">
        <v>10</v>
      </c>
    </row>
    <row r="8" spans="1:48" s="1" customFormat="1" x14ac:dyDescent="0.2">
      <c r="A8"/>
      <c r="B8" s="15">
        <v>2</v>
      </c>
      <c r="C8" s="20" t="s">
        <v>70</v>
      </c>
      <c r="D8" s="21">
        <v>0.27847222222222223</v>
      </c>
      <c r="E8" s="21">
        <v>0.44444444444444442</v>
      </c>
      <c r="F8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0.16597222222222219</v>
      </c>
      <c r="G8" s="20">
        <v>1</v>
      </c>
      <c r="H8" s="16" t="s">
        <v>366</v>
      </c>
      <c r="J8" s="4" t="s">
        <v>9</v>
      </c>
      <c r="K8" s="7">
        <v>21</v>
      </c>
      <c r="L8" s="19"/>
      <c r="O8" s="15">
        <v>2</v>
      </c>
      <c r="P8" s="23" t="s">
        <v>40</v>
      </c>
      <c r="Q8" s="40">
        <v>0.21249999999999999</v>
      </c>
      <c r="R8" s="40">
        <v>0.57291666666666663</v>
      </c>
      <c r="S8" s="37">
        <f t="shared" si="0"/>
        <v>0.36041666666666661</v>
      </c>
      <c r="T8" s="23">
        <v>2</v>
      </c>
      <c r="U8" s="24" t="s">
        <v>356</v>
      </c>
      <c r="W8" s="4" t="s">
        <v>9</v>
      </c>
      <c r="X8" s="7">
        <v>12</v>
      </c>
      <c r="Z8" s="56"/>
      <c r="AA8" s="15">
        <v>2</v>
      </c>
      <c r="AB8" s="20" t="s">
        <v>122</v>
      </c>
      <c r="AC8" s="21">
        <v>0.28194444444444444</v>
      </c>
      <c r="AD8" s="21">
        <v>0.45208333333333334</v>
      </c>
      <c r="AE8" s="38">
        <f t="shared" si="1"/>
        <v>0.1701388888888889</v>
      </c>
      <c r="AF8" s="20">
        <v>1</v>
      </c>
      <c r="AG8" s="16" t="s">
        <v>376</v>
      </c>
      <c r="AI8" s="4" t="s">
        <v>9</v>
      </c>
      <c r="AJ8" s="6">
        <v>14</v>
      </c>
      <c r="AM8" s="15">
        <v>2</v>
      </c>
      <c r="AN8" s="20" t="s">
        <v>278</v>
      </c>
      <c r="AO8" s="21">
        <v>0.24930555555555556</v>
      </c>
      <c r="AP8" s="21">
        <v>0.63958333333333328</v>
      </c>
      <c r="AQ8" s="38">
        <f t="shared" si="2"/>
        <v>0.39027777777777772</v>
      </c>
      <c r="AR8" s="20">
        <v>3</v>
      </c>
      <c r="AS8" s="16" t="s">
        <v>354</v>
      </c>
      <c r="AU8" s="4" t="s">
        <v>9</v>
      </c>
      <c r="AV8" s="6">
        <v>10</v>
      </c>
    </row>
    <row r="9" spans="1:48" s="1" customFormat="1" x14ac:dyDescent="0.2">
      <c r="A9" s="56"/>
      <c r="B9" s="15">
        <v>3</v>
      </c>
      <c r="C9" s="20" t="s">
        <v>73</v>
      </c>
      <c r="D9" s="21">
        <v>0.54513888888888895</v>
      </c>
      <c r="E9" s="21">
        <v>0.6430555555555556</v>
      </c>
      <c r="F9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9.7916666666666652E-2</v>
      </c>
      <c r="G9" s="20">
        <v>1</v>
      </c>
      <c r="H9" s="24" t="s">
        <v>367</v>
      </c>
      <c r="J9" s="4" t="s">
        <v>4</v>
      </c>
      <c r="K9" s="7">
        <v>0</v>
      </c>
      <c r="L9" s="19"/>
      <c r="N9" s="54"/>
      <c r="O9" s="15">
        <v>3</v>
      </c>
      <c r="P9" s="23" t="s">
        <v>123</v>
      </c>
      <c r="Q9" s="40">
        <v>0.2986111111111111</v>
      </c>
      <c r="R9" s="40">
        <v>0.68472222222222223</v>
      </c>
      <c r="S9" s="37">
        <f t="shared" si="0"/>
        <v>0.38611111111111113</v>
      </c>
      <c r="T9" s="23">
        <v>3</v>
      </c>
      <c r="U9" s="24" t="s">
        <v>360</v>
      </c>
      <c r="W9" s="4" t="s">
        <v>4</v>
      </c>
      <c r="X9" s="7">
        <v>0</v>
      </c>
      <c r="AA9" s="15">
        <v>3</v>
      </c>
      <c r="AB9" s="20" t="s">
        <v>79</v>
      </c>
      <c r="AC9" s="21">
        <v>0.25763888888888892</v>
      </c>
      <c r="AD9" s="21">
        <v>0.57222222222222219</v>
      </c>
      <c r="AE9" s="38">
        <f t="shared" si="1"/>
        <v>0.31458333333333327</v>
      </c>
      <c r="AF9" s="20">
        <v>1</v>
      </c>
      <c r="AG9" s="16" t="s">
        <v>375</v>
      </c>
      <c r="AI9" s="4" t="s">
        <v>4</v>
      </c>
      <c r="AJ9" s="7">
        <v>1</v>
      </c>
      <c r="AM9" s="15">
        <v>3</v>
      </c>
      <c r="AN9" s="20" t="s">
        <v>280</v>
      </c>
      <c r="AO9" s="21">
        <v>0.24652777777777779</v>
      </c>
      <c r="AP9" s="21">
        <v>0.65972222222222221</v>
      </c>
      <c r="AQ9" s="38">
        <f t="shared" si="2"/>
        <v>0.41319444444444442</v>
      </c>
      <c r="AR9" s="20">
        <v>3</v>
      </c>
      <c r="AS9" s="16" t="s">
        <v>353</v>
      </c>
      <c r="AU9" s="4" t="s">
        <v>4</v>
      </c>
      <c r="AV9" s="7">
        <v>1</v>
      </c>
    </row>
    <row r="10" spans="1:48" s="1" customFormat="1" x14ac:dyDescent="0.2">
      <c r="A10"/>
      <c r="B10" s="15">
        <v>4</v>
      </c>
      <c r="C10" s="20" t="s">
        <v>65</v>
      </c>
      <c r="D10" s="21">
        <v>0.26250000000000001</v>
      </c>
      <c r="E10" s="21">
        <v>0.58333333333333337</v>
      </c>
      <c r="F10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0.32083333333333336</v>
      </c>
      <c r="G10" s="20">
        <v>2</v>
      </c>
      <c r="H10" s="24" t="s">
        <v>368</v>
      </c>
      <c r="J10" s="4" t="s">
        <v>5</v>
      </c>
      <c r="K10" s="7">
        <v>2</v>
      </c>
      <c r="L10" s="19"/>
      <c r="O10" s="27">
        <v>4</v>
      </c>
      <c r="P10" s="23" t="s">
        <v>32</v>
      </c>
      <c r="Q10" s="40">
        <v>0.26180555555555557</v>
      </c>
      <c r="R10" s="40">
        <v>0.65069444444444446</v>
      </c>
      <c r="S10" s="37">
        <f t="shared" si="0"/>
        <v>0.3888888888888889</v>
      </c>
      <c r="T10" s="23">
        <v>3</v>
      </c>
      <c r="U10" s="16" t="s">
        <v>357</v>
      </c>
      <c r="W10" s="4" t="s">
        <v>5</v>
      </c>
      <c r="X10" s="7">
        <v>6</v>
      </c>
      <c r="Z10" s="56"/>
      <c r="AA10" s="15">
        <v>4</v>
      </c>
      <c r="AB10" s="20" t="s">
        <v>56</v>
      </c>
      <c r="AC10" s="21">
        <v>0.29444444444444445</v>
      </c>
      <c r="AD10" s="21">
        <v>0.6645833333333333</v>
      </c>
      <c r="AE10" s="38">
        <f t="shared" si="1"/>
        <v>0.37013888888888885</v>
      </c>
      <c r="AF10" s="20">
        <v>3</v>
      </c>
      <c r="AG10" s="16" t="s">
        <v>378</v>
      </c>
      <c r="AI10" s="4" t="s">
        <v>5</v>
      </c>
      <c r="AJ10" s="7">
        <v>0</v>
      </c>
      <c r="AL10" s="54"/>
      <c r="AM10" s="1">
        <v>4</v>
      </c>
      <c r="AN10" s="2" t="s">
        <v>272</v>
      </c>
      <c r="AO10" s="41">
        <v>0.23194444444444443</v>
      </c>
      <c r="AP10" s="41">
        <v>0.67847222222222225</v>
      </c>
      <c r="AQ10" s="26">
        <f t="shared" si="2"/>
        <v>0.44652777777777786</v>
      </c>
      <c r="AR10" s="2">
        <v>4</v>
      </c>
      <c r="AS10" s="45" t="s">
        <v>25</v>
      </c>
      <c r="AU10" s="4" t="s">
        <v>5</v>
      </c>
      <c r="AV10" s="7">
        <v>1</v>
      </c>
    </row>
    <row r="11" spans="1:48" s="1" customFormat="1" ht="16" x14ac:dyDescent="0.2">
      <c r="A11"/>
      <c r="B11" s="61">
        <v>5</v>
      </c>
      <c r="C11" s="62" t="s">
        <v>118</v>
      </c>
      <c r="D11" s="63">
        <v>0.24374999999999999</v>
      </c>
      <c r="E11" s="63">
        <v>0.58124999999999993</v>
      </c>
      <c r="F11" s="64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0.33749999999999991</v>
      </c>
      <c r="G11" s="62">
        <v>2</v>
      </c>
      <c r="H11" s="66" t="s">
        <v>374</v>
      </c>
      <c r="J11" s="4" t="s">
        <v>6</v>
      </c>
      <c r="K11" s="7">
        <v>0</v>
      </c>
      <c r="O11" s="15">
        <v>5</v>
      </c>
      <c r="P11" s="23" t="s">
        <v>34</v>
      </c>
      <c r="Q11" s="40">
        <v>0.26944444444444443</v>
      </c>
      <c r="R11" s="40">
        <v>0.74652777777777779</v>
      </c>
      <c r="S11" s="37">
        <f t="shared" si="0"/>
        <v>0.47708333333333336</v>
      </c>
      <c r="T11" s="23">
        <v>3</v>
      </c>
      <c r="U11" s="16" t="s">
        <v>358</v>
      </c>
      <c r="W11" s="4" t="s">
        <v>33</v>
      </c>
      <c r="X11" s="7">
        <v>0</v>
      </c>
      <c r="Z11" s="56"/>
      <c r="AA11" s="15">
        <v>5</v>
      </c>
      <c r="AB11" s="20" t="s">
        <v>50</v>
      </c>
      <c r="AC11" s="21">
        <v>0.25277777777777777</v>
      </c>
      <c r="AD11" s="21">
        <v>0.65347222222222223</v>
      </c>
      <c r="AE11" s="38">
        <f t="shared" si="1"/>
        <v>0.40069444444444446</v>
      </c>
      <c r="AF11" s="20">
        <v>3</v>
      </c>
      <c r="AG11" s="16" t="s">
        <v>377</v>
      </c>
      <c r="AI11" s="4" t="s">
        <v>6</v>
      </c>
      <c r="AJ11" s="7">
        <v>0</v>
      </c>
      <c r="AM11" s="1">
        <v>5</v>
      </c>
      <c r="AN11" s="2" t="s">
        <v>273</v>
      </c>
      <c r="AO11" s="41">
        <v>0.25763888888888892</v>
      </c>
      <c r="AP11" s="41">
        <v>0.73611111111111116</v>
      </c>
      <c r="AQ11" s="26">
        <f t="shared" si="2"/>
        <v>0.47847222222222224</v>
      </c>
      <c r="AR11" s="2">
        <v>4</v>
      </c>
      <c r="AS11" s="45" t="s">
        <v>25</v>
      </c>
      <c r="AU11" s="4" t="s">
        <v>6</v>
      </c>
      <c r="AV11" s="7">
        <v>27</v>
      </c>
    </row>
    <row r="12" spans="1:48" s="1" customFormat="1" x14ac:dyDescent="0.2">
      <c r="A12"/>
      <c r="B12" s="15">
        <v>6</v>
      </c>
      <c r="C12" s="20" t="s">
        <v>12</v>
      </c>
      <c r="D12" s="21">
        <v>0.28750000000000003</v>
      </c>
      <c r="E12" s="40">
        <v>0.63958333333333328</v>
      </c>
      <c r="F12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0.35208333333333325</v>
      </c>
      <c r="G12" s="20">
        <v>2</v>
      </c>
      <c r="H12" s="66" t="s">
        <v>374</v>
      </c>
      <c r="J12" s="8" t="s">
        <v>8</v>
      </c>
      <c r="K12" s="9">
        <f>SUM(Table13245678910111321252934394449546149141924293336424753919786104110116122127131136141914241930364248[Retase])</f>
        <v>50</v>
      </c>
      <c r="L12" s="19"/>
      <c r="N12" s="54" t="s">
        <v>209</v>
      </c>
      <c r="O12" s="15">
        <v>6</v>
      </c>
      <c r="P12" s="23" t="s">
        <v>59</v>
      </c>
      <c r="Q12" s="40">
        <v>0.28125</v>
      </c>
      <c r="R12" s="40">
        <v>0.73749999999999993</v>
      </c>
      <c r="S12" s="37">
        <f t="shared" si="0"/>
        <v>0.45624999999999993</v>
      </c>
      <c r="T12" s="23">
        <v>3</v>
      </c>
      <c r="U12" s="16" t="s">
        <v>359</v>
      </c>
      <c r="W12" s="8" t="s">
        <v>8</v>
      </c>
      <c r="X12" s="9">
        <f>SUM(Table134567891011172226303540455055625101520253034384348549298871051111171231281321371421015252031374349[Retase])</f>
        <v>40</v>
      </c>
      <c r="AA12" s="15">
        <v>6</v>
      </c>
      <c r="AB12" s="20" t="s">
        <v>51</v>
      </c>
      <c r="AC12" s="21">
        <v>0.26319444444444445</v>
      </c>
      <c r="AD12" s="21">
        <v>0.69513888888888886</v>
      </c>
      <c r="AE12" s="38">
        <f t="shared" si="1"/>
        <v>0.43194444444444441</v>
      </c>
      <c r="AF12" s="20">
        <v>3</v>
      </c>
      <c r="AG12" s="16" t="s">
        <v>378</v>
      </c>
      <c r="AI12" s="8" t="s">
        <v>8</v>
      </c>
      <c r="AJ12" s="9">
        <f>SUM(Table13456789101115181923273137424752592712172227322841465290968010310911512112612013514081323182834404652[Retase])</f>
        <v>48</v>
      </c>
      <c r="AM12" s="1">
        <v>6</v>
      </c>
      <c r="AN12" s="2" t="s">
        <v>240</v>
      </c>
      <c r="AO12" s="41">
        <v>0.20902777777777778</v>
      </c>
      <c r="AP12" s="41">
        <v>0.70833333333333337</v>
      </c>
      <c r="AQ12" s="26">
        <f t="shared" si="2"/>
        <v>0.49930555555555556</v>
      </c>
      <c r="AR12" s="2">
        <v>4</v>
      </c>
      <c r="AS12" s="45" t="s">
        <v>25</v>
      </c>
      <c r="AU12" s="8" t="s">
        <v>8</v>
      </c>
      <c r="AV12" s="9">
        <f>SUM(Table134567891011151819232731374247525927121722273228414652909680103109115121126120135140813231829354147[Retase])</f>
        <v>36</v>
      </c>
    </row>
    <row r="13" spans="1:48" s="1" customFormat="1" x14ac:dyDescent="0.2">
      <c r="A13"/>
      <c r="B13" s="15">
        <v>7</v>
      </c>
      <c r="C13" s="20" t="s">
        <v>13</v>
      </c>
      <c r="D13" s="21">
        <v>0.25208333333333333</v>
      </c>
      <c r="E13" s="21">
        <v>0.64374999999999993</v>
      </c>
      <c r="F13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0.39166666666666661</v>
      </c>
      <c r="G13" s="20">
        <v>2</v>
      </c>
      <c r="H13" s="66" t="s">
        <v>374</v>
      </c>
      <c r="J13" s="10" t="s">
        <v>7</v>
      </c>
      <c r="K13" s="11">
        <f>K12/K8</f>
        <v>2.3809523809523809</v>
      </c>
      <c r="L13" s="19"/>
      <c r="O13" s="28">
        <v>7</v>
      </c>
      <c r="P13" s="29" t="s">
        <v>30</v>
      </c>
      <c r="Q13" s="30">
        <v>0.24513888888888888</v>
      </c>
      <c r="R13" s="30">
        <v>0.63055555555555554</v>
      </c>
      <c r="S13" s="39">
        <f t="shared" si="0"/>
        <v>0.38541666666666663</v>
      </c>
      <c r="T13" s="29">
        <v>4</v>
      </c>
      <c r="U13" s="45" t="s">
        <v>25</v>
      </c>
      <c r="W13" s="10" t="s">
        <v>7</v>
      </c>
      <c r="X13" s="11">
        <f>X12/X8</f>
        <v>3.3333333333333335</v>
      </c>
      <c r="AA13" s="15">
        <v>7</v>
      </c>
      <c r="AB13" s="20" t="s">
        <v>78</v>
      </c>
      <c r="AC13" s="21">
        <v>0.26041666666666669</v>
      </c>
      <c r="AD13" s="21">
        <v>0.72430555555555554</v>
      </c>
      <c r="AE13" s="38">
        <f t="shared" si="1"/>
        <v>0.46388888888888885</v>
      </c>
      <c r="AF13" s="20">
        <v>4</v>
      </c>
      <c r="AG13" s="16" t="s">
        <v>378</v>
      </c>
      <c r="AI13" s="10" t="s">
        <v>7</v>
      </c>
      <c r="AJ13" s="11">
        <f>AJ12/AJ8</f>
        <v>3.4285714285714284</v>
      </c>
      <c r="AM13" s="1">
        <v>7</v>
      </c>
      <c r="AN13" s="2" t="s">
        <v>274</v>
      </c>
      <c r="AO13" s="41">
        <v>0.21527777777777779</v>
      </c>
      <c r="AP13" s="41">
        <v>0.67291666666666661</v>
      </c>
      <c r="AQ13" s="26">
        <f t="shared" si="2"/>
        <v>0.45763888888888882</v>
      </c>
      <c r="AR13" s="2">
        <v>4</v>
      </c>
      <c r="AS13" s="45" t="s">
        <v>25</v>
      </c>
      <c r="AU13" s="10" t="s">
        <v>7</v>
      </c>
      <c r="AV13" s="11">
        <f>AV12/AV8</f>
        <v>3.6</v>
      </c>
    </row>
    <row r="14" spans="1:48" s="1" customFormat="1" x14ac:dyDescent="0.2">
      <c r="A14"/>
      <c r="B14" s="15">
        <v>8</v>
      </c>
      <c r="C14" s="20" t="s">
        <v>20</v>
      </c>
      <c r="D14" s="21">
        <v>0.26666666666666666</v>
      </c>
      <c r="E14" s="21">
        <v>0.64722222222222225</v>
      </c>
      <c r="F14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0.38055555555555559</v>
      </c>
      <c r="G14" s="20">
        <v>2</v>
      </c>
      <c r="H14" s="66" t="s">
        <v>374</v>
      </c>
      <c r="J14" s="12" t="s">
        <v>11</v>
      </c>
      <c r="K14" s="13">
        <v>4</v>
      </c>
      <c r="L14" s="19"/>
      <c r="O14" s="1">
        <v>8</v>
      </c>
      <c r="P14" s="29" t="s">
        <v>35</v>
      </c>
      <c r="Q14" s="30">
        <v>0.27986111111111112</v>
      </c>
      <c r="R14" s="30">
        <v>0.75694444444444453</v>
      </c>
      <c r="S14" s="39">
        <f t="shared" si="0"/>
        <v>0.47708333333333341</v>
      </c>
      <c r="T14" s="29">
        <v>4</v>
      </c>
      <c r="U14" s="45" t="s">
        <v>25</v>
      </c>
      <c r="W14" s="12" t="s">
        <v>11</v>
      </c>
      <c r="X14" s="13">
        <v>5</v>
      </c>
      <c r="AA14" s="15">
        <v>8</v>
      </c>
      <c r="AB14" s="20" t="s">
        <v>46</v>
      </c>
      <c r="AC14" s="21">
        <v>0.24930555555555556</v>
      </c>
      <c r="AD14" s="21">
        <v>0.72222222222222221</v>
      </c>
      <c r="AE14" s="38">
        <f t="shared" si="1"/>
        <v>0.47291666666666665</v>
      </c>
      <c r="AF14" s="20">
        <v>4</v>
      </c>
      <c r="AG14" s="16" t="s">
        <v>378</v>
      </c>
      <c r="AI14" s="12" t="s">
        <v>11</v>
      </c>
      <c r="AJ14" s="13">
        <v>5</v>
      </c>
      <c r="AM14" s="1">
        <v>8</v>
      </c>
      <c r="AN14" s="2" t="s">
        <v>275</v>
      </c>
      <c r="AO14" s="41">
        <v>0.25</v>
      </c>
      <c r="AP14" s="41">
        <v>0.72152777777777777</v>
      </c>
      <c r="AQ14" s="26">
        <f t="shared" si="2"/>
        <v>0.47152777777777777</v>
      </c>
      <c r="AR14" s="2">
        <v>4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0" t="s">
        <v>120</v>
      </c>
      <c r="D15" s="21">
        <v>0.25138888888888888</v>
      </c>
      <c r="E15" s="21">
        <v>0.69652777777777775</v>
      </c>
      <c r="F15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0.44513888888888886</v>
      </c>
      <c r="G15" s="20">
        <v>2</v>
      </c>
      <c r="H15" s="66" t="s">
        <v>374</v>
      </c>
      <c r="J15" s="12" t="s">
        <v>88</v>
      </c>
      <c r="K15" s="14">
        <f>B3/K8</f>
        <v>0</v>
      </c>
      <c r="L15" s="19"/>
      <c r="O15" s="1">
        <v>9</v>
      </c>
      <c r="P15" s="29" t="s">
        <v>309</v>
      </c>
      <c r="Q15" s="30">
        <v>0.21180555555555555</v>
      </c>
      <c r="R15" s="30">
        <v>0.73541666666666661</v>
      </c>
      <c r="S15" s="39">
        <f t="shared" si="0"/>
        <v>0.52361111111111103</v>
      </c>
      <c r="T15" s="29">
        <v>4</v>
      </c>
      <c r="U15" s="45" t="s">
        <v>25</v>
      </c>
      <c r="W15" s="12" t="s">
        <v>88</v>
      </c>
      <c r="X15" s="14">
        <f>O3/X8</f>
        <v>8.3333333333333329E-2</v>
      </c>
      <c r="AA15" s="15">
        <v>9</v>
      </c>
      <c r="AB15" s="20" t="s">
        <v>49</v>
      </c>
      <c r="AC15" s="21">
        <v>0.26111111111111113</v>
      </c>
      <c r="AD15" s="21">
        <v>0.75555555555555554</v>
      </c>
      <c r="AE15" s="38">
        <f t="shared" si="1"/>
        <v>0.49444444444444441</v>
      </c>
      <c r="AF15" s="20">
        <v>4</v>
      </c>
      <c r="AG15" s="16" t="s">
        <v>378</v>
      </c>
      <c r="AI15" s="12" t="s">
        <v>88</v>
      </c>
      <c r="AJ15" s="14">
        <f>AA3/AJ8</f>
        <v>0.2857142857142857</v>
      </c>
      <c r="AM15" s="1">
        <v>9</v>
      </c>
      <c r="AN15" s="2" t="s">
        <v>276</v>
      </c>
      <c r="AO15" s="41">
        <v>0.23819444444444446</v>
      </c>
      <c r="AP15" s="41">
        <v>0.73263888888888884</v>
      </c>
      <c r="AQ15" s="26">
        <f t="shared" si="2"/>
        <v>0.49444444444444435</v>
      </c>
      <c r="AR15" s="2">
        <v>4</v>
      </c>
      <c r="AS15" s="45" t="s">
        <v>25</v>
      </c>
      <c r="AU15" s="12" t="s">
        <v>88</v>
      </c>
      <c r="AV15" s="14">
        <f>AM3/AV8</f>
        <v>0.7</v>
      </c>
    </row>
    <row r="16" spans="1:48" x14ac:dyDescent="0.2">
      <c r="B16" s="15">
        <v>10</v>
      </c>
      <c r="C16" s="20" t="s">
        <v>119</v>
      </c>
      <c r="D16" s="21">
        <v>0.20972222222222223</v>
      </c>
      <c r="E16" s="21">
        <v>0.67361111111111116</v>
      </c>
      <c r="F16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0.46388888888888891</v>
      </c>
      <c r="G16" s="20">
        <v>3</v>
      </c>
      <c r="H16" s="66" t="s">
        <v>374</v>
      </c>
      <c r="J16" s="12" t="s">
        <v>24</v>
      </c>
      <c r="K16" s="14">
        <f>K8/K7</f>
        <v>0.91304347826086951</v>
      </c>
      <c r="O16" s="28">
        <v>10</v>
      </c>
      <c r="P16" s="29" t="s">
        <v>41</v>
      </c>
      <c r="Q16" s="30">
        <v>0.26458333333333334</v>
      </c>
      <c r="R16" s="30">
        <v>0.76250000000000007</v>
      </c>
      <c r="S16" s="39">
        <f t="shared" si="0"/>
        <v>0.49791666666666673</v>
      </c>
      <c r="T16" s="29">
        <v>4</v>
      </c>
      <c r="U16" s="45" t="s">
        <v>25</v>
      </c>
      <c r="W16" s="12" t="s">
        <v>27</v>
      </c>
      <c r="X16" s="14">
        <f>X8/X7</f>
        <v>0.66666666666666663</v>
      </c>
      <c r="AA16" s="15">
        <v>10</v>
      </c>
      <c r="AB16" s="20" t="s">
        <v>47</v>
      </c>
      <c r="AC16" s="21">
        <v>0.26458333333333334</v>
      </c>
      <c r="AD16" s="21">
        <v>0.70000000000000007</v>
      </c>
      <c r="AE16" s="38">
        <f t="shared" si="1"/>
        <v>0.43541666666666673</v>
      </c>
      <c r="AF16" s="20">
        <v>4</v>
      </c>
      <c r="AG16" s="16" t="s">
        <v>378</v>
      </c>
      <c r="AI16" s="12" t="s">
        <v>27</v>
      </c>
      <c r="AJ16" s="14">
        <f>AJ8/AJ7</f>
        <v>0.93333333333333335</v>
      </c>
      <c r="AM16" s="1">
        <v>10</v>
      </c>
      <c r="AN16" s="2" t="s">
        <v>279</v>
      </c>
      <c r="AO16" s="41">
        <v>0.22916666666666666</v>
      </c>
      <c r="AP16" s="41">
        <v>0.73541666666666661</v>
      </c>
      <c r="AQ16" s="26">
        <f t="shared" si="2"/>
        <v>0.50624999999999998</v>
      </c>
      <c r="AR16" s="2">
        <v>4</v>
      </c>
      <c r="AS16" s="45" t="s">
        <v>25</v>
      </c>
      <c r="AU16" s="12" t="s">
        <v>27</v>
      </c>
      <c r="AV16" s="14">
        <f>AV8/AV7</f>
        <v>1</v>
      </c>
    </row>
    <row r="17" spans="2:48" x14ac:dyDescent="0.2">
      <c r="B17" s="15">
        <v>11</v>
      </c>
      <c r="C17" s="20" t="s">
        <v>14</v>
      </c>
      <c r="D17" s="21">
        <v>0.26250000000000001</v>
      </c>
      <c r="E17" s="21">
        <v>0.66388888888888886</v>
      </c>
      <c r="F17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0.40138888888888885</v>
      </c>
      <c r="G17" s="20">
        <v>3</v>
      </c>
      <c r="H17" s="66" t="s">
        <v>374</v>
      </c>
      <c r="J17" s="12" t="s">
        <v>117</v>
      </c>
      <c r="K17" s="48">
        <f>AVERAGE(Table13245678910111321252934394449546149141924293336424753919786104110116122127131136141914241930364248[JAM KELUAR])</f>
        <v>0.26312830687830685</v>
      </c>
      <c r="O17" s="1">
        <v>11</v>
      </c>
      <c r="P17" s="29" t="s">
        <v>60</v>
      </c>
      <c r="Q17" s="30">
        <v>0.29930555555555555</v>
      </c>
      <c r="R17" s="30">
        <v>0.72986111111111107</v>
      </c>
      <c r="S17" s="39">
        <f t="shared" si="0"/>
        <v>0.43055555555555552</v>
      </c>
      <c r="T17" s="29">
        <v>4</v>
      </c>
      <c r="U17" s="45" t="s">
        <v>25</v>
      </c>
      <c r="W17" s="12" t="s">
        <v>117</v>
      </c>
      <c r="X17" s="48">
        <f>AVERAGE(Table134567891011172226303540455055625101520253034384348549298871051111171231281321371421015252031374349[JAM KELUAR])</f>
        <v>0.2568287037037037</v>
      </c>
      <c r="AA17" s="1">
        <v>11</v>
      </c>
      <c r="AB17" s="2" t="s">
        <v>48</v>
      </c>
      <c r="AC17" s="41">
        <v>0.23611111111111113</v>
      </c>
      <c r="AD17" s="41">
        <v>0.72499999999999998</v>
      </c>
      <c r="AE17" s="26">
        <f t="shared" si="1"/>
        <v>0.48888888888888882</v>
      </c>
      <c r="AF17" s="2">
        <v>5</v>
      </c>
      <c r="AG17" s="45" t="s">
        <v>25</v>
      </c>
      <c r="AI17" s="12" t="s">
        <v>117</v>
      </c>
      <c r="AJ17" s="48">
        <f>AVERAGE(Table13456789101115181923273137424752592712172227322841465290968010310911512112612013514081323182834404652[JAM KELUAR])</f>
        <v>0.25853174603174606</v>
      </c>
      <c r="AU17" s="12" t="s">
        <v>117</v>
      </c>
      <c r="AV17" s="48">
        <f>AVERAGE(Table134567891011151819232731374247525927121722273228414652909680103109115121126120135140813231829354147[JAM KELUAR])</f>
        <v>0.24180555555555555</v>
      </c>
    </row>
    <row r="18" spans="2:48" x14ac:dyDescent="0.2">
      <c r="B18" s="15">
        <v>12</v>
      </c>
      <c r="C18" s="20" t="s">
        <v>71</v>
      </c>
      <c r="D18" s="21">
        <v>0.23472222222222219</v>
      </c>
      <c r="E18" s="21">
        <v>0.67708333333333337</v>
      </c>
      <c r="F18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0.4423611111111112</v>
      </c>
      <c r="G18" s="20">
        <v>3</v>
      </c>
      <c r="H18" s="66" t="s">
        <v>374</v>
      </c>
      <c r="O18" s="1">
        <v>12</v>
      </c>
      <c r="P18" s="29" t="s">
        <v>67</v>
      </c>
      <c r="Q18" s="30">
        <v>0.21319444444444444</v>
      </c>
      <c r="R18" s="30">
        <v>0.76388888888888884</v>
      </c>
      <c r="S18" s="39">
        <f t="shared" si="0"/>
        <v>0.55069444444444438</v>
      </c>
      <c r="T18" s="29">
        <v>5</v>
      </c>
      <c r="U18" s="45" t="s">
        <v>25</v>
      </c>
      <c r="AA18" s="1">
        <v>12</v>
      </c>
      <c r="AB18" s="2" t="s">
        <v>45</v>
      </c>
      <c r="AC18" s="41">
        <v>0.23333333333333331</v>
      </c>
      <c r="AD18" s="41">
        <v>0.74583333333333324</v>
      </c>
      <c r="AE18" s="26">
        <f t="shared" si="1"/>
        <v>0.51249999999999996</v>
      </c>
      <c r="AF18" s="2">
        <v>5</v>
      </c>
      <c r="AG18" s="45" t="s">
        <v>25</v>
      </c>
      <c r="AI18" s="17"/>
      <c r="AR18" s="34"/>
      <c r="AS18" s="35" t="s">
        <v>90</v>
      </c>
      <c r="AU18" s="17"/>
    </row>
    <row r="19" spans="2:48" ht="15.75" customHeight="1" x14ac:dyDescent="0.2">
      <c r="B19" s="15">
        <v>13</v>
      </c>
      <c r="C19" s="20" t="s">
        <v>72</v>
      </c>
      <c r="D19" s="21">
        <v>0.20625000000000002</v>
      </c>
      <c r="E19" s="21">
        <v>0.64861111111111114</v>
      </c>
      <c r="F19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0.44236111111111109</v>
      </c>
      <c r="G19" s="20">
        <v>3</v>
      </c>
      <c r="H19" s="66" t="s">
        <v>374</v>
      </c>
      <c r="AA19" s="1">
        <v>13</v>
      </c>
      <c r="AB19" s="2" t="s">
        <v>80</v>
      </c>
      <c r="AC19" s="41">
        <v>0.28333333333333333</v>
      </c>
      <c r="AD19" s="41">
        <v>0.75208333333333333</v>
      </c>
      <c r="AE19" s="26">
        <f t="shared" si="1"/>
        <v>0.46875</v>
      </c>
      <c r="AF19" s="2">
        <v>5</v>
      </c>
      <c r="AG19" s="45" t="s">
        <v>25</v>
      </c>
      <c r="AR19" s="56" t="s">
        <v>209</v>
      </c>
      <c r="AS19" s="35" t="s">
        <v>92</v>
      </c>
    </row>
    <row r="20" spans="2:48" ht="17.25" customHeight="1" x14ac:dyDescent="0.2">
      <c r="B20" s="15">
        <v>14</v>
      </c>
      <c r="C20" s="20" t="s">
        <v>68</v>
      </c>
      <c r="D20" s="21">
        <v>0.25972222222222224</v>
      </c>
      <c r="E20" s="21">
        <v>0.6777777777777777</v>
      </c>
      <c r="F20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0.41805555555555546</v>
      </c>
      <c r="G20" s="20">
        <v>3</v>
      </c>
      <c r="H20" s="24" t="s">
        <v>144</v>
      </c>
      <c r="AA20" s="1">
        <v>14</v>
      </c>
      <c r="AB20" s="2" t="s">
        <v>81</v>
      </c>
      <c r="AC20" s="41">
        <v>0.21111111111111111</v>
      </c>
      <c r="AD20" s="41">
        <v>0.72291666666666676</v>
      </c>
      <c r="AE20" s="26">
        <f t="shared" si="1"/>
        <v>0.51180555555555562</v>
      </c>
      <c r="AF20" s="2">
        <v>5</v>
      </c>
      <c r="AG20" s="45" t="s">
        <v>25</v>
      </c>
    </row>
    <row r="21" spans="2:48" ht="15.75" customHeight="1" x14ac:dyDescent="0.25">
      <c r="B21" s="15">
        <v>15</v>
      </c>
      <c r="C21" s="20" t="s">
        <v>69</v>
      </c>
      <c r="D21" s="21">
        <v>0.27083333333333331</v>
      </c>
      <c r="E21" s="21">
        <v>0.6743055555555556</v>
      </c>
      <c r="F21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0.40347222222222229</v>
      </c>
      <c r="G21" s="20">
        <v>3</v>
      </c>
      <c r="H21" s="66" t="s">
        <v>374</v>
      </c>
      <c r="O21" s="108" t="s">
        <v>66</v>
      </c>
      <c r="P21" s="108"/>
      <c r="Q21" s="108"/>
      <c r="R21" s="108"/>
      <c r="S21" s="108"/>
      <c r="T21" s="108"/>
      <c r="U21" s="108"/>
      <c r="W21" s="106" t="s">
        <v>28</v>
      </c>
      <c r="X21" s="106"/>
    </row>
    <row r="22" spans="2:48" ht="15" customHeight="1" x14ac:dyDescent="0.2">
      <c r="B22" s="15">
        <v>16</v>
      </c>
      <c r="C22" s="20" t="s">
        <v>74</v>
      </c>
      <c r="D22" s="21">
        <v>0.26319444444444445</v>
      </c>
      <c r="E22" s="21">
        <v>0.66875000000000007</v>
      </c>
      <c r="F22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0.40555555555555561</v>
      </c>
      <c r="G22" s="20">
        <v>3</v>
      </c>
      <c r="H22" s="66" t="s">
        <v>374</v>
      </c>
      <c r="O22" s="109">
        <f>B5</f>
        <v>45422</v>
      </c>
      <c r="P22" s="109"/>
      <c r="Q22" s="109"/>
      <c r="R22" s="109"/>
      <c r="S22" s="109"/>
      <c r="T22" s="109"/>
      <c r="U22" s="109"/>
      <c r="W22" s="110"/>
      <c r="X22" s="110"/>
    </row>
    <row r="23" spans="2:48" ht="15" customHeight="1" x14ac:dyDescent="0.2">
      <c r="B23" s="15">
        <v>17</v>
      </c>
      <c r="C23" s="20" t="s">
        <v>75</v>
      </c>
      <c r="D23" s="21">
        <v>0.23263888888888887</v>
      </c>
      <c r="E23" s="21">
        <v>0.67847222222222225</v>
      </c>
      <c r="F23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0.44583333333333341</v>
      </c>
      <c r="G23" s="20">
        <v>3</v>
      </c>
      <c r="H23" s="66" t="s">
        <v>374</v>
      </c>
      <c r="O23" s="2" t="s">
        <v>0</v>
      </c>
      <c r="P23" s="2" t="s">
        <v>1</v>
      </c>
      <c r="Q23" s="22" t="s">
        <v>61</v>
      </c>
      <c r="R23" s="22" t="s">
        <v>62</v>
      </c>
      <c r="S23" s="22" t="s">
        <v>63</v>
      </c>
      <c r="T23" s="2" t="s">
        <v>2</v>
      </c>
      <c r="U23" s="2" t="s">
        <v>3</v>
      </c>
      <c r="W23" s="3" t="s">
        <v>29</v>
      </c>
      <c r="X23" s="5">
        <f>SUM(X25:X28)</f>
        <v>8</v>
      </c>
    </row>
    <row r="24" spans="2:48" ht="15" customHeight="1" x14ac:dyDescent="0.2">
      <c r="B24" s="15">
        <v>18</v>
      </c>
      <c r="C24" s="20" t="s">
        <v>15</v>
      </c>
      <c r="D24" s="21">
        <v>0.21041666666666667</v>
      </c>
      <c r="E24" s="21">
        <v>0.70277777777777783</v>
      </c>
      <c r="F24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0.49236111111111114</v>
      </c>
      <c r="G24" s="20">
        <v>3</v>
      </c>
      <c r="H24" s="24" t="s">
        <v>369</v>
      </c>
      <c r="O24" s="15">
        <v>1</v>
      </c>
      <c r="P24" s="23" t="s">
        <v>36</v>
      </c>
      <c r="Q24" s="40">
        <v>0.2986111111111111</v>
      </c>
      <c r="R24" s="40">
        <v>0.4368055555555555</v>
      </c>
      <c r="S24" s="37">
        <f t="shared" ref="S24:S30" si="3">R24-Q24</f>
        <v>0.1381944444444444</v>
      </c>
      <c r="T24" s="23">
        <v>1</v>
      </c>
      <c r="U24" s="16" t="s">
        <v>365</v>
      </c>
      <c r="W24" s="4" t="s">
        <v>10</v>
      </c>
      <c r="X24" s="6">
        <v>8</v>
      </c>
      <c r="AF24" s="34"/>
      <c r="AG24" s="35" t="s">
        <v>90</v>
      </c>
    </row>
    <row r="25" spans="2:48" ht="14.5" customHeight="1" x14ac:dyDescent="0.2">
      <c r="B25" s="15">
        <v>19</v>
      </c>
      <c r="C25" s="20" t="s">
        <v>76</v>
      </c>
      <c r="D25" s="21">
        <v>0.19722222222222222</v>
      </c>
      <c r="E25" s="21">
        <v>0.69444444444444453</v>
      </c>
      <c r="F25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0.49722222222222234</v>
      </c>
      <c r="G25" s="20">
        <v>3</v>
      </c>
      <c r="H25" s="24" t="s">
        <v>370</v>
      </c>
      <c r="O25" s="15">
        <v>2</v>
      </c>
      <c r="P25" s="23" t="s">
        <v>84</v>
      </c>
      <c r="Q25" s="40">
        <v>0.28750000000000003</v>
      </c>
      <c r="R25" s="40">
        <v>0.57152777777777775</v>
      </c>
      <c r="S25" s="37">
        <f t="shared" si="3"/>
        <v>0.28402777777777771</v>
      </c>
      <c r="T25" s="23">
        <v>2</v>
      </c>
      <c r="U25" s="47" t="s">
        <v>361</v>
      </c>
      <c r="W25" s="4" t="s">
        <v>9</v>
      </c>
      <c r="X25" s="7">
        <v>7</v>
      </c>
      <c r="AF25" s="56" t="s">
        <v>209</v>
      </c>
      <c r="AG25" s="35" t="s">
        <v>92</v>
      </c>
    </row>
    <row r="26" spans="2:48" ht="14.5" customHeight="1" x14ac:dyDescent="0.2">
      <c r="B26" s="15">
        <v>20</v>
      </c>
      <c r="C26" s="20" t="s">
        <v>18</v>
      </c>
      <c r="D26" s="21">
        <v>0.23541666666666669</v>
      </c>
      <c r="E26" s="21">
        <v>0.66805555555555562</v>
      </c>
      <c r="F26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0.43263888888888891</v>
      </c>
      <c r="G26" s="20">
        <v>3</v>
      </c>
      <c r="H26" s="24" t="s">
        <v>371</v>
      </c>
      <c r="N26" s="54"/>
      <c r="O26" s="15">
        <v>3</v>
      </c>
      <c r="P26" s="23" t="s">
        <v>38</v>
      </c>
      <c r="Q26" s="40">
        <v>0.2673611111111111</v>
      </c>
      <c r="R26" s="40" t="s">
        <v>310</v>
      </c>
      <c r="S26" s="37" t="e">
        <f t="shared" si="3"/>
        <v>#VALUE!</v>
      </c>
      <c r="T26" s="23">
        <v>2</v>
      </c>
      <c r="U26" s="24" t="s">
        <v>362</v>
      </c>
      <c r="W26" s="4" t="s">
        <v>4</v>
      </c>
      <c r="X26" s="7">
        <v>0</v>
      </c>
    </row>
    <row r="27" spans="2:48" ht="14.5" customHeight="1" x14ac:dyDescent="0.2">
      <c r="B27" s="15">
        <v>21</v>
      </c>
      <c r="C27" s="20" t="s">
        <v>19</v>
      </c>
      <c r="D27" s="21">
        <v>0.2986111111111111</v>
      </c>
      <c r="E27" s="21">
        <v>0.7090277777777777</v>
      </c>
      <c r="F27" s="38">
        <f>Table13245678910111321252934394449546149141924293336424753919786104110116122127131136141914241930364248[[#This Row],[JAM MASUK]]-Table13245678910111321252934394449546149141924293336424753919786104110116122127131136141914241930364248[[#This Row],[JAM KELUAR]]</f>
        <v>0.4104166666666666</v>
      </c>
      <c r="G27" s="20">
        <v>3</v>
      </c>
      <c r="H27" s="24" t="s">
        <v>372</v>
      </c>
      <c r="N27" s="54" t="s">
        <v>209</v>
      </c>
      <c r="O27" s="15">
        <v>4</v>
      </c>
      <c r="P27" s="23" t="s">
        <v>39</v>
      </c>
      <c r="Q27" s="40">
        <v>0.28819444444444448</v>
      </c>
      <c r="R27" s="40">
        <v>0.59027777777777779</v>
      </c>
      <c r="S27" s="37">
        <f t="shared" si="3"/>
        <v>0.30208333333333331</v>
      </c>
      <c r="T27" s="23">
        <v>2</v>
      </c>
      <c r="U27" s="16" t="s">
        <v>363</v>
      </c>
      <c r="W27" s="4" t="s">
        <v>5</v>
      </c>
      <c r="X27" s="7">
        <v>1</v>
      </c>
      <c r="AR27" s="49"/>
    </row>
    <row r="28" spans="2:48" x14ac:dyDescent="0.2">
      <c r="N28" s="54"/>
      <c r="O28" s="15">
        <v>5</v>
      </c>
      <c r="P28" s="23" t="s">
        <v>83</v>
      </c>
      <c r="Q28" s="40">
        <v>0.27638888888888885</v>
      </c>
      <c r="R28" s="40">
        <v>0.67291666666666661</v>
      </c>
      <c r="S28" s="37">
        <f t="shared" si="3"/>
        <v>0.39652777777777776</v>
      </c>
      <c r="T28" s="23">
        <v>3</v>
      </c>
      <c r="U28" s="16" t="s">
        <v>373</v>
      </c>
      <c r="W28" s="4" t="s">
        <v>33</v>
      </c>
      <c r="X28" s="7">
        <v>0</v>
      </c>
    </row>
    <row r="29" spans="2:48" x14ac:dyDescent="0.2">
      <c r="N29" s="54"/>
      <c r="O29" s="15">
        <v>6</v>
      </c>
      <c r="P29" s="23" t="s">
        <v>37</v>
      </c>
      <c r="Q29" s="40">
        <v>0.28819444444444448</v>
      </c>
      <c r="R29" s="40">
        <v>0.68402777777777779</v>
      </c>
      <c r="S29" s="37">
        <f t="shared" si="3"/>
        <v>0.39583333333333331</v>
      </c>
      <c r="T29" s="23">
        <v>3</v>
      </c>
      <c r="U29" s="16" t="s">
        <v>364</v>
      </c>
      <c r="W29" s="8" t="s">
        <v>8</v>
      </c>
      <c r="X29" s="9">
        <f>SUM(Table13456789101117222630323641465156636111621263135394449559399881061121181241291331381431116262132384450[Retase])</f>
        <v>17</v>
      </c>
      <c r="AF29" s="49"/>
    </row>
    <row r="30" spans="2:48" x14ac:dyDescent="0.2">
      <c r="O30" s="1">
        <v>7</v>
      </c>
      <c r="P30" s="29" t="s">
        <v>42</v>
      </c>
      <c r="Q30" s="30">
        <v>0.26597222222222222</v>
      </c>
      <c r="R30" s="30">
        <v>0.70833333333333337</v>
      </c>
      <c r="S30" s="39">
        <f t="shared" si="3"/>
        <v>0.44236111111111115</v>
      </c>
      <c r="T30" s="29">
        <v>4</v>
      </c>
      <c r="U30" s="25" t="s">
        <v>25</v>
      </c>
      <c r="W30" s="10" t="s">
        <v>7</v>
      </c>
      <c r="X30" s="11">
        <f>X29/X25</f>
        <v>2.4285714285714284</v>
      </c>
    </row>
    <row r="31" spans="2:48" x14ac:dyDescent="0.2">
      <c r="G31" s="34"/>
      <c r="H31" s="35" t="s">
        <v>90</v>
      </c>
      <c r="W31" s="12" t="s">
        <v>11</v>
      </c>
      <c r="X31" s="13">
        <v>4</v>
      </c>
    </row>
    <row r="32" spans="2:48" x14ac:dyDescent="0.2">
      <c r="G32" s="56" t="s">
        <v>209</v>
      </c>
      <c r="H32" s="35" t="s">
        <v>92</v>
      </c>
      <c r="O32" s="49"/>
      <c r="T32" s="34"/>
      <c r="U32" s="35" t="s">
        <v>90</v>
      </c>
      <c r="V32" s="1"/>
      <c r="W32" s="12" t="s">
        <v>88</v>
      </c>
      <c r="X32" s="14">
        <f>P3/X25</f>
        <v>0.14285714285714285</v>
      </c>
      <c r="AM32" s="49"/>
    </row>
    <row r="33" spans="1:27" x14ac:dyDescent="0.2">
      <c r="T33" s="56" t="s">
        <v>209</v>
      </c>
      <c r="U33" s="35" t="s">
        <v>92</v>
      </c>
      <c r="V33" s="1"/>
      <c r="W33" s="12" t="s">
        <v>27</v>
      </c>
      <c r="X33" s="14">
        <f>X25/X24</f>
        <v>0.875</v>
      </c>
    </row>
    <row r="34" spans="1:27" x14ac:dyDescent="0.2">
      <c r="V34" s="1"/>
      <c r="W34" s="12" t="s">
        <v>117</v>
      </c>
      <c r="X34" s="48">
        <f>AVERAGE(Table13456789101117222630323641465156636111621263135394449559399881061121181241291331381431116262132384450[JAM KELUAR])</f>
        <v>0.28174603174603174</v>
      </c>
      <c r="AA34" s="49"/>
    </row>
    <row r="35" spans="1:27" x14ac:dyDescent="0.2">
      <c r="B35" s="49"/>
      <c r="V35" s="1"/>
    </row>
    <row r="36" spans="1:27" x14ac:dyDescent="0.2">
      <c r="V36" s="1"/>
    </row>
    <row r="37" spans="1:27" x14ac:dyDescent="0.2">
      <c r="V37" s="1"/>
    </row>
    <row r="38" spans="1:27" x14ac:dyDescent="0.2">
      <c r="V38" s="1"/>
    </row>
    <row r="39" spans="1:27" x14ac:dyDescent="0.2">
      <c r="V39" s="1"/>
    </row>
    <row r="40" spans="1:27" x14ac:dyDescent="0.2">
      <c r="V40" s="1"/>
    </row>
    <row r="41" spans="1:27" ht="21" x14ac:dyDescent="0.25">
      <c r="A41" s="46"/>
    </row>
    <row r="43" spans="1:27" x14ac:dyDescent="0.2">
      <c r="O43" s="2" t="s">
        <v>0</v>
      </c>
      <c r="P43" s="2" t="s">
        <v>1</v>
      </c>
      <c r="Q43" s="22" t="s">
        <v>61</v>
      </c>
      <c r="R43" s="22" t="s">
        <v>62</v>
      </c>
      <c r="S43" s="22" t="s">
        <v>63</v>
      </c>
      <c r="T43" s="2" t="s">
        <v>2</v>
      </c>
      <c r="U43" s="2" t="s">
        <v>3</v>
      </c>
    </row>
    <row r="44" spans="1:27" x14ac:dyDescent="0.2">
      <c r="O44" s="27">
        <v>1</v>
      </c>
      <c r="P44" s="2"/>
      <c r="Q44" s="41"/>
      <c r="R44" s="42"/>
      <c r="S44" s="26"/>
      <c r="T44" s="2"/>
      <c r="U44" s="24"/>
    </row>
    <row r="45" spans="1:27" x14ac:dyDescent="0.2">
      <c r="O45" s="15">
        <v>2</v>
      </c>
      <c r="P45" s="29"/>
      <c r="Q45" s="30"/>
      <c r="R45" s="36"/>
      <c r="S45" s="26"/>
      <c r="T45" s="29"/>
      <c r="U45" s="24"/>
    </row>
    <row r="46" spans="1:27" x14ac:dyDescent="0.2">
      <c r="O46" s="15">
        <v>3</v>
      </c>
      <c r="P46" s="29"/>
      <c r="Q46" s="30"/>
      <c r="R46" s="36"/>
      <c r="S46" s="39"/>
      <c r="T46" s="29"/>
      <c r="U46" s="16"/>
    </row>
    <row r="47" spans="1:27" x14ac:dyDescent="0.2">
      <c r="O47" s="27">
        <v>4</v>
      </c>
      <c r="P47" s="29"/>
      <c r="Q47" s="30"/>
      <c r="R47" s="36"/>
      <c r="S47" s="39"/>
      <c r="T47" s="29"/>
      <c r="U47" s="24"/>
    </row>
    <row r="48" spans="1:27" x14ac:dyDescent="0.2">
      <c r="O48" s="15">
        <v>5</v>
      </c>
      <c r="P48" s="29"/>
      <c r="Q48" s="30"/>
      <c r="R48" s="36"/>
      <c r="S48" s="26"/>
      <c r="T48" s="29"/>
      <c r="U48" s="24"/>
    </row>
    <row r="49" spans="15:22" x14ac:dyDescent="0.2">
      <c r="O49" s="15">
        <v>6</v>
      </c>
      <c r="P49" s="29"/>
      <c r="Q49" s="30"/>
      <c r="R49" s="36"/>
      <c r="S49" s="26"/>
      <c r="T49" s="29"/>
      <c r="U49" s="24"/>
    </row>
    <row r="50" spans="15:22" x14ac:dyDescent="0.2">
      <c r="O50" s="27">
        <v>7</v>
      </c>
      <c r="P50" s="29"/>
      <c r="Q50" s="30"/>
      <c r="R50" s="36"/>
      <c r="S50" s="39"/>
      <c r="T50" s="29"/>
      <c r="U50" s="24"/>
    </row>
    <row r="51" spans="15:22" x14ac:dyDescent="0.2">
      <c r="O51" s="15">
        <v>8</v>
      </c>
      <c r="P51" s="29"/>
      <c r="Q51" s="30"/>
      <c r="R51" s="36"/>
      <c r="S51" s="26"/>
      <c r="T51" s="29"/>
      <c r="U51" s="24"/>
    </row>
    <row r="52" spans="15:22" x14ac:dyDescent="0.2">
      <c r="O52" s="15">
        <v>9</v>
      </c>
      <c r="P52" s="29"/>
      <c r="Q52" s="30"/>
      <c r="R52" s="36"/>
      <c r="S52" s="26"/>
      <c r="T52" s="29"/>
      <c r="U52" s="24"/>
    </row>
    <row r="53" spans="15:22" x14ac:dyDescent="0.2">
      <c r="O53" s="27">
        <v>10</v>
      </c>
      <c r="P53" s="29"/>
      <c r="Q53" s="30"/>
      <c r="R53" s="36"/>
      <c r="S53" s="26"/>
      <c r="T53" s="29"/>
      <c r="U53" s="24"/>
    </row>
    <row r="54" spans="15:22" x14ac:dyDescent="0.2">
      <c r="O54" s="15">
        <v>11</v>
      </c>
      <c r="P54" s="29"/>
      <c r="Q54" s="30"/>
      <c r="R54" s="36"/>
      <c r="S54" s="26"/>
      <c r="T54" s="29"/>
      <c r="U54" s="24"/>
    </row>
    <row r="55" spans="15:22" x14ac:dyDescent="0.2">
      <c r="O55" s="1">
        <v>12</v>
      </c>
      <c r="P55" s="29"/>
      <c r="Q55" s="30"/>
      <c r="R55" s="36"/>
      <c r="S55" s="39"/>
      <c r="T55" s="29"/>
      <c r="U55" s="25"/>
    </row>
    <row r="56" spans="15:22" x14ac:dyDescent="0.2">
      <c r="O56" s="28">
        <v>13</v>
      </c>
      <c r="P56" s="29"/>
      <c r="Q56" s="30"/>
      <c r="R56" s="36"/>
      <c r="S56" s="26"/>
      <c r="T56" s="29"/>
      <c r="U56" s="25"/>
    </row>
    <row r="57" spans="15:22" x14ac:dyDescent="0.2">
      <c r="O57" s="27">
        <v>14</v>
      </c>
      <c r="P57" s="29"/>
      <c r="Q57" s="30"/>
      <c r="R57" s="36"/>
      <c r="S57" s="26"/>
      <c r="T57" s="29"/>
      <c r="U57" s="24"/>
    </row>
    <row r="58" spans="15:22" x14ac:dyDescent="0.2">
      <c r="O58" s="15">
        <v>15</v>
      </c>
      <c r="P58" s="29"/>
      <c r="Q58" s="30"/>
      <c r="R58" s="36"/>
      <c r="S58" s="26"/>
      <c r="T58" s="29"/>
      <c r="U58" s="24"/>
    </row>
    <row r="59" spans="15:22" x14ac:dyDescent="0.2">
      <c r="O59" s="1">
        <v>16</v>
      </c>
      <c r="P59" s="29"/>
      <c r="Q59" s="30"/>
      <c r="R59" s="36"/>
      <c r="S59" s="26"/>
      <c r="T59" s="29"/>
      <c r="U59" s="25"/>
    </row>
    <row r="60" spans="15:22" x14ac:dyDescent="0.2">
      <c r="O60" s="28">
        <v>17</v>
      </c>
      <c r="P60" s="29"/>
      <c r="Q60" s="30"/>
      <c r="R60" s="36"/>
      <c r="S60" s="26"/>
      <c r="T60" s="29"/>
      <c r="U60" s="25"/>
    </row>
    <row r="61" spans="15:22" x14ac:dyDescent="0.2">
      <c r="O61" s="27">
        <v>18</v>
      </c>
      <c r="P61" s="29"/>
      <c r="Q61" s="30"/>
      <c r="R61" s="36"/>
      <c r="S61" s="26"/>
      <c r="T61" s="29"/>
      <c r="U61" s="24"/>
    </row>
    <row r="62" spans="15:22" x14ac:dyDescent="0.2">
      <c r="O62" s="1">
        <v>19</v>
      </c>
      <c r="P62" s="29"/>
      <c r="Q62" s="30"/>
      <c r="R62" s="36"/>
      <c r="S62" s="39"/>
      <c r="T62" s="29"/>
      <c r="U62" s="25"/>
    </row>
    <row r="63" spans="15:22" x14ac:dyDescent="0.2">
      <c r="O63" s="1">
        <v>20</v>
      </c>
      <c r="P63" s="29"/>
      <c r="Q63" s="30"/>
      <c r="R63" s="36"/>
      <c r="S63" s="39"/>
      <c r="T63" s="29"/>
      <c r="U63" s="25"/>
      <c r="V63" s="1"/>
    </row>
    <row r="64" spans="15:22" x14ac:dyDescent="0.2">
      <c r="O64" s="28">
        <v>21</v>
      </c>
      <c r="P64" s="29"/>
      <c r="Q64" s="30"/>
      <c r="R64" s="36"/>
      <c r="S64" s="26"/>
      <c r="T64" s="29"/>
      <c r="U64" s="25"/>
      <c r="V64" s="1"/>
    </row>
    <row r="65" spans="15:22" x14ac:dyDescent="0.2">
      <c r="O65" s="27">
        <v>22</v>
      </c>
      <c r="P65" s="29"/>
      <c r="Q65" s="30"/>
      <c r="R65" s="36"/>
      <c r="S65" s="26"/>
      <c r="T65" s="29"/>
      <c r="U65" s="25"/>
      <c r="V65" s="1"/>
    </row>
  </sheetData>
  <mergeCells count="22">
    <mergeCell ref="O1:X1"/>
    <mergeCell ref="AA1:AJ1"/>
    <mergeCell ref="AM1:AV1"/>
    <mergeCell ref="B2:K2"/>
    <mergeCell ref="O2:X2"/>
    <mergeCell ref="AA2:AJ2"/>
    <mergeCell ref="AM2:AV2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  <mergeCell ref="O21:U21"/>
    <mergeCell ref="O22:U22"/>
    <mergeCell ref="W21:X22"/>
    <mergeCell ref="AM4:AS4"/>
    <mergeCell ref="AU4:AV5"/>
  </mergeCells>
  <pageMargins left="0.12" right="0.12" top="0.75" bottom="0.75" header="0.3" footer="0.3"/>
  <pageSetup paperSize="5" scale="68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5" min="1" max="39" man="1"/>
    <brk id="37" min="1" max="39" man="1"/>
  </colBreaks>
  <tableParts count="6">
    <tablePart r:id="rId2"/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78E-1A0A-478D-A465-A0BE28564B47}">
  <sheetPr>
    <tabColor theme="7" tint="0.39997558519241921"/>
  </sheetPr>
  <dimension ref="A1:AV66"/>
  <sheetViews>
    <sheetView showGridLines="0" view="pageBreakPreview" topLeftCell="AU1" zoomScale="70" zoomScaleNormal="55" zoomScaleSheetLayoutView="70" workbookViewId="0">
      <selection activeCell="AN7" sqref="AN7:AS17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1.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COUNTIF(Table1324567891011132125293439444954614914192429333642475391978610411011612212713113614191424193036424854[Retase],"&gt;3")</f>
        <v>9</v>
      </c>
      <c r="D3" t="s">
        <v>241</v>
      </c>
      <c r="O3" s="60">
        <f>COUNTIF(Table13456789101117222630354045505562510152025303438434854929887105111117123128132137142101525203137434955[Retase],"&gt;4")</f>
        <v>2</v>
      </c>
      <c r="P3" s="60">
        <f>COUNTIF(Table1345678910111722263032364146515663611162126313539444955939988106112118124129133138143111626213238445056[Retase],"&gt;3")</f>
        <v>1</v>
      </c>
      <c r="AA3" s="60">
        <f>COUNTIF(Table1345678910111518192327313742475259271217222732284146529096801031091151211261201351408132318283440465258[Retase],"&gt;4")</f>
        <v>4</v>
      </c>
      <c r="AM3" s="60">
        <f>COUNTIF(Table13456789101115181923273137424752592712172227322841465290968010310911512112612013514081323182935414753[Retase],"&gt;3")</f>
        <v>7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45423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45423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45423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45423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18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15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0" t="s">
        <v>68</v>
      </c>
      <c r="D7" s="21">
        <v>0.25069444444444444</v>
      </c>
      <c r="E7" s="21">
        <v>0.44236111111111115</v>
      </c>
      <c r="F7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0.19166666666666671</v>
      </c>
      <c r="G7" s="20">
        <v>1</v>
      </c>
      <c r="H7" s="65" t="s">
        <v>414</v>
      </c>
      <c r="J7" s="4" t="s">
        <v>10</v>
      </c>
      <c r="K7" s="6">
        <v>23</v>
      </c>
      <c r="L7" s="19"/>
      <c r="N7" s="54"/>
      <c r="O7" s="27">
        <v>1</v>
      </c>
      <c r="P7" s="23" t="s">
        <v>82</v>
      </c>
      <c r="Q7" s="21">
        <v>0.27638888888888885</v>
      </c>
      <c r="R7" s="21">
        <v>0.45208333333333334</v>
      </c>
      <c r="S7" s="37">
        <f t="shared" ref="S7:S20" si="0">R7-Q7</f>
        <v>0.17569444444444449</v>
      </c>
      <c r="T7" s="20">
        <v>1</v>
      </c>
      <c r="U7" s="24" t="s">
        <v>389</v>
      </c>
      <c r="W7" s="4" t="s">
        <v>10</v>
      </c>
      <c r="X7" s="6">
        <v>18</v>
      </c>
      <c r="AA7" s="15">
        <v>1</v>
      </c>
      <c r="AB7" s="20" t="s">
        <v>48</v>
      </c>
      <c r="AC7" s="21">
        <v>0.26458333333333334</v>
      </c>
      <c r="AD7" s="21">
        <v>0.39444444444444443</v>
      </c>
      <c r="AE7" s="37">
        <f t="shared" ref="AE7:AE20" si="1">AD7-AC7</f>
        <v>0.12986111111111109</v>
      </c>
      <c r="AF7" s="20">
        <v>1</v>
      </c>
      <c r="AG7" s="16" t="s">
        <v>403</v>
      </c>
      <c r="AI7" s="4" t="s">
        <v>10</v>
      </c>
      <c r="AJ7" s="6">
        <v>15</v>
      </c>
      <c r="AM7" s="15">
        <v>1</v>
      </c>
      <c r="AN7" s="20" t="s">
        <v>379</v>
      </c>
      <c r="AO7" s="21">
        <v>0.2986111111111111</v>
      </c>
      <c r="AP7" s="21">
        <v>0.45763888888888887</v>
      </c>
      <c r="AQ7" s="37">
        <f t="shared" ref="AQ7:AQ17" si="2">AP7-AO7</f>
        <v>0.15902777777777777</v>
      </c>
      <c r="AR7" s="20">
        <v>1</v>
      </c>
      <c r="AS7" s="16" t="s">
        <v>411</v>
      </c>
      <c r="AU7" s="4" t="s">
        <v>10</v>
      </c>
      <c r="AV7" s="6">
        <v>10</v>
      </c>
    </row>
    <row r="8" spans="1:48" s="1" customFormat="1" x14ac:dyDescent="0.2">
      <c r="A8"/>
      <c r="B8" s="15">
        <v>2</v>
      </c>
      <c r="C8" s="20" t="s">
        <v>118</v>
      </c>
      <c r="D8" s="21">
        <v>0.25486111111111109</v>
      </c>
      <c r="E8" s="21">
        <v>0.63402777777777775</v>
      </c>
      <c r="F8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0.37916666666666665</v>
      </c>
      <c r="G8" s="20">
        <v>2</v>
      </c>
      <c r="H8" s="67" t="s">
        <v>415</v>
      </c>
      <c r="J8" s="4" t="s">
        <v>9</v>
      </c>
      <c r="K8" s="7">
        <v>23</v>
      </c>
      <c r="L8" s="19"/>
      <c r="O8" s="15">
        <v>2</v>
      </c>
      <c r="P8" s="23" t="s">
        <v>59</v>
      </c>
      <c r="Q8" s="40">
        <v>0.28750000000000003</v>
      </c>
      <c r="R8" s="40">
        <v>0.5444444444444444</v>
      </c>
      <c r="S8" s="37">
        <f t="shared" si="0"/>
        <v>0.25694444444444436</v>
      </c>
      <c r="T8" s="23">
        <v>2</v>
      </c>
      <c r="U8" s="24" t="s">
        <v>390</v>
      </c>
      <c r="W8" s="4" t="s">
        <v>9</v>
      </c>
      <c r="X8" s="7">
        <v>14</v>
      </c>
      <c r="Z8" s="56"/>
      <c r="AA8" s="15">
        <v>2</v>
      </c>
      <c r="AB8" s="20" t="s">
        <v>79</v>
      </c>
      <c r="AC8" s="21">
        <v>0.21736111111111112</v>
      </c>
      <c r="AD8" s="21">
        <v>0.46736111111111112</v>
      </c>
      <c r="AE8" s="38">
        <f t="shared" si="1"/>
        <v>0.25</v>
      </c>
      <c r="AF8" s="20">
        <v>2</v>
      </c>
      <c r="AG8" s="16" t="s">
        <v>404</v>
      </c>
      <c r="AI8" s="4" t="s">
        <v>9</v>
      </c>
      <c r="AJ8" s="6">
        <v>14</v>
      </c>
      <c r="AM8" s="50">
        <v>2</v>
      </c>
      <c r="AN8" s="31" t="s">
        <v>383</v>
      </c>
      <c r="AO8" s="32">
        <v>0.44027777777777777</v>
      </c>
      <c r="AP8" s="32">
        <v>0.62291666666666667</v>
      </c>
      <c r="AQ8" s="51">
        <f t="shared" si="2"/>
        <v>0.18263888888888891</v>
      </c>
      <c r="AR8" s="31">
        <v>2</v>
      </c>
      <c r="AS8" s="55" t="s">
        <v>426</v>
      </c>
      <c r="AU8" s="4" t="s">
        <v>9</v>
      </c>
      <c r="AV8" s="6">
        <v>11</v>
      </c>
    </row>
    <row r="9" spans="1:48" s="1" customFormat="1" x14ac:dyDescent="0.2">
      <c r="A9" s="56"/>
      <c r="B9" s="50">
        <v>3</v>
      </c>
      <c r="C9" s="31" t="s">
        <v>12</v>
      </c>
      <c r="D9" s="32">
        <v>0.29444444444444445</v>
      </c>
      <c r="E9" s="32">
        <v>0.57777777777777783</v>
      </c>
      <c r="F9" s="51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0.28333333333333338</v>
      </c>
      <c r="G9" s="31">
        <v>2</v>
      </c>
      <c r="H9" s="68" t="s">
        <v>416</v>
      </c>
      <c r="J9" s="4" t="s">
        <v>4</v>
      </c>
      <c r="K9" s="7">
        <v>0</v>
      </c>
      <c r="L9" s="19"/>
      <c r="N9" s="54"/>
      <c r="O9" s="15">
        <v>3</v>
      </c>
      <c r="P9" s="23" t="s">
        <v>58</v>
      </c>
      <c r="Q9" s="40">
        <v>0.28055555555555556</v>
      </c>
      <c r="R9" s="40">
        <v>0.60277777777777775</v>
      </c>
      <c r="S9" s="37">
        <f t="shared" si="0"/>
        <v>0.32222222222222219</v>
      </c>
      <c r="T9" s="23">
        <v>3</v>
      </c>
      <c r="U9" s="24" t="s">
        <v>391</v>
      </c>
      <c r="W9" s="4" t="s">
        <v>4</v>
      </c>
      <c r="X9" s="7">
        <v>0</v>
      </c>
      <c r="Z9" s="56" t="s">
        <v>209</v>
      </c>
      <c r="AA9" s="50">
        <v>3</v>
      </c>
      <c r="AB9" s="31" t="s">
        <v>77</v>
      </c>
      <c r="AC9" s="32">
        <v>0.37777777777777777</v>
      </c>
      <c r="AD9" s="32">
        <v>0.77500000000000002</v>
      </c>
      <c r="AE9" s="51">
        <f t="shared" si="1"/>
        <v>0.39722222222222225</v>
      </c>
      <c r="AF9" s="31">
        <v>3</v>
      </c>
      <c r="AG9" s="55" t="s">
        <v>405</v>
      </c>
      <c r="AI9" s="4" t="s">
        <v>4</v>
      </c>
      <c r="AJ9" s="7">
        <v>1</v>
      </c>
      <c r="AM9" s="50">
        <v>3</v>
      </c>
      <c r="AN9" s="31" t="s">
        <v>384</v>
      </c>
      <c r="AO9" s="32">
        <v>0.3430555555555555</v>
      </c>
      <c r="AP9" s="32">
        <v>0.68541666666666667</v>
      </c>
      <c r="AQ9" s="51">
        <f t="shared" si="2"/>
        <v>0.34236111111111117</v>
      </c>
      <c r="AR9" s="31">
        <v>3</v>
      </c>
      <c r="AS9" s="55" t="s">
        <v>412</v>
      </c>
      <c r="AU9" s="4" t="s">
        <v>4</v>
      </c>
      <c r="AV9" s="7">
        <v>1</v>
      </c>
    </row>
    <row r="10" spans="1:48" s="1" customFormat="1" ht="16" x14ac:dyDescent="0.2">
      <c r="A10"/>
      <c r="B10" s="15">
        <v>4</v>
      </c>
      <c r="C10" s="62" t="s">
        <v>13</v>
      </c>
      <c r="D10" s="63">
        <v>0.25208333333333333</v>
      </c>
      <c r="E10" s="63">
        <v>0.63888888888888895</v>
      </c>
      <c r="F10" s="64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0.38680555555555562</v>
      </c>
      <c r="G10" s="62">
        <v>2</v>
      </c>
      <c r="H10" s="65" t="s">
        <v>417</v>
      </c>
      <c r="J10" s="4" t="s">
        <v>5</v>
      </c>
      <c r="K10" s="7">
        <v>0</v>
      </c>
      <c r="L10" s="19"/>
      <c r="O10" s="57">
        <v>4</v>
      </c>
      <c r="P10" s="33" t="s">
        <v>32</v>
      </c>
      <c r="Q10" s="44">
        <v>0.2951388888888889</v>
      </c>
      <c r="R10" s="44">
        <v>0.64652777777777781</v>
      </c>
      <c r="S10" s="52">
        <f t="shared" si="0"/>
        <v>0.35138888888888892</v>
      </c>
      <c r="T10" s="33">
        <v>3</v>
      </c>
      <c r="U10" s="53" t="s">
        <v>396</v>
      </c>
      <c r="W10" s="4" t="s">
        <v>5</v>
      </c>
      <c r="X10" s="7">
        <v>4</v>
      </c>
      <c r="Z10" s="56"/>
      <c r="AA10" s="15">
        <v>4</v>
      </c>
      <c r="AB10" s="20" t="s">
        <v>46</v>
      </c>
      <c r="AC10" s="21">
        <v>0.25486111111111109</v>
      </c>
      <c r="AD10" s="21">
        <v>0.75416666666666676</v>
      </c>
      <c r="AE10" s="38">
        <f t="shared" si="1"/>
        <v>0.49930555555555567</v>
      </c>
      <c r="AF10" s="20">
        <v>3</v>
      </c>
      <c r="AG10" s="16" t="s">
        <v>406</v>
      </c>
      <c r="AI10" s="4" t="s">
        <v>5</v>
      </c>
      <c r="AJ10" s="7">
        <v>0</v>
      </c>
      <c r="AL10" s="54"/>
      <c r="AM10" s="15">
        <v>4</v>
      </c>
      <c r="AN10" s="20" t="s">
        <v>156</v>
      </c>
      <c r="AO10" s="21">
        <v>0.26944444444444443</v>
      </c>
      <c r="AP10" s="21">
        <v>0.73611111111111116</v>
      </c>
      <c r="AQ10" s="38">
        <f t="shared" si="2"/>
        <v>0.46666666666666673</v>
      </c>
      <c r="AR10" s="20">
        <v>3</v>
      </c>
      <c r="AS10" s="16" t="s">
        <v>413</v>
      </c>
      <c r="AU10" s="4" t="s">
        <v>5</v>
      </c>
      <c r="AV10" s="7">
        <v>1</v>
      </c>
    </row>
    <row r="11" spans="1:48" s="1" customFormat="1" x14ac:dyDescent="0.2">
      <c r="A11"/>
      <c r="B11" s="15">
        <v>5</v>
      </c>
      <c r="C11" s="20" t="s">
        <v>121</v>
      </c>
      <c r="D11" s="21">
        <v>0.23541666666666669</v>
      </c>
      <c r="E11" s="21">
        <v>0.57916666666666672</v>
      </c>
      <c r="F11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0.34375</v>
      </c>
      <c r="G11" s="20">
        <v>2</v>
      </c>
      <c r="H11" s="65" t="s">
        <v>418</v>
      </c>
      <c r="J11" s="4" t="s">
        <v>6</v>
      </c>
      <c r="K11" s="7">
        <v>0</v>
      </c>
      <c r="O11" s="50">
        <v>5</v>
      </c>
      <c r="P11" s="33" t="s">
        <v>123</v>
      </c>
      <c r="Q11" s="44">
        <v>0.29444444444444445</v>
      </c>
      <c r="R11" s="44">
        <v>0.68611111111111101</v>
      </c>
      <c r="S11" s="52">
        <f t="shared" si="0"/>
        <v>0.39166666666666655</v>
      </c>
      <c r="T11" s="33">
        <v>4</v>
      </c>
      <c r="U11" s="55" t="s">
        <v>64</v>
      </c>
      <c r="W11" s="4" t="s">
        <v>33</v>
      </c>
      <c r="X11" s="7">
        <v>0</v>
      </c>
      <c r="Z11" s="56"/>
      <c r="AA11" s="15">
        <v>5</v>
      </c>
      <c r="AB11" s="20" t="s">
        <v>81</v>
      </c>
      <c r="AC11" s="21">
        <v>0.28125</v>
      </c>
      <c r="AD11" s="21">
        <v>0.7055555555555556</v>
      </c>
      <c r="AE11" s="38">
        <f t="shared" si="1"/>
        <v>0.4243055555555556</v>
      </c>
      <c r="AF11" s="20">
        <v>3</v>
      </c>
      <c r="AG11" s="16" t="s">
        <v>407</v>
      </c>
      <c r="AI11" s="4" t="s">
        <v>6</v>
      </c>
      <c r="AJ11" s="7">
        <v>0</v>
      </c>
      <c r="AM11" s="1">
        <v>5</v>
      </c>
      <c r="AN11" s="2" t="s">
        <v>385</v>
      </c>
      <c r="AO11" s="41">
        <v>0.27083333333333331</v>
      </c>
      <c r="AP11" s="41">
        <v>0.63888888888888895</v>
      </c>
      <c r="AQ11" s="26">
        <f t="shared" si="2"/>
        <v>0.36805555555555564</v>
      </c>
      <c r="AR11" s="2">
        <v>4</v>
      </c>
      <c r="AS11" s="45" t="s">
        <v>25</v>
      </c>
      <c r="AU11" s="4" t="s">
        <v>6</v>
      </c>
      <c r="AV11" s="7">
        <v>26</v>
      </c>
    </row>
    <row r="12" spans="1:48" s="1" customFormat="1" x14ac:dyDescent="0.2">
      <c r="A12"/>
      <c r="B12" s="15">
        <v>6</v>
      </c>
      <c r="C12" s="20" t="s">
        <v>65</v>
      </c>
      <c r="D12" s="21">
        <v>0.27013888888888887</v>
      </c>
      <c r="E12" s="40">
        <v>0.72499999999999998</v>
      </c>
      <c r="F12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0.4548611111111111</v>
      </c>
      <c r="G12" s="20">
        <v>3</v>
      </c>
      <c r="H12" s="65" t="s">
        <v>419</v>
      </c>
      <c r="J12" s="8" t="s">
        <v>8</v>
      </c>
      <c r="K12" s="9">
        <f>SUM(Table1324567891011132125293439444954614914192429333642475391978610411011612212713113614191424193036424854[Retase])</f>
        <v>72</v>
      </c>
      <c r="L12" s="19"/>
      <c r="N12" s="54"/>
      <c r="O12" s="15">
        <v>6</v>
      </c>
      <c r="P12" s="23" t="s">
        <v>57</v>
      </c>
      <c r="Q12" s="40">
        <v>0.2722222222222222</v>
      </c>
      <c r="R12" s="40">
        <v>0.75555555555555554</v>
      </c>
      <c r="S12" s="37">
        <f t="shared" si="0"/>
        <v>0.48333333333333334</v>
      </c>
      <c r="T12" s="23">
        <v>4</v>
      </c>
      <c r="U12" s="16" t="s">
        <v>64</v>
      </c>
      <c r="W12" s="8" t="s">
        <v>8</v>
      </c>
      <c r="X12" s="9">
        <f>SUM(Table13456789101117222630354045505562510152025303438434854929887105111117123128132137142101525203137434955[Retase])</f>
        <v>51</v>
      </c>
      <c r="AA12" s="15">
        <v>6</v>
      </c>
      <c r="AB12" s="20" t="s">
        <v>45</v>
      </c>
      <c r="AC12" s="21">
        <v>0.21805555555555556</v>
      </c>
      <c r="AD12" s="21">
        <v>0.74305555555555547</v>
      </c>
      <c r="AE12" s="38">
        <f t="shared" si="1"/>
        <v>0.52499999999999991</v>
      </c>
      <c r="AF12" s="20">
        <v>4</v>
      </c>
      <c r="AG12" s="16" t="s">
        <v>408</v>
      </c>
      <c r="AI12" s="8" t="s">
        <v>8</v>
      </c>
      <c r="AJ12" s="9">
        <f>SUM(Table1345678910111518192327313742475259271217222732284146529096801031091151211261201351408132318283440465258[Retase])</f>
        <v>53</v>
      </c>
      <c r="AM12" s="1">
        <v>6</v>
      </c>
      <c r="AN12" s="2" t="s">
        <v>386</v>
      </c>
      <c r="AO12" s="41">
        <v>0.26874999999999999</v>
      </c>
      <c r="AP12" s="41">
        <v>0.69444444444444453</v>
      </c>
      <c r="AQ12" s="26">
        <f t="shared" si="2"/>
        <v>0.42569444444444454</v>
      </c>
      <c r="AR12" s="2">
        <v>4</v>
      </c>
      <c r="AS12" s="45" t="s">
        <v>25</v>
      </c>
      <c r="AU12" s="8" t="s">
        <v>8</v>
      </c>
      <c r="AV12" s="9">
        <f>SUM(Table13456789101115181923273137424752592712172227322841465290968010310911512112612013514081323182935414753[Retase])</f>
        <v>40</v>
      </c>
    </row>
    <row r="13" spans="1:48" s="1" customFormat="1" x14ac:dyDescent="0.2">
      <c r="A13"/>
      <c r="B13" s="15">
        <v>7</v>
      </c>
      <c r="C13" s="20" t="s">
        <v>20</v>
      </c>
      <c r="D13" s="21">
        <v>0.28611111111111115</v>
      </c>
      <c r="E13" s="21">
        <v>0.67708333333333337</v>
      </c>
      <c r="F13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0.39097222222222222</v>
      </c>
      <c r="G13" s="20">
        <v>3</v>
      </c>
      <c r="H13" s="65" t="s">
        <v>420</v>
      </c>
      <c r="J13" s="10" t="s">
        <v>7</v>
      </c>
      <c r="K13" s="11">
        <f>K12/K8</f>
        <v>3.1304347826086958</v>
      </c>
      <c r="L13" s="19"/>
      <c r="O13" s="57">
        <v>7</v>
      </c>
      <c r="P13" s="33" t="s">
        <v>40</v>
      </c>
      <c r="Q13" s="44">
        <v>0.29444444444444445</v>
      </c>
      <c r="R13" s="44">
        <v>0.77638888888888891</v>
      </c>
      <c r="S13" s="52">
        <f t="shared" si="0"/>
        <v>0.48194444444444445</v>
      </c>
      <c r="T13" s="33">
        <v>4</v>
      </c>
      <c r="U13" s="55" t="s">
        <v>64</v>
      </c>
      <c r="W13" s="10" t="s">
        <v>7</v>
      </c>
      <c r="X13" s="11">
        <f>X12/X8</f>
        <v>3.6428571428571428</v>
      </c>
      <c r="AA13" s="15">
        <v>7</v>
      </c>
      <c r="AB13" s="20" t="s">
        <v>122</v>
      </c>
      <c r="AC13" s="21">
        <v>0.29305555555555557</v>
      </c>
      <c r="AD13" s="21">
        <v>0.6875</v>
      </c>
      <c r="AE13" s="38">
        <f t="shared" si="1"/>
        <v>0.39444444444444443</v>
      </c>
      <c r="AF13" s="20">
        <v>4</v>
      </c>
      <c r="AG13" s="16" t="s">
        <v>64</v>
      </c>
      <c r="AI13" s="10" t="s">
        <v>7</v>
      </c>
      <c r="AJ13" s="11">
        <f>AJ12/AJ8</f>
        <v>3.7857142857142856</v>
      </c>
      <c r="AM13" s="1">
        <v>7</v>
      </c>
      <c r="AN13" s="2" t="s">
        <v>387</v>
      </c>
      <c r="AO13" s="41">
        <v>0.24791666666666667</v>
      </c>
      <c r="AP13" s="41">
        <v>0.69861111111111107</v>
      </c>
      <c r="AQ13" s="26">
        <f t="shared" si="2"/>
        <v>0.4506944444444444</v>
      </c>
      <c r="AR13" s="2">
        <v>4</v>
      </c>
      <c r="AS13" s="45" t="s">
        <v>25</v>
      </c>
      <c r="AU13" s="10" t="s">
        <v>7</v>
      </c>
      <c r="AV13" s="11">
        <f>AV12/AV8</f>
        <v>3.6363636363636362</v>
      </c>
    </row>
    <row r="14" spans="1:48" s="1" customFormat="1" x14ac:dyDescent="0.2">
      <c r="A14"/>
      <c r="B14" s="15">
        <v>8</v>
      </c>
      <c r="C14" s="20" t="s">
        <v>14</v>
      </c>
      <c r="D14" s="21">
        <v>0.26250000000000001</v>
      </c>
      <c r="E14" s="21">
        <v>0.66736111111111107</v>
      </c>
      <c r="F14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0.40486111111111106</v>
      </c>
      <c r="G14" s="20">
        <v>3</v>
      </c>
      <c r="H14" s="65" t="s">
        <v>427</v>
      </c>
      <c r="J14" s="12" t="s">
        <v>11</v>
      </c>
      <c r="K14" s="13">
        <v>4</v>
      </c>
      <c r="L14" s="19"/>
      <c r="O14" s="15">
        <v>8</v>
      </c>
      <c r="P14" s="23" t="s">
        <v>34</v>
      </c>
      <c r="Q14" s="40">
        <v>0.26250000000000001</v>
      </c>
      <c r="R14" s="40">
        <v>0.73402777777777783</v>
      </c>
      <c r="S14" s="37">
        <f t="shared" si="0"/>
        <v>0.47152777777777782</v>
      </c>
      <c r="T14" s="23">
        <v>4</v>
      </c>
      <c r="U14" s="24" t="s">
        <v>392</v>
      </c>
      <c r="W14" s="12" t="s">
        <v>11</v>
      </c>
      <c r="X14" s="13">
        <v>5</v>
      </c>
      <c r="AA14" s="15">
        <v>8</v>
      </c>
      <c r="AB14" s="20" t="s">
        <v>78</v>
      </c>
      <c r="AC14" s="21">
        <v>0.25833333333333336</v>
      </c>
      <c r="AD14" s="21">
        <v>0.67152777777777783</v>
      </c>
      <c r="AE14" s="38">
        <f t="shared" si="1"/>
        <v>0.41319444444444448</v>
      </c>
      <c r="AF14" s="20">
        <v>4</v>
      </c>
      <c r="AG14" s="16" t="s">
        <v>409</v>
      </c>
      <c r="AI14" s="12" t="s">
        <v>11</v>
      </c>
      <c r="AJ14" s="13">
        <v>5</v>
      </c>
      <c r="AM14" s="1">
        <v>8</v>
      </c>
      <c r="AN14" s="2" t="s">
        <v>388</v>
      </c>
      <c r="AO14" s="41">
        <v>0.26874999999999999</v>
      </c>
      <c r="AP14" s="41">
        <v>0.69930555555555562</v>
      </c>
      <c r="AQ14" s="26">
        <f t="shared" si="2"/>
        <v>0.43055555555555564</v>
      </c>
      <c r="AR14" s="2">
        <v>4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0" t="s">
        <v>70</v>
      </c>
      <c r="D15" s="21">
        <v>0.26805555555555555</v>
      </c>
      <c r="E15" s="21">
        <v>0.65347222222222223</v>
      </c>
      <c r="F15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0.38541666666666669</v>
      </c>
      <c r="G15" s="20">
        <v>3</v>
      </c>
      <c r="H15" s="65" t="s">
        <v>421</v>
      </c>
      <c r="J15" s="12" t="s">
        <v>88</v>
      </c>
      <c r="K15" s="14">
        <f>B3/K8</f>
        <v>0.39130434782608697</v>
      </c>
      <c r="L15" s="19"/>
      <c r="O15" s="50">
        <v>9</v>
      </c>
      <c r="P15" s="33" t="s">
        <v>309</v>
      </c>
      <c r="Q15" s="44">
        <v>0.30138888888888887</v>
      </c>
      <c r="R15" s="44">
        <v>0.7583333333333333</v>
      </c>
      <c r="S15" s="52">
        <f t="shared" si="0"/>
        <v>0.45694444444444443</v>
      </c>
      <c r="T15" s="33">
        <v>4</v>
      </c>
      <c r="U15" s="53" t="s">
        <v>393</v>
      </c>
      <c r="W15" s="12" t="s">
        <v>88</v>
      </c>
      <c r="X15" s="14">
        <f>O3/X8</f>
        <v>0.14285714285714285</v>
      </c>
      <c r="AA15" s="15">
        <v>9</v>
      </c>
      <c r="AB15" s="20" t="s">
        <v>49</v>
      </c>
      <c r="AC15" s="21">
        <v>0.25486111111111109</v>
      </c>
      <c r="AD15" s="21">
        <v>0.66805555555555562</v>
      </c>
      <c r="AE15" s="38">
        <f t="shared" si="1"/>
        <v>0.41319444444444453</v>
      </c>
      <c r="AF15" s="20">
        <v>4</v>
      </c>
      <c r="AG15" s="16" t="s">
        <v>410</v>
      </c>
      <c r="AI15" s="12" t="s">
        <v>88</v>
      </c>
      <c r="AJ15" s="14">
        <f>AA3/AJ8</f>
        <v>0.2857142857142857</v>
      </c>
      <c r="AM15" s="1">
        <v>9</v>
      </c>
      <c r="AN15" s="2" t="s">
        <v>380</v>
      </c>
      <c r="AO15" s="41">
        <v>0.26944444444444443</v>
      </c>
      <c r="AP15" s="41">
        <v>0.71111111111111114</v>
      </c>
      <c r="AQ15" s="26">
        <f t="shared" si="2"/>
        <v>0.44166666666666671</v>
      </c>
      <c r="AR15" s="2">
        <v>5</v>
      </c>
      <c r="AS15" s="45" t="s">
        <v>25</v>
      </c>
      <c r="AU15" s="12" t="s">
        <v>88</v>
      </c>
      <c r="AV15" s="14">
        <f>AM3/AV8</f>
        <v>0.63636363636363635</v>
      </c>
    </row>
    <row r="16" spans="1:48" x14ac:dyDescent="0.2">
      <c r="B16" s="15">
        <v>10</v>
      </c>
      <c r="C16" s="20" t="s">
        <v>71</v>
      </c>
      <c r="D16" s="21">
        <v>0.24166666666666667</v>
      </c>
      <c r="E16" s="21">
        <v>0.60555555555555551</v>
      </c>
      <c r="F16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0.36388888888888882</v>
      </c>
      <c r="G16" s="20">
        <v>3</v>
      </c>
      <c r="H16" s="65" t="s">
        <v>422</v>
      </c>
      <c r="J16" s="12" t="s">
        <v>24</v>
      </c>
      <c r="K16" s="14">
        <f>K8/K7</f>
        <v>1</v>
      </c>
      <c r="O16" s="27">
        <v>10</v>
      </c>
      <c r="P16" s="23" t="s">
        <v>41</v>
      </c>
      <c r="Q16" s="40">
        <v>0.26874999999999999</v>
      </c>
      <c r="R16" s="40">
        <v>0.7284722222222223</v>
      </c>
      <c r="S16" s="37">
        <f t="shared" si="0"/>
        <v>0.45972222222222231</v>
      </c>
      <c r="T16" s="23">
        <v>4</v>
      </c>
      <c r="U16" s="24" t="s">
        <v>394</v>
      </c>
      <c r="W16" s="12" t="s">
        <v>27</v>
      </c>
      <c r="X16" s="14">
        <f>X8/X7</f>
        <v>0.77777777777777779</v>
      </c>
      <c r="AA16" s="15">
        <v>10</v>
      </c>
      <c r="AB16" s="20" t="s">
        <v>51</v>
      </c>
      <c r="AC16" s="21">
        <v>0.26250000000000001</v>
      </c>
      <c r="AD16" s="21">
        <v>0.68888888888888899</v>
      </c>
      <c r="AE16" s="38">
        <f t="shared" si="1"/>
        <v>0.42638888888888898</v>
      </c>
      <c r="AF16" s="20">
        <v>4</v>
      </c>
      <c r="AG16" s="16" t="s">
        <v>64</v>
      </c>
      <c r="AI16" s="12" t="s">
        <v>27</v>
      </c>
      <c r="AJ16" s="14">
        <f>AJ8/AJ7</f>
        <v>0.93333333333333335</v>
      </c>
      <c r="AM16" s="1">
        <v>10</v>
      </c>
      <c r="AN16" s="2" t="s">
        <v>381</v>
      </c>
      <c r="AO16" s="41">
        <v>0.27708333333333335</v>
      </c>
      <c r="AP16" s="41">
        <v>0.72777777777777775</v>
      </c>
      <c r="AQ16" s="26">
        <f t="shared" si="2"/>
        <v>0.4506944444444444</v>
      </c>
      <c r="AR16" s="2">
        <v>5</v>
      </c>
      <c r="AS16" s="45" t="s">
        <v>25</v>
      </c>
      <c r="AU16" s="12" t="s">
        <v>27</v>
      </c>
      <c r="AV16" s="14">
        <f>AV8/AV7</f>
        <v>1.1000000000000001</v>
      </c>
    </row>
    <row r="17" spans="2:48" x14ac:dyDescent="0.2">
      <c r="B17" s="15">
        <v>11</v>
      </c>
      <c r="C17" s="20" t="s">
        <v>69</v>
      </c>
      <c r="D17" s="21">
        <v>0.27152777777777776</v>
      </c>
      <c r="E17" s="21">
        <v>0.66805555555555562</v>
      </c>
      <c r="F17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0.39652777777777787</v>
      </c>
      <c r="G17" s="20">
        <v>3</v>
      </c>
      <c r="H17" s="65" t="s">
        <v>427</v>
      </c>
      <c r="J17" s="12" t="s">
        <v>117</v>
      </c>
      <c r="K17" s="48">
        <f>AVERAGE(Table1324567891011132125293439444954614914192429333642475391978610411011612212713113614191424193036424854[JAM KELUAR])</f>
        <v>0.24616545893719802</v>
      </c>
      <c r="O17" s="15">
        <v>11</v>
      </c>
      <c r="P17" s="23" t="s">
        <v>67</v>
      </c>
      <c r="Q17" s="40">
        <v>0.21527777777777779</v>
      </c>
      <c r="R17" s="40">
        <v>0.76388888888888884</v>
      </c>
      <c r="S17" s="37">
        <f t="shared" si="0"/>
        <v>0.54861111111111105</v>
      </c>
      <c r="T17" s="23">
        <v>4</v>
      </c>
      <c r="U17" s="24" t="s">
        <v>395</v>
      </c>
      <c r="W17" s="12" t="s">
        <v>117</v>
      </c>
      <c r="X17" s="48">
        <f>AVERAGE(Table13456789101117222630354045505562510152025303438434854929887105111117123128132137142101525203137434955[JAM KELUAR])</f>
        <v>0.26954365079365078</v>
      </c>
      <c r="AA17" s="1">
        <v>11</v>
      </c>
      <c r="AB17" s="2" t="s">
        <v>56</v>
      </c>
      <c r="AC17" s="41">
        <v>0.25972222222222224</v>
      </c>
      <c r="AD17" s="41">
        <v>0.71388888888888891</v>
      </c>
      <c r="AE17" s="26">
        <f t="shared" si="1"/>
        <v>0.45416666666666666</v>
      </c>
      <c r="AF17" s="2">
        <v>5</v>
      </c>
      <c r="AG17" s="45" t="s">
        <v>25</v>
      </c>
      <c r="AI17" s="12" t="s">
        <v>117</v>
      </c>
      <c r="AJ17" s="48">
        <f>AVERAGE(Table1345678910111518192327313742475259271217222732284146529096801031091151211261201351408132318283440465258[JAM KELUAR])</f>
        <v>0.26195436507936509</v>
      </c>
      <c r="AM17" s="1">
        <v>11</v>
      </c>
      <c r="AN17" s="2" t="s">
        <v>382</v>
      </c>
      <c r="AO17" s="41">
        <v>0.21736111111111112</v>
      </c>
      <c r="AP17" s="41">
        <v>0.70208333333333339</v>
      </c>
      <c r="AQ17" s="26">
        <f t="shared" si="2"/>
        <v>0.48472222222222228</v>
      </c>
      <c r="AR17" s="2">
        <v>5</v>
      </c>
      <c r="AS17" s="45" t="s">
        <v>25</v>
      </c>
      <c r="AU17" s="12" t="s">
        <v>117</v>
      </c>
      <c r="AV17" s="48">
        <f>AVERAGE(Table13456789101115181923273137424752592712172227322841465290968010310911512112612013514081323182935414753[JAM KELUAR])</f>
        <v>0.28832070707070706</v>
      </c>
    </row>
    <row r="18" spans="2:48" x14ac:dyDescent="0.2">
      <c r="B18" s="15">
        <v>12</v>
      </c>
      <c r="C18" s="20" t="s">
        <v>16</v>
      </c>
      <c r="D18" s="21">
        <v>0.24791666666666667</v>
      </c>
      <c r="E18" s="21">
        <v>0.62986111111111109</v>
      </c>
      <c r="F18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0.38194444444444442</v>
      </c>
      <c r="G18" s="20">
        <v>3</v>
      </c>
      <c r="H18" s="65" t="s">
        <v>427</v>
      </c>
      <c r="O18" s="15">
        <v>12</v>
      </c>
      <c r="P18" s="23" t="s">
        <v>60</v>
      </c>
      <c r="Q18" s="40">
        <v>0.25694444444444448</v>
      </c>
      <c r="R18" s="40">
        <v>0.69513888888888886</v>
      </c>
      <c r="S18" s="37">
        <f t="shared" si="0"/>
        <v>0.43819444444444439</v>
      </c>
      <c r="T18" s="23">
        <v>4</v>
      </c>
      <c r="U18" s="16" t="s">
        <v>64</v>
      </c>
      <c r="AA18" s="1">
        <v>12</v>
      </c>
      <c r="AB18" s="2" t="s">
        <v>50</v>
      </c>
      <c r="AC18" s="41">
        <v>0.24513888888888888</v>
      </c>
      <c r="AD18" s="41">
        <v>0.69861111111111107</v>
      </c>
      <c r="AE18" s="26">
        <f t="shared" si="1"/>
        <v>0.45347222222222217</v>
      </c>
      <c r="AF18" s="2">
        <v>5</v>
      </c>
      <c r="AG18" s="45" t="s">
        <v>25</v>
      </c>
      <c r="AI18" s="17"/>
      <c r="AU18" s="17"/>
    </row>
    <row r="19" spans="2:48" ht="15.75" customHeight="1" x14ac:dyDescent="0.2">
      <c r="B19" s="15">
        <v>13</v>
      </c>
      <c r="C19" s="20" t="s">
        <v>18</v>
      </c>
      <c r="D19" s="21">
        <v>0.26250000000000001</v>
      </c>
      <c r="E19" s="21">
        <v>0.66736111111111107</v>
      </c>
      <c r="F19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0.40486111111111106</v>
      </c>
      <c r="G19" s="20">
        <v>3</v>
      </c>
      <c r="H19" s="65" t="s">
        <v>423</v>
      </c>
      <c r="O19" s="28">
        <v>13</v>
      </c>
      <c r="P19" s="29" t="s">
        <v>30</v>
      </c>
      <c r="Q19" s="30">
        <v>0.21319444444444444</v>
      </c>
      <c r="R19" s="30">
        <v>0.77222222222222225</v>
      </c>
      <c r="S19" s="39">
        <f t="shared" si="0"/>
        <v>0.55902777777777779</v>
      </c>
      <c r="T19" s="29">
        <v>5</v>
      </c>
      <c r="U19" s="25" t="s">
        <v>25</v>
      </c>
      <c r="AA19" s="1">
        <v>13</v>
      </c>
      <c r="AB19" s="2" t="s">
        <v>47</v>
      </c>
      <c r="AC19" s="41">
        <v>0.26111111111111113</v>
      </c>
      <c r="AD19" s="41">
        <v>0.71388888888888891</v>
      </c>
      <c r="AE19" s="26">
        <f t="shared" si="1"/>
        <v>0.45277777777777778</v>
      </c>
      <c r="AF19" s="2">
        <v>5</v>
      </c>
      <c r="AG19" s="45" t="s">
        <v>25</v>
      </c>
    </row>
    <row r="20" spans="2:48" ht="17.25" customHeight="1" x14ac:dyDescent="0.2">
      <c r="B20" s="15">
        <v>14</v>
      </c>
      <c r="C20" s="20" t="s">
        <v>19</v>
      </c>
      <c r="D20" s="21">
        <v>0.21249999999999999</v>
      </c>
      <c r="E20" s="21">
        <v>0.62986111111111109</v>
      </c>
      <c r="F20" s="38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0.41736111111111107</v>
      </c>
      <c r="G20" s="20">
        <v>3</v>
      </c>
      <c r="H20" s="65" t="s">
        <v>424</v>
      </c>
      <c r="O20" s="1">
        <v>14</v>
      </c>
      <c r="P20" s="29" t="s">
        <v>35</v>
      </c>
      <c r="Q20" s="30">
        <v>0.25486111111111109</v>
      </c>
      <c r="R20" s="30">
        <v>0.77222222222222225</v>
      </c>
      <c r="S20" s="39">
        <f t="shared" si="0"/>
        <v>0.51736111111111116</v>
      </c>
      <c r="T20" s="29">
        <v>5</v>
      </c>
      <c r="U20" s="25" t="s">
        <v>25</v>
      </c>
      <c r="AA20" s="1">
        <v>14</v>
      </c>
      <c r="AB20" s="2" t="s">
        <v>80</v>
      </c>
      <c r="AC20" s="41">
        <v>0.21875</v>
      </c>
      <c r="AD20" s="41">
        <v>0.76597222222222217</v>
      </c>
      <c r="AE20" s="26">
        <f t="shared" si="1"/>
        <v>0.54722222222222217</v>
      </c>
      <c r="AF20" s="2">
        <v>6</v>
      </c>
      <c r="AG20" s="45" t="s">
        <v>25</v>
      </c>
    </row>
    <row r="21" spans="2:48" ht="15.75" customHeight="1" x14ac:dyDescent="0.2">
      <c r="B21" s="1">
        <v>15</v>
      </c>
      <c r="C21" s="2" t="s">
        <v>119</v>
      </c>
      <c r="D21" s="41">
        <v>0.23194444444444443</v>
      </c>
      <c r="E21" s="41">
        <v>0.69236111111111109</v>
      </c>
      <c r="F21" s="26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0.4604166666666667</v>
      </c>
      <c r="G21" s="2">
        <v>4</v>
      </c>
      <c r="H21" s="25" t="s">
        <v>25</v>
      </c>
      <c r="AR21" s="34"/>
      <c r="AS21" s="35" t="s">
        <v>90</v>
      </c>
    </row>
    <row r="22" spans="2:48" ht="15" customHeight="1" x14ac:dyDescent="0.2">
      <c r="B22" s="1">
        <v>16</v>
      </c>
      <c r="C22" s="2" t="s">
        <v>72</v>
      </c>
      <c r="D22" s="41">
        <v>0.22013888888888888</v>
      </c>
      <c r="E22" s="41">
        <v>0.71597222222222223</v>
      </c>
      <c r="F22" s="26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0.49583333333333335</v>
      </c>
      <c r="G22" s="2">
        <v>4</v>
      </c>
      <c r="H22" s="25" t="s">
        <v>25</v>
      </c>
      <c r="AR22" s="56" t="s">
        <v>209</v>
      </c>
      <c r="AS22" s="35" t="s">
        <v>92</v>
      </c>
    </row>
    <row r="23" spans="2:48" ht="15" customHeight="1" x14ac:dyDescent="0.25">
      <c r="B23" s="1">
        <v>17</v>
      </c>
      <c r="C23" s="2" t="s">
        <v>73</v>
      </c>
      <c r="D23" s="41">
        <v>0.21736111111111112</v>
      </c>
      <c r="E23" s="41">
        <v>0.7270833333333333</v>
      </c>
      <c r="F23" s="26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0.50972222222222219</v>
      </c>
      <c r="G23" s="2">
        <v>4</v>
      </c>
      <c r="H23" s="25" t="s">
        <v>25</v>
      </c>
      <c r="O23" s="108" t="s">
        <v>66</v>
      </c>
      <c r="P23" s="108"/>
      <c r="Q23" s="108"/>
      <c r="R23" s="108"/>
      <c r="S23" s="108"/>
      <c r="T23" s="108"/>
      <c r="U23" s="108"/>
      <c r="W23" s="106" t="s">
        <v>28</v>
      </c>
      <c r="X23" s="106"/>
    </row>
    <row r="24" spans="2:48" ht="15" customHeight="1" x14ac:dyDescent="0.2">
      <c r="B24" s="1">
        <v>18</v>
      </c>
      <c r="C24" s="2" t="s">
        <v>74</v>
      </c>
      <c r="D24" s="41">
        <v>0.26180555555555557</v>
      </c>
      <c r="E24" s="41">
        <v>0.70486111111111116</v>
      </c>
      <c r="F24" s="26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0.44305555555555559</v>
      </c>
      <c r="G24" s="2">
        <v>4</v>
      </c>
      <c r="H24" s="25" t="s">
        <v>25</v>
      </c>
      <c r="O24" s="109">
        <f>B5</f>
        <v>45423</v>
      </c>
      <c r="P24" s="109"/>
      <c r="Q24" s="109"/>
      <c r="R24" s="109"/>
      <c r="S24" s="109"/>
      <c r="T24" s="109"/>
      <c r="U24" s="109"/>
      <c r="W24" s="110"/>
      <c r="X24" s="110"/>
      <c r="AF24" s="34"/>
      <c r="AG24" s="35" t="s">
        <v>90</v>
      </c>
      <c r="AR24" s="49"/>
    </row>
    <row r="25" spans="2:48" ht="14.5" customHeight="1" x14ac:dyDescent="0.2">
      <c r="B25" s="1">
        <v>19</v>
      </c>
      <c r="C25" s="2" t="s">
        <v>75</v>
      </c>
      <c r="D25" s="41">
        <v>0.23333333333333331</v>
      </c>
      <c r="E25" s="41">
        <v>0.6694444444444444</v>
      </c>
      <c r="F25" s="26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0.43611111111111112</v>
      </c>
      <c r="G25" s="2">
        <v>4</v>
      </c>
      <c r="H25" s="25" t="s">
        <v>25</v>
      </c>
      <c r="O25" s="2" t="s">
        <v>0</v>
      </c>
      <c r="P25" s="2" t="s">
        <v>1</v>
      </c>
      <c r="Q25" s="22" t="s">
        <v>61</v>
      </c>
      <c r="R25" s="22" t="s">
        <v>62</v>
      </c>
      <c r="S25" s="22" t="s">
        <v>63</v>
      </c>
      <c r="T25" s="2" t="s">
        <v>2</v>
      </c>
      <c r="U25" s="2" t="s">
        <v>3</v>
      </c>
      <c r="W25" s="3" t="s">
        <v>29</v>
      </c>
      <c r="X25" s="5">
        <f>SUM(X27:X30)</f>
        <v>8</v>
      </c>
      <c r="AF25" s="56" t="s">
        <v>209</v>
      </c>
      <c r="AG25" s="35" t="s">
        <v>92</v>
      </c>
    </row>
    <row r="26" spans="2:48" ht="14.5" customHeight="1" x14ac:dyDescent="0.2">
      <c r="B26" s="1">
        <v>20</v>
      </c>
      <c r="C26" s="2" t="s">
        <v>15</v>
      </c>
      <c r="D26" s="41">
        <v>0.21319444444444444</v>
      </c>
      <c r="E26" s="41">
        <v>0.68819444444444444</v>
      </c>
      <c r="F26" s="26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0.47499999999999998</v>
      </c>
      <c r="G26" s="2">
        <v>4</v>
      </c>
      <c r="H26" s="25" t="s">
        <v>25</v>
      </c>
      <c r="N26" s="54"/>
      <c r="O26" s="50">
        <v>1</v>
      </c>
      <c r="P26" s="33" t="s">
        <v>83</v>
      </c>
      <c r="Q26" s="44">
        <v>0.30069444444444443</v>
      </c>
      <c r="R26" s="44">
        <v>0.43958333333333338</v>
      </c>
      <c r="S26" s="52">
        <f t="shared" ref="S26:S33" si="3">R26-Q26</f>
        <v>0.13888888888888895</v>
      </c>
      <c r="T26" s="33">
        <v>1</v>
      </c>
      <c r="U26" s="55" t="s">
        <v>397</v>
      </c>
      <c r="W26" s="4" t="s">
        <v>10</v>
      </c>
      <c r="X26" s="6">
        <v>8</v>
      </c>
    </row>
    <row r="27" spans="2:48" ht="14.5" customHeight="1" x14ac:dyDescent="0.2">
      <c r="B27" s="1">
        <v>21</v>
      </c>
      <c r="C27" s="2" t="s">
        <v>76</v>
      </c>
      <c r="D27" s="41">
        <v>0.21388888888888891</v>
      </c>
      <c r="E27" s="41">
        <v>0.67638888888888893</v>
      </c>
      <c r="F27" s="26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0.46250000000000002</v>
      </c>
      <c r="G27" s="2">
        <v>4</v>
      </c>
      <c r="H27" s="25" t="s">
        <v>25</v>
      </c>
      <c r="N27" s="54" t="s">
        <v>209</v>
      </c>
      <c r="O27" s="50">
        <v>2</v>
      </c>
      <c r="P27" s="33" t="s">
        <v>38</v>
      </c>
      <c r="Q27" s="44">
        <v>0.56666666666666665</v>
      </c>
      <c r="R27" s="44">
        <v>0.63263888888888886</v>
      </c>
      <c r="S27" s="52">
        <f t="shared" si="3"/>
        <v>6.597222222222221E-2</v>
      </c>
      <c r="T27" s="33">
        <v>1</v>
      </c>
      <c r="U27" s="58" t="s">
        <v>398</v>
      </c>
      <c r="W27" s="4" t="s">
        <v>9</v>
      </c>
      <c r="X27" s="7">
        <v>8</v>
      </c>
    </row>
    <row r="28" spans="2:48" x14ac:dyDescent="0.2">
      <c r="B28" s="1">
        <v>22</v>
      </c>
      <c r="C28" s="2" t="s">
        <v>120</v>
      </c>
      <c r="D28" s="41">
        <v>0.24166666666666667</v>
      </c>
      <c r="E28" s="41">
        <v>0.72152777777777777</v>
      </c>
      <c r="F28" s="26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0.47986111111111107</v>
      </c>
      <c r="G28" s="2">
        <v>4</v>
      </c>
      <c r="H28" s="25" t="s">
        <v>25</v>
      </c>
      <c r="N28" s="54"/>
      <c r="O28" s="15">
        <v>3</v>
      </c>
      <c r="P28" s="23" t="s">
        <v>201</v>
      </c>
      <c r="Q28" s="40">
        <v>0.2638888888888889</v>
      </c>
      <c r="R28" s="40">
        <v>0.41388888888888892</v>
      </c>
      <c r="S28" s="37">
        <f t="shared" si="3"/>
        <v>0.15000000000000002</v>
      </c>
      <c r="T28" s="23">
        <v>1</v>
      </c>
      <c r="U28" s="24" t="s">
        <v>399</v>
      </c>
      <c r="W28" s="4" t="s">
        <v>4</v>
      </c>
      <c r="X28" s="7">
        <v>0</v>
      </c>
    </row>
    <row r="29" spans="2:48" x14ac:dyDescent="0.2">
      <c r="B29" s="1">
        <v>23</v>
      </c>
      <c r="C29" s="2" t="s">
        <v>17</v>
      </c>
      <c r="D29" s="41">
        <v>0.21805555555555556</v>
      </c>
      <c r="E29" s="41">
        <v>0.70000000000000007</v>
      </c>
      <c r="F29" s="26">
        <f>Table1324567891011132125293439444954614914192429333642475391978610411011612212713113614191424193036424854[[#This Row],[JAM MASUK]]-Table1324567891011132125293439444954614914192429333642475391978610411011612212713113614191424193036424854[[#This Row],[JAM KELUAR]]</f>
        <v>0.48194444444444451</v>
      </c>
      <c r="G29" s="2">
        <v>4</v>
      </c>
      <c r="H29" s="25" t="s">
        <v>25</v>
      </c>
      <c r="N29" s="54" t="s">
        <v>209</v>
      </c>
      <c r="O29" s="50">
        <v>4</v>
      </c>
      <c r="P29" s="33" t="s">
        <v>39</v>
      </c>
      <c r="Q29" s="44">
        <v>0.52777777777777779</v>
      </c>
      <c r="R29" s="44">
        <v>0.63194444444444442</v>
      </c>
      <c r="S29" s="52">
        <f t="shared" si="3"/>
        <v>0.10416666666666663</v>
      </c>
      <c r="T29" s="33">
        <v>1</v>
      </c>
      <c r="U29" s="55" t="s">
        <v>400</v>
      </c>
      <c r="W29" s="4" t="s">
        <v>5</v>
      </c>
      <c r="X29" s="7">
        <v>0</v>
      </c>
      <c r="AF29" s="49"/>
      <c r="AM29" s="49"/>
    </row>
    <row r="30" spans="2:48" x14ac:dyDescent="0.2">
      <c r="O30" s="15">
        <v>5</v>
      </c>
      <c r="P30" s="23" t="s">
        <v>36</v>
      </c>
      <c r="Q30" s="40">
        <v>0.26458333333333334</v>
      </c>
      <c r="R30" s="40">
        <v>0.63888888888888895</v>
      </c>
      <c r="S30" s="37">
        <f t="shared" si="3"/>
        <v>0.37430555555555561</v>
      </c>
      <c r="T30" s="23">
        <v>2</v>
      </c>
      <c r="U30" s="16" t="s">
        <v>401</v>
      </c>
      <c r="W30" s="4" t="s">
        <v>33</v>
      </c>
      <c r="X30" s="7">
        <v>0</v>
      </c>
    </row>
    <row r="31" spans="2:48" x14ac:dyDescent="0.2">
      <c r="G31" s="34"/>
      <c r="H31" s="35" t="s">
        <v>90</v>
      </c>
      <c r="O31" s="50">
        <v>6</v>
      </c>
      <c r="P31" s="33" t="s">
        <v>84</v>
      </c>
      <c r="Q31" s="44">
        <v>0.29236111111111113</v>
      </c>
      <c r="R31" s="44">
        <v>0.65555555555555556</v>
      </c>
      <c r="S31" s="52">
        <f t="shared" si="3"/>
        <v>0.36319444444444443</v>
      </c>
      <c r="T31" s="33">
        <v>3</v>
      </c>
      <c r="U31" s="55" t="s">
        <v>425</v>
      </c>
      <c r="W31" s="8" t="s">
        <v>8</v>
      </c>
      <c r="X31" s="9">
        <f>SUM(Table1345678910111722263032364146515663611162126313539444955939988106112118124129133138143111626213238445056[Retase])</f>
        <v>16</v>
      </c>
    </row>
    <row r="32" spans="2:48" x14ac:dyDescent="0.2">
      <c r="G32" s="56" t="s">
        <v>209</v>
      </c>
      <c r="H32" s="35" t="s">
        <v>92</v>
      </c>
      <c r="O32" s="50">
        <v>7</v>
      </c>
      <c r="P32" s="33" t="s">
        <v>42</v>
      </c>
      <c r="Q32" s="44">
        <v>0.29236111111111113</v>
      </c>
      <c r="R32" s="44">
        <v>0.61805555555555558</v>
      </c>
      <c r="S32" s="52">
        <f t="shared" si="3"/>
        <v>0.32569444444444445</v>
      </c>
      <c r="T32" s="33">
        <v>3</v>
      </c>
      <c r="U32" s="55" t="s">
        <v>402</v>
      </c>
      <c r="V32" s="1"/>
      <c r="W32" s="10" t="s">
        <v>7</v>
      </c>
      <c r="X32" s="11">
        <f>X31/X27</f>
        <v>2</v>
      </c>
    </row>
    <row r="33" spans="1:27" x14ac:dyDescent="0.2">
      <c r="O33" s="50">
        <v>8</v>
      </c>
      <c r="P33" s="33" t="s">
        <v>37</v>
      </c>
      <c r="Q33" s="44">
        <v>0.30416666666666664</v>
      </c>
      <c r="R33" s="44">
        <v>0.72638888888888886</v>
      </c>
      <c r="S33" s="52">
        <f t="shared" si="3"/>
        <v>0.42222222222222222</v>
      </c>
      <c r="T33" s="33">
        <v>4</v>
      </c>
      <c r="U33" s="53" t="s">
        <v>25</v>
      </c>
      <c r="V33" s="1"/>
      <c r="W33" s="12" t="s">
        <v>11</v>
      </c>
      <c r="X33" s="13">
        <v>4</v>
      </c>
    </row>
    <row r="34" spans="1:27" x14ac:dyDescent="0.2">
      <c r="B34" s="49"/>
      <c r="V34" s="1"/>
      <c r="W34" s="12" t="s">
        <v>88</v>
      </c>
      <c r="X34" s="14">
        <f>P3/X27</f>
        <v>0.125</v>
      </c>
      <c r="AA34" s="49"/>
    </row>
    <row r="35" spans="1:27" x14ac:dyDescent="0.2">
      <c r="T35" s="34"/>
      <c r="U35" s="35" t="s">
        <v>90</v>
      </c>
      <c r="V35" s="1"/>
      <c r="W35" s="12" t="s">
        <v>27</v>
      </c>
      <c r="X35" s="14">
        <f>X27/X26</f>
        <v>1</v>
      </c>
    </row>
    <row r="36" spans="1:27" x14ac:dyDescent="0.2">
      <c r="T36" s="56" t="s">
        <v>209</v>
      </c>
      <c r="U36" s="35" t="s">
        <v>92</v>
      </c>
      <c r="V36" s="1"/>
      <c r="W36" s="12" t="s">
        <v>117</v>
      </c>
      <c r="X36" s="48">
        <f>AVERAGE(Table1345678910111722263032364146515663611162126313539444955939988106112118124129133138143111626213238445056[JAM KELUAR])</f>
        <v>0.3515625</v>
      </c>
    </row>
    <row r="37" spans="1:27" x14ac:dyDescent="0.2">
      <c r="V37" s="1"/>
    </row>
    <row r="38" spans="1:27" x14ac:dyDescent="0.2">
      <c r="V38" s="1"/>
    </row>
    <row r="39" spans="1:27" x14ac:dyDescent="0.2">
      <c r="V39" s="1"/>
    </row>
    <row r="40" spans="1:27" x14ac:dyDescent="0.2">
      <c r="V40" s="1"/>
    </row>
    <row r="41" spans="1:27" ht="21" x14ac:dyDescent="0.25">
      <c r="A41" s="46"/>
    </row>
    <row r="44" spans="1:27" x14ac:dyDescent="0.2">
      <c r="O44" s="2" t="s">
        <v>0</v>
      </c>
      <c r="P44" s="2" t="s">
        <v>1</v>
      </c>
      <c r="Q44" s="22" t="s">
        <v>61</v>
      </c>
      <c r="R44" s="22" t="s">
        <v>62</v>
      </c>
      <c r="S44" s="22" t="s">
        <v>63</v>
      </c>
      <c r="T44" s="2" t="s">
        <v>2</v>
      </c>
      <c r="U44" s="2" t="s">
        <v>3</v>
      </c>
    </row>
    <row r="45" spans="1:27" x14ac:dyDescent="0.2">
      <c r="O45" s="27">
        <v>1</v>
      </c>
      <c r="P45" s="2"/>
      <c r="Q45" s="41"/>
      <c r="R45" s="42"/>
      <c r="S45" s="26"/>
      <c r="T45" s="2"/>
      <c r="U45" s="24"/>
    </row>
    <row r="46" spans="1:27" x14ac:dyDescent="0.2">
      <c r="O46" s="15">
        <v>2</v>
      </c>
      <c r="P46" s="29"/>
      <c r="Q46" s="30"/>
      <c r="R46" s="36"/>
      <c r="S46" s="26"/>
      <c r="T46" s="29"/>
      <c r="U46" s="24"/>
    </row>
    <row r="47" spans="1:27" x14ac:dyDescent="0.2">
      <c r="O47" s="15">
        <v>3</v>
      </c>
      <c r="P47" s="29"/>
      <c r="Q47" s="30"/>
      <c r="R47" s="36"/>
      <c r="S47" s="39"/>
      <c r="T47" s="29"/>
      <c r="U47" s="16"/>
    </row>
    <row r="48" spans="1:27" x14ac:dyDescent="0.2">
      <c r="O48" s="27">
        <v>4</v>
      </c>
      <c r="P48" s="29"/>
      <c r="Q48" s="30"/>
      <c r="R48" s="36"/>
      <c r="S48" s="39"/>
      <c r="T48" s="29"/>
      <c r="U48" s="24"/>
    </row>
    <row r="49" spans="15:22" x14ac:dyDescent="0.2">
      <c r="O49" s="15">
        <v>5</v>
      </c>
      <c r="P49" s="29"/>
      <c r="Q49" s="30"/>
      <c r="R49" s="36"/>
      <c r="S49" s="26"/>
      <c r="T49" s="29"/>
      <c r="U49" s="24"/>
    </row>
    <row r="50" spans="15:22" x14ac:dyDescent="0.2">
      <c r="O50" s="15">
        <v>6</v>
      </c>
      <c r="P50" s="29"/>
      <c r="Q50" s="30"/>
      <c r="R50" s="36"/>
      <c r="S50" s="26"/>
      <c r="T50" s="29"/>
      <c r="U50" s="24"/>
    </row>
    <row r="51" spans="15:22" x14ac:dyDescent="0.2">
      <c r="O51" s="27">
        <v>7</v>
      </c>
      <c r="P51" s="29"/>
      <c r="Q51" s="30"/>
      <c r="R51" s="36"/>
      <c r="S51" s="39"/>
      <c r="T51" s="29"/>
      <c r="U51" s="24"/>
    </row>
    <row r="52" spans="15:22" x14ac:dyDescent="0.2">
      <c r="O52" s="15">
        <v>8</v>
      </c>
      <c r="P52" s="29"/>
      <c r="Q52" s="30"/>
      <c r="R52" s="36"/>
      <c r="S52" s="26"/>
      <c r="T52" s="29"/>
      <c r="U52" s="24"/>
    </row>
    <row r="53" spans="15:22" x14ac:dyDescent="0.2">
      <c r="O53" s="15">
        <v>9</v>
      </c>
      <c r="P53" s="29"/>
      <c r="Q53" s="30"/>
      <c r="R53" s="36"/>
      <c r="S53" s="26"/>
      <c r="T53" s="29"/>
      <c r="U53" s="24"/>
    </row>
    <row r="54" spans="15:22" x14ac:dyDescent="0.2">
      <c r="O54" s="27">
        <v>10</v>
      </c>
      <c r="P54" s="29"/>
      <c r="Q54" s="30"/>
      <c r="R54" s="36"/>
      <c r="S54" s="26"/>
      <c r="T54" s="29"/>
      <c r="U54" s="24"/>
    </row>
    <row r="55" spans="15:22" x14ac:dyDescent="0.2">
      <c r="O55" s="15">
        <v>11</v>
      </c>
      <c r="P55" s="29"/>
      <c r="Q55" s="30"/>
      <c r="R55" s="36"/>
      <c r="S55" s="26"/>
      <c r="T55" s="29"/>
      <c r="U55" s="24"/>
    </row>
    <row r="56" spans="15:22" x14ac:dyDescent="0.2">
      <c r="O56" s="1">
        <v>12</v>
      </c>
      <c r="P56" s="29"/>
      <c r="Q56" s="30"/>
      <c r="R56" s="36"/>
      <c r="S56" s="39"/>
      <c r="T56" s="29"/>
      <c r="U56" s="25"/>
    </row>
    <row r="57" spans="15:22" x14ac:dyDescent="0.2">
      <c r="O57" s="28">
        <v>13</v>
      </c>
      <c r="P57" s="29"/>
      <c r="Q57" s="30"/>
      <c r="R57" s="36"/>
      <c r="S57" s="26"/>
      <c r="T57" s="29"/>
      <c r="U57" s="25"/>
    </row>
    <row r="58" spans="15:22" x14ac:dyDescent="0.2">
      <c r="O58" s="27">
        <v>14</v>
      </c>
      <c r="P58" s="29"/>
      <c r="Q58" s="30"/>
      <c r="R58" s="36"/>
      <c r="S58" s="26"/>
      <c r="T58" s="29"/>
      <c r="U58" s="24"/>
    </row>
    <row r="59" spans="15:22" x14ac:dyDescent="0.2">
      <c r="O59" s="15">
        <v>15</v>
      </c>
      <c r="P59" s="29"/>
      <c r="Q59" s="30"/>
      <c r="R59" s="36"/>
      <c r="S59" s="26"/>
      <c r="T59" s="29"/>
      <c r="U59" s="24"/>
    </row>
    <row r="60" spans="15:22" x14ac:dyDescent="0.2">
      <c r="O60" s="1">
        <v>16</v>
      </c>
      <c r="P60" s="29"/>
      <c r="Q60" s="30"/>
      <c r="R60" s="36"/>
      <c r="S60" s="26"/>
      <c r="T60" s="29"/>
      <c r="U60" s="25"/>
    </row>
    <row r="61" spans="15:22" x14ac:dyDescent="0.2">
      <c r="O61" s="28">
        <v>17</v>
      </c>
      <c r="P61" s="29"/>
      <c r="Q61" s="30"/>
      <c r="R61" s="36"/>
      <c r="S61" s="26"/>
      <c r="T61" s="29"/>
      <c r="U61" s="25"/>
    </row>
    <row r="62" spans="15:22" x14ac:dyDescent="0.2">
      <c r="O62" s="27">
        <v>18</v>
      </c>
      <c r="P62" s="29"/>
      <c r="Q62" s="30"/>
      <c r="R62" s="36"/>
      <c r="S62" s="26"/>
      <c r="T62" s="29"/>
      <c r="U62" s="24"/>
    </row>
    <row r="63" spans="15:22" x14ac:dyDescent="0.2">
      <c r="O63" s="1">
        <v>19</v>
      </c>
      <c r="P63" s="29"/>
      <c r="Q63" s="30"/>
      <c r="R63" s="36"/>
      <c r="S63" s="39"/>
      <c r="T63" s="29"/>
      <c r="U63" s="25"/>
      <c r="V63" s="1"/>
    </row>
    <row r="64" spans="15:22" x14ac:dyDescent="0.2">
      <c r="O64" s="1">
        <v>20</v>
      </c>
      <c r="P64" s="29"/>
      <c r="Q64" s="30"/>
      <c r="R64" s="36"/>
      <c r="S64" s="39"/>
      <c r="T64" s="29"/>
      <c r="U64" s="25"/>
      <c r="V64" s="1"/>
    </row>
    <row r="65" spans="15:22" x14ac:dyDescent="0.2">
      <c r="O65" s="28">
        <v>21</v>
      </c>
      <c r="P65" s="29"/>
      <c r="Q65" s="30"/>
      <c r="R65" s="36"/>
      <c r="S65" s="26"/>
      <c r="T65" s="29"/>
      <c r="U65" s="25"/>
      <c r="V65" s="1"/>
    </row>
    <row r="66" spans="15:22" x14ac:dyDescent="0.2">
      <c r="O66" s="27">
        <v>22</v>
      </c>
      <c r="P66" s="29"/>
      <c r="Q66" s="30"/>
      <c r="R66" s="36"/>
      <c r="S66" s="26"/>
      <c r="T66" s="29"/>
      <c r="U66" s="25"/>
    </row>
  </sheetData>
  <mergeCells count="22">
    <mergeCell ref="O1:X1"/>
    <mergeCell ref="AA1:AJ1"/>
    <mergeCell ref="AM1:AV1"/>
    <mergeCell ref="B2:K2"/>
    <mergeCell ref="O2:X2"/>
    <mergeCell ref="AA2:AJ2"/>
    <mergeCell ref="AM2:AV2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  <mergeCell ref="O23:U23"/>
    <mergeCell ref="W23:X24"/>
    <mergeCell ref="O24:U24"/>
    <mergeCell ref="AM4:AS4"/>
    <mergeCell ref="AU4:AV5"/>
  </mergeCells>
  <pageMargins left="0.12" right="0.12" top="0.75" bottom="0.75" header="0.3" footer="0.3"/>
  <pageSetup paperSize="5" scale="68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5" min="1" max="39" man="1"/>
    <brk id="37" min="1" max="39" man="1"/>
  </colBreaks>
  <tableParts count="6">
    <tablePart r:id="rId2"/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1EEF-F8C0-4F38-82F8-522B8FE64DD5}">
  <sheetPr>
    <tabColor theme="7" tint="0.39997558519241921"/>
  </sheetPr>
  <dimension ref="A1:AV67"/>
  <sheetViews>
    <sheetView showGridLines="0" view="pageBreakPreview" topLeftCell="AI1" zoomScale="70" zoomScaleNormal="55" zoomScaleSheetLayoutView="70" workbookViewId="0">
      <selection activeCell="AN7" sqref="AN7:AS18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1.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COUNTIF(Table132456789101113212529343944495461491419242933364247539197861041101161221271311361419142419303642485460[Retase],"&gt;3")</f>
        <v>7</v>
      </c>
      <c r="D3" t="s">
        <v>241</v>
      </c>
      <c r="O3" s="60">
        <f>COUNTIF(Table1345678910111722263035404550556251015202530343843485492988710511111712312813213714210152520313743495561[Retase],"&gt;4")</f>
        <v>7</v>
      </c>
      <c r="P3" s="60">
        <f>COUNTIF(Table134567891011172226303236414651566361116212631353944495593998810611211812412913313814311162621323844505662[Retase],"&gt;3")</f>
        <v>0</v>
      </c>
      <c r="AA3" s="60">
        <f>COUNTIF(Table134567891011151819232731374247525927121722273228414652909680103109115121126120135140813231828344046525864[Retase],"&gt;4")</f>
        <v>8</v>
      </c>
      <c r="AM3" s="60">
        <f>COUNTIF(Table1345678910111518192327313742475259271217222732284146529096801031091151211261201351408132318293541475359[Retase],"&gt;3")</f>
        <v>6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45424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45424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45424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45424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18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15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 t="s">
        <v>209</v>
      </c>
      <c r="B7" s="50">
        <v>1</v>
      </c>
      <c r="C7" s="31" t="s">
        <v>68</v>
      </c>
      <c r="D7" s="32">
        <v>0.52083333333333337</v>
      </c>
      <c r="E7" s="32">
        <v>0.63680555555555551</v>
      </c>
      <c r="F7" s="51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0.11597222222222214</v>
      </c>
      <c r="G7" s="31">
        <v>1</v>
      </c>
      <c r="H7" s="68" t="s">
        <v>443</v>
      </c>
      <c r="J7" s="4" t="s">
        <v>10</v>
      </c>
      <c r="K7" s="6">
        <v>23</v>
      </c>
      <c r="L7" s="19"/>
      <c r="N7" s="54"/>
      <c r="O7" s="27">
        <v>1</v>
      </c>
      <c r="P7" s="23" t="s">
        <v>31</v>
      </c>
      <c r="Q7" s="21">
        <v>0.27777777777777779</v>
      </c>
      <c r="R7" s="21">
        <v>0.73888888888888893</v>
      </c>
      <c r="S7" s="37">
        <f t="shared" ref="S7:S18" si="0">R7-Q7</f>
        <v>0.46111111111111114</v>
      </c>
      <c r="T7" s="20">
        <v>2</v>
      </c>
      <c r="U7" s="24" t="s">
        <v>435</v>
      </c>
      <c r="W7" s="4" t="s">
        <v>10</v>
      </c>
      <c r="X7" s="6">
        <v>18</v>
      </c>
      <c r="AA7" s="15">
        <v>1</v>
      </c>
      <c r="AB7" s="23" t="s">
        <v>49</v>
      </c>
      <c r="AC7" s="21">
        <v>0.22916666666666666</v>
      </c>
      <c r="AD7" s="21">
        <v>0.54236111111111118</v>
      </c>
      <c r="AE7" s="37">
        <f t="shared" ref="AE7:AE19" si="1">AD7-AC7</f>
        <v>0.31319444444444455</v>
      </c>
      <c r="AF7" s="20">
        <v>2</v>
      </c>
      <c r="AG7" s="16" t="s">
        <v>430</v>
      </c>
      <c r="AI7" s="4" t="s">
        <v>10</v>
      </c>
      <c r="AJ7" s="6">
        <v>15</v>
      </c>
      <c r="AM7" s="15">
        <v>1</v>
      </c>
      <c r="AN7" s="20" t="s">
        <v>235</v>
      </c>
      <c r="AO7" s="21">
        <v>0.22013888888888888</v>
      </c>
      <c r="AP7" s="21">
        <v>0.35902777777777778</v>
      </c>
      <c r="AQ7" s="37">
        <f t="shared" ref="AQ7:AQ18" si="2">AP7-AO7</f>
        <v>0.1388888888888889</v>
      </c>
      <c r="AR7" s="20">
        <v>1</v>
      </c>
      <c r="AS7" s="16" t="s">
        <v>451</v>
      </c>
      <c r="AU7" s="4" t="s">
        <v>10</v>
      </c>
      <c r="AV7" s="6">
        <v>10</v>
      </c>
    </row>
    <row r="8" spans="1:48" s="1" customFormat="1" ht="16" x14ac:dyDescent="0.2">
      <c r="A8"/>
      <c r="B8" s="50">
        <v>2</v>
      </c>
      <c r="C8" s="70" t="s">
        <v>13</v>
      </c>
      <c r="D8" s="71">
        <v>0.34236111111111112</v>
      </c>
      <c r="E8" s="71">
        <v>0.65277777777777779</v>
      </c>
      <c r="F8" s="72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0.31041666666666667</v>
      </c>
      <c r="G8" s="70">
        <v>2</v>
      </c>
      <c r="H8" s="73" t="s">
        <v>444</v>
      </c>
      <c r="J8" s="4" t="s">
        <v>9</v>
      </c>
      <c r="K8" s="7">
        <v>21</v>
      </c>
      <c r="L8" s="19"/>
      <c r="O8" s="15">
        <v>2</v>
      </c>
      <c r="P8" s="23" t="s">
        <v>40</v>
      </c>
      <c r="Q8" s="40">
        <v>0.27569444444444446</v>
      </c>
      <c r="R8" s="40">
        <v>0.72361111111111109</v>
      </c>
      <c r="S8" s="37">
        <f t="shared" si="0"/>
        <v>0.44791666666666663</v>
      </c>
      <c r="T8" s="23">
        <v>3</v>
      </c>
      <c r="U8" s="24" t="s">
        <v>436</v>
      </c>
      <c r="W8" s="4" t="s">
        <v>9</v>
      </c>
      <c r="X8" s="7">
        <v>12</v>
      </c>
      <c r="Z8" s="56"/>
      <c r="AA8" s="15">
        <v>2</v>
      </c>
      <c r="AB8" s="23" t="s">
        <v>80</v>
      </c>
      <c r="AC8" s="40">
        <v>0.24791666666666667</v>
      </c>
      <c r="AD8" s="40">
        <v>0.4513888888888889</v>
      </c>
      <c r="AE8" s="38">
        <f t="shared" si="1"/>
        <v>0.20347222222222222</v>
      </c>
      <c r="AF8" s="20">
        <v>2</v>
      </c>
      <c r="AG8" s="16" t="s">
        <v>431</v>
      </c>
      <c r="AI8" s="4" t="s">
        <v>9</v>
      </c>
      <c r="AJ8" s="6">
        <v>14</v>
      </c>
      <c r="AM8" s="15">
        <v>2</v>
      </c>
      <c r="AN8" s="20" t="s">
        <v>236</v>
      </c>
      <c r="AO8" s="21">
        <v>0.25486111111111109</v>
      </c>
      <c r="AP8" s="21">
        <v>0.39513888888888887</v>
      </c>
      <c r="AQ8" s="38">
        <f t="shared" si="2"/>
        <v>0.14027777777777778</v>
      </c>
      <c r="AR8" s="20">
        <v>1</v>
      </c>
      <c r="AS8" s="16" t="s">
        <v>420</v>
      </c>
      <c r="AU8" s="4" t="s">
        <v>9</v>
      </c>
      <c r="AV8" s="6">
        <v>12</v>
      </c>
    </row>
    <row r="9" spans="1:48" s="1" customFormat="1" x14ac:dyDescent="0.2">
      <c r="A9" s="56"/>
      <c r="B9" s="15">
        <v>3</v>
      </c>
      <c r="C9" s="20" t="s">
        <v>65</v>
      </c>
      <c r="D9" s="21">
        <v>0.25694444444444448</v>
      </c>
      <c r="E9" s="21">
        <v>0.62222222222222223</v>
      </c>
      <c r="F9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0.36527777777777776</v>
      </c>
      <c r="G9" s="20">
        <v>3</v>
      </c>
      <c r="H9" s="65" t="s">
        <v>89</v>
      </c>
      <c r="J9" s="4" t="s">
        <v>4</v>
      </c>
      <c r="K9" s="7">
        <v>0</v>
      </c>
      <c r="L9" s="19"/>
      <c r="N9" s="54"/>
      <c r="O9" s="50">
        <v>3</v>
      </c>
      <c r="P9" s="33" t="s">
        <v>30</v>
      </c>
      <c r="Q9" s="44">
        <v>0.29652777777777778</v>
      </c>
      <c r="R9" s="44">
        <v>0.56319444444444444</v>
      </c>
      <c r="S9" s="52">
        <f t="shared" si="0"/>
        <v>0.26666666666666666</v>
      </c>
      <c r="T9" s="33">
        <v>3</v>
      </c>
      <c r="U9" s="53" t="s">
        <v>437</v>
      </c>
      <c r="W9" s="4" t="s">
        <v>4</v>
      </c>
      <c r="X9" s="7">
        <v>0</v>
      </c>
      <c r="Z9" s="56"/>
      <c r="AA9" s="15">
        <v>3</v>
      </c>
      <c r="AB9" s="23" t="s">
        <v>50</v>
      </c>
      <c r="AC9" s="40">
        <v>0.25347222222222221</v>
      </c>
      <c r="AD9" s="40">
        <v>0.44236111111111115</v>
      </c>
      <c r="AE9" s="38">
        <f t="shared" si="1"/>
        <v>0.18888888888888894</v>
      </c>
      <c r="AF9" s="20">
        <v>2</v>
      </c>
      <c r="AG9" s="16" t="s">
        <v>432</v>
      </c>
      <c r="AI9" s="4" t="s">
        <v>4</v>
      </c>
      <c r="AJ9" s="7">
        <v>1</v>
      </c>
      <c r="AM9" s="50">
        <v>3</v>
      </c>
      <c r="AN9" s="31" t="s">
        <v>307</v>
      </c>
      <c r="AO9" s="32">
        <v>0.44861111111111113</v>
      </c>
      <c r="AP9" s="32">
        <v>0.68125000000000002</v>
      </c>
      <c r="AQ9" s="51">
        <f t="shared" si="2"/>
        <v>0.2326388888888889</v>
      </c>
      <c r="AR9" s="31">
        <v>2</v>
      </c>
      <c r="AS9" s="55" t="s">
        <v>450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0" t="s">
        <v>118</v>
      </c>
      <c r="D10" s="21">
        <v>0.24791666666666667</v>
      </c>
      <c r="E10" s="21">
        <v>0.62361111111111112</v>
      </c>
      <c r="F10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0.37569444444444444</v>
      </c>
      <c r="G10" s="20">
        <v>3</v>
      </c>
      <c r="H10" s="65" t="s">
        <v>89</v>
      </c>
      <c r="J10" s="4" t="s">
        <v>5</v>
      </c>
      <c r="K10" s="7">
        <v>2</v>
      </c>
      <c r="L10" s="19"/>
      <c r="O10" s="57">
        <v>4</v>
      </c>
      <c r="P10" s="33" t="s">
        <v>123</v>
      </c>
      <c r="Q10" s="44">
        <v>0.29236111111111113</v>
      </c>
      <c r="R10" s="44">
        <v>0.60625000000000007</v>
      </c>
      <c r="S10" s="52">
        <f t="shared" si="0"/>
        <v>0.31388888888888894</v>
      </c>
      <c r="T10" s="33">
        <v>4</v>
      </c>
      <c r="U10" s="55" t="s">
        <v>26</v>
      </c>
      <c r="W10" s="4" t="s">
        <v>5</v>
      </c>
      <c r="X10" s="7">
        <v>6</v>
      </c>
      <c r="Z10" s="56"/>
      <c r="AA10" s="50">
        <v>4</v>
      </c>
      <c r="AB10" s="33" t="s">
        <v>122</v>
      </c>
      <c r="AC10" s="44">
        <v>0.29305555555555557</v>
      </c>
      <c r="AD10" s="44">
        <v>0.60416666666666663</v>
      </c>
      <c r="AE10" s="51">
        <f t="shared" si="1"/>
        <v>0.31111111111111106</v>
      </c>
      <c r="AF10" s="31">
        <v>4</v>
      </c>
      <c r="AG10" s="55" t="s">
        <v>433</v>
      </c>
      <c r="AI10" s="4" t="s">
        <v>5</v>
      </c>
      <c r="AJ10" s="7">
        <v>0</v>
      </c>
      <c r="AL10" s="54"/>
      <c r="AM10" s="15">
        <v>4</v>
      </c>
      <c r="AN10" s="20" t="s">
        <v>237</v>
      </c>
      <c r="AO10" s="21">
        <v>0.34027777777777773</v>
      </c>
      <c r="AP10" s="21">
        <v>0.62222222222222223</v>
      </c>
      <c r="AQ10" s="38">
        <f t="shared" si="2"/>
        <v>0.2819444444444445</v>
      </c>
      <c r="AR10" s="20">
        <v>3</v>
      </c>
      <c r="AS10" s="16" t="s">
        <v>428</v>
      </c>
      <c r="AU10" s="4" t="s">
        <v>5</v>
      </c>
      <c r="AV10" s="7">
        <v>1</v>
      </c>
    </row>
    <row r="11" spans="1:48" s="1" customFormat="1" x14ac:dyDescent="0.2">
      <c r="A11"/>
      <c r="B11" s="15">
        <v>5</v>
      </c>
      <c r="C11" s="20" t="s">
        <v>12</v>
      </c>
      <c r="D11" s="21">
        <v>0.25</v>
      </c>
      <c r="E11" s="21">
        <v>0.60833333333333328</v>
      </c>
      <c r="F11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0.35833333333333328</v>
      </c>
      <c r="G11" s="20">
        <v>3</v>
      </c>
      <c r="H11" s="65" t="s">
        <v>445</v>
      </c>
      <c r="J11" s="4" t="s">
        <v>6</v>
      </c>
      <c r="K11" s="7">
        <v>0</v>
      </c>
      <c r="O11" s="15">
        <v>5</v>
      </c>
      <c r="P11" s="23" t="s">
        <v>57</v>
      </c>
      <c r="Q11" s="40">
        <v>0.26597222222222222</v>
      </c>
      <c r="R11" s="40">
        <v>0.70624999999999993</v>
      </c>
      <c r="S11" s="37">
        <f t="shared" si="0"/>
        <v>0.44027777777777771</v>
      </c>
      <c r="T11" s="23">
        <v>4</v>
      </c>
      <c r="U11" s="16" t="s">
        <v>438</v>
      </c>
      <c r="W11" s="4" t="s">
        <v>33</v>
      </c>
      <c r="X11" s="7">
        <v>0</v>
      </c>
      <c r="Z11" s="56" t="s">
        <v>209</v>
      </c>
      <c r="AA11" s="50">
        <v>5</v>
      </c>
      <c r="AB11" s="33" t="s">
        <v>79</v>
      </c>
      <c r="AC11" s="44">
        <v>0.32291666666666669</v>
      </c>
      <c r="AD11" s="44">
        <v>0.72291666666666676</v>
      </c>
      <c r="AE11" s="51">
        <f t="shared" si="1"/>
        <v>0.40000000000000008</v>
      </c>
      <c r="AF11" s="31">
        <v>4</v>
      </c>
      <c r="AG11" s="55" t="s">
        <v>434</v>
      </c>
      <c r="AI11" s="4" t="s">
        <v>6</v>
      </c>
      <c r="AJ11" s="7">
        <v>0</v>
      </c>
      <c r="AM11" s="15">
        <v>5</v>
      </c>
      <c r="AN11" s="20" t="s">
        <v>238</v>
      </c>
      <c r="AO11" s="21">
        <v>0.22291666666666665</v>
      </c>
      <c r="AP11" s="21">
        <v>0.70486111111111116</v>
      </c>
      <c r="AQ11" s="38">
        <f t="shared" si="2"/>
        <v>0.48194444444444451</v>
      </c>
      <c r="AR11" s="20">
        <v>3</v>
      </c>
      <c r="AS11" s="16" t="s">
        <v>429</v>
      </c>
      <c r="AU11" s="4" t="s">
        <v>6</v>
      </c>
      <c r="AV11" s="7">
        <v>26</v>
      </c>
    </row>
    <row r="12" spans="1:48" s="1" customFormat="1" x14ac:dyDescent="0.2">
      <c r="A12"/>
      <c r="B12" s="15">
        <v>6</v>
      </c>
      <c r="C12" s="20" t="s">
        <v>20</v>
      </c>
      <c r="D12" s="21">
        <v>0.25069444444444444</v>
      </c>
      <c r="E12" s="40">
        <v>0.62013888888888891</v>
      </c>
      <c r="F12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0.36944444444444446</v>
      </c>
      <c r="G12" s="20">
        <v>3</v>
      </c>
      <c r="H12" s="65" t="s">
        <v>89</v>
      </c>
      <c r="J12" s="8" t="s">
        <v>8</v>
      </c>
      <c r="K12" s="9">
        <f>SUM(Table132456789101113212529343944495461491419242933364247539197861041101161221271311361419142419303642485460[Retase])</f>
        <v>67</v>
      </c>
      <c r="L12" s="19"/>
      <c r="N12" s="54"/>
      <c r="O12" s="1">
        <v>6</v>
      </c>
      <c r="P12" s="29" t="s">
        <v>58</v>
      </c>
      <c r="Q12" s="30">
        <v>0.28333333333333333</v>
      </c>
      <c r="R12" s="30">
        <v>0.6958333333333333</v>
      </c>
      <c r="S12" s="39">
        <f t="shared" si="0"/>
        <v>0.41249999999999998</v>
      </c>
      <c r="T12" s="29">
        <v>5</v>
      </c>
      <c r="U12" s="45" t="s">
        <v>25</v>
      </c>
      <c r="W12" s="8" t="s">
        <v>8</v>
      </c>
      <c r="X12" s="9">
        <f>SUM(Table1345678910111722263035404550556251015202530343843485492988710511111712312813213714210152520313743495561[Retase])</f>
        <v>54</v>
      </c>
      <c r="AA12" s="1">
        <v>6</v>
      </c>
      <c r="AB12" s="29" t="s">
        <v>48</v>
      </c>
      <c r="AC12" s="30">
        <v>0.25416666666666665</v>
      </c>
      <c r="AD12" s="30">
        <v>0.6791666666666667</v>
      </c>
      <c r="AE12" s="26">
        <f t="shared" si="1"/>
        <v>0.42500000000000004</v>
      </c>
      <c r="AF12" s="2">
        <v>5</v>
      </c>
      <c r="AG12" s="45" t="s">
        <v>25</v>
      </c>
      <c r="AI12" s="8" t="s">
        <v>8</v>
      </c>
      <c r="AJ12" s="9">
        <f>SUM(Table134567891011151819232731374247525927121722273228414652909680103109115121126120135140813231828344046525864[Retase])</f>
        <v>56</v>
      </c>
      <c r="AM12" s="50">
        <v>6</v>
      </c>
      <c r="AN12" s="31" t="s">
        <v>278</v>
      </c>
      <c r="AO12" s="32">
        <v>0.37083333333333335</v>
      </c>
      <c r="AP12" s="32">
        <v>0.69236111111111109</v>
      </c>
      <c r="AQ12" s="51">
        <f t="shared" si="2"/>
        <v>0.32152777777777775</v>
      </c>
      <c r="AR12" s="31">
        <v>3</v>
      </c>
      <c r="AS12" s="55" t="s">
        <v>449</v>
      </c>
      <c r="AU12" s="8" t="s">
        <v>8</v>
      </c>
      <c r="AV12" s="9">
        <f>SUM(Table1345678910111518192327313742475259271217222732284146529096801031091151211261201351408132318293541475359[Retase])</f>
        <v>39</v>
      </c>
    </row>
    <row r="13" spans="1:48" s="1" customFormat="1" x14ac:dyDescent="0.2">
      <c r="A13"/>
      <c r="B13" s="15">
        <v>7</v>
      </c>
      <c r="C13" s="20" t="s">
        <v>14</v>
      </c>
      <c r="D13" s="21">
        <v>0.28750000000000003</v>
      </c>
      <c r="E13" s="21">
        <v>0.63541666666666663</v>
      </c>
      <c r="F13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0.3479166666666666</v>
      </c>
      <c r="G13" s="20">
        <v>3</v>
      </c>
      <c r="H13" s="65" t="s">
        <v>89</v>
      </c>
      <c r="J13" s="10" t="s">
        <v>7</v>
      </c>
      <c r="K13" s="11">
        <f>K12/K8</f>
        <v>3.1904761904761907</v>
      </c>
      <c r="L13" s="19"/>
      <c r="O13" s="28">
        <v>7</v>
      </c>
      <c r="P13" s="29" t="s">
        <v>34</v>
      </c>
      <c r="Q13" s="30">
        <v>0.27083333333333331</v>
      </c>
      <c r="R13" s="30">
        <v>0.71875</v>
      </c>
      <c r="S13" s="39">
        <f t="shared" si="0"/>
        <v>0.44791666666666669</v>
      </c>
      <c r="T13" s="29">
        <v>5</v>
      </c>
      <c r="U13" s="45" t="s">
        <v>25</v>
      </c>
      <c r="W13" s="10" t="s">
        <v>7</v>
      </c>
      <c r="X13" s="11">
        <f>X12/X8</f>
        <v>4.5</v>
      </c>
      <c r="AA13" s="1">
        <v>7</v>
      </c>
      <c r="AB13" s="29" t="s">
        <v>77</v>
      </c>
      <c r="AC13" s="30">
        <v>0.28958333333333336</v>
      </c>
      <c r="AD13" s="30">
        <v>0.70000000000000007</v>
      </c>
      <c r="AE13" s="26">
        <f t="shared" si="1"/>
        <v>0.41041666666666671</v>
      </c>
      <c r="AF13" s="2">
        <v>5</v>
      </c>
      <c r="AG13" s="45" t="s">
        <v>25</v>
      </c>
      <c r="AI13" s="10" t="s">
        <v>7</v>
      </c>
      <c r="AJ13" s="11">
        <f>AJ12/AJ8</f>
        <v>4</v>
      </c>
      <c r="AM13" s="1">
        <v>7</v>
      </c>
      <c r="AN13" s="2" t="s">
        <v>301</v>
      </c>
      <c r="AO13" s="41">
        <v>0.28958333333333336</v>
      </c>
      <c r="AP13" s="41">
        <v>0.68819444444444444</v>
      </c>
      <c r="AQ13" s="26">
        <f t="shared" si="2"/>
        <v>0.39861111111111108</v>
      </c>
      <c r="AR13" s="2">
        <v>4</v>
      </c>
      <c r="AS13" s="45" t="s">
        <v>25</v>
      </c>
      <c r="AU13" s="10" t="s">
        <v>7</v>
      </c>
      <c r="AV13" s="11">
        <f>AV12/AV8</f>
        <v>3.25</v>
      </c>
    </row>
    <row r="14" spans="1:48" s="1" customFormat="1" x14ac:dyDescent="0.2">
      <c r="A14"/>
      <c r="B14" s="15">
        <v>8</v>
      </c>
      <c r="C14" s="20" t="s">
        <v>70</v>
      </c>
      <c r="D14" s="21">
        <v>0.27777777777777779</v>
      </c>
      <c r="E14" s="21">
        <v>0.64166666666666672</v>
      </c>
      <c r="F14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0.36388888888888893</v>
      </c>
      <c r="G14" s="20">
        <v>3</v>
      </c>
      <c r="H14" s="65" t="s">
        <v>89</v>
      </c>
      <c r="J14" s="12" t="s">
        <v>11</v>
      </c>
      <c r="K14" s="13">
        <v>4</v>
      </c>
      <c r="L14" s="19"/>
      <c r="N14" s="56" t="s">
        <v>209</v>
      </c>
      <c r="O14" s="50">
        <v>8</v>
      </c>
      <c r="P14" s="33" t="s">
        <v>41</v>
      </c>
      <c r="Q14" s="44">
        <v>0.35902777777777778</v>
      </c>
      <c r="R14" s="44">
        <v>0.71875</v>
      </c>
      <c r="S14" s="52">
        <f t="shared" si="0"/>
        <v>0.35972222222222222</v>
      </c>
      <c r="T14" s="33">
        <v>5</v>
      </c>
      <c r="U14" s="55" t="s">
        <v>25</v>
      </c>
      <c r="W14" s="12" t="s">
        <v>11</v>
      </c>
      <c r="X14" s="13">
        <v>5</v>
      </c>
      <c r="AA14" s="1">
        <v>8</v>
      </c>
      <c r="AB14" s="29" t="s">
        <v>56</v>
      </c>
      <c r="AC14" s="30">
        <v>0.27986111111111112</v>
      </c>
      <c r="AD14" s="30">
        <v>0.64027777777777783</v>
      </c>
      <c r="AE14" s="26">
        <f t="shared" si="1"/>
        <v>0.36041666666666672</v>
      </c>
      <c r="AF14" s="2">
        <v>5</v>
      </c>
      <c r="AG14" s="45" t="s">
        <v>25</v>
      </c>
      <c r="AI14" s="12" t="s">
        <v>11</v>
      </c>
      <c r="AJ14" s="13">
        <v>5</v>
      </c>
      <c r="AM14" s="1">
        <v>8</v>
      </c>
      <c r="AN14" s="2" t="s">
        <v>231</v>
      </c>
      <c r="AO14" s="41">
        <v>0.28750000000000003</v>
      </c>
      <c r="AP14" s="41">
        <v>0.68958333333333333</v>
      </c>
      <c r="AQ14" s="26">
        <f t="shared" si="2"/>
        <v>0.40208333333333329</v>
      </c>
      <c r="AR14" s="2">
        <v>4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0" t="s">
        <v>73</v>
      </c>
      <c r="D15" s="21">
        <v>0.22291666666666665</v>
      </c>
      <c r="E15" s="21">
        <v>0.6166666666666667</v>
      </c>
      <c r="F15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0.39375000000000004</v>
      </c>
      <c r="G15" s="20">
        <v>3</v>
      </c>
      <c r="H15" s="65" t="s">
        <v>89</v>
      </c>
      <c r="J15" s="12" t="s">
        <v>88</v>
      </c>
      <c r="K15" s="14">
        <f>B3/K8</f>
        <v>0.33333333333333331</v>
      </c>
      <c r="L15" s="19"/>
      <c r="O15" s="1">
        <v>9</v>
      </c>
      <c r="P15" s="29" t="s">
        <v>59</v>
      </c>
      <c r="Q15" s="30">
        <v>0.28333333333333333</v>
      </c>
      <c r="R15" s="30">
        <v>0.7597222222222223</v>
      </c>
      <c r="S15" s="39">
        <f t="shared" si="0"/>
        <v>0.47638888888888897</v>
      </c>
      <c r="T15" s="29">
        <v>5</v>
      </c>
      <c r="U15" s="45" t="s">
        <v>25</v>
      </c>
      <c r="W15" s="12" t="s">
        <v>88</v>
      </c>
      <c r="X15" s="14">
        <f>O3/X8</f>
        <v>0.58333333333333337</v>
      </c>
      <c r="AA15" s="1">
        <v>9</v>
      </c>
      <c r="AB15" s="29" t="s">
        <v>46</v>
      </c>
      <c r="AC15" s="30">
        <v>0.26527777777777778</v>
      </c>
      <c r="AD15" s="30">
        <v>0.68055555555555547</v>
      </c>
      <c r="AE15" s="26">
        <f t="shared" si="1"/>
        <v>0.41527777777777769</v>
      </c>
      <c r="AF15" s="2">
        <v>5</v>
      </c>
      <c r="AG15" s="45" t="s">
        <v>25</v>
      </c>
      <c r="AI15" s="12" t="s">
        <v>88</v>
      </c>
      <c r="AJ15" s="14">
        <f>AA3/AJ8</f>
        <v>0.5714285714285714</v>
      </c>
      <c r="AM15" s="1">
        <v>9</v>
      </c>
      <c r="AN15" s="2" t="s">
        <v>232</v>
      </c>
      <c r="AO15" s="41">
        <v>0.25972222222222224</v>
      </c>
      <c r="AP15" s="41">
        <v>0.67083333333333339</v>
      </c>
      <c r="AQ15" s="26">
        <f t="shared" si="2"/>
        <v>0.41111111111111115</v>
      </c>
      <c r="AR15" s="2">
        <v>4</v>
      </c>
      <c r="AS15" s="45" t="s">
        <v>25</v>
      </c>
      <c r="AU15" s="12" t="s">
        <v>88</v>
      </c>
      <c r="AV15" s="14">
        <f>AM3/AV8</f>
        <v>0.5</v>
      </c>
    </row>
    <row r="16" spans="1:48" x14ac:dyDescent="0.2">
      <c r="B16" s="15">
        <v>10</v>
      </c>
      <c r="C16" s="20" t="s">
        <v>69</v>
      </c>
      <c r="D16" s="21">
        <v>0.27569444444444446</v>
      </c>
      <c r="E16" s="21">
        <v>0.62777777777777777</v>
      </c>
      <c r="F16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0.3520833333333333</v>
      </c>
      <c r="G16" s="20">
        <v>3</v>
      </c>
      <c r="H16" s="65" t="s">
        <v>89</v>
      </c>
      <c r="J16" s="12" t="s">
        <v>24</v>
      </c>
      <c r="K16" s="14">
        <f>K8/K7</f>
        <v>0.91304347826086951</v>
      </c>
      <c r="O16" s="28">
        <v>10</v>
      </c>
      <c r="P16" s="29" t="s">
        <v>35</v>
      </c>
      <c r="Q16" s="30">
        <v>0.26111111111111113</v>
      </c>
      <c r="R16" s="30">
        <v>0.71805555555555556</v>
      </c>
      <c r="S16" s="39">
        <f t="shared" si="0"/>
        <v>0.45694444444444443</v>
      </c>
      <c r="T16" s="29">
        <v>6</v>
      </c>
      <c r="U16" s="45" t="s">
        <v>25</v>
      </c>
      <c r="W16" s="12" t="s">
        <v>27</v>
      </c>
      <c r="X16" s="14">
        <f>X8/X7</f>
        <v>0.66666666666666663</v>
      </c>
      <c r="AA16" s="1">
        <v>10</v>
      </c>
      <c r="AB16" s="29" t="s">
        <v>81</v>
      </c>
      <c r="AC16" s="30">
        <v>0.28750000000000003</v>
      </c>
      <c r="AD16" s="30">
        <v>0.67569444444444438</v>
      </c>
      <c r="AE16" s="26">
        <f t="shared" si="1"/>
        <v>0.38819444444444434</v>
      </c>
      <c r="AF16" s="2">
        <v>5</v>
      </c>
      <c r="AG16" s="45" t="s">
        <v>25</v>
      </c>
      <c r="AI16" s="12" t="s">
        <v>27</v>
      </c>
      <c r="AJ16" s="14">
        <f>AJ8/AJ7</f>
        <v>0.93333333333333335</v>
      </c>
      <c r="AM16" s="1">
        <v>10</v>
      </c>
      <c r="AN16" s="2" t="s">
        <v>234</v>
      </c>
      <c r="AO16" s="41">
        <v>0.21805555555555556</v>
      </c>
      <c r="AP16" s="41">
        <v>0.66875000000000007</v>
      </c>
      <c r="AQ16" s="26">
        <f t="shared" si="2"/>
        <v>0.45069444444444451</v>
      </c>
      <c r="AR16" s="2">
        <v>4</v>
      </c>
      <c r="AS16" s="45" t="s">
        <v>25</v>
      </c>
      <c r="AU16" s="12" t="s">
        <v>27</v>
      </c>
      <c r="AV16" s="14">
        <f>AV8/AV7</f>
        <v>1.2</v>
      </c>
    </row>
    <row r="17" spans="2:48" x14ac:dyDescent="0.2">
      <c r="B17" s="15">
        <v>11</v>
      </c>
      <c r="C17" s="20" t="s">
        <v>15</v>
      </c>
      <c r="D17" s="21">
        <v>0.21736111111111112</v>
      </c>
      <c r="E17" s="21">
        <v>0.62222222222222223</v>
      </c>
      <c r="F17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0.40486111111111112</v>
      </c>
      <c r="G17" s="20">
        <v>3</v>
      </c>
      <c r="H17" s="24" t="s">
        <v>446</v>
      </c>
      <c r="J17" s="12" t="s">
        <v>117</v>
      </c>
      <c r="K17" s="48">
        <f>AVERAGE(Table132456789101113212529343944495461491419242933364247539197861041101161221271311361419142419303642485460[JAM KELUAR])</f>
        <v>0.26570767195767192</v>
      </c>
      <c r="O17" s="1">
        <v>11</v>
      </c>
      <c r="P17" s="29" t="s">
        <v>309</v>
      </c>
      <c r="Q17" s="30">
        <v>0.28958333333333336</v>
      </c>
      <c r="R17" s="30">
        <v>0.75069444444444444</v>
      </c>
      <c r="S17" s="39">
        <f t="shared" si="0"/>
        <v>0.46111111111111108</v>
      </c>
      <c r="T17" s="29">
        <v>6</v>
      </c>
      <c r="U17" s="45" t="s">
        <v>25</v>
      </c>
      <c r="W17" s="12" t="s">
        <v>117</v>
      </c>
      <c r="X17" s="48">
        <f>AVERAGE(Table1345678910111722263035404550556251015202530343843485492988710511111712312813213714210152520313743495561[JAM KELUAR])</f>
        <v>0.2814814814814815</v>
      </c>
      <c r="AA17" s="1">
        <v>11</v>
      </c>
      <c r="AB17" s="29" t="s">
        <v>51</v>
      </c>
      <c r="AC17" s="30">
        <v>0.27013888888888887</v>
      </c>
      <c r="AD17" s="30">
        <v>0.69027777777777777</v>
      </c>
      <c r="AE17" s="26">
        <f t="shared" si="1"/>
        <v>0.4201388888888889</v>
      </c>
      <c r="AF17" s="2">
        <v>5</v>
      </c>
      <c r="AG17" s="45" t="s">
        <v>25</v>
      </c>
      <c r="AI17" s="12" t="s">
        <v>117</v>
      </c>
      <c r="AJ17" s="48">
        <f>AVERAGE(Table134567891011151819232731374247525927121722273228414652909680103109115121126120135140813231828344046525864[JAM KELUAR])</f>
        <v>0.27056623931623935</v>
      </c>
      <c r="AM17" s="1">
        <v>11</v>
      </c>
      <c r="AN17" s="2" t="s">
        <v>233</v>
      </c>
      <c r="AO17" s="41">
        <v>0.21736111111111112</v>
      </c>
      <c r="AP17" s="41">
        <v>0.70763888888888893</v>
      </c>
      <c r="AQ17" s="26">
        <f t="shared" si="2"/>
        <v>0.49027777777777781</v>
      </c>
      <c r="AR17" s="2">
        <v>5</v>
      </c>
      <c r="AS17" s="45" t="s">
        <v>25</v>
      </c>
      <c r="AU17" s="12" t="s">
        <v>117</v>
      </c>
      <c r="AV17" s="48">
        <f>AVERAGE(Table1345678910111518192327313742475259271217222732284146529096801031091151211261201351408132318293541475359[JAM KELUAR])</f>
        <v>0.27957175925925931</v>
      </c>
    </row>
    <row r="18" spans="2:48" x14ac:dyDescent="0.2">
      <c r="B18" s="15">
        <v>12</v>
      </c>
      <c r="C18" s="20" t="s">
        <v>120</v>
      </c>
      <c r="D18" s="21">
        <v>0.29444444444444445</v>
      </c>
      <c r="E18" s="21">
        <v>0.68333333333333324</v>
      </c>
      <c r="F18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0.38888888888888878</v>
      </c>
      <c r="G18" s="20">
        <v>3</v>
      </c>
      <c r="H18" s="65" t="s">
        <v>89</v>
      </c>
      <c r="O18" s="1">
        <v>12</v>
      </c>
      <c r="P18" s="29" t="s">
        <v>67</v>
      </c>
      <c r="Q18" s="30">
        <v>0.22222222222222221</v>
      </c>
      <c r="R18" s="30">
        <v>0.72916666666666663</v>
      </c>
      <c r="S18" s="39">
        <f t="shared" si="0"/>
        <v>0.50694444444444442</v>
      </c>
      <c r="T18" s="29">
        <v>6</v>
      </c>
      <c r="U18" s="45" t="s">
        <v>25</v>
      </c>
      <c r="AA18" s="1">
        <v>12</v>
      </c>
      <c r="AB18" s="29" t="s">
        <v>78</v>
      </c>
      <c r="AC18" s="30">
        <v>0.26527777777777778</v>
      </c>
      <c r="AD18" s="30">
        <v>0.70624999999999993</v>
      </c>
      <c r="AE18" s="26">
        <f t="shared" si="1"/>
        <v>0.44097222222222215</v>
      </c>
      <c r="AF18" s="2">
        <v>6</v>
      </c>
      <c r="AG18" s="45" t="s">
        <v>25</v>
      </c>
      <c r="AI18" s="17"/>
      <c r="AM18" s="1">
        <v>12</v>
      </c>
      <c r="AN18" s="2" t="s">
        <v>272</v>
      </c>
      <c r="AO18" s="41">
        <v>0.22500000000000001</v>
      </c>
      <c r="AP18" s="41">
        <v>0.62222222222222223</v>
      </c>
      <c r="AQ18" s="26">
        <f t="shared" si="2"/>
        <v>0.39722222222222225</v>
      </c>
      <c r="AR18" s="2">
        <v>5</v>
      </c>
      <c r="AS18" s="45" t="s">
        <v>25</v>
      </c>
      <c r="AU18" s="17"/>
    </row>
    <row r="19" spans="2:48" ht="15.75" customHeight="1" x14ac:dyDescent="0.2">
      <c r="B19" s="15">
        <v>13</v>
      </c>
      <c r="C19" s="20" t="s">
        <v>16</v>
      </c>
      <c r="D19" s="21">
        <v>0.23819444444444446</v>
      </c>
      <c r="E19" s="21">
        <v>0.60416666666666663</v>
      </c>
      <c r="F19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0.36597222222222214</v>
      </c>
      <c r="G19" s="20">
        <v>3</v>
      </c>
      <c r="H19" s="24" t="s">
        <v>447</v>
      </c>
      <c r="AA19" s="1">
        <v>13</v>
      </c>
      <c r="AB19" s="29" t="s">
        <v>47</v>
      </c>
      <c r="AC19" s="30">
        <v>0.2590277777777778</v>
      </c>
      <c r="AD19" s="30">
        <v>0.70624999999999993</v>
      </c>
      <c r="AE19" s="26">
        <f t="shared" si="1"/>
        <v>0.44722222222222213</v>
      </c>
      <c r="AF19" s="2">
        <v>6</v>
      </c>
      <c r="AG19" s="45" t="s">
        <v>25</v>
      </c>
    </row>
    <row r="20" spans="2:48" ht="17.25" customHeight="1" x14ac:dyDescent="0.2">
      <c r="B20" s="15">
        <v>14</v>
      </c>
      <c r="C20" s="20" t="s">
        <v>17</v>
      </c>
      <c r="D20" s="21">
        <v>0.24097222222222223</v>
      </c>
      <c r="E20" s="21">
        <v>0.61111111111111105</v>
      </c>
      <c r="F20" s="38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0.3701388888888888</v>
      </c>
      <c r="G20" s="20">
        <v>3</v>
      </c>
      <c r="H20" s="65" t="s">
        <v>89</v>
      </c>
      <c r="AR20" s="34"/>
      <c r="AS20" s="35" t="s">
        <v>90</v>
      </c>
    </row>
    <row r="21" spans="2:48" ht="15.75" customHeight="1" x14ac:dyDescent="0.25">
      <c r="B21" s="1">
        <v>15</v>
      </c>
      <c r="C21" s="2" t="s">
        <v>71</v>
      </c>
      <c r="D21" s="41">
        <v>0.2590277777777778</v>
      </c>
      <c r="E21" s="41">
        <v>0.69236111111111109</v>
      </c>
      <c r="F21" s="26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0.43333333333333329</v>
      </c>
      <c r="G21" s="2">
        <v>4</v>
      </c>
      <c r="H21" s="69" t="s">
        <v>448</v>
      </c>
      <c r="O21" s="108" t="s">
        <v>66</v>
      </c>
      <c r="P21" s="108"/>
      <c r="Q21" s="108"/>
      <c r="R21" s="108"/>
      <c r="S21" s="108"/>
      <c r="T21" s="108"/>
      <c r="U21" s="108"/>
      <c r="W21" s="106" t="s">
        <v>28</v>
      </c>
      <c r="X21" s="106"/>
      <c r="AR21" s="56" t="s">
        <v>209</v>
      </c>
      <c r="AS21" s="35" t="s">
        <v>92</v>
      </c>
    </row>
    <row r="22" spans="2:48" ht="15" customHeight="1" x14ac:dyDescent="0.2">
      <c r="B22" s="1">
        <v>16</v>
      </c>
      <c r="C22" s="2" t="s">
        <v>72</v>
      </c>
      <c r="D22" s="41">
        <v>0.22083333333333333</v>
      </c>
      <c r="E22" s="41">
        <v>0.62569444444444444</v>
      </c>
      <c r="F22" s="26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0.40486111111111112</v>
      </c>
      <c r="G22" s="2">
        <v>4</v>
      </c>
      <c r="H22" s="69" t="s">
        <v>448</v>
      </c>
      <c r="O22" s="109">
        <f>B5</f>
        <v>45424</v>
      </c>
      <c r="P22" s="109"/>
      <c r="Q22" s="109"/>
      <c r="R22" s="109"/>
      <c r="S22" s="109"/>
      <c r="T22" s="109"/>
      <c r="U22" s="109"/>
      <c r="W22" s="110"/>
      <c r="X22" s="110"/>
      <c r="AR22" s="49"/>
    </row>
    <row r="23" spans="2:48" ht="15" customHeight="1" x14ac:dyDescent="0.2">
      <c r="B23" s="1">
        <v>17</v>
      </c>
      <c r="C23" s="2" t="s">
        <v>74</v>
      </c>
      <c r="D23" s="41">
        <v>0.27152777777777776</v>
      </c>
      <c r="E23" s="41">
        <v>0.6875</v>
      </c>
      <c r="F23" s="26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0.41597222222222224</v>
      </c>
      <c r="G23" s="2">
        <v>4</v>
      </c>
      <c r="H23" s="69" t="s">
        <v>448</v>
      </c>
      <c r="O23" s="2" t="s">
        <v>0</v>
      </c>
      <c r="P23" s="2" t="s">
        <v>1</v>
      </c>
      <c r="Q23" s="22" t="s">
        <v>61</v>
      </c>
      <c r="R23" s="22" t="s">
        <v>62</v>
      </c>
      <c r="S23" s="22" t="s">
        <v>63</v>
      </c>
      <c r="T23" s="2" t="s">
        <v>2</v>
      </c>
      <c r="U23" s="2" t="s">
        <v>3</v>
      </c>
      <c r="W23" s="3" t="s">
        <v>29</v>
      </c>
      <c r="X23" s="5">
        <f>SUM(X25:X28)</f>
        <v>12</v>
      </c>
      <c r="AF23" s="34"/>
      <c r="AG23" s="35" t="s">
        <v>90</v>
      </c>
    </row>
    <row r="24" spans="2:48" ht="15" customHeight="1" x14ac:dyDescent="0.2">
      <c r="B24" s="1">
        <v>18</v>
      </c>
      <c r="C24" s="2" t="s">
        <v>75</v>
      </c>
      <c r="D24" s="41">
        <v>0.22361111111111109</v>
      </c>
      <c r="E24" s="41">
        <v>0.6333333333333333</v>
      </c>
      <c r="F24" s="26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0.40972222222222221</v>
      </c>
      <c r="G24" s="2">
        <v>4</v>
      </c>
      <c r="H24" s="69" t="s">
        <v>448</v>
      </c>
      <c r="O24" s="50">
        <v>1</v>
      </c>
      <c r="P24" s="33" t="s">
        <v>37</v>
      </c>
      <c r="Q24" s="44">
        <v>0.29236111111111113</v>
      </c>
      <c r="R24" s="44">
        <v>0.44236111111111115</v>
      </c>
      <c r="S24" s="52">
        <f>R24-Q24</f>
        <v>0.15000000000000002</v>
      </c>
      <c r="T24" s="33">
        <v>1</v>
      </c>
      <c r="U24" s="55" t="s">
        <v>439</v>
      </c>
      <c r="W24" s="4" t="s">
        <v>10</v>
      </c>
      <c r="X24" s="6">
        <v>4</v>
      </c>
      <c r="AF24" s="56" t="s">
        <v>209</v>
      </c>
      <c r="AG24" s="35" t="s">
        <v>92</v>
      </c>
    </row>
    <row r="25" spans="2:48" ht="14.5" customHeight="1" x14ac:dyDescent="0.2">
      <c r="B25" s="1">
        <v>19</v>
      </c>
      <c r="C25" s="2" t="s">
        <v>76</v>
      </c>
      <c r="D25" s="41">
        <v>0.21319444444444444</v>
      </c>
      <c r="E25" s="41">
        <v>0.65277777777777779</v>
      </c>
      <c r="F25" s="26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0.43958333333333333</v>
      </c>
      <c r="G25" s="2">
        <v>4</v>
      </c>
      <c r="H25" s="69" t="s">
        <v>448</v>
      </c>
      <c r="O25" s="15">
        <v>2</v>
      </c>
      <c r="P25" s="23" t="s">
        <v>36</v>
      </c>
      <c r="Q25" s="40">
        <v>0.27013888888888887</v>
      </c>
      <c r="R25" s="40">
        <v>0.61111111111111105</v>
      </c>
      <c r="S25" s="37">
        <f>R25-Q25</f>
        <v>0.34097222222222218</v>
      </c>
      <c r="T25" s="23">
        <v>3</v>
      </c>
      <c r="U25" s="47" t="s">
        <v>440</v>
      </c>
      <c r="W25" s="4" t="s">
        <v>9</v>
      </c>
      <c r="X25" s="7">
        <v>8</v>
      </c>
    </row>
    <row r="26" spans="2:48" ht="14.5" customHeight="1" x14ac:dyDescent="0.2">
      <c r="B26" s="1">
        <v>20</v>
      </c>
      <c r="C26" s="2" t="s">
        <v>18</v>
      </c>
      <c r="D26" s="41">
        <v>0.24305555555555555</v>
      </c>
      <c r="E26" s="41">
        <v>0.67361111111111116</v>
      </c>
      <c r="F26" s="26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0.43055555555555558</v>
      </c>
      <c r="G26" s="2">
        <v>4</v>
      </c>
      <c r="H26" s="69" t="s">
        <v>448</v>
      </c>
      <c r="N26" s="54"/>
      <c r="O26" s="50">
        <v>3</v>
      </c>
      <c r="P26" s="33" t="s">
        <v>39</v>
      </c>
      <c r="Q26" s="44">
        <v>0.29791666666666666</v>
      </c>
      <c r="R26" s="44">
        <v>0.62986111111111109</v>
      </c>
      <c r="S26" s="52">
        <f>R26-Q26</f>
        <v>0.33194444444444443</v>
      </c>
      <c r="T26" s="33">
        <v>3</v>
      </c>
      <c r="U26" s="55" t="s">
        <v>442</v>
      </c>
      <c r="W26" s="4" t="s">
        <v>4</v>
      </c>
      <c r="X26" s="7">
        <v>0</v>
      </c>
    </row>
    <row r="27" spans="2:48" ht="14.5" customHeight="1" x14ac:dyDescent="0.2">
      <c r="B27" s="1">
        <v>21</v>
      </c>
      <c r="C27" s="2" t="s">
        <v>19</v>
      </c>
      <c r="D27" s="41">
        <v>0.22500000000000001</v>
      </c>
      <c r="E27" s="41">
        <v>0.6645833333333333</v>
      </c>
      <c r="F27" s="26">
        <f>Table132456789101113212529343944495461491419242933364247539197861041101161221271311361419142419303642485460[[#This Row],[JAM MASUK]]-Table132456789101113212529343944495461491419242933364247539197861041101161221271311361419142419303642485460[[#This Row],[JAM KELUAR]]</f>
        <v>0.43958333333333333</v>
      </c>
      <c r="G27" s="2">
        <v>4</v>
      </c>
      <c r="H27" s="69" t="s">
        <v>448</v>
      </c>
      <c r="N27" s="54"/>
      <c r="O27" s="15">
        <v>4</v>
      </c>
      <c r="P27" s="23" t="s">
        <v>42</v>
      </c>
      <c r="Q27" s="40">
        <v>0.28958333333333336</v>
      </c>
      <c r="R27" s="40">
        <v>0.71527777777777779</v>
      </c>
      <c r="S27" s="37">
        <f>R27-Q27</f>
        <v>0.42569444444444443</v>
      </c>
      <c r="T27" s="23">
        <v>3</v>
      </c>
      <c r="U27" s="16" t="s">
        <v>441</v>
      </c>
      <c r="W27" s="4" t="s">
        <v>5</v>
      </c>
      <c r="X27" s="7">
        <v>4</v>
      </c>
      <c r="AM27" s="49"/>
    </row>
    <row r="28" spans="2:48" x14ac:dyDescent="0.2">
      <c r="N28" s="54"/>
      <c r="W28" s="4" t="s">
        <v>33</v>
      </c>
      <c r="X28" s="7">
        <v>0</v>
      </c>
      <c r="AF28" s="49"/>
    </row>
    <row r="29" spans="2:48" x14ac:dyDescent="0.2">
      <c r="G29" s="34"/>
      <c r="H29" s="35" t="s">
        <v>90</v>
      </c>
      <c r="N29" s="54"/>
      <c r="T29" s="34"/>
      <c r="U29" s="35" t="s">
        <v>90</v>
      </c>
      <c r="W29" s="8" t="s">
        <v>8</v>
      </c>
      <c r="X29" s="9">
        <f>SUM(Table134567891011172226303236414651566361116212631353944495593998810611211812412913313814311162621323844505662[Retase])</f>
        <v>10</v>
      </c>
    </row>
    <row r="30" spans="2:48" x14ac:dyDescent="0.2">
      <c r="G30" s="56" t="s">
        <v>209</v>
      </c>
      <c r="H30" s="35" t="s">
        <v>92</v>
      </c>
      <c r="T30" s="56" t="s">
        <v>209</v>
      </c>
      <c r="U30" s="35" t="s">
        <v>92</v>
      </c>
      <c r="W30" s="10" t="s">
        <v>7</v>
      </c>
      <c r="X30" s="11">
        <f>X29/X25</f>
        <v>1.25</v>
      </c>
    </row>
    <row r="31" spans="2:48" x14ac:dyDescent="0.2">
      <c r="W31" s="12" t="s">
        <v>11</v>
      </c>
      <c r="X31" s="13">
        <v>4</v>
      </c>
    </row>
    <row r="32" spans="2:48" x14ac:dyDescent="0.2">
      <c r="B32" s="49"/>
      <c r="V32" s="1"/>
      <c r="W32" s="12" t="s">
        <v>88</v>
      </c>
      <c r="X32" s="14">
        <f>P3/X25</f>
        <v>0</v>
      </c>
    </row>
    <row r="33" spans="1:27" x14ac:dyDescent="0.2">
      <c r="V33" s="1"/>
      <c r="W33" s="12" t="s">
        <v>27</v>
      </c>
      <c r="X33" s="14">
        <f>X25/X24</f>
        <v>2</v>
      </c>
      <c r="AA33" s="49"/>
    </row>
    <row r="34" spans="1:27" x14ac:dyDescent="0.2">
      <c r="V34" s="1"/>
      <c r="W34" s="12" t="s">
        <v>117</v>
      </c>
      <c r="X34" s="48">
        <f>AVERAGE(Table134567891011172226303236414651566361116212631353944495593998810611211812412913313814311162621323844505662[JAM KELUAR])</f>
        <v>0.28749999999999998</v>
      </c>
    </row>
    <row r="35" spans="1:27" x14ac:dyDescent="0.2">
      <c r="V35" s="1"/>
    </row>
    <row r="36" spans="1:27" x14ac:dyDescent="0.2">
      <c r="V36" s="1"/>
    </row>
    <row r="37" spans="1:27" x14ac:dyDescent="0.2">
      <c r="V37" s="1"/>
    </row>
    <row r="38" spans="1:27" x14ac:dyDescent="0.2">
      <c r="V38" s="1"/>
    </row>
    <row r="39" spans="1:27" x14ac:dyDescent="0.2">
      <c r="V39" s="1"/>
    </row>
    <row r="40" spans="1:27" x14ac:dyDescent="0.2">
      <c r="V40" s="1"/>
    </row>
    <row r="41" spans="1:27" ht="21" x14ac:dyDescent="0.25">
      <c r="A41" s="46"/>
    </row>
    <row r="45" spans="1:27" x14ac:dyDescent="0.2">
      <c r="O45" s="2" t="s">
        <v>0</v>
      </c>
      <c r="P45" s="2" t="s">
        <v>1</v>
      </c>
      <c r="Q45" s="22" t="s">
        <v>61</v>
      </c>
      <c r="R45" s="22" t="s">
        <v>62</v>
      </c>
      <c r="S45" s="22" t="s">
        <v>63</v>
      </c>
      <c r="T45" s="2" t="s">
        <v>2</v>
      </c>
      <c r="U45" s="2" t="s">
        <v>3</v>
      </c>
    </row>
    <row r="46" spans="1:27" x14ac:dyDescent="0.2">
      <c r="O46" s="27">
        <v>1</v>
      </c>
      <c r="P46" s="2"/>
      <c r="Q46" s="41"/>
      <c r="R46" s="42"/>
      <c r="S46" s="26"/>
      <c r="T46" s="2"/>
      <c r="U46" s="24"/>
    </row>
    <row r="47" spans="1:27" x14ac:dyDescent="0.2">
      <c r="O47" s="15">
        <v>2</v>
      </c>
      <c r="P47" s="29"/>
      <c r="Q47" s="30"/>
      <c r="R47" s="36"/>
      <c r="S47" s="26"/>
      <c r="T47" s="29"/>
      <c r="U47" s="24"/>
    </row>
    <row r="48" spans="1:27" x14ac:dyDescent="0.2">
      <c r="O48" s="15">
        <v>3</v>
      </c>
      <c r="P48" s="29"/>
      <c r="Q48" s="30"/>
      <c r="R48" s="36"/>
      <c r="S48" s="39"/>
      <c r="T48" s="29"/>
      <c r="U48" s="16"/>
    </row>
    <row r="49" spans="15:22" x14ac:dyDescent="0.2">
      <c r="O49" s="27">
        <v>4</v>
      </c>
      <c r="P49" s="29"/>
      <c r="Q49" s="30"/>
      <c r="R49" s="36"/>
      <c r="S49" s="39"/>
      <c r="T49" s="29"/>
      <c r="U49" s="24"/>
    </row>
    <row r="50" spans="15:22" x14ac:dyDescent="0.2">
      <c r="O50" s="15">
        <v>5</v>
      </c>
      <c r="P50" s="29"/>
      <c r="Q50" s="30"/>
      <c r="R50" s="36"/>
      <c r="S50" s="26"/>
      <c r="T50" s="29"/>
      <c r="U50" s="24"/>
    </row>
    <row r="51" spans="15:22" x14ac:dyDescent="0.2">
      <c r="O51" s="15">
        <v>6</v>
      </c>
      <c r="P51" s="29"/>
      <c r="Q51" s="30"/>
      <c r="R51" s="36"/>
      <c r="S51" s="26"/>
      <c r="T51" s="29"/>
      <c r="U51" s="24"/>
    </row>
    <row r="52" spans="15:22" x14ac:dyDescent="0.2">
      <c r="O52" s="27">
        <v>7</v>
      </c>
      <c r="P52" s="29"/>
      <c r="Q52" s="30"/>
      <c r="R52" s="36"/>
      <c r="S52" s="39"/>
      <c r="T52" s="29"/>
      <c r="U52" s="24"/>
    </row>
    <row r="53" spans="15:22" x14ac:dyDescent="0.2">
      <c r="O53" s="15">
        <v>8</v>
      </c>
      <c r="P53" s="29"/>
      <c r="Q53" s="30"/>
      <c r="R53" s="36"/>
      <c r="S53" s="26"/>
      <c r="T53" s="29"/>
      <c r="U53" s="24"/>
    </row>
    <row r="54" spans="15:22" x14ac:dyDescent="0.2">
      <c r="O54" s="15">
        <v>9</v>
      </c>
      <c r="P54" s="29"/>
      <c r="Q54" s="30"/>
      <c r="R54" s="36"/>
      <c r="S54" s="26"/>
      <c r="T54" s="29"/>
      <c r="U54" s="24"/>
    </row>
    <row r="55" spans="15:22" x14ac:dyDescent="0.2">
      <c r="O55" s="27">
        <v>10</v>
      </c>
      <c r="P55" s="29"/>
      <c r="Q55" s="30"/>
      <c r="R55" s="36"/>
      <c r="S55" s="26"/>
      <c r="T55" s="29"/>
      <c r="U55" s="24"/>
    </row>
    <row r="56" spans="15:22" x14ac:dyDescent="0.2">
      <c r="O56" s="15">
        <v>11</v>
      </c>
      <c r="P56" s="29"/>
      <c r="Q56" s="30"/>
      <c r="R56" s="36"/>
      <c r="S56" s="26"/>
      <c r="T56" s="29"/>
      <c r="U56" s="24"/>
    </row>
    <row r="57" spans="15:22" x14ac:dyDescent="0.2">
      <c r="O57" s="1">
        <v>12</v>
      </c>
      <c r="P57" s="29"/>
      <c r="Q57" s="30"/>
      <c r="R57" s="36"/>
      <c r="S57" s="39"/>
      <c r="T57" s="29"/>
      <c r="U57" s="25"/>
    </row>
    <row r="58" spans="15:22" x14ac:dyDescent="0.2">
      <c r="O58" s="28">
        <v>13</v>
      </c>
      <c r="P58" s="29"/>
      <c r="Q58" s="30"/>
      <c r="R58" s="36"/>
      <c r="S58" s="26"/>
      <c r="T58" s="29"/>
      <c r="U58" s="25"/>
    </row>
    <row r="59" spans="15:22" x14ac:dyDescent="0.2">
      <c r="O59" s="27">
        <v>14</v>
      </c>
      <c r="P59" s="29"/>
      <c r="Q59" s="30"/>
      <c r="R59" s="36"/>
      <c r="S59" s="26"/>
      <c r="T59" s="29"/>
      <c r="U59" s="24"/>
    </row>
    <row r="60" spans="15:22" x14ac:dyDescent="0.2">
      <c r="O60" s="15">
        <v>15</v>
      </c>
      <c r="P60" s="29"/>
      <c r="Q60" s="30"/>
      <c r="R60" s="36"/>
      <c r="S60" s="26"/>
      <c r="T60" s="29"/>
      <c r="U60" s="24"/>
    </row>
    <row r="61" spans="15:22" x14ac:dyDescent="0.2">
      <c r="O61" s="1">
        <v>16</v>
      </c>
      <c r="P61" s="29"/>
      <c r="Q61" s="30"/>
      <c r="R61" s="36"/>
      <c r="S61" s="26"/>
      <c r="T61" s="29"/>
      <c r="U61" s="25"/>
    </row>
    <row r="62" spans="15:22" x14ac:dyDescent="0.2">
      <c r="O62" s="28">
        <v>17</v>
      </c>
      <c r="P62" s="29"/>
      <c r="Q62" s="30"/>
      <c r="R62" s="36"/>
      <c r="S62" s="26"/>
      <c r="T62" s="29"/>
      <c r="U62" s="25"/>
    </row>
    <row r="63" spans="15:22" x14ac:dyDescent="0.2">
      <c r="O63" s="27">
        <v>18</v>
      </c>
      <c r="P63" s="29"/>
      <c r="Q63" s="30"/>
      <c r="R63" s="36"/>
      <c r="S63" s="26"/>
      <c r="T63" s="29"/>
      <c r="U63" s="24"/>
      <c r="V63" s="1"/>
    </row>
    <row r="64" spans="15:22" x14ac:dyDescent="0.2">
      <c r="O64" s="1">
        <v>19</v>
      </c>
      <c r="P64" s="29"/>
      <c r="Q64" s="30"/>
      <c r="R64" s="36"/>
      <c r="S64" s="39"/>
      <c r="T64" s="29"/>
      <c r="U64" s="25"/>
      <c r="V64" s="1"/>
    </row>
    <row r="65" spans="15:22" x14ac:dyDescent="0.2">
      <c r="O65" s="1">
        <v>20</v>
      </c>
      <c r="P65" s="29"/>
      <c r="Q65" s="30"/>
      <c r="R65" s="36"/>
      <c r="S65" s="39"/>
      <c r="T65" s="29"/>
      <c r="U65" s="25"/>
      <c r="V65" s="1"/>
    </row>
    <row r="66" spans="15:22" x14ac:dyDescent="0.2">
      <c r="O66" s="28">
        <v>21</v>
      </c>
      <c r="P66" s="29"/>
      <c r="Q66" s="30"/>
      <c r="R66" s="36"/>
      <c r="S66" s="26"/>
      <c r="T66" s="29"/>
      <c r="U66" s="25"/>
    </row>
    <row r="67" spans="15:22" x14ac:dyDescent="0.2">
      <c r="O67" s="27">
        <v>22</v>
      </c>
      <c r="P67" s="29"/>
      <c r="Q67" s="30"/>
      <c r="R67" s="36"/>
      <c r="S67" s="26"/>
      <c r="T67" s="29"/>
      <c r="U67" s="25"/>
    </row>
  </sheetData>
  <mergeCells count="22">
    <mergeCell ref="O21:U21"/>
    <mergeCell ref="O22:U22"/>
    <mergeCell ref="W21:X22"/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  <mergeCell ref="O1:X1"/>
    <mergeCell ref="AA1:AJ1"/>
    <mergeCell ref="AM1:AV1"/>
    <mergeCell ref="B2:K2"/>
    <mergeCell ref="O2:X2"/>
    <mergeCell ref="AA2:AJ2"/>
    <mergeCell ref="AM2:AV2"/>
  </mergeCells>
  <pageMargins left="0.12" right="0.12" top="0.75" bottom="0.75" header="0.3" footer="0.3"/>
  <pageSetup paperSize="5" scale="68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5" min="1" max="39" man="1"/>
    <brk id="37" min="1" max="39" man="1"/>
  </colBreaks>
  <tableParts count="6">
    <tablePart r:id="rId2"/>
    <tablePart r:id="rId3"/>
    <tablePart r:id="rId4"/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CF8E-E340-4911-9BB2-A06FC22C2B61}">
  <sheetPr>
    <tabColor theme="7" tint="0.39997558519241921"/>
  </sheetPr>
  <dimension ref="A1:AV81"/>
  <sheetViews>
    <sheetView showGridLines="0" view="pageBreakPreview" topLeftCell="AJ1" zoomScale="70" zoomScaleNormal="55" zoomScaleSheetLayoutView="70" workbookViewId="0">
      <selection activeCell="AN7" sqref="AN7:AS16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1.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COUNTIF(Table13245678910111321252934394449546149141924293336424753919786104110116122127131136141914241930364248546066[Retase],"&gt;3")</f>
        <v>10</v>
      </c>
      <c r="D3" t="s">
        <v>241</v>
      </c>
      <c r="O3" s="60">
        <f>COUNTIF(Table134567891011172226303540455055625101520253034384348549298871051111171231281321371421015252031374349556167[Retase],"&gt;3")</f>
        <v>2</v>
      </c>
      <c r="P3" s="60" t="e">
        <f>COUNTIF(#REF!,"&gt;3")</f>
        <v>#REF!</v>
      </c>
      <c r="AA3" s="60">
        <f>COUNTIF(Table13456789101115181923273137424752592712172227322841465290968010310911512112612013514081323182834404652586470[Retase],"&gt;4")</f>
        <v>21</v>
      </c>
      <c r="AM3" s="60">
        <f>COUNTIF(Table134567891011151819232731374247525927121722273228414652909680103109115121126120135140813231829354147535965[Retase],"&gt;3")</f>
        <v>10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45425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45425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45425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45425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 t="s">
        <v>209</v>
      </c>
      <c r="B7" s="15">
        <v>1</v>
      </c>
      <c r="C7" s="20" t="s">
        <v>14</v>
      </c>
      <c r="D7" s="21">
        <v>0.25972222222222224</v>
      </c>
      <c r="E7" s="21">
        <v>0.3743055555555555</v>
      </c>
      <c r="F7" s="38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0.11458333333333326</v>
      </c>
      <c r="G7" s="20">
        <v>1</v>
      </c>
      <c r="H7" s="65" t="s">
        <v>452</v>
      </c>
      <c r="J7" s="4" t="s">
        <v>10</v>
      </c>
      <c r="K7" s="6">
        <v>23</v>
      </c>
      <c r="L7" s="19"/>
      <c r="N7" s="54"/>
      <c r="O7" s="15">
        <v>1</v>
      </c>
      <c r="P7" s="23" t="s">
        <v>39</v>
      </c>
      <c r="Q7" s="40">
        <v>0.28750000000000003</v>
      </c>
      <c r="R7" s="40">
        <v>0.41736111111111113</v>
      </c>
      <c r="S7" s="37">
        <f t="shared" ref="S7:S12" si="0">R7-Q7</f>
        <v>0.12986111111111109</v>
      </c>
      <c r="T7" s="23">
        <v>1</v>
      </c>
      <c r="U7" s="24" t="s">
        <v>462</v>
      </c>
      <c r="W7" s="4" t="s">
        <v>10</v>
      </c>
      <c r="X7" s="6">
        <v>8</v>
      </c>
      <c r="AA7" s="15">
        <v>1</v>
      </c>
      <c r="AB7" s="23" t="s">
        <v>77</v>
      </c>
      <c r="AC7" s="21">
        <v>0.25486111111111109</v>
      </c>
      <c r="AD7" s="21">
        <v>0.4201388888888889</v>
      </c>
      <c r="AE7" s="37">
        <f t="shared" ref="AE7:AE34" si="1">AD7-AC7</f>
        <v>0.1652777777777778</v>
      </c>
      <c r="AF7" s="20">
        <v>1</v>
      </c>
      <c r="AG7" s="16" t="s">
        <v>466</v>
      </c>
      <c r="AI7" s="4" t="s">
        <v>10</v>
      </c>
      <c r="AJ7" s="6">
        <v>33</v>
      </c>
      <c r="AM7" s="50">
        <v>1</v>
      </c>
      <c r="AN7" s="31" t="s">
        <v>271</v>
      </c>
      <c r="AO7" s="32">
        <v>0.29652777777777778</v>
      </c>
      <c r="AP7" s="32">
        <v>0.71527777777777779</v>
      </c>
      <c r="AQ7" s="51">
        <f t="shared" ref="AQ7:AQ16" si="2">AP7-AO7</f>
        <v>0.41875000000000001</v>
      </c>
      <c r="AR7" s="31">
        <v>4</v>
      </c>
      <c r="AS7" s="55" t="s">
        <v>25</v>
      </c>
      <c r="AU7" s="4" t="s">
        <v>10</v>
      </c>
      <c r="AV7" s="6">
        <v>10</v>
      </c>
    </row>
    <row r="8" spans="1:48" s="1" customFormat="1" x14ac:dyDescent="0.2">
      <c r="A8"/>
      <c r="B8" s="15">
        <v>2</v>
      </c>
      <c r="C8" s="20" t="s">
        <v>20</v>
      </c>
      <c r="D8" s="21">
        <v>0.27569444444444446</v>
      </c>
      <c r="E8" s="21">
        <v>0.57777777777777783</v>
      </c>
      <c r="F8" s="38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0.30208333333333337</v>
      </c>
      <c r="G8" s="20">
        <v>2</v>
      </c>
      <c r="H8" s="67" t="s">
        <v>453</v>
      </c>
      <c r="J8" s="4" t="s">
        <v>9</v>
      </c>
      <c r="K8" s="7">
        <v>21</v>
      </c>
      <c r="L8" s="19"/>
      <c r="O8" s="15">
        <v>2</v>
      </c>
      <c r="P8" s="23" t="s">
        <v>84</v>
      </c>
      <c r="Q8" s="40">
        <v>0.28958333333333336</v>
      </c>
      <c r="R8" s="40">
        <v>0.68611111111111101</v>
      </c>
      <c r="S8" s="37">
        <f t="shared" si="0"/>
        <v>0.39652777777777765</v>
      </c>
      <c r="T8" s="23">
        <v>3</v>
      </c>
      <c r="U8" s="24" t="s">
        <v>463</v>
      </c>
      <c r="W8" s="4" t="s">
        <v>9</v>
      </c>
      <c r="X8" s="7">
        <v>6</v>
      </c>
      <c r="Z8" s="56"/>
      <c r="AA8" s="15">
        <v>2</v>
      </c>
      <c r="AB8" s="23" t="s">
        <v>51</v>
      </c>
      <c r="AC8" s="40">
        <v>0.26944444444444443</v>
      </c>
      <c r="AD8" s="40">
        <v>0.4291666666666667</v>
      </c>
      <c r="AE8" s="38">
        <f t="shared" si="1"/>
        <v>0.15972222222222227</v>
      </c>
      <c r="AF8" s="20">
        <v>1</v>
      </c>
      <c r="AG8" s="16" t="s">
        <v>467</v>
      </c>
      <c r="AI8" s="4" t="s">
        <v>9</v>
      </c>
      <c r="AJ8" s="6">
        <v>28</v>
      </c>
      <c r="AM8" s="1">
        <v>2</v>
      </c>
      <c r="AN8" s="2" t="s">
        <v>278</v>
      </c>
      <c r="AO8" s="41">
        <v>0.2590277777777778</v>
      </c>
      <c r="AP8" s="41">
        <v>0.68888888888888899</v>
      </c>
      <c r="AQ8" s="26">
        <f t="shared" si="2"/>
        <v>0.42986111111111119</v>
      </c>
      <c r="AR8" s="2">
        <v>4</v>
      </c>
      <c r="AS8" s="45" t="s">
        <v>25</v>
      </c>
      <c r="AU8" s="4" t="s">
        <v>9</v>
      </c>
      <c r="AV8" s="6">
        <v>10</v>
      </c>
    </row>
    <row r="9" spans="1:48" s="1" customFormat="1" x14ac:dyDescent="0.2">
      <c r="A9" s="56"/>
      <c r="B9" s="15">
        <v>3</v>
      </c>
      <c r="C9" s="20" t="s">
        <v>70</v>
      </c>
      <c r="D9" s="21">
        <v>0.27986111111111112</v>
      </c>
      <c r="E9" s="21">
        <v>0.61111111111111105</v>
      </c>
      <c r="F9" s="38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0.33124999999999993</v>
      </c>
      <c r="G9" s="20">
        <v>2</v>
      </c>
      <c r="H9" s="65" t="s">
        <v>454</v>
      </c>
      <c r="J9" s="4" t="s">
        <v>4</v>
      </c>
      <c r="K9" s="7">
        <v>0</v>
      </c>
      <c r="L9" s="19"/>
      <c r="N9" s="56" t="s">
        <v>209</v>
      </c>
      <c r="O9" s="50">
        <v>3</v>
      </c>
      <c r="P9" s="33" t="s">
        <v>38</v>
      </c>
      <c r="Q9" s="44">
        <v>0.30555555555555552</v>
      </c>
      <c r="R9" s="44">
        <v>0.67569444444444438</v>
      </c>
      <c r="S9" s="52">
        <f t="shared" si="0"/>
        <v>0.37013888888888885</v>
      </c>
      <c r="T9" s="33">
        <v>3</v>
      </c>
      <c r="U9" s="53" t="s">
        <v>464</v>
      </c>
      <c r="W9" s="4" t="s">
        <v>4</v>
      </c>
      <c r="X9" s="7">
        <v>0</v>
      </c>
      <c r="Z9" s="56"/>
      <c r="AA9" s="15">
        <v>3</v>
      </c>
      <c r="AB9" s="23" t="s">
        <v>31</v>
      </c>
      <c r="AC9" s="40">
        <v>0.24166666666666667</v>
      </c>
      <c r="AD9" s="40">
        <v>0.40972222222222227</v>
      </c>
      <c r="AE9" s="38">
        <f t="shared" si="1"/>
        <v>0.1680555555555556</v>
      </c>
      <c r="AF9" s="20">
        <v>1</v>
      </c>
      <c r="AG9" s="16" t="s">
        <v>468</v>
      </c>
      <c r="AI9" s="4" t="s">
        <v>4</v>
      </c>
      <c r="AJ9" s="7">
        <v>1</v>
      </c>
      <c r="AM9" s="1">
        <v>3</v>
      </c>
      <c r="AN9" s="2" t="s">
        <v>279</v>
      </c>
      <c r="AO9" s="41">
        <v>0.24791666666666667</v>
      </c>
      <c r="AP9" s="41">
        <v>0.68194444444444446</v>
      </c>
      <c r="AQ9" s="26">
        <f t="shared" si="2"/>
        <v>0.43402777777777779</v>
      </c>
      <c r="AR9" s="2">
        <v>4</v>
      </c>
      <c r="AS9" s="45" t="s">
        <v>25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0" t="s">
        <v>15</v>
      </c>
      <c r="D10" s="21">
        <v>0.23611111111111113</v>
      </c>
      <c r="E10" s="21">
        <v>0.4548611111111111</v>
      </c>
      <c r="F10" s="38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0.21874999999999997</v>
      </c>
      <c r="G10" s="20">
        <v>2</v>
      </c>
      <c r="H10" s="24" t="s">
        <v>455</v>
      </c>
      <c r="J10" s="4" t="s">
        <v>5</v>
      </c>
      <c r="K10" s="7">
        <v>2</v>
      </c>
      <c r="L10" s="19"/>
      <c r="O10" s="15">
        <v>4</v>
      </c>
      <c r="P10" s="23" t="s">
        <v>201</v>
      </c>
      <c r="Q10" s="40">
        <v>0.28958333333333336</v>
      </c>
      <c r="R10" s="40">
        <v>0.63194444444444442</v>
      </c>
      <c r="S10" s="37">
        <f t="shared" si="0"/>
        <v>0.34236111111111106</v>
      </c>
      <c r="T10" s="23">
        <v>3</v>
      </c>
      <c r="U10" s="16" t="s">
        <v>465</v>
      </c>
      <c r="W10" s="4" t="s">
        <v>5</v>
      </c>
      <c r="X10" s="7">
        <v>2</v>
      </c>
      <c r="Z10" s="56"/>
      <c r="AA10" s="15">
        <v>4</v>
      </c>
      <c r="AB10" s="23" t="s">
        <v>41</v>
      </c>
      <c r="AC10" s="40">
        <v>0.26180555555555557</v>
      </c>
      <c r="AD10" s="40">
        <v>0.39444444444444443</v>
      </c>
      <c r="AE10" s="38">
        <f t="shared" si="1"/>
        <v>0.13263888888888886</v>
      </c>
      <c r="AF10" s="20">
        <v>1</v>
      </c>
      <c r="AG10" s="16" t="s">
        <v>469</v>
      </c>
      <c r="AI10" s="4" t="s">
        <v>5</v>
      </c>
      <c r="AJ10" s="7">
        <v>4</v>
      </c>
      <c r="AL10" s="54"/>
      <c r="AM10" s="1">
        <v>4</v>
      </c>
      <c r="AN10" s="2" t="s">
        <v>280</v>
      </c>
      <c r="AO10" s="41">
        <v>0.20902777777777778</v>
      </c>
      <c r="AP10" s="41">
        <v>0.68472222222222223</v>
      </c>
      <c r="AQ10" s="26">
        <f t="shared" si="2"/>
        <v>0.47569444444444442</v>
      </c>
      <c r="AR10" s="2">
        <v>4</v>
      </c>
      <c r="AS10" s="45" t="s">
        <v>25</v>
      </c>
      <c r="AU10" s="4" t="s">
        <v>5</v>
      </c>
      <c r="AV10" s="7">
        <v>1</v>
      </c>
    </row>
    <row r="11" spans="1:48" s="1" customFormat="1" x14ac:dyDescent="0.2">
      <c r="A11"/>
      <c r="B11" s="15">
        <v>5</v>
      </c>
      <c r="C11" s="20" t="s">
        <v>17</v>
      </c>
      <c r="D11" s="21">
        <v>0.24097222222222223</v>
      </c>
      <c r="E11" s="21">
        <v>0.48472222222222222</v>
      </c>
      <c r="F11" s="38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0.24374999999999999</v>
      </c>
      <c r="G11" s="20">
        <v>2</v>
      </c>
      <c r="H11" s="65" t="s">
        <v>456</v>
      </c>
      <c r="J11" s="4" t="s">
        <v>6</v>
      </c>
      <c r="K11" s="7">
        <v>0</v>
      </c>
      <c r="O11" s="1">
        <v>5</v>
      </c>
      <c r="P11" s="39" t="s">
        <v>83</v>
      </c>
      <c r="Q11" s="30">
        <v>0.26458333333333334</v>
      </c>
      <c r="R11" s="30">
        <v>0.6958333333333333</v>
      </c>
      <c r="S11" s="39">
        <f t="shared" si="0"/>
        <v>0.43124999999999997</v>
      </c>
      <c r="T11" s="29">
        <v>4</v>
      </c>
      <c r="U11" s="45" t="s">
        <v>25</v>
      </c>
      <c r="W11" s="4" t="s">
        <v>33</v>
      </c>
      <c r="X11" s="7">
        <v>0</v>
      </c>
      <c r="Z11" s="56" t="s">
        <v>473</v>
      </c>
      <c r="AA11" s="15">
        <v>5</v>
      </c>
      <c r="AB11" s="23" t="s">
        <v>60</v>
      </c>
      <c r="AC11" s="40">
        <v>0.26111111111111113</v>
      </c>
      <c r="AD11" s="40">
        <v>0.6</v>
      </c>
      <c r="AE11" s="38">
        <f t="shared" si="1"/>
        <v>0.33888888888888885</v>
      </c>
      <c r="AF11" s="20">
        <v>2</v>
      </c>
      <c r="AG11" s="16" t="s">
        <v>470</v>
      </c>
      <c r="AI11" s="4" t="s">
        <v>6</v>
      </c>
      <c r="AJ11" s="7">
        <v>0</v>
      </c>
      <c r="AM11" s="1">
        <v>5</v>
      </c>
      <c r="AN11" s="2" t="s">
        <v>303</v>
      </c>
      <c r="AO11" s="41">
        <v>0.26874999999999999</v>
      </c>
      <c r="AP11" s="41">
        <v>0.63472222222222219</v>
      </c>
      <c r="AQ11" s="26">
        <f t="shared" si="2"/>
        <v>0.3659722222222222</v>
      </c>
      <c r="AR11" s="2">
        <v>4</v>
      </c>
      <c r="AS11" s="45" t="s">
        <v>25</v>
      </c>
      <c r="AU11" s="4" t="s">
        <v>6</v>
      </c>
      <c r="AV11" s="7">
        <v>28</v>
      </c>
    </row>
    <row r="12" spans="1:48" s="1" customFormat="1" x14ac:dyDescent="0.2">
      <c r="A12"/>
      <c r="B12" s="15">
        <v>6</v>
      </c>
      <c r="C12" s="20" t="s">
        <v>74</v>
      </c>
      <c r="D12" s="21">
        <v>0.26250000000000001</v>
      </c>
      <c r="E12" s="40">
        <v>0.46527777777777773</v>
      </c>
      <c r="F12" s="38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0.20277777777777772</v>
      </c>
      <c r="G12" s="20">
        <v>2</v>
      </c>
      <c r="H12" s="24" t="s">
        <v>457</v>
      </c>
      <c r="J12" s="8" t="s">
        <v>8</v>
      </c>
      <c r="K12" s="9">
        <f>SUM(Table13245678910111321252934394449546149141924293336424753919786104110116122127131136141914241930364248546066[Retase])</f>
        <v>64</v>
      </c>
      <c r="L12" s="19"/>
      <c r="N12" s="54"/>
      <c r="O12" s="1">
        <v>6</v>
      </c>
      <c r="P12" s="29" t="s">
        <v>36</v>
      </c>
      <c r="Q12" s="30">
        <v>0.26666666666666666</v>
      </c>
      <c r="R12" s="30">
        <v>0.69236111111111109</v>
      </c>
      <c r="S12" s="39">
        <f t="shared" si="0"/>
        <v>0.42569444444444443</v>
      </c>
      <c r="T12" s="29">
        <v>4</v>
      </c>
      <c r="U12" s="45" t="s">
        <v>25</v>
      </c>
      <c r="W12" s="8" t="s">
        <v>8</v>
      </c>
      <c r="X12" s="9">
        <f>SUM(Table134567891011172226303540455055625101520253034384348549298871051111171231281321371421015252031374349556167[Retase])</f>
        <v>18</v>
      </c>
      <c r="AA12" s="15">
        <v>6</v>
      </c>
      <c r="AB12" s="23" t="s">
        <v>56</v>
      </c>
      <c r="AC12" s="40">
        <v>0.26180555555555557</v>
      </c>
      <c r="AD12" s="40">
        <v>0.58819444444444446</v>
      </c>
      <c r="AE12" s="38">
        <f t="shared" si="1"/>
        <v>0.3263888888888889</v>
      </c>
      <c r="AF12" s="20">
        <v>4</v>
      </c>
      <c r="AG12" s="16" t="s">
        <v>471</v>
      </c>
      <c r="AI12" s="8" t="s">
        <v>8</v>
      </c>
      <c r="AJ12" s="9">
        <f>SUM(Table13456789101115181923273137424752592712172227322841465290968010310911512112612013514081323182834404652586470[Retase])</f>
        <v>130</v>
      </c>
      <c r="AM12" s="1">
        <v>6</v>
      </c>
      <c r="AN12" s="2" t="s">
        <v>273</v>
      </c>
      <c r="AO12" s="41">
        <v>0.25833333333333336</v>
      </c>
      <c r="AP12" s="41">
        <v>0.72222222222222221</v>
      </c>
      <c r="AQ12" s="26">
        <f t="shared" si="2"/>
        <v>0.46388888888888885</v>
      </c>
      <c r="AR12" s="2">
        <v>5</v>
      </c>
      <c r="AS12" s="45" t="s">
        <v>25</v>
      </c>
      <c r="AU12" s="8" t="s">
        <v>8</v>
      </c>
      <c r="AV12" s="9">
        <f>SUM(Table134567891011151819232731374247525927121722273228414652909680103109115121126120135140813231829354147535965[Retase])</f>
        <v>45</v>
      </c>
    </row>
    <row r="13" spans="1:48" s="1" customFormat="1" x14ac:dyDescent="0.2">
      <c r="A13"/>
      <c r="B13" s="15">
        <v>7</v>
      </c>
      <c r="C13" s="20" t="s">
        <v>65</v>
      </c>
      <c r="D13" s="21">
        <v>0.25972222222222224</v>
      </c>
      <c r="E13" s="21">
        <v>0.64583333333333337</v>
      </c>
      <c r="F13" s="38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0.38611111111111113</v>
      </c>
      <c r="G13" s="20">
        <v>3</v>
      </c>
      <c r="H13" s="65" t="s">
        <v>458</v>
      </c>
      <c r="J13" s="10" t="s">
        <v>7</v>
      </c>
      <c r="K13" s="11">
        <f>K12/K8</f>
        <v>3.0476190476190474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3</v>
      </c>
      <c r="AA13" s="50">
        <v>7</v>
      </c>
      <c r="AB13" s="33" t="s">
        <v>123</v>
      </c>
      <c r="AC13" s="44">
        <v>0.29236111111111113</v>
      </c>
      <c r="AD13" s="44">
        <v>0.67638888888888893</v>
      </c>
      <c r="AE13" s="51">
        <f t="shared" si="1"/>
        <v>0.3840277777777778</v>
      </c>
      <c r="AF13" s="31">
        <v>4</v>
      </c>
      <c r="AG13" s="55" t="s">
        <v>472</v>
      </c>
      <c r="AI13" s="10" t="s">
        <v>7</v>
      </c>
      <c r="AJ13" s="11">
        <f>AJ12/AJ8</f>
        <v>4.6428571428571432</v>
      </c>
      <c r="AM13" s="1">
        <v>7</v>
      </c>
      <c r="AN13" s="2" t="s">
        <v>240</v>
      </c>
      <c r="AO13" s="41">
        <v>0.21041666666666667</v>
      </c>
      <c r="AP13" s="41">
        <v>0.69861111111111107</v>
      </c>
      <c r="AQ13" s="26">
        <f t="shared" si="2"/>
        <v>0.48819444444444438</v>
      </c>
      <c r="AR13" s="2">
        <v>5</v>
      </c>
      <c r="AS13" s="45" t="s">
        <v>25</v>
      </c>
      <c r="AU13" s="10" t="s">
        <v>7</v>
      </c>
      <c r="AV13" s="11">
        <f>AV12/AV8</f>
        <v>4.5</v>
      </c>
    </row>
    <row r="14" spans="1:48" s="1" customFormat="1" x14ac:dyDescent="0.2">
      <c r="A14"/>
      <c r="B14" s="15">
        <v>8</v>
      </c>
      <c r="C14" s="20" t="s">
        <v>69</v>
      </c>
      <c r="D14" s="21">
        <v>0.26805555555555555</v>
      </c>
      <c r="E14" s="21">
        <v>0.60902777777777783</v>
      </c>
      <c r="F14" s="38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0.34097222222222229</v>
      </c>
      <c r="G14" s="20">
        <v>3</v>
      </c>
      <c r="H14" s="65" t="s">
        <v>459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1">
        <v>8</v>
      </c>
      <c r="AB14" s="29" t="s">
        <v>122</v>
      </c>
      <c r="AC14" s="30">
        <v>0.28958333333333336</v>
      </c>
      <c r="AD14" s="30">
        <v>0.69444444444444453</v>
      </c>
      <c r="AE14" s="26">
        <f t="shared" si="1"/>
        <v>0.40486111111111117</v>
      </c>
      <c r="AF14" s="2">
        <v>5</v>
      </c>
      <c r="AG14" s="45" t="s">
        <v>25</v>
      </c>
      <c r="AI14" s="12" t="s">
        <v>11</v>
      </c>
      <c r="AJ14" s="13">
        <v>5</v>
      </c>
      <c r="AM14" s="1">
        <v>8</v>
      </c>
      <c r="AN14" s="2" t="s">
        <v>274</v>
      </c>
      <c r="AO14" s="41">
        <v>0.2298611111111111</v>
      </c>
      <c r="AP14" s="41">
        <v>0.69236111111111109</v>
      </c>
      <c r="AQ14" s="26">
        <f t="shared" si="2"/>
        <v>0.46250000000000002</v>
      </c>
      <c r="AR14" s="2">
        <v>5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0" t="s">
        <v>75</v>
      </c>
      <c r="D15" s="21">
        <v>0.23194444444444443</v>
      </c>
      <c r="E15" s="21">
        <v>0.56944444444444442</v>
      </c>
      <c r="F15" s="38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0.33750000000000002</v>
      </c>
      <c r="G15" s="20">
        <v>3</v>
      </c>
      <c r="H15" s="65" t="s">
        <v>460</v>
      </c>
      <c r="J15" s="12" t="s">
        <v>88</v>
      </c>
      <c r="K15" s="14">
        <f>B3/K8</f>
        <v>0.47619047619047616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0.33333333333333331</v>
      </c>
      <c r="AA15" s="1">
        <v>9</v>
      </c>
      <c r="AB15" s="29" t="s">
        <v>78</v>
      </c>
      <c r="AC15" s="30">
        <v>0.26180555555555557</v>
      </c>
      <c r="AD15" s="30">
        <v>0.72638888888888886</v>
      </c>
      <c r="AE15" s="26">
        <f t="shared" si="1"/>
        <v>0.46458333333333329</v>
      </c>
      <c r="AF15" s="2">
        <v>5</v>
      </c>
      <c r="AG15" s="45" t="s">
        <v>25</v>
      </c>
      <c r="AI15" s="12" t="s">
        <v>88</v>
      </c>
      <c r="AJ15" s="14">
        <f>AA3/AJ8</f>
        <v>0.75</v>
      </c>
      <c r="AM15" s="1">
        <v>9</v>
      </c>
      <c r="AN15" s="2" t="s">
        <v>275</v>
      </c>
      <c r="AO15" s="41">
        <v>0.25347222222222221</v>
      </c>
      <c r="AP15" s="41">
        <v>0.69166666666666676</v>
      </c>
      <c r="AQ15" s="26">
        <f t="shared" si="2"/>
        <v>0.43819444444444455</v>
      </c>
      <c r="AR15" s="2">
        <v>5</v>
      </c>
      <c r="AS15" s="45" t="s">
        <v>25</v>
      </c>
      <c r="AU15" s="12" t="s">
        <v>88</v>
      </c>
      <c r="AV15" s="14">
        <f>AM3/AV8</f>
        <v>1</v>
      </c>
    </row>
    <row r="16" spans="1:48" x14ac:dyDescent="0.2">
      <c r="B16" s="15">
        <v>10</v>
      </c>
      <c r="C16" s="20" t="s">
        <v>121</v>
      </c>
      <c r="D16" s="21">
        <v>0.26458333333333334</v>
      </c>
      <c r="E16" s="21">
        <v>0.61041666666666672</v>
      </c>
      <c r="F16" s="38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0.34583333333333338</v>
      </c>
      <c r="G16" s="20">
        <v>3</v>
      </c>
      <c r="H16" s="65" t="s">
        <v>461</v>
      </c>
      <c r="J16" s="12" t="s">
        <v>24</v>
      </c>
      <c r="K16" s="14">
        <f>K8/K7</f>
        <v>0.91304347826086951</v>
      </c>
      <c r="W16" s="12" t="s">
        <v>27</v>
      </c>
      <c r="X16" s="14">
        <f>X8/X7</f>
        <v>0.75</v>
      </c>
      <c r="AA16" s="1">
        <v>10</v>
      </c>
      <c r="AB16" s="29" t="s">
        <v>79</v>
      </c>
      <c r="AC16" s="30">
        <v>0.26319444444444445</v>
      </c>
      <c r="AD16" s="30">
        <v>0.67083333333333339</v>
      </c>
      <c r="AE16" s="26">
        <f t="shared" si="1"/>
        <v>0.40763888888888894</v>
      </c>
      <c r="AF16" s="2">
        <v>5</v>
      </c>
      <c r="AG16" s="45" t="s">
        <v>25</v>
      </c>
      <c r="AI16" s="12" t="s">
        <v>27</v>
      </c>
      <c r="AJ16" s="14">
        <f>AJ8/AJ7</f>
        <v>0.84848484848484851</v>
      </c>
      <c r="AM16" s="1">
        <v>10</v>
      </c>
      <c r="AN16" s="2" t="s">
        <v>276</v>
      </c>
      <c r="AO16" s="41">
        <v>0.24027777777777778</v>
      </c>
      <c r="AP16" s="41">
        <v>0.74652777777777779</v>
      </c>
      <c r="AQ16" s="26">
        <f t="shared" si="2"/>
        <v>0.50624999999999998</v>
      </c>
      <c r="AR16" s="2">
        <v>5</v>
      </c>
      <c r="AS16" s="45" t="s">
        <v>25</v>
      </c>
      <c r="AU16" s="12" t="s">
        <v>27</v>
      </c>
      <c r="AV16" s="14">
        <f>AV8/AV7</f>
        <v>1</v>
      </c>
    </row>
    <row r="17" spans="2:48" ht="16" x14ac:dyDescent="0.2">
      <c r="B17" s="1">
        <v>11</v>
      </c>
      <c r="C17" s="74" t="s">
        <v>12</v>
      </c>
      <c r="D17" s="75">
        <v>0.28611111111111115</v>
      </c>
      <c r="E17" s="75">
        <v>0.67847222222222225</v>
      </c>
      <c r="F17" s="76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0.3923611111111111</v>
      </c>
      <c r="G17" s="74">
        <v>4</v>
      </c>
      <c r="H17" s="69" t="s">
        <v>25</v>
      </c>
      <c r="J17" s="12" t="s">
        <v>117</v>
      </c>
      <c r="K17" s="48">
        <f>AVERAGE(Table13245678910111321252934394449546149141924293336424753919786104110116122127131136141914241930364248546066[JAM KELUAR])</f>
        <v>0.24638888888888891</v>
      </c>
      <c r="W17" s="12" t="s">
        <v>117</v>
      </c>
      <c r="X17" s="48">
        <f>AVERAGE(Table134567891011172226303540455055625101520253034384348549298871051111171231281321371421015252031374349556167[JAM KELUAR])</f>
        <v>0.28391203703703705</v>
      </c>
      <c r="AA17" s="1">
        <v>11</v>
      </c>
      <c r="AB17" s="29" t="s">
        <v>46</v>
      </c>
      <c r="AC17" s="30">
        <v>0.24166666666666667</v>
      </c>
      <c r="AD17" s="30">
        <v>0.6430555555555556</v>
      </c>
      <c r="AE17" s="26">
        <f t="shared" si="1"/>
        <v>0.40138888888888891</v>
      </c>
      <c r="AF17" s="2">
        <v>5</v>
      </c>
      <c r="AG17" s="45" t="s">
        <v>25</v>
      </c>
      <c r="AI17" s="12" t="s">
        <v>117</v>
      </c>
      <c r="AJ17" s="48">
        <f>AVERAGE(Table13456789101115181923273137424752592712172227322841465290968010310911512112612013514081323182834404652586470[JAM KELUAR])</f>
        <v>0.26145833333333329</v>
      </c>
      <c r="AU17" s="12" t="s">
        <v>117</v>
      </c>
      <c r="AV17" s="48">
        <f>AVERAGE(Table134567891011151819232731374247525927121722273228414652909680103109115121126120135140813231829354147535965[JAM KELUAR])</f>
        <v>0.24736111111111109</v>
      </c>
    </row>
    <row r="18" spans="2:48" x14ac:dyDescent="0.2">
      <c r="B18" s="1">
        <v>12</v>
      </c>
      <c r="C18" s="2" t="s">
        <v>71</v>
      </c>
      <c r="D18" s="41">
        <v>0.23819444444444446</v>
      </c>
      <c r="E18" s="41">
        <v>0.65069444444444446</v>
      </c>
      <c r="F18" s="26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0.41249999999999998</v>
      </c>
      <c r="G18" s="2">
        <v>4</v>
      </c>
      <c r="H18" s="69" t="s">
        <v>25</v>
      </c>
      <c r="AA18" s="1">
        <v>12</v>
      </c>
      <c r="AB18" s="29" t="s">
        <v>50</v>
      </c>
      <c r="AC18" s="30">
        <v>0.26874999999999999</v>
      </c>
      <c r="AD18" s="30">
        <v>0.66875000000000007</v>
      </c>
      <c r="AE18" s="26">
        <f t="shared" si="1"/>
        <v>0.40000000000000008</v>
      </c>
      <c r="AF18" s="2">
        <v>5</v>
      </c>
      <c r="AG18" s="45" t="s">
        <v>25</v>
      </c>
      <c r="AI18" s="17"/>
      <c r="AR18" s="34"/>
      <c r="AS18" s="35" t="s">
        <v>90</v>
      </c>
      <c r="AU18" s="17"/>
    </row>
    <row r="19" spans="2:48" ht="15.75" customHeight="1" x14ac:dyDescent="0.2">
      <c r="B19" s="1">
        <v>13</v>
      </c>
      <c r="C19" s="2" t="s">
        <v>68</v>
      </c>
      <c r="D19" s="41">
        <v>0.26874999999999999</v>
      </c>
      <c r="E19" s="41">
        <v>0.66805555555555562</v>
      </c>
      <c r="F19" s="26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0.39930555555555564</v>
      </c>
      <c r="G19" s="2">
        <v>4</v>
      </c>
      <c r="H19" s="69" t="s">
        <v>25</v>
      </c>
      <c r="AA19" s="1">
        <v>13</v>
      </c>
      <c r="AB19" s="29" t="s">
        <v>58</v>
      </c>
      <c r="AC19" s="30">
        <v>0.2902777777777778</v>
      </c>
      <c r="AD19" s="30">
        <v>0.74305555555555547</v>
      </c>
      <c r="AE19" s="26">
        <f t="shared" si="1"/>
        <v>0.45277777777777767</v>
      </c>
      <c r="AF19" s="2">
        <v>5</v>
      </c>
      <c r="AG19" s="45" t="s">
        <v>25</v>
      </c>
      <c r="AR19" s="56" t="s">
        <v>209</v>
      </c>
      <c r="AS19" s="35" t="s">
        <v>92</v>
      </c>
    </row>
    <row r="20" spans="2:48" ht="17.25" customHeight="1" x14ac:dyDescent="0.2">
      <c r="B20" s="1">
        <v>14</v>
      </c>
      <c r="C20" s="2" t="s">
        <v>73</v>
      </c>
      <c r="D20" s="41">
        <v>0.22013888888888888</v>
      </c>
      <c r="E20" s="41">
        <v>0.64861111111111114</v>
      </c>
      <c r="F20" s="26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0.42847222222222225</v>
      </c>
      <c r="G20" s="2">
        <v>4</v>
      </c>
      <c r="H20" s="69" t="s">
        <v>25</v>
      </c>
      <c r="AA20" s="1">
        <v>14</v>
      </c>
      <c r="AB20" s="2" t="s">
        <v>30</v>
      </c>
      <c r="AC20" s="30">
        <v>0.24444444444444446</v>
      </c>
      <c r="AD20" s="30">
        <v>0.67361111111111116</v>
      </c>
      <c r="AE20" s="26">
        <f t="shared" si="1"/>
        <v>0.4291666666666667</v>
      </c>
      <c r="AF20" s="2">
        <v>5</v>
      </c>
      <c r="AG20" s="45" t="s">
        <v>25</v>
      </c>
      <c r="AR20" s="49"/>
    </row>
    <row r="21" spans="2:48" ht="15.75" customHeight="1" x14ac:dyDescent="0.2">
      <c r="B21" s="1">
        <v>15</v>
      </c>
      <c r="C21" s="2" t="s">
        <v>76</v>
      </c>
      <c r="D21" s="41">
        <v>0.20208333333333331</v>
      </c>
      <c r="E21" s="41">
        <v>0.62777777777777777</v>
      </c>
      <c r="F21" s="26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0.42569444444444449</v>
      </c>
      <c r="G21" s="2">
        <v>4</v>
      </c>
      <c r="H21" s="69" t="s">
        <v>25</v>
      </c>
      <c r="AA21" s="1">
        <v>15</v>
      </c>
      <c r="AB21" s="29" t="s">
        <v>34</v>
      </c>
      <c r="AC21" s="41">
        <v>0.25972222222222224</v>
      </c>
      <c r="AD21" s="41">
        <v>0.72638888888888886</v>
      </c>
      <c r="AE21" s="39">
        <f t="shared" si="1"/>
        <v>0.46666666666666662</v>
      </c>
      <c r="AF21" s="2">
        <v>5</v>
      </c>
      <c r="AG21" s="45" t="s">
        <v>25</v>
      </c>
    </row>
    <row r="22" spans="2:48" ht="15" customHeight="1" x14ac:dyDescent="0.2">
      <c r="B22" s="1">
        <v>16</v>
      </c>
      <c r="C22" s="2" t="s">
        <v>120</v>
      </c>
      <c r="D22" s="41">
        <v>0.24513888888888888</v>
      </c>
      <c r="E22" s="41">
        <v>0.7090277777777777</v>
      </c>
      <c r="F22" s="26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0.4638888888888888</v>
      </c>
      <c r="G22" s="2">
        <v>4</v>
      </c>
      <c r="H22" s="69" t="s">
        <v>25</v>
      </c>
      <c r="AA22" s="1">
        <v>16</v>
      </c>
      <c r="AB22" s="29" t="s">
        <v>35</v>
      </c>
      <c r="AC22" s="30">
        <v>0.26874999999999999</v>
      </c>
      <c r="AD22" s="30">
        <v>0.7006944444444444</v>
      </c>
      <c r="AE22" s="39">
        <f t="shared" si="1"/>
        <v>0.43194444444444441</v>
      </c>
      <c r="AF22" s="29">
        <v>5</v>
      </c>
      <c r="AG22" s="45" t="s">
        <v>25</v>
      </c>
    </row>
    <row r="23" spans="2:48" ht="15" customHeight="1" x14ac:dyDescent="0.2">
      <c r="B23" s="1">
        <v>17</v>
      </c>
      <c r="C23" s="2" t="s">
        <v>16</v>
      </c>
      <c r="D23" s="41">
        <v>0.24583333333333335</v>
      </c>
      <c r="E23" s="41">
        <v>0.66736111111111107</v>
      </c>
      <c r="F23" s="26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0.42152777777777772</v>
      </c>
      <c r="G23" s="2">
        <v>4</v>
      </c>
      <c r="H23" s="69" t="s">
        <v>25</v>
      </c>
      <c r="AA23" s="1">
        <v>17</v>
      </c>
      <c r="AB23" s="29" t="s">
        <v>59</v>
      </c>
      <c r="AC23" s="30">
        <v>0.28333333333333333</v>
      </c>
      <c r="AD23" s="30">
        <v>0.70763888888888893</v>
      </c>
      <c r="AE23" s="39">
        <f t="shared" si="1"/>
        <v>0.4243055555555556</v>
      </c>
      <c r="AF23" s="29">
        <v>5</v>
      </c>
      <c r="AG23" s="45" t="s">
        <v>25</v>
      </c>
    </row>
    <row r="24" spans="2:48" ht="15" customHeight="1" x14ac:dyDescent="0.2">
      <c r="B24" s="1">
        <v>18</v>
      </c>
      <c r="C24" s="2" t="s">
        <v>18</v>
      </c>
      <c r="D24" s="41">
        <v>0.24374999999999999</v>
      </c>
      <c r="E24" s="41">
        <v>0.70000000000000007</v>
      </c>
      <c r="F24" s="26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0.45625000000000004</v>
      </c>
      <c r="G24" s="2">
        <v>4</v>
      </c>
      <c r="H24" s="69" t="s">
        <v>25</v>
      </c>
      <c r="AA24" s="1">
        <v>18</v>
      </c>
      <c r="AB24" s="29" t="s">
        <v>48</v>
      </c>
      <c r="AC24" s="30">
        <v>0.26180555555555557</v>
      </c>
      <c r="AD24" s="30">
        <v>0.74444444444444446</v>
      </c>
      <c r="AE24" s="39">
        <f t="shared" si="1"/>
        <v>0.4826388888888889</v>
      </c>
      <c r="AF24" s="29">
        <v>6</v>
      </c>
      <c r="AG24" s="45" t="s">
        <v>25</v>
      </c>
    </row>
    <row r="25" spans="2:48" ht="14.5" customHeight="1" x14ac:dyDescent="0.2">
      <c r="B25" s="1">
        <v>19</v>
      </c>
      <c r="C25" s="2" t="s">
        <v>19</v>
      </c>
      <c r="D25" s="41">
        <v>0.1875</v>
      </c>
      <c r="E25" s="41">
        <v>0.67152777777777783</v>
      </c>
      <c r="F25" s="26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0.48402777777777783</v>
      </c>
      <c r="G25" s="2">
        <v>4</v>
      </c>
      <c r="H25" s="69" t="s">
        <v>25</v>
      </c>
      <c r="T25" s="34"/>
      <c r="U25" s="35" t="s">
        <v>90</v>
      </c>
      <c r="AA25" s="1">
        <v>19</v>
      </c>
      <c r="AB25" s="29" t="s">
        <v>45</v>
      </c>
      <c r="AC25" s="30">
        <v>0.23194444444444443</v>
      </c>
      <c r="AD25" s="30">
        <v>0.6875</v>
      </c>
      <c r="AE25" s="39">
        <f t="shared" si="1"/>
        <v>0.4555555555555556</v>
      </c>
      <c r="AF25" s="29">
        <v>6</v>
      </c>
      <c r="AG25" s="45" t="s">
        <v>25</v>
      </c>
      <c r="AM25" s="49"/>
    </row>
    <row r="26" spans="2:48" ht="14.5" customHeight="1" x14ac:dyDescent="0.2">
      <c r="B26" s="1">
        <v>20</v>
      </c>
      <c r="C26" s="2" t="s">
        <v>72</v>
      </c>
      <c r="D26" s="41">
        <v>0.21111111111111111</v>
      </c>
      <c r="E26" s="41">
        <v>0.7090277777777777</v>
      </c>
      <c r="F26" s="26">
        <f>Table13245678910111321252934394449546149141924293336424753919786104110116122127131136141914241930364248546066[[#This Row],[JAM MASUK]]-Table13245678910111321252934394449546149141924293336424753919786104110116122127131136141914241930364248546066[[#This Row],[JAM KELUAR]]</f>
        <v>0.49791666666666656</v>
      </c>
      <c r="G26" s="2">
        <v>5</v>
      </c>
      <c r="H26" s="69" t="s">
        <v>25</v>
      </c>
      <c r="N26" s="54"/>
      <c r="T26" s="56" t="s">
        <v>209</v>
      </c>
      <c r="U26" s="35" t="s">
        <v>92</v>
      </c>
      <c r="AA26" s="1">
        <v>20</v>
      </c>
      <c r="AB26" s="29" t="s">
        <v>49</v>
      </c>
      <c r="AC26" s="30">
        <v>0.26250000000000001</v>
      </c>
      <c r="AD26" s="30">
        <v>0.73819444444444438</v>
      </c>
      <c r="AE26" s="39">
        <f t="shared" si="1"/>
        <v>0.47569444444444436</v>
      </c>
      <c r="AF26" s="29">
        <v>6</v>
      </c>
      <c r="AG26" s="45" t="s">
        <v>25</v>
      </c>
    </row>
    <row r="27" spans="2:48" ht="14.5" customHeight="1" x14ac:dyDescent="0.2">
      <c r="N27" s="54"/>
      <c r="AA27" s="1">
        <v>21</v>
      </c>
      <c r="AB27" s="29" t="s">
        <v>80</v>
      </c>
      <c r="AC27" s="30">
        <v>0.25138888888888888</v>
      </c>
      <c r="AD27" s="30">
        <v>0.69652777777777775</v>
      </c>
      <c r="AE27" s="39">
        <f t="shared" si="1"/>
        <v>0.44513888888888886</v>
      </c>
      <c r="AF27" s="29">
        <v>6</v>
      </c>
      <c r="AG27" s="45" t="s">
        <v>25</v>
      </c>
    </row>
    <row r="28" spans="2:48" x14ac:dyDescent="0.2">
      <c r="G28" s="34"/>
      <c r="H28" s="35" t="s">
        <v>90</v>
      </c>
      <c r="N28" s="54"/>
      <c r="AA28" s="1">
        <v>22</v>
      </c>
      <c r="AB28" s="29" t="s">
        <v>47</v>
      </c>
      <c r="AC28" s="30">
        <v>0.25694444444444448</v>
      </c>
      <c r="AD28" s="30">
        <v>0.7416666666666667</v>
      </c>
      <c r="AE28" s="39">
        <f t="shared" si="1"/>
        <v>0.48472222222222222</v>
      </c>
      <c r="AF28" s="29">
        <v>6</v>
      </c>
      <c r="AG28" s="45" t="s">
        <v>25</v>
      </c>
    </row>
    <row r="29" spans="2:48" x14ac:dyDescent="0.2">
      <c r="G29" s="56" t="s">
        <v>209</v>
      </c>
      <c r="H29" s="35" t="s">
        <v>92</v>
      </c>
      <c r="N29" s="54"/>
      <c r="AA29" s="1">
        <v>23</v>
      </c>
      <c r="AB29" s="29" t="s">
        <v>81</v>
      </c>
      <c r="AC29" s="30">
        <v>0.27013888888888887</v>
      </c>
      <c r="AD29" s="30">
        <v>0.74444444444444446</v>
      </c>
      <c r="AE29" s="39">
        <f t="shared" si="1"/>
        <v>0.47430555555555559</v>
      </c>
      <c r="AF29" s="29">
        <v>6</v>
      </c>
      <c r="AG29" s="45" t="s">
        <v>25</v>
      </c>
    </row>
    <row r="30" spans="2:48" x14ac:dyDescent="0.2">
      <c r="AA30" s="1">
        <v>24</v>
      </c>
      <c r="AB30" s="29" t="s">
        <v>82</v>
      </c>
      <c r="AC30" s="30">
        <v>0.27291666666666664</v>
      </c>
      <c r="AD30" s="30">
        <v>0.74305555555555547</v>
      </c>
      <c r="AE30" s="39">
        <f t="shared" si="1"/>
        <v>0.47013888888888883</v>
      </c>
      <c r="AF30" s="29">
        <v>6</v>
      </c>
      <c r="AG30" s="45" t="s">
        <v>25</v>
      </c>
    </row>
    <row r="31" spans="2:48" x14ac:dyDescent="0.2">
      <c r="B31" s="49"/>
      <c r="AA31" s="1">
        <v>25</v>
      </c>
      <c r="AB31" s="29" t="s">
        <v>40</v>
      </c>
      <c r="AC31" s="30">
        <v>0.25277777777777777</v>
      </c>
      <c r="AD31" s="30">
        <v>0.74305555555555547</v>
      </c>
      <c r="AE31" s="39">
        <f t="shared" si="1"/>
        <v>0.4902777777777777</v>
      </c>
      <c r="AF31" s="29">
        <v>6</v>
      </c>
      <c r="AG31" s="45" t="s">
        <v>25</v>
      </c>
    </row>
    <row r="32" spans="2:48" x14ac:dyDescent="0.2">
      <c r="V32" s="1"/>
      <c r="AA32" s="1">
        <v>26</v>
      </c>
      <c r="AB32" s="29" t="s">
        <v>32</v>
      </c>
      <c r="AC32" s="30">
        <v>0.26041666666666669</v>
      </c>
      <c r="AD32" s="30">
        <v>0.75694444444444453</v>
      </c>
      <c r="AE32" s="39">
        <f t="shared" si="1"/>
        <v>0.49652777777777785</v>
      </c>
      <c r="AF32" s="29">
        <v>6</v>
      </c>
      <c r="AG32" s="45" t="s">
        <v>25</v>
      </c>
    </row>
    <row r="33" spans="1:33" x14ac:dyDescent="0.2">
      <c r="V33" s="1"/>
      <c r="AA33" s="1">
        <v>27</v>
      </c>
      <c r="AB33" s="29" t="s">
        <v>309</v>
      </c>
      <c r="AC33" s="30">
        <v>0.26458333333333334</v>
      </c>
      <c r="AD33" s="30">
        <v>0.74305555555555547</v>
      </c>
      <c r="AE33" s="39">
        <f t="shared" si="1"/>
        <v>0.47847222222222213</v>
      </c>
      <c r="AF33" s="29">
        <v>6</v>
      </c>
      <c r="AG33" s="45" t="s">
        <v>25</v>
      </c>
    </row>
    <row r="34" spans="1:33" x14ac:dyDescent="0.2">
      <c r="V34" s="1"/>
      <c r="AA34" s="1">
        <v>28</v>
      </c>
      <c r="AB34" s="29" t="s">
        <v>67</v>
      </c>
      <c r="AC34" s="30">
        <v>0.22083333333333333</v>
      </c>
      <c r="AD34" s="30">
        <v>0.74930555555555556</v>
      </c>
      <c r="AE34" s="39">
        <f t="shared" si="1"/>
        <v>0.52847222222222223</v>
      </c>
      <c r="AF34" s="29">
        <v>6</v>
      </c>
      <c r="AG34" s="45" t="s">
        <v>25</v>
      </c>
    </row>
    <row r="35" spans="1:33" x14ac:dyDescent="0.2">
      <c r="V35" s="1"/>
    </row>
    <row r="36" spans="1:33" x14ac:dyDescent="0.2">
      <c r="V36" s="1"/>
      <c r="AF36" s="34"/>
      <c r="AG36" s="35" t="s">
        <v>90</v>
      </c>
    </row>
    <row r="37" spans="1:33" x14ac:dyDescent="0.2">
      <c r="V37" s="1"/>
      <c r="AF37" s="56" t="s">
        <v>209</v>
      </c>
      <c r="AG37" s="35" t="s">
        <v>92</v>
      </c>
    </row>
    <row r="38" spans="1:33" x14ac:dyDescent="0.2">
      <c r="V38" s="1"/>
    </row>
    <row r="39" spans="1:33" x14ac:dyDescent="0.2">
      <c r="V39" s="1"/>
    </row>
    <row r="40" spans="1:33" x14ac:dyDescent="0.2">
      <c r="V40" s="1"/>
    </row>
    <row r="41" spans="1:33" ht="21" x14ac:dyDescent="0.25">
      <c r="A41" s="46"/>
    </row>
    <row r="59" spans="15:22" x14ac:dyDescent="0.2">
      <c r="O59" s="2" t="s">
        <v>0</v>
      </c>
      <c r="P59" s="2" t="s">
        <v>1</v>
      </c>
      <c r="Q59" s="22" t="s">
        <v>61</v>
      </c>
      <c r="R59" s="22" t="s">
        <v>62</v>
      </c>
      <c r="S59" s="22" t="s">
        <v>63</v>
      </c>
      <c r="T59" s="2" t="s">
        <v>2</v>
      </c>
      <c r="U59" s="2" t="s">
        <v>3</v>
      </c>
    </row>
    <row r="60" spans="15:22" x14ac:dyDescent="0.2">
      <c r="O60" s="27">
        <v>1</v>
      </c>
      <c r="P60" s="2"/>
      <c r="Q60" s="41"/>
      <c r="R60" s="42"/>
      <c r="S60" s="26"/>
      <c r="T60" s="2"/>
      <c r="U60" s="24"/>
    </row>
    <row r="61" spans="15:22" x14ac:dyDescent="0.2">
      <c r="O61" s="15">
        <v>2</v>
      </c>
      <c r="P61" s="29"/>
      <c r="Q61" s="30"/>
      <c r="R61" s="36"/>
      <c r="S61" s="26"/>
      <c r="T61" s="29"/>
      <c r="U61" s="24"/>
    </row>
    <row r="62" spans="15:22" x14ac:dyDescent="0.2">
      <c r="O62" s="15">
        <v>3</v>
      </c>
      <c r="P62" s="29"/>
      <c r="Q62" s="30"/>
      <c r="R62" s="36"/>
      <c r="S62" s="39"/>
      <c r="T62" s="29"/>
      <c r="U62" s="16"/>
    </row>
    <row r="63" spans="15:22" x14ac:dyDescent="0.2">
      <c r="O63" s="27">
        <v>4</v>
      </c>
      <c r="P63" s="29"/>
      <c r="Q63" s="30"/>
      <c r="R63" s="36"/>
      <c r="S63" s="39"/>
      <c r="T63" s="29"/>
      <c r="U63" s="24"/>
      <c r="V63" s="1"/>
    </row>
    <row r="64" spans="15:22" x14ac:dyDescent="0.2">
      <c r="O64" s="15">
        <v>5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5">
        <v>6</v>
      </c>
      <c r="P65" s="29"/>
      <c r="Q65" s="30"/>
      <c r="R65" s="36"/>
      <c r="S65" s="26"/>
      <c r="T65" s="29"/>
      <c r="U65" s="24"/>
      <c r="V65" s="1"/>
    </row>
    <row r="66" spans="15:22" x14ac:dyDescent="0.2">
      <c r="O66" s="27">
        <v>7</v>
      </c>
      <c r="P66" s="29"/>
      <c r="Q66" s="30"/>
      <c r="R66" s="36"/>
      <c r="S66" s="39"/>
      <c r="T66" s="29"/>
      <c r="U66" s="24"/>
    </row>
    <row r="67" spans="15:22" x14ac:dyDescent="0.2">
      <c r="O67" s="15">
        <v>8</v>
      </c>
      <c r="P67" s="29"/>
      <c r="Q67" s="30"/>
      <c r="R67" s="36"/>
      <c r="S67" s="26"/>
      <c r="T67" s="29"/>
      <c r="U67" s="24"/>
    </row>
    <row r="68" spans="15:22" x14ac:dyDescent="0.2">
      <c r="O68" s="15">
        <v>9</v>
      </c>
      <c r="P68" s="29"/>
      <c r="Q68" s="30"/>
      <c r="R68" s="36"/>
      <c r="S68" s="26"/>
      <c r="T68" s="29"/>
      <c r="U68" s="24"/>
    </row>
    <row r="69" spans="15:22" x14ac:dyDescent="0.2">
      <c r="O69" s="27">
        <v>10</v>
      </c>
      <c r="P69" s="29"/>
      <c r="Q69" s="30"/>
      <c r="R69" s="36"/>
      <c r="S69" s="26"/>
      <c r="T69" s="29"/>
      <c r="U69" s="24"/>
    </row>
    <row r="70" spans="15:22" x14ac:dyDescent="0.2">
      <c r="O70" s="15">
        <v>11</v>
      </c>
      <c r="P70" s="29"/>
      <c r="Q70" s="30"/>
      <c r="R70" s="36"/>
      <c r="S70" s="26"/>
      <c r="T70" s="29"/>
      <c r="U70" s="24"/>
    </row>
    <row r="71" spans="15:22" x14ac:dyDescent="0.2">
      <c r="O71" s="1">
        <v>12</v>
      </c>
      <c r="P71" s="29"/>
      <c r="Q71" s="30"/>
      <c r="R71" s="36"/>
      <c r="S71" s="39"/>
      <c r="T71" s="29"/>
      <c r="U71" s="25"/>
    </row>
    <row r="72" spans="15:22" x14ac:dyDescent="0.2">
      <c r="O72" s="28">
        <v>13</v>
      </c>
      <c r="P72" s="29"/>
      <c r="Q72" s="30"/>
      <c r="R72" s="36"/>
      <c r="S72" s="26"/>
      <c r="T72" s="29"/>
      <c r="U72" s="25"/>
    </row>
    <row r="73" spans="15:22" x14ac:dyDescent="0.2">
      <c r="O73" s="27">
        <v>14</v>
      </c>
      <c r="P73" s="29"/>
      <c r="Q73" s="30"/>
      <c r="R73" s="36"/>
      <c r="S73" s="26"/>
      <c r="T73" s="29"/>
      <c r="U73" s="24"/>
    </row>
    <row r="74" spans="15:22" x14ac:dyDescent="0.2">
      <c r="O74" s="15">
        <v>15</v>
      </c>
      <c r="P74" s="29"/>
      <c r="Q74" s="30"/>
      <c r="R74" s="36"/>
      <c r="S74" s="26"/>
      <c r="T74" s="29"/>
      <c r="U74" s="24"/>
    </row>
    <row r="75" spans="15:22" x14ac:dyDescent="0.2">
      <c r="O75" s="1">
        <v>16</v>
      </c>
      <c r="P75" s="29"/>
      <c r="Q75" s="30"/>
      <c r="R75" s="36"/>
      <c r="S75" s="26"/>
      <c r="T75" s="29"/>
      <c r="U75" s="25"/>
    </row>
    <row r="76" spans="15:22" x14ac:dyDescent="0.2">
      <c r="O76" s="28">
        <v>17</v>
      </c>
      <c r="P76" s="29"/>
      <c r="Q76" s="30"/>
      <c r="R76" s="36"/>
      <c r="S76" s="26"/>
      <c r="T76" s="29"/>
      <c r="U76" s="25"/>
    </row>
    <row r="77" spans="15:22" x14ac:dyDescent="0.2">
      <c r="O77" s="27">
        <v>18</v>
      </c>
      <c r="P77" s="29"/>
      <c r="Q77" s="30"/>
      <c r="R77" s="36"/>
      <c r="S77" s="26"/>
      <c r="T77" s="29"/>
      <c r="U77" s="24"/>
    </row>
    <row r="78" spans="15:22" x14ac:dyDescent="0.2">
      <c r="O78" s="1">
        <v>19</v>
      </c>
      <c r="P78" s="29"/>
      <c r="Q78" s="30"/>
      <c r="R78" s="36"/>
      <c r="S78" s="39"/>
      <c r="T78" s="29"/>
      <c r="U78" s="25"/>
    </row>
    <row r="79" spans="15:22" x14ac:dyDescent="0.2">
      <c r="O79" s="1">
        <v>20</v>
      </c>
      <c r="P79" s="29"/>
      <c r="Q79" s="30"/>
      <c r="R79" s="36"/>
      <c r="S79" s="39"/>
      <c r="T79" s="29"/>
      <c r="U79" s="25"/>
    </row>
    <row r="80" spans="15:22" x14ac:dyDescent="0.2">
      <c r="O80" s="28">
        <v>21</v>
      </c>
      <c r="P80" s="29"/>
      <c r="Q80" s="30"/>
      <c r="R80" s="36"/>
      <c r="S80" s="26"/>
      <c r="T80" s="29"/>
      <c r="U80" s="25"/>
    </row>
    <row r="81" spans="15:21" x14ac:dyDescent="0.2">
      <c r="O81" s="27">
        <v>22</v>
      </c>
      <c r="P81" s="29"/>
      <c r="Q81" s="30"/>
      <c r="R81" s="36"/>
      <c r="S81" s="26"/>
      <c r="T81" s="29"/>
      <c r="U81" s="25"/>
    </row>
  </sheetData>
  <mergeCells count="19">
    <mergeCell ref="O1:X1"/>
    <mergeCell ref="AA1:AJ1"/>
    <mergeCell ref="AM1:AV1"/>
    <mergeCell ref="B2:K2"/>
    <mergeCell ref="O2:X2"/>
    <mergeCell ref="AA2:AJ2"/>
    <mergeCell ref="AM2:AV2"/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</mergeCells>
  <pageMargins left="0.12" right="0.12" top="0.75" bottom="0.75" header="0.3" footer="0.3"/>
  <pageSetup paperSize="5" scale="68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5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EE34-1F51-4B22-9E27-204D9E3B62AE}">
  <sheetPr>
    <tabColor theme="7" tint="0.39997558519241921"/>
  </sheetPr>
  <dimension ref="A1:AV81"/>
  <sheetViews>
    <sheetView showGridLines="0" view="pageBreakPreview" topLeftCell="AS4" zoomScale="70" zoomScaleNormal="55" zoomScaleSheetLayoutView="70" workbookViewId="0">
      <selection activeCell="AN7" sqref="AN7:AS16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1.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COUNTIF(Table1324567891011132125293439444954614914192429333642475391978610411011612212713113614191424193036424854606672[Retase],"&gt;3")</f>
        <v>8</v>
      </c>
      <c r="D3" t="s">
        <v>241</v>
      </c>
      <c r="O3" s="60">
        <f>COUNTIF(Table13456789101117222630354045505562510152025303438434854929887105111117123128132137142101525203137434955616773[Retase],"&gt;3")</f>
        <v>0</v>
      </c>
      <c r="P3" s="60" t="e">
        <f>COUNTIF(#REF!,"&gt;3")</f>
        <v>#REF!</v>
      </c>
      <c r="AA3" s="60">
        <f>COUNTIF(Table1345678910111518192327313742475259271217222732284146529096801031091151211261201351408132318283440465258647075[Retase],"&gt;4")</f>
        <v>11</v>
      </c>
      <c r="AM3" s="60">
        <f>COUNTIF(Table13456789101115181923273137424752592712172227322841465290968010310911512112612013514081323182935414753596571[Retase],"&gt;3")</f>
        <v>9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45426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45426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45426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45426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0" t="s">
        <v>118</v>
      </c>
      <c r="D7" s="21">
        <v>0.23402777777777781</v>
      </c>
      <c r="E7" s="21">
        <v>0.6381944444444444</v>
      </c>
      <c r="F7" s="38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0.40416666666666656</v>
      </c>
      <c r="G7" s="20">
        <v>2</v>
      </c>
      <c r="H7" s="65" t="s">
        <v>495</v>
      </c>
      <c r="J7" s="4" t="s">
        <v>10</v>
      </c>
      <c r="K7" s="6">
        <v>23</v>
      </c>
      <c r="L7" s="19"/>
      <c r="N7" s="54"/>
      <c r="O7" s="15">
        <v>1</v>
      </c>
      <c r="P7" s="23" t="s">
        <v>84</v>
      </c>
      <c r="Q7" s="40">
        <v>0.25694444444444448</v>
      </c>
      <c r="R7" s="40">
        <v>0.39166666666666666</v>
      </c>
      <c r="S7" s="37">
        <f t="shared" ref="S7:S12" si="0">R7-Q7</f>
        <v>0.13472222222222219</v>
      </c>
      <c r="T7" s="23">
        <v>1</v>
      </c>
      <c r="U7" s="24" t="s">
        <v>490</v>
      </c>
      <c r="W7" s="4" t="s">
        <v>10</v>
      </c>
      <c r="X7" s="6">
        <v>8</v>
      </c>
      <c r="AA7" s="15">
        <v>1</v>
      </c>
      <c r="AB7" s="23" t="s">
        <v>30</v>
      </c>
      <c r="AC7" s="21">
        <v>0.22152777777777777</v>
      </c>
      <c r="AD7" s="21">
        <v>0.46319444444444446</v>
      </c>
      <c r="AE7" s="37">
        <f t="shared" ref="AE7:AE30" si="1">AD7-AC7</f>
        <v>0.2416666666666667</v>
      </c>
      <c r="AF7" s="20">
        <v>1</v>
      </c>
      <c r="AG7" s="16" t="s">
        <v>478</v>
      </c>
      <c r="AI7" s="4" t="s">
        <v>10</v>
      </c>
      <c r="AJ7" s="6">
        <v>33</v>
      </c>
      <c r="AM7" s="15">
        <v>1</v>
      </c>
      <c r="AN7" s="20" t="s">
        <v>306</v>
      </c>
      <c r="AO7" s="21">
        <v>0.24305555555555555</v>
      </c>
      <c r="AP7" s="21">
        <v>0.7090277777777777</v>
      </c>
      <c r="AQ7" s="38">
        <f t="shared" ref="AQ7:AQ16" si="2">AP7-AO7</f>
        <v>0.46597222222222212</v>
      </c>
      <c r="AR7" s="20">
        <v>3</v>
      </c>
      <c r="AS7" s="16" t="s">
        <v>477</v>
      </c>
      <c r="AU7" s="4" t="s">
        <v>10</v>
      </c>
      <c r="AV7" s="6">
        <v>10</v>
      </c>
    </row>
    <row r="8" spans="1:48" s="1" customFormat="1" x14ac:dyDescent="0.2">
      <c r="A8"/>
      <c r="B8" s="50">
        <v>2</v>
      </c>
      <c r="C8" s="31" t="s">
        <v>13</v>
      </c>
      <c r="D8" s="32">
        <v>0.30486111111111108</v>
      </c>
      <c r="E8" s="32">
        <v>0.61805555555555558</v>
      </c>
      <c r="F8" s="51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0.3131944444444445</v>
      </c>
      <c r="G8" s="31">
        <v>2</v>
      </c>
      <c r="H8" s="73" t="s">
        <v>496</v>
      </c>
      <c r="J8" s="4" t="s">
        <v>9</v>
      </c>
      <c r="K8" s="7">
        <v>21</v>
      </c>
      <c r="L8" s="19"/>
      <c r="O8" s="50">
        <v>2</v>
      </c>
      <c r="P8" s="52" t="s">
        <v>39</v>
      </c>
      <c r="Q8" s="44">
        <v>0.29236111111111113</v>
      </c>
      <c r="R8" s="44">
        <v>0.6118055555555556</v>
      </c>
      <c r="S8" s="52">
        <f t="shared" si="0"/>
        <v>0.31944444444444448</v>
      </c>
      <c r="T8" s="33">
        <v>2</v>
      </c>
      <c r="U8" s="53" t="s">
        <v>491</v>
      </c>
      <c r="W8" s="4" t="s">
        <v>9</v>
      </c>
      <c r="X8" s="7">
        <v>6</v>
      </c>
      <c r="Z8" s="56"/>
      <c r="AA8" s="15">
        <v>2</v>
      </c>
      <c r="AB8" s="23" t="s">
        <v>32</v>
      </c>
      <c r="AC8" s="40">
        <v>0.28263888888888888</v>
      </c>
      <c r="AD8" s="40">
        <v>0.68125000000000002</v>
      </c>
      <c r="AE8" s="38">
        <f t="shared" si="1"/>
        <v>0.39861111111111114</v>
      </c>
      <c r="AF8" s="20">
        <v>2</v>
      </c>
      <c r="AG8" s="16" t="s">
        <v>479</v>
      </c>
      <c r="AI8" s="4" t="s">
        <v>9</v>
      </c>
      <c r="AJ8" s="6">
        <v>24</v>
      </c>
      <c r="AM8" s="1">
        <v>2</v>
      </c>
      <c r="AN8" s="2" t="s">
        <v>302</v>
      </c>
      <c r="AO8" s="41">
        <v>0.2722222222222222</v>
      </c>
      <c r="AP8" s="41">
        <v>0.6430555555555556</v>
      </c>
      <c r="AQ8" s="26">
        <f t="shared" si="2"/>
        <v>0.3708333333333334</v>
      </c>
      <c r="AR8" s="2">
        <v>4</v>
      </c>
      <c r="AS8" s="45" t="s">
        <v>25</v>
      </c>
      <c r="AU8" s="4" t="s">
        <v>9</v>
      </c>
      <c r="AV8" s="6">
        <v>10</v>
      </c>
    </row>
    <row r="9" spans="1:48" s="1" customFormat="1" x14ac:dyDescent="0.2">
      <c r="A9" s="56"/>
      <c r="B9" s="15">
        <v>3</v>
      </c>
      <c r="C9" s="20" t="s">
        <v>65</v>
      </c>
      <c r="D9" s="21">
        <v>0.26874999999999999</v>
      </c>
      <c r="E9" s="21">
        <v>0.64374999999999993</v>
      </c>
      <c r="F9" s="38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0.37499999999999994</v>
      </c>
      <c r="G9" s="20">
        <v>3</v>
      </c>
      <c r="H9" s="65" t="s">
        <v>505</v>
      </c>
      <c r="J9" s="4" t="s">
        <v>4</v>
      </c>
      <c r="K9" s="7">
        <v>0</v>
      </c>
      <c r="L9" s="19"/>
      <c r="N9" s="56"/>
      <c r="O9" s="15">
        <v>3</v>
      </c>
      <c r="P9" s="23" t="s">
        <v>83</v>
      </c>
      <c r="Q9" s="40">
        <v>0.25972222222222224</v>
      </c>
      <c r="R9" s="40">
        <v>0.60902777777777783</v>
      </c>
      <c r="S9" s="37">
        <f t="shared" si="0"/>
        <v>0.34930555555555559</v>
      </c>
      <c r="T9" s="23">
        <v>3</v>
      </c>
      <c r="U9" s="24" t="s">
        <v>492</v>
      </c>
      <c r="W9" s="4" t="s">
        <v>4</v>
      </c>
      <c r="X9" s="7">
        <v>0</v>
      </c>
      <c r="Z9" s="56"/>
      <c r="AA9" s="15">
        <v>3</v>
      </c>
      <c r="AB9" s="23" t="s">
        <v>34</v>
      </c>
      <c r="AC9" s="40">
        <v>0.26874999999999999</v>
      </c>
      <c r="AD9" s="40">
        <v>0.64097222222222217</v>
      </c>
      <c r="AE9" s="38">
        <f t="shared" si="1"/>
        <v>0.37222222222222218</v>
      </c>
      <c r="AF9" s="20">
        <v>2</v>
      </c>
      <c r="AG9" s="16" t="s">
        <v>480</v>
      </c>
      <c r="AI9" s="4" t="s">
        <v>4</v>
      </c>
      <c r="AJ9" s="7">
        <v>1</v>
      </c>
      <c r="AM9" s="50">
        <v>3</v>
      </c>
      <c r="AN9" s="31" t="s">
        <v>230</v>
      </c>
      <c r="AO9" s="32">
        <v>0.2986111111111111</v>
      </c>
      <c r="AP9" s="32">
        <v>0.65555555555555556</v>
      </c>
      <c r="AQ9" s="51">
        <f t="shared" si="2"/>
        <v>0.35694444444444445</v>
      </c>
      <c r="AR9" s="31">
        <v>4</v>
      </c>
      <c r="AS9" s="55" t="s">
        <v>502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0" t="s">
        <v>119</v>
      </c>
      <c r="D10" s="21">
        <v>0.22291666666666665</v>
      </c>
      <c r="E10" s="21">
        <v>0.62986111111111109</v>
      </c>
      <c r="F10" s="38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0.40694444444444444</v>
      </c>
      <c r="G10" s="20">
        <v>3</v>
      </c>
      <c r="H10" s="65" t="s">
        <v>497</v>
      </c>
      <c r="J10" s="4" t="s">
        <v>5</v>
      </c>
      <c r="K10" s="7">
        <v>2</v>
      </c>
      <c r="L10" s="19"/>
      <c r="O10" s="15">
        <v>4</v>
      </c>
      <c r="P10" s="23" t="s">
        <v>38</v>
      </c>
      <c r="Q10" s="40">
        <v>0.27013888888888887</v>
      </c>
      <c r="R10" s="40">
        <v>0.61458333333333337</v>
      </c>
      <c r="S10" s="37">
        <f t="shared" si="0"/>
        <v>0.3444444444444445</v>
      </c>
      <c r="T10" s="23">
        <v>3</v>
      </c>
      <c r="U10" s="16" t="s">
        <v>493</v>
      </c>
      <c r="W10" s="4" t="s">
        <v>5</v>
      </c>
      <c r="X10" s="7">
        <v>2</v>
      </c>
      <c r="Z10" s="56"/>
      <c r="AA10" s="15">
        <v>4</v>
      </c>
      <c r="AB10" s="23" t="s">
        <v>48</v>
      </c>
      <c r="AC10" s="40">
        <v>0.26250000000000001</v>
      </c>
      <c r="AD10" s="40">
        <v>0.46180555555555558</v>
      </c>
      <c r="AE10" s="38">
        <f t="shared" si="1"/>
        <v>0.19930555555555557</v>
      </c>
      <c r="AF10" s="20">
        <v>2</v>
      </c>
      <c r="AG10" s="16" t="s">
        <v>481</v>
      </c>
      <c r="AI10" s="4" t="s">
        <v>5</v>
      </c>
      <c r="AJ10" s="7">
        <v>8</v>
      </c>
      <c r="AL10" s="54"/>
      <c r="AM10" s="50">
        <v>4</v>
      </c>
      <c r="AN10" s="31" t="s">
        <v>237</v>
      </c>
      <c r="AO10" s="32">
        <v>0.32430555555555557</v>
      </c>
      <c r="AP10" s="32">
        <v>0.67152777777777783</v>
      </c>
      <c r="AQ10" s="51">
        <f t="shared" si="2"/>
        <v>0.34722222222222227</v>
      </c>
      <c r="AR10" s="31">
        <v>4</v>
      </c>
      <c r="AS10" s="55" t="s">
        <v>503</v>
      </c>
      <c r="AU10" s="4" t="s">
        <v>5</v>
      </c>
      <c r="AV10" s="7">
        <v>1</v>
      </c>
    </row>
    <row r="11" spans="1:48" s="1" customFormat="1" x14ac:dyDescent="0.2">
      <c r="A11"/>
      <c r="B11" s="15">
        <v>5</v>
      </c>
      <c r="C11" s="20" t="s">
        <v>12</v>
      </c>
      <c r="D11" s="21">
        <v>0.28958333333333336</v>
      </c>
      <c r="E11" s="21">
        <v>0.66388888888888886</v>
      </c>
      <c r="F11" s="38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0.3743055555555555</v>
      </c>
      <c r="G11" s="20">
        <v>3</v>
      </c>
      <c r="H11" s="24" t="s">
        <v>498</v>
      </c>
      <c r="J11" s="4" t="s">
        <v>6</v>
      </c>
      <c r="K11" s="7">
        <v>0</v>
      </c>
      <c r="O11" s="15">
        <v>5</v>
      </c>
      <c r="P11" s="23" t="s">
        <v>201</v>
      </c>
      <c r="Q11" s="40">
        <v>0.25416666666666665</v>
      </c>
      <c r="R11" s="40">
        <v>0.63472222222222219</v>
      </c>
      <c r="S11" s="37">
        <f t="shared" si="0"/>
        <v>0.38055555555555554</v>
      </c>
      <c r="T11" s="23">
        <v>3</v>
      </c>
      <c r="U11" s="16" t="s">
        <v>223</v>
      </c>
      <c r="W11" s="4" t="s">
        <v>33</v>
      </c>
      <c r="X11" s="7">
        <v>0</v>
      </c>
      <c r="Z11" s="56"/>
      <c r="AA11" s="15">
        <v>5</v>
      </c>
      <c r="AB11" s="23" t="s">
        <v>77</v>
      </c>
      <c r="AC11" s="40">
        <v>0.26874999999999999</v>
      </c>
      <c r="AD11" s="40">
        <v>0.57361111111111118</v>
      </c>
      <c r="AE11" s="38">
        <f t="shared" si="1"/>
        <v>0.30486111111111119</v>
      </c>
      <c r="AF11" s="20">
        <v>2</v>
      </c>
      <c r="AG11" s="16" t="s">
        <v>482</v>
      </c>
      <c r="AI11" s="4" t="s">
        <v>6</v>
      </c>
      <c r="AJ11" s="7">
        <v>0</v>
      </c>
      <c r="AM11" s="50">
        <v>5</v>
      </c>
      <c r="AN11" s="31" t="s">
        <v>279</v>
      </c>
      <c r="AO11" s="32">
        <v>0.32083333333333336</v>
      </c>
      <c r="AP11" s="32">
        <v>0.7006944444444444</v>
      </c>
      <c r="AQ11" s="51">
        <f t="shared" si="2"/>
        <v>0.37986111111111104</v>
      </c>
      <c r="AR11" s="31">
        <v>4</v>
      </c>
      <c r="AS11" s="55" t="s">
        <v>504</v>
      </c>
      <c r="AU11" s="4" t="s">
        <v>6</v>
      </c>
      <c r="AV11" s="7">
        <v>28</v>
      </c>
    </row>
    <row r="12" spans="1:48" s="1" customFormat="1" x14ac:dyDescent="0.2">
      <c r="A12"/>
      <c r="B12" s="15">
        <v>6</v>
      </c>
      <c r="C12" s="20" t="s">
        <v>70</v>
      </c>
      <c r="D12" s="21">
        <v>0.26874999999999999</v>
      </c>
      <c r="E12" s="40">
        <v>0.68263888888888891</v>
      </c>
      <c r="F12" s="38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0.41388888888888892</v>
      </c>
      <c r="G12" s="20">
        <v>3</v>
      </c>
      <c r="H12" s="65" t="s">
        <v>505</v>
      </c>
      <c r="J12" s="8" t="s">
        <v>8</v>
      </c>
      <c r="K12" s="9">
        <f>SUM(Table1324567891011132125293439444954614914192429333642475391978610411011612212713113614191424193036424854606672[Retase])</f>
        <v>69</v>
      </c>
      <c r="L12" s="19"/>
      <c r="N12" s="54"/>
      <c r="O12" s="15">
        <v>6</v>
      </c>
      <c r="P12" s="23" t="s">
        <v>42</v>
      </c>
      <c r="Q12" s="40">
        <v>0.26250000000000001</v>
      </c>
      <c r="R12" s="40">
        <v>0.62222222222222223</v>
      </c>
      <c r="S12" s="37">
        <f t="shared" si="0"/>
        <v>0.35972222222222222</v>
      </c>
      <c r="T12" s="23">
        <v>3</v>
      </c>
      <c r="U12" s="16" t="s">
        <v>494</v>
      </c>
      <c r="W12" s="8" t="s">
        <v>8</v>
      </c>
      <c r="X12" s="9">
        <f>SUM(Table13456789101117222630354045505562510152025303438434854929887105111117123128132137142101525203137434955616773[Retase])</f>
        <v>15</v>
      </c>
      <c r="AA12" s="15">
        <v>6</v>
      </c>
      <c r="AB12" s="23" t="s">
        <v>80</v>
      </c>
      <c r="AC12" s="40">
        <v>0.26527777777777778</v>
      </c>
      <c r="AD12" s="40">
        <v>0.58819444444444446</v>
      </c>
      <c r="AE12" s="38">
        <f t="shared" si="1"/>
        <v>0.32291666666666669</v>
      </c>
      <c r="AF12" s="20">
        <v>2</v>
      </c>
      <c r="AG12" s="16" t="s">
        <v>483</v>
      </c>
      <c r="AI12" s="8" t="s">
        <v>8</v>
      </c>
      <c r="AJ12" s="9">
        <f>SUM(Table1345678910111518192327313742475259271217222732284146529096801031091151211261201351408132318283440465258647075[Retase])</f>
        <v>97</v>
      </c>
      <c r="AM12" s="1">
        <v>6</v>
      </c>
      <c r="AN12" s="2" t="s">
        <v>476</v>
      </c>
      <c r="AO12" s="41">
        <v>0.27361111111111108</v>
      </c>
      <c r="AP12" s="41">
        <v>0.65833333333333333</v>
      </c>
      <c r="AQ12" s="26">
        <f t="shared" si="2"/>
        <v>0.38472222222222224</v>
      </c>
      <c r="AR12" s="2">
        <v>4</v>
      </c>
      <c r="AS12" s="45" t="s">
        <v>25</v>
      </c>
      <c r="AU12" s="8" t="s">
        <v>8</v>
      </c>
      <c r="AV12" s="9">
        <f>SUM(Table13456789101115181923273137424752592712172227322841465290968010310911512112612013514081323182935414753596571[Retase])</f>
        <v>44</v>
      </c>
    </row>
    <row r="13" spans="1:48" s="1" customFormat="1" x14ac:dyDescent="0.2">
      <c r="A13"/>
      <c r="B13" s="15">
        <v>7</v>
      </c>
      <c r="C13" s="20" t="s">
        <v>68</v>
      </c>
      <c r="D13" s="21">
        <v>0.24722222222222223</v>
      </c>
      <c r="E13" s="21">
        <v>0.61111111111111105</v>
      </c>
      <c r="F13" s="38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0.36388888888888882</v>
      </c>
      <c r="G13" s="20">
        <v>3</v>
      </c>
      <c r="H13" s="65" t="s">
        <v>499</v>
      </c>
      <c r="J13" s="10" t="s">
        <v>7</v>
      </c>
      <c r="K13" s="11">
        <f>K12/K8</f>
        <v>3.2857142857142856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2.5</v>
      </c>
      <c r="AA13" s="15">
        <v>7</v>
      </c>
      <c r="AB13" s="23" t="s">
        <v>122</v>
      </c>
      <c r="AC13" s="40">
        <v>0.29097222222222224</v>
      </c>
      <c r="AD13" s="40">
        <v>0.6333333333333333</v>
      </c>
      <c r="AE13" s="38">
        <f t="shared" si="1"/>
        <v>0.34236111111111106</v>
      </c>
      <c r="AF13" s="20">
        <v>3</v>
      </c>
      <c r="AG13" s="16" t="s">
        <v>489</v>
      </c>
      <c r="AI13" s="10" t="s">
        <v>7</v>
      </c>
      <c r="AJ13" s="11">
        <f>AJ12/AJ8</f>
        <v>4.041666666666667</v>
      </c>
      <c r="AM13" s="1">
        <v>7</v>
      </c>
      <c r="AN13" s="2" t="s">
        <v>475</v>
      </c>
      <c r="AO13" s="41">
        <v>0.27152777777777776</v>
      </c>
      <c r="AP13" s="41">
        <v>0.70763888888888893</v>
      </c>
      <c r="AQ13" s="26">
        <f t="shared" si="2"/>
        <v>0.43611111111111117</v>
      </c>
      <c r="AR13" s="2">
        <v>5</v>
      </c>
      <c r="AS13" s="45" t="s">
        <v>25</v>
      </c>
      <c r="AU13" s="10" t="s">
        <v>7</v>
      </c>
      <c r="AV13" s="11">
        <f>AV12/AV8</f>
        <v>4.4000000000000004</v>
      </c>
    </row>
    <row r="14" spans="1:48" s="1" customFormat="1" ht="16" x14ac:dyDescent="0.2">
      <c r="A14"/>
      <c r="B14" s="15">
        <v>8</v>
      </c>
      <c r="C14" s="62" t="s">
        <v>69</v>
      </c>
      <c r="D14" s="63">
        <v>0.2722222222222222</v>
      </c>
      <c r="E14" s="63">
        <v>0.65555555555555556</v>
      </c>
      <c r="F14" s="64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0.38333333333333336</v>
      </c>
      <c r="G14" s="62">
        <v>3</v>
      </c>
      <c r="H14" s="65" t="s">
        <v>500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15">
        <v>8</v>
      </c>
      <c r="AB14" s="23" t="s">
        <v>50</v>
      </c>
      <c r="AC14" s="40">
        <v>0.21805555555555556</v>
      </c>
      <c r="AD14" s="40">
        <v>0.54305555555555551</v>
      </c>
      <c r="AE14" s="38">
        <f t="shared" si="1"/>
        <v>0.32499999999999996</v>
      </c>
      <c r="AF14" s="20">
        <v>3</v>
      </c>
      <c r="AG14" s="16" t="s">
        <v>484</v>
      </c>
      <c r="AI14" s="12" t="s">
        <v>11</v>
      </c>
      <c r="AJ14" s="13">
        <v>5</v>
      </c>
      <c r="AM14" s="1">
        <v>8</v>
      </c>
      <c r="AN14" s="2" t="s">
        <v>305</v>
      </c>
      <c r="AO14" s="41">
        <v>0.26180555555555557</v>
      </c>
      <c r="AP14" s="41">
        <v>0.72291666666666676</v>
      </c>
      <c r="AQ14" s="26">
        <f t="shared" si="2"/>
        <v>0.46111111111111119</v>
      </c>
      <c r="AR14" s="2">
        <v>5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0" t="s">
        <v>120</v>
      </c>
      <c r="D15" s="21">
        <v>0.23958333333333334</v>
      </c>
      <c r="E15" s="21">
        <v>0.69236111111111109</v>
      </c>
      <c r="F15" s="38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0.45277777777777772</v>
      </c>
      <c r="G15" s="20">
        <v>3</v>
      </c>
      <c r="H15" s="65" t="s">
        <v>505</v>
      </c>
      <c r="J15" s="12" t="s">
        <v>88</v>
      </c>
      <c r="K15" s="14">
        <f>B3/K8</f>
        <v>0.38095238095238093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</v>
      </c>
      <c r="AA15" s="15">
        <v>9</v>
      </c>
      <c r="AB15" s="23" t="s">
        <v>45</v>
      </c>
      <c r="AC15" s="40">
        <v>0.20972222222222223</v>
      </c>
      <c r="AD15" s="40">
        <v>0.64374999999999993</v>
      </c>
      <c r="AE15" s="38">
        <f t="shared" si="1"/>
        <v>0.43402777777777768</v>
      </c>
      <c r="AF15" s="20">
        <v>4</v>
      </c>
      <c r="AG15" s="16" t="s">
        <v>485</v>
      </c>
      <c r="AI15" s="12" t="s">
        <v>88</v>
      </c>
      <c r="AJ15" s="14">
        <f>AA3/AJ8</f>
        <v>0.45833333333333331</v>
      </c>
      <c r="AM15" s="1">
        <v>9</v>
      </c>
      <c r="AN15" s="2" t="s">
        <v>308</v>
      </c>
      <c r="AO15" s="41">
        <v>0.26458333333333334</v>
      </c>
      <c r="AP15" s="41">
        <v>0.70763888888888893</v>
      </c>
      <c r="AQ15" s="26">
        <f t="shared" si="2"/>
        <v>0.44305555555555559</v>
      </c>
      <c r="AR15" s="2">
        <v>5</v>
      </c>
      <c r="AS15" s="45" t="s">
        <v>25</v>
      </c>
      <c r="AU15" s="12" t="s">
        <v>88</v>
      </c>
      <c r="AV15" s="14">
        <f>AM3/AV8</f>
        <v>0.9</v>
      </c>
    </row>
    <row r="16" spans="1:48" x14ac:dyDescent="0.2">
      <c r="B16" s="15">
        <v>10</v>
      </c>
      <c r="C16" s="20" t="s">
        <v>16</v>
      </c>
      <c r="D16" s="21">
        <v>0.23541666666666669</v>
      </c>
      <c r="E16" s="21">
        <v>0.6333333333333333</v>
      </c>
      <c r="F16" s="38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0.39791666666666659</v>
      </c>
      <c r="G16" s="20">
        <v>3</v>
      </c>
      <c r="H16" s="65" t="s">
        <v>505</v>
      </c>
      <c r="J16" s="12" t="s">
        <v>24</v>
      </c>
      <c r="K16" s="14">
        <f>K8/K7</f>
        <v>0.91304347826086951</v>
      </c>
      <c r="W16" s="12" t="s">
        <v>27</v>
      </c>
      <c r="X16" s="14">
        <f>X8/X7</f>
        <v>0.75</v>
      </c>
      <c r="AA16" s="15">
        <v>10</v>
      </c>
      <c r="AB16" s="23" t="s">
        <v>59</v>
      </c>
      <c r="AC16" s="40">
        <v>0.28263888888888888</v>
      </c>
      <c r="AD16" s="40">
        <v>0.6972222222222223</v>
      </c>
      <c r="AE16" s="38">
        <f t="shared" si="1"/>
        <v>0.41458333333333341</v>
      </c>
      <c r="AF16" s="20">
        <v>4</v>
      </c>
      <c r="AG16" s="16" t="s">
        <v>486</v>
      </c>
      <c r="AI16" s="12" t="s">
        <v>27</v>
      </c>
      <c r="AJ16" s="14">
        <f>AJ8/AJ7</f>
        <v>0.72727272727272729</v>
      </c>
      <c r="AM16" s="1">
        <v>10</v>
      </c>
      <c r="AN16" s="2" t="s">
        <v>301</v>
      </c>
      <c r="AO16" s="41">
        <v>0.21319444444444444</v>
      </c>
      <c r="AP16" s="41">
        <v>0.73263888888888884</v>
      </c>
      <c r="AQ16" s="26">
        <f t="shared" si="2"/>
        <v>0.51944444444444438</v>
      </c>
      <c r="AR16" s="2">
        <v>6</v>
      </c>
      <c r="AS16" s="45" t="s">
        <v>25</v>
      </c>
      <c r="AU16" s="12" t="s">
        <v>27</v>
      </c>
      <c r="AV16" s="14">
        <f>AV8/AV7</f>
        <v>1</v>
      </c>
    </row>
    <row r="17" spans="2:48" x14ac:dyDescent="0.2">
      <c r="B17" s="15">
        <v>11</v>
      </c>
      <c r="C17" s="20" t="s">
        <v>121</v>
      </c>
      <c r="D17" s="21">
        <v>0.25069444444444444</v>
      </c>
      <c r="E17" s="21">
        <v>0.64583333333333337</v>
      </c>
      <c r="F17" s="38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0.39513888888888893</v>
      </c>
      <c r="G17" s="20">
        <v>3</v>
      </c>
      <c r="H17" s="65" t="s">
        <v>505</v>
      </c>
      <c r="J17" s="12" t="s">
        <v>117</v>
      </c>
      <c r="K17" s="48">
        <f>AVERAGE(Table1324567891011132125293439444954614914192429333642475391978610411011612212713113614191424193036424854606672[JAM KELUAR])</f>
        <v>0.24593253968253975</v>
      </c>
      <c r="W17" s="12" t="s">
        <v>117</v>
      </c>
      <c r="X17" s="48">
        <f>AVERAGE(Table13456789101117222630354045505562510152025303438434854929887105111117123128132137142101525203137434955616773[JAM KELUAR])</f>
        <v>0.26597222222222222</v>
      </c>
      <c r="AA17" s="15">
        <v>11</v>
      </c>
      <c r="AB17" s="23" t="s">
        <v>79</v>
      </c>
      <c r="AC17" s="40">
        <v>0.28125</v>
      </c>
      <c r="AD17" s="40">
        <v>0.62430555555555556</v>
      </c>
      <c r="AE17" s="38">
        <f t="shared" si="1"/>
        <v>0.34305555555555556</v>
      </c>
      <c r="AF17" s="20">
        <v>4</v>
      </c>
      <c r="AG17" s="16" t="s">
        <v>487</v>
      </c>
      <c r="AI17" s="12" t="s">
        <v>117</v>
      </c>
      <c r="AJ17" s="48">
        <f>AVERAGE(Table1345678910111518192327313742475259271217222732284146529096801031091151211261201351408132318283440465258647075[JAM KELUAR])</f>
        <v>0.26261574074074073</v>
      </c>
      <c r="AU17" s="12" t="s">
        <v>117</v>
      </c>
      <c r="AV17" s="48">
        <f>AVERAGE(Table13456789101115181923273137424752592712172227322841465290968010310911512112612013514081323182935414753596571[JAM KELUAR])</f>
        <v>0.27437499999999998</v>
      </c>
    </row>
    <row r="18" spans="2:48" x14ac:dyDescent="0.2">
      <c r="B18" s="15">
        <v>12</v>
      </c>
      <c r="C18" s="20" t="s">
        <v>17</v>
      </c>
      <c r="D18" s="21">
        <v>0.23611111111111113</v>
      </c>
      <c r="E18" s="21">
        <v>0.65694444444444444</v>
      </c>
      <c r="F18" s="38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0.42083333333333328</v>
      </c>
      <c r="G18" s="20">
        <v>3</v>
      </c>
      <c r="H18" s="65" t="s">
        <v>505</v>
      </c>
      <c r="AA18" s="15">
        <v>12</v>
      </c>
      <c r="AB18" s="23" t="s">
        <v>47</v>
      </c>
      <c r="AC18" s="40">
        <v>0.25486111111111109</v>
      </c>
      <c r="AD18" s="40">
        <v>0.63472222222222219</v>
      </c>
      <c r="AE18" s="38">
        <f t="shared" si="1"/>
        <v>0.37986111111111109</v>
      </c>
      <c r="AF18" s="20">
        <v>4</v>
      </c>
      <c r="AG18" s="16" t="s">
        <v>488</v>
      </c>
      <c r="AI18" s="17"/>
      <c r="AU18" s="17"/>
    </row>
    <row r="19" spans="2:48" ht="15.75" customHeight="1" x14ac:dyDescent="0.2">
      <c r="B19" s="15">
        <v>13</v>
      </c>
      <c r="C19" s="20" t="s">
        <v>18</v>
      </c>
      <c r="D19" s="21">
        <v>0.30555555555555552</v>
      </c>
      <c r="E19" s="21">
        <v>0.69236111111111109</v>
      </c>
      <c r="F19" s="38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0.38680555555555557</v>
      </c>
      <c r="G19" s="20">
        <v>3</v>
      </c>
      <c r="H19" s="65" t="s">
        <v>501</v>
      </c>
      <c r="AA19" s="15">
        <v>13</v>
      </c>
      <c r="AB19" s="23" t="s">
        <v>51</v>
      </c>
      <c r="AC19" s="40">
        <v>0.26527777777777778</v>
      </c>
      <c r="AD19" s="40">
        <v>0.68194444444444446</v>
      </c>
      <c r="AE19" s="38">
        <f t="shared" si="1"/>
        <v>0.41666666666666669</v>
      </c>
      <c r="AF19" s="20">
        <v>4</v>
      </c>
      <c r="AG19" s="16" t="s">
        <v>225</v>
      </c>
      <c r="AR19" s="34"/>
      <c r="AS19" s="35" t="s">
        <v>90</v>
      </c>
    </row>
    <row r="20" spans="2:48" ht="17.25" customHeight="1" x14ac:dyDescent="0.2">
      <c r="B20" s="1">
        <v>14</v>
      </c>
      <c r="C20" s="2" t="s">
        <v>71</v>
      </c>
      <c r="D20" s="41">
        <v>0.23611111111111113</v>
      </c>
      <c r="E20" s="41">
        <v>0.7006944444444444</v>
      </c>
      <c r="F20" s="26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0.46458333333333324</v>
      </c>
      <c r="G20" s="2">
        <v>4</v>
      </c>
      <c r="H20" s="69" t="s">
        <v>25</v>
      </c>
      <c r="AA20" s="1">
        <v>14</v>
      </c>
      <c r="AB20" s="2" t="s">
        <v>40</v>
      </c>
      <c r="AC20" s="30">
        <v>0.25694444444444448</v>
      </c>
      <c r="AD20" s="30">
        <v>0.68958333333333333</v>
      </c>
      <c r="AE20" s="26">
        <f t="shared" si="1"/>
        <v>0.43263888888888885</v>
      </c>
      <c r="AF20" s="2">
        <v>5</v>
      </c>
      <c r="AG20" s="45" t="s">
        <v>25</v>
      </c>
      <c r="AR20" s="56" t="s">
        <v>209</v>
      </c>
      <c r="AS20" s="35" t="s">
        <v>92</v>
      </c>
    </row>
    <row r="21" spans="2:48" ht="15.75" customHeight="1" x14ac:dyDescent="0.2">
      <c r="B21" s="1">
        <v>15</v>
      </c>
      <c r="C21" s="2" t="s">
        <v>72</v>
      </c>
      <c r="D21" s="41">
        <v>0.21527777777777779</v>
      </c>
      <c r="E21" s="41">
        <v>0.6645833333333333</v>
      </c>
      <c r="F21" s="26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0.44930555555555551</v>
      </c>
      <c r="G21" s="2">
        <v>4</v>
      </c>
      <c r="H21" s="69" t="s">
        <v>25</v>
      </c>
      <c r="AA21" s="1">
        <v>15</v>
      </c>
      <c r="AB21" s="29" t="s">
        <v>31</v>
      </c>
      <c r="AC21" s="41">
        <v>0.28750000000000003</v>
      </c>
      <c r="AD21" s="41">
        <v>0.74305555555555547</v>
      </c>
      <c r="AE21" s="39">
        <f t="shared" si="1"/>
        <v>0.45555555555555544</v>
      </c>
      <c r="AF21" s="2">
        <v>5</v>
      </c>
      <c r="AG21" s="45" t="s">
        <v>25</v>
      </c>
    </row>
    <row r="22" spans="2:48" ht="15" customHeight="1" x14ac:dyDescent="0.2">
      <c r="B22" s="1">
        <v>16</v>
      </c>
      <c r="C22" s="2" t="s">
        <v>73</v>
      </c>
      <c r="D22" s="41">
        <v>0.22013888888888888</v>
      </c>
      <c r="E22" s="41">
        <v>0.69305555555555554</v>
      </c>
      <c r="F22" s="26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0.47291666666666665</v>
      </c>
      <c r="G22" s="2">
        <v>4</v>
      </c>
      <c r="H22" s="69" t="s">
        <v>25</v>
      </c>
      <c r="AA22" s="1">
        <v>16</v>
      </c>
      <c r="AB22" s="29" t="s">
        <v>35</v>
      </c>
      <c r="AC22" s="30">
        <v>0.25833333333333336</v>
      </c>
      <c r="AD22" s="30">
        <v>0.71666666666666667</v>
      </c>
      <c r="AE22" s="39">
        <f t="shared" si="1"/>
        <v>0.45833333333333331</v>
      </c>
      <c r="AF22" s="29">
        <v>5</v>
      </c>
      <c r="AG22" s="45" t="s">
        <v>25</v>
      </c>
    </row>
    <row r="23" spans="2:48" ht="15" customHeight="1" x14ac:dyDescent="0.2">
      <c r="B23" s="1">
        <v>17</v>
      </c>
      <c r="C23" s="2" t="s">
        <v>74</v>
      </c>
      <c r="D23" s="41">
        <v>0.2590277777777778</v>
      </c>
      <c r="E23" s="41">
        <v>0.69027777777777777</v>
      </c>
      <c r="F23" s="26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0.43124999999999997</v>
      </c>
      <c r="G23" s="2">
        <v>4</v>
      </c>
      <c r="H23" s="69" t="s">
        <v>25</v>
      </c>
      <c r="AA23" s="1">
        <v>17</v>
      </c>
      <c r="AB23" s="29" t="s">
        <v>309</v>
      </c>
      <c r="AC23" s="30">
        <v>0.2722222222222222</v>
      </c>
      <c r="AD23" s="30">
        <v>0.73402777777777783</v>
      </c>
      <c r="AE23" s="39">
        <f t="shared" si="1"/>
        <v>0.46180555555555564</v>
      </c>
      <c r="AF23" s="29">
        <v>5</v>
      </c>
      <c r="AG23" s="45" t="s">
        <v>25</v>
      </c>
    </row>
    <row r="24" spans="2:48" ht="15" customHeight="1" x14ac:dyDescent="0.2">
      <c r="B24" s="1">
        <v>18</v>
      </c>
      <c r="C24" s="2" t="s">
        <v>75</v>
      </c>
      <c r="D24" s="41">
        <v>0.22708333333333333</v>
      </c>
      <c r="E24" s="41">
        <v>0.67847222222222225</v>
      </c>
      <c r="F24" s="26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0.45138888888888895</v>
      </c>
      <c r="G24" s="2">
        <v>4</v>
      </c>
      <c r="H24" s="69" t="s">
        <v>25</v>
      </c>
      <c r="AA24" s="1">
        <v>18</v>
      </c>
      <c r="AB24" s="29" t="s">
        <v>67</v>
      </c>
      <c r="AC24" s="30">
        <v>0.24930555555555556</v>
      </c>
      <c r="AD24" s="30">
        <v>0.69791666666666663</v>
      </c>
      <c r="AE24" s="39">
        <f t="shared" si="1"/>
        <v>0.44861111111111107</v>
      </c>
      <c r="AF24" s="29">
        <v>5</v>
      </c>
      <c r="AG24" s="45" t="s">
        <v>25</v>
      </c>
      <c r="AM24" s="49"/>
    </row>
    <row r="25" spans="2:48" ht="14.5" customHeight="1" x14ac:dyDescent="0.2">
      <c r="B25" s="1">
        <v>19</v>
      </c>
      <c r="C25" s="2" t="s">
        <v>15</v>
      </c>
      <c r="D25" s="41">
        <v>0.22013888888888888</v>
      </c>
      <c r="E25" s="41">
        <v>0.67361111111111116</v>
      </c>
      <c r="F25" s="26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0.45347222222222228</v>
      </c>
      <c r="G25" s="2">
        <v>4</v>
      </c>
      <c r="H25" s="69" t="s">
        <v>25</v>
      </c>
      <c r="T25" s="34"/>
      <c r="U25" s="35" t="s">
        <v>90</v>
      </c>
      <c r="AA25" s="1">
        <v>19</v>
      </c>
      <c r="AB25" s="29" t="s">
        <v>46</v>
      </c>
      <c r="AC25" s="30">
        <v>0.27569444444444446</v>
      </c>
      <c r="AD25" s="30">
        <v>0.72083333333333333</v>
      </c>
      <c r="AE25" s="39">
        <f t="shared" si="1"/>
        <v>0.44513888888888886</v>
      </c>
      <c r="AF25" s="29">
        <v>5</v>
      </c>
      <c r="AG25" s="45" t="s">
        <v>25</v>
      </c>
    </row>
    <row r="26" spans="2:48" ht="14.5" customHeight="1" x14ac:dyDescent="0.2">
      <c r="B26" s="1">
        <v>20</v>
      </c>
      <c r="C26" s="2" t="s">
        <v>76</v>
      </c>
      <c r="D26" s="41">
        <v>0.20902777777777778</v>
      </c>
      <c r="E26" s="41">
        <v>0.67499999999999993</v>
      </c>
      <c r="F26" s="26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0.46597222222222212</v>
      </c>
      <c r="G26" s="2">
        <v>4</v>
      </c>
      <c r="H26" s="69" t="s">
        <v>25</v>
      </c>
      <c r="N26" s="54"/>
      <c r="T26" s="56" t="s">
        <v>209</v>
      </c>
      <c r="U26" s="35" t="s">
        <v>92</v>
      </c>
      <c r="AA26" s="1">
        <v>20</v>
      </c>
      <c r="AB26" s="29" t="s">
        <v>82</v>
      </c>
      <c r="AC26" s="30">
        <v>0.29097222222222224</v>
      </c>
      <c r="AD26" s="30">
        <v>0.7402777777777777</v>
      </c>
      <c r="AE26" s="39">
        <f t="shared" si="1"/>
        <v>0.44930555555555546</v>
      </c>
      <c r="AF26" s="29">
        <v>6</v>
      </c>
      <c r="AG26" s="45" t="s">
        <v>25</v>
      </c>
    </row>
    <row r="27" spans="2:48" ht="14.5" customHeight="1" x14ac:dyDescent="0.2">
      <c r="B27" s="1">
        <v>21</v>
      </c>
      <c r="C27" s="2" t="s">
        <v>19</v>
      </c>
      <c r="D27" s="41">
        <v>0.20208333333333331</v>
      </c>
      <c r="E27" s="41">
        <v>0.71250000000000002</v>
      </c>
      <c r="F27" s="26">
        <f>Table1324567891011132125293439444954614914192429333642475391978610411011612212713113614191424193036424854606672[[#This Row],[JAM MASUK]]-Table1324567891011132125293439444954614914192429333642475391978610411011612212713113614191424193036424854606672[[#This Row],[JAM KELUAR]]</f>
        <v>0.51041666666666674</v>
      </c>
      <c r="G27" s="2">
        <v>4</v>
      </c>
      <c r="H27" s="69" t="s">
        <v>25</v>
      </c>
      <c r="N27" s="54"/>
      <c r="AA27" s="1">
        <v>21</v>
      </c>
      <c r="AB27" s="29" t="s">
        <v>41</v>
      </c>
      <c r="AC27" s="30">
        <v>0.25277777777777777</v>
      </c>
      <c r="AD27" s="30">
        <v>0.72638888888888886</v>
      </c>
      <c r="AE27" s="39">
        <f t="shared" si="1"/>
        <v>0.47361111111111109</v>
      </c>
      <c r="AF27" s="29">
        <v>6</v>
      </c>
      <c r="AG27" s="45" t="s">
        <v>25</v>
      </c>
    </row>
    <row r="28" spans="2:48" x14ac:dyDescent="0.2">
      <c r="N28" s="54"/>
      <c r="AA28" s="1">
        <v>22</v>
      </c>
      <c r="AB28" s="29" t="s">
        <v>78</v>
      </c>
      <c r="AC28" s="30">
        <v>0.26458333333333334</v>
      </c>
      <c r="AD28" s="30">
        <v>0.73472222222222217</v>
      </c>
      <c r="AE28" s="39">
        <f t="shared" si="1"/>
        <v>0.47013888888888883</v>
      </c>
      <c r="AF28" s="29">
        <v>6</v>
      </c>
      <c r="AG28" s="45" t="s">
        <v>25</v>
      </c>
    </row>
    <row r="29" spans="2:48" x14ac:dyDescent="0.2">
      <c r="N29" s="54"/>
      <c r="AA29" s="1">
        <v>23</v>
      </c>
      <c r="AB29" s="29" t="s">
        <v>49</v>
      </c>
      <c r="AC29" s="30">
        <v>0.25069444444444444</v>
      </c>
      <c r="AD29" s="30">
        <v>0.72430555555555554</v>
      </c>
      <c r="AE29" s="39">
        <f t="shared" si="1"/>
        <v>0.47361111111111109</v>
      </c>
      <c r="AF29" s="29">
        <v>6</v>
      </c>
      <c r="AG29" s="45" t="s">
        <v>25</v>
      </c>
    </row>
    <row r="30" spans="2:48" x14ac:dyDescent="0.2">
      <c r="G30" s="34"/>
      <c r="H30" s="35" t="s">
        <v>90</v>
      </c>
      <c r="AA30" s="1">
        <v>24</v>
      </c>
      <c r="AB30" s="29" t="s">
        <v>81</v>
      </c>
      <c r="AC30" s="30">
        <v>0.27152777777777776</v>
      </c>
      <c r="AD30" s="30">
        <v>0.74375000000000002</v>
      </c>
      <c r="AE30" s="39">
        <f t="shared" si="1"/>
        <v>0.47222222222222227</v>
      </c>
      <c r="AF30" s="29">
        <v>6</v>
      </c>
      <c r="AG30" s="45" t="s">
        <v>25</v>
      </c>
    </row>
    <row r="31" spans="2:48" x14ac:dyDescent="0.2">
      <c r="B31" s="49"/>
      <c r="G31" s="56" t="s">
        <v>209</v>
      </c>
      <c r="H31" s="35" t="s">
        <v>92</v>
      </c>
    </row>
    <row r="32" spans="2:48" x14ac:dyDescent="0.2">
      <c r="V32" s="1"/>
      <c r="AF32" s="34"/>
      <c r="AG32" s="35" t="s">
        <v>90</v>
      </c>
    </row>
    <row r="33" spans="1:33" x14ac:dyDescent="0.2">
      <c r="V33" s="1"/>
      <c r="AF33" s="56" t="s">
        <v>209</v>
      </c>
      <c r="AG33" s="35" t="s">
        <v>92</v>
      </c>
    </row>
    <row r="34" spans="1:33" x14ac:dyDescent="0.2">
      <c r="V34" s="1"/>
    </row>
    <row r="35" spans="1:33" x14ac:dyDescent="0.2">
      <c r="V35" s="1"/>
    </row>
    <row r="36" spans="1:33" x14ac:dyDescent="0.2">
      <c r="V36" s="1"/>
    </row>
    <row r="37" spans="1:33" x14ac:dyDescent="0.2">
      <c r="V37" s="1"/>
    </row>
    <row r="38" spans="1:33" x14ac:dyDescent="0.2">
      <c r="V38" s="1"/>
    </row>
    <row r="39" spans="1:33" x14ac:dyDescent="0.2">
      <c r="V39" s="1"/>
    </row>
    <row r="40" spans="1:33" x14ac:dyDescent="0.2">
      <c r="V40" s="1"/>
    </row>
    <row r="41" spans="1:33" ht="21" x14ac:dyDescent="0.25">
      <c r="A41" s="46"/>
    </row>
    <row r="59" spans="15:22" x14ac:dyDescent="0.2">
      <c r="O59" s="2" t="s">
        <v>0</v>
      </c>
      <c r="P59" s="2" t="s">
        <v>1</v>
      </c>
      <c r="Q59" s="22" t="s">
        <v>61</v>
      </c>
      <c r="R59" s="22" t="s">
        <v>62</v>
      </c>
      <c r="S59" s="22" t="s">
        <v>63</v>
      </c>
      <c r="T59" s="2" t="s">
        <v>2</v>
      </c>
      <c r="U59" s="2" t="s">
        <v>3</v>
      </c>
    </row>
    <row r="60" spans="15:22" x14ac:dyDescent="0.2">
      <c r="O60" s="27">
        <v>1</v>
      </c>
      <c r="P60" s="2"/>
      <c r="Q60" s="41"/>
      <c r="R60" s="42"/>
      <c r="S60" s="26"/>
      <c r="T60" s="2"/>
      <c r="U60" s="24"/>
    </row>
    <row r="61" spans="15:22" x14ac:dyDescent="0.2">
      <c r="O61" s="15">
        <v>2</v>
      </c>
      <c r="P61" s="29"/>
      <c r="Q61" s="30"/>
      <c r="R61" s="36"/>
      <c r="S61" s="26"/>
      <c r="T61" s="29"/>
      <c r="U61" s="24"/>
    </row>
    <row r="62" spans="15:22" x14ac:dyDescent="0.2">
      <c r="O62" s="15">
        <v>3</v>
      </c>
      <c r="P62" s="29"/>
      <c r="Q62" s="30"/>
      <c r="R62" s="36"/>
      <c r="S62" s="39"/>
      <c r="T62" s="29"/>
      <c r="U62" s="16"/>
    </row>
    <row r="63" spans="15:22" x14ac:dyDescent="0.2">
      <c r="O63" s="27">
        <v>4</v>
      </c>
      <c r="P63" s="29"/>
      <c r="Q63" s="30"/>
      <c r="R63" s="36"/>
      <c r="S63" s="39"/>
      <c r="T63" s="29"/>
      <c r="U63" s="24"/>
      <c r="V63" s="1"/>
    </row>
    <row r="64" spans="15:22" x14ac:dyDescent="0.2">
      <c r="O64" s="15">
        <v>5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5">
        <v>6</v>
      </c>
      <c r="P65" s="29"/>
      <c r="Q65" s="30"/>
      <c r="R65" s="36"/>
      <c r="S65" s="26"/>
      <c r="T65" s="29"/>
      <c r="U65" s="24"/>
      <c r="V65" s="1"/>
    </row>
    <row r="66" spans="15:22" x14ac:dyDescent="0.2">
      <c r="O66" s="27">
        <v>7</v>
      </c>
      <c r="P66" s="29"/>
      <c r="Q66" s="30"/>
      <c r="R66" s="36"/>
      <c r="S66" s="39"/>
      <c r="T66" s="29"/>
      <c r="U66" s="24"/>
    </row>
    <row r="67" spans="15:22" x14ac:dyDescent="0.2">
      <c r="O67" s="15">
        <v>8</v>
      </c>
      <c r="P67" s="29"/>
      <c r="Q67" s="30"/>
      <c r="R67" s="36"/>
      <c r="S67" s="26"/>
      <c r="T67" s="29"/>
      <c r="U67" s="24"/>
    </row>
    <row r="68" spans="15:22" x14ac:dyDescent="0.2">
      <c r="O68" s="15">
        <v>9</v>
      </c>
      <c r="P68" s="29"/>
      <c r="Q68" s="30"/>
      <c r="R68" s="36"/>
      <c r="S68" s="26"/>
      <c r="T68" s="29"/>
      <c r="U68" s="24"/>
    </row>
    <row r="69" spans="15:22" x14ac:dyDescent="0.2">
      <c r="O69" s="27">
        <v>10</v>
      </c>
      <c r="P69" s="29"/>
      <c r="Q69" s="30"/>
      <c r="R69" s="36"/>
      <c r="S69" s="26"/>
      <c r="T69" s="29"/>
      <c r="U69" s="24"/>
    </row>
    <row r="70" spans="15:22" x14ac:dyDescent="0.2">
      <c r="O70" s="15">
        <v>11</v>
      </c>
      <c r="P70" s="29"/>
      <c r="Q70" s="30"/>
      <c r="R70" s="36"/>
      <c r="S70" s="26"/>
      <c r="T70" s="29"/>
      <c r="U70" s="24"/>
    </row>
    <row r="71" spans="15:22" x14ac:dyDescent="0.2">
      <c r="O71" s="1">
        <v>12</v>
      </c>
      <c r="P71" s="29"/>
      <c r="Q71" s="30"/>
      <c r="R71" s="36"/>
      <c r="S71" s="39"/>
      <c r="T71" s="29"/>
      <c r="U71" s="25"/>
    </row>
    <row r="72" spans="15:22" x14ac:dyDescent="0.2">
      <c r="O72" s="28">
        <v>13</v>
      </c>
      <c r="P72" s="29"/>
      <c r="Q72" s="30"/>
      <c r="R72" s="36"/>
      <c r="S72" s="26"/>
      <c r="T72" s="29"/>
      <c r="U72" s="25"/>
    </row>
    <row r="73" spans="15:22" x14ac:dyDescent="0.2">
      <c r="O73" s="27">
        <v>14</v>
      </c>
      <c r="P73" s="29"/>
      <c r="Q73" s="30"/>
      <c r="R73" s="36"/>
      <c r="S73" s="26"/>
      <c r="T73" s="29"/>
      <c r="U73" s="24"/>
    </row>
    <row r="74" spans="15:22" x14ac:dyDescent="0.2">
      <c r="O74" s="15">
        <v>15</v>
      </c>
      <c r="P74" s="29"/>
      <c r="Q74" s="30"/>
      <c r="R74" s="36"/>
      <c r="S74" s="26"/>
      <c r="T74" s="29"/>
      <c r="U74" s="24"/>
    </row>
    <row r="75" spans="15:22" x14ac:dyDescent="0.2">
      <c r="O75" s="1">
        <v>16</v>
      </c>
      <c r="P75" s="29"/>
      <c r="Q75" s="30"/>
      <c r="R75" s="36"/>
      <c r="S75" s="26"/>
      <c r="T75" s="29"/>
      <c r="U75" s="25"/>
    </row>
    <row r="76" spans="15:22" x14ac:dyDescent="0.2">
      <c r="O76" s="28">
        <v>17</v>
      </c>
      <c r="P76" s="29"/>
      <c r="Q76" s="30"/>
      <c r="R76" s="36"/>
      <c r="S76" s="26"/>
      <c r="T76" s="29"/>
      <c r="U76" s="25"/>
    </row>
    <row r="77" spans="15:22" x14ac:dyDescent="0.2">
      <c r="O77" s="27">
        <v>18</v>
      </c>
      <c r="P77" s="29"/>
      <c r="Q77" s="30"/>
      <c r="R77" s="36"/>
      <c r="S77" s="26"/>
      <c r="T77" s="29"/>
      <c r="U77" s="24"/>
    </row>
    <row r="78" spans="15:22" x14ac:dyDescent="0.2">
      <c r="O78" s="1">
        <v>19</v>
      </c>
      <c r="P78" s="29"/>
      <c r="Q78" s="30"/>
      <c r="R78" s="36"/>
      <c r="S78" s="39"/>
      <c r="T78" s="29"/>
      <c r="U78" s="25"/>
    </row>
    <row r="79" spans="15:22" x14ac:dyDescent="0.2">
      <c r="O79" s="1">
        <v>20</v>
      </c>
      <c r="P79" s="29"/>
      <c r="Q79" s="30"/>
      <c r="R79" s="36"/>
      <c r="S79" s="39"/>
      <c r="T79" s="29"/>
      <c r="U79" s="25"/>
    </row>
    <row r="80" spans="15:22" x14ac:dyDescent="0.2">
      <c r="O80" s="28">
        <v>21</v>
      </c>
      <c r="P80" s="29"/>
      <c r="Q80" s="30"/>
      <c r="R80" s="36"/>
      <c r="S80" s="26"/>
      <c r="T80" s="29"/>
      <c r="U80" s="25"/>
    </row>
    <row r="81" spans="15:21" x14ac:dyDescent="0.2">
      <c r="O81" s="27">
        <v>22</v>
      </c>
      <c r="P81" s="29"/>
      <c r="Q81" s="30"/>
      <c r="R81" s="36"/>
      <c r="S81" s="26"/>
      <c r="T81" s="29"/>
      <c r="U81" s="25"/>
    </row>
  </sheetData>
  <mergeCells count="19"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  <mergeCell ref="O1:X1"/>
    <mergeCell ref="AA1:AJ1"/>
    <mergeCell ref="AM1:AV1"/>
    <mergeCell ref="B2:K2"/>
    <mergeCell ref="O2:X2"/>
    <mergeCell ref="AA2:AJ2"/>
    <mergeCell ref="AM2:AV2"/>
  </mergeCells>
  <pageMargins left="0.12" right="0.12" top="0.75" bottom="0.75" header="0.3" footer="0.3"/>
  <pageSetup paperSize="5" scale="68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5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C620-B490-443B-85B0-2613F78074F2}">
  <sheetPr>
    <tabColor theme="7" tint="0.39997558519241921"/>
  </sheetPr>
  <dimension ref="A1:AV80"/>
  <sheetViews>
    <sheetView showGridLines="0" view="pageBreakPreview" topLeftCell="AS1" zoomScale="70" zoomScaleNormal="55" zoomScaleSheetLayoutView="70" workbookViewId="0">
      <selection activeCell="AN7" sqref="AN7:AS16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1.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COUNTIF(Table132456789101113212529343944495461491419242933364247539197861041101161221271311361419142419303642485460667277[Retase],"&gt;3")</f>
        <v>8</v>
      </c>
      <c r="D3" t="s">
        <v>241</v>
      </c>
      <c r="O3" s="60">
        <f>COUNTIF(Table1345678910111722263035404550556251015202530343843485492988710511111712312813213714210152520313743495561677378[Retase],"&gt;3")</f>
        <v>0</v>
      </c>
      <c r="P3" s="60" t="e">
        <f>COUNTIF(#REF!,"&gt;3")</f>
        <v>#REF!</v>
      </c>
      <c r="AA3" s="60">
        <f>COUNTIF(Table134567891011151819232731374247525927121722273228414652909680103109115121126120135140813231828344046525864707580[Retase],"&gt;4")</f>
        <v>12</v>
      </c>
      <c r="AM3" s="60">
        <f>COUNTIF(Table1345678910111518192327313742475259271217222732284146529096801031091151211261201351408132318293541475359657176[Retase],"&gt;3")</f>
        <v>7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45427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45427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45427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45427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0" t="s">
        <v>13</v>
      </c>
      <c r="D7" s="21">
        <v>0.27986111111111112</v>
      </c>
      <c r="E7" s="21">
        <v>0.44444444444444442</v>
      </c>
      <c r="F7" s="38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0.1645833333333333</v>
      </c>
      <c r="G7" s="20">
        <v>1</v>
      </c>
      <c r="H7" s="65" t="s">
        <v>519</v>
      </c>
      <c r="J7" s="4" t="s">
        <v>10</v>
      </c>
      <c r="K7" s="6">
        <v>23</v>
      </c>
      <c r="L7" s="19"/>
      <c r="N7" s="54"/>
      <c r="O7" s="15">
        <v>1</v>
      </c>
      <c r="P7" s="23" t="s">
        <v>42</v>
      </c>
      <c r="Q7" s="40">
        <v>0.29444444444444445</v>
      </c>
      <c r="R7" s="40">
        <v>0.43541666666666662</v>
      </c>
      <c r="S7" s="37">
        <f t="shared" ref="S7:S12" si="0">R7-Q7</f>
        <v>0.14097222222222217</v>
      </c>
      <c r="T7" s="23">
        <v>1</v>
      </c>
      <c r="U7" s="24" t="s">
        <v>526</v>
      </c>
      <c r="W7" s="4" t="s">
        <v>10</v>
      </c>
      <c r="X7" s="6">
        <v>8</v>
      </c>
      <c r="AA7" s="15">
        <v>1</v>
      </c>
      <c r="AB7" s="23" t="s">
        <v>122</v>
      </c>
      <c r="AC7" s="21">
        <v>0.2986111111111111</v>
      </c>
      <c r="AD7" s="21">
        <v>0.44444444444444442</v>
      </c>
      <c r="AE7" s="37">
        <f t="shared" ref="AE7:AE31" si="1">AD7-AC7</f>
        <v>0.14583333333333331</v>
      </c>
      <c r="AF7" s="20">
        <v>1</v>
      </c>
      <c r="AG7" s="16" t="s">
        <v>509</v>
      </c>
      <c r="AI7" s="4" t="s">
        <v>10</v>
      </c>
      <c r="AJ7" s="6">
        <v>33</v>
      </c>
      <c r="AM7" s="15">
        <v>1</v>
      </c>
      <c r="AN7" s="20" t="s">
        <v>232</v>
      </c>
      <c r="AO7" s="21">
        <v>0.25694444444444448</v>
      </c>
      <c r="AP7" s="21">
        <v>0.47916666666666669</v>
      </c>
      <c r="AQ7" s="38">
        <f t="shared" ref="AQ7:AQ16" si="2">AP7-AO7</f>
        <v>0.22222222222222221</v>
      </c>
      <c r="AR7" s="20">
        <v>2</v>
      </c>
      <c r="AS7" s="16" t="s">
        <v>507</v>
      </c>
      <c r="AU7" s="4" t="s">
        <v>10</v>
      </c>
      <c r="AV7" s="6">
        <v>10</v>
      </c>
    </row>
    <row r="8" spans="1:48" s="1" customFormat="1" x14ac:dyDescent="0.2">
      <c r="A8"/>
      <c r="B8" s="15">
        <v>2</v>
      </c>
      <c r="C8" s="20" t="s">
        <v>15</v>
      </c>
      <c r="D8" s="21">
        <v>0.27083333333333331</v>
      </c>
      <c r="E8" s="21">
        <v>0.63958333333333328</v>
      </c>
      <c r="F8" s="38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0.36874999999999997</v>
      </c>
      <c r="G8" s="20">
        <v>2</v>
      </c>
      <c r="H8" s="67" t="s">
        <v>520</v>
      </c>
      <c r="J8" s="4" t="s">
        <v>9</v>
      </c>
      <c r="K8" s="7">
        <v>21</v>
      </c>
      <c r="L8" s="19"/>
      <c r="O8" s="15">
        <v>2</v>
      </c>
      <c r="P8" s="23" t="s">
        <v>36</v>
      </c>
      <c r="Q8" s="40">
        <v>0.29583333333333334</v>
      </c>
      <c r="R8" s="40">
        <v>0.68125000000000002</v>
      </c>
      <c r="S8" s="37">
        <f t="shared" si="0"/>
        <v>0.38541666666666669</v>
      </c>
      <c r="T8" s="23">
        <v>2</v>
      </c>
      <c r="U8" s="24" t="s">
        <v>527</v>
      </c>
      <c r="W8" s="4" t="s">
        <v>9</v>
      </c>
      <c r="X8" s="7">
        <v>6</v>
      </c>
      <c r="Z8" s="56"/>
      <c r="AA8" s="15">
        <v>2</v>
      </c>
      <c r="AB8" s="23" t="s">
        <v>78</v>
      </c>
      <c r="AC8" s="40">
        <v>0.2638888888888889</v>
      </c>
      <c r="AD8" s="40">
        <v>0.41736111111111113</v>
      </c>
      <c r="AE8" s="38">
        <f t="shared" si="1"/>
        <v>0.15347222222222223</v>
      </c>
      <c r="AF8" s="20">
        <v>1</v>
      </c>
      <c r="AG8" s="16" t="s">
        <v>510</v>
      </c>
      <c r="AI8" s="4" t="s">
        <v>9</v>
      </c>
      <c r="AJ8" s="6">
        <v>25</v>
      </c>
      <c r="AM8" s="15">
        <v>2</v>
      </c>
      <c r="AN8" s="20" t="s">
        <v>235</v>
      </c>
      <c r="AO8" s="21">
        <v>0.25069444444444444</v>
      </c>
      <c r="AP8" s="21">
        <v>0.5444444444444444</v>
      </c>
      <c r="AQ8" s="38">
        <f t="shared" si="2"/>
        <v>0.29374999999999996</v>
      </c>
      <c r="AR8" s="20">
        <v>2</v>
      </c>
      <c r="AS8" s="77" t="s">
        <v>508</v>
      </c>
      <c r="AU8" s="4" t="s">
        <v>9</v>
      </c>
      <c r="AV8" s="6">
        <v>10</v>
      </c>
    </row>
    <row r="9" spans="1:48" s="1" customFormat="1" x14ac:dyDescent="0.2">
      <c r="A9" s="56"/>
      <c r="B9" s="15">
        <v>3</v>
      </c>
      <c r="C9" s="20" t="s">
        <v>65</v>
      </c>
      <c r="D9" s="21">
        <v>0.26180555555555557</v>
      </c>
      <c r="E9" s="21" t="s">
        <v>521</v>
      </c>
      <c r="F9" s="38" t="e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#VALUE!</v>
      </c>
      <c r="G9" s="20">
        <v>3</v>
      </c>
      <c r="H9" s="67" t="s">
        <v>520</v>
      </c>
      <c r="J9" s="4" t="s">
        <v>4</v>
      </c>
      <c r="K9" s="7">
        <v>0</v>
      </c>
      <c r="L9" s="19"/>
      <c r="N9" s="56"/>
      <c r="O9" s="15">
        <v>3</v>
      </c>
      <c r="P9" s="23" t="s">
        <v>83</v>
      </c>
      <c r="Q9" s="40">
        <v>0.27569444444444446</v>
      </c>
      <c r="R9" s="40">
        <v>0.6430555555555556</v>
      </c>
      <c r="S9" s="37">
        <f t="shared" si="0"/>
        <v>0.36736111111111114</v>
      </c>
      <c r="T9" s="23">
        <v>3</v>
      </c>
      <c r="U9" s="16" t="s">
        <v>89</v>
      </c>
      <c r="W9" s="4" t="s">
        <v>4</v>
      </c>
      <c r="X9" s="7">
        <v>0</v>
      </c>
      <c r="Z9" s="56"/>
      <c r="AA9" s="15">
        <v>3</v>
      </c>
      <c r="AB9" s="23" t="s">
        <v>49</v>
      </c>
      <c r="AC9" s="40">
        <v>0.25069444444444444</v>
      </c>
      <c r="AD9" s="40">
        <v>0.40277777777777773</v>
      </c>
      <c r="AE9" s="38">
        <f t="shared" si="1"/>
        <v>0.15208333333333329</v>
      </c>
      <c r="AF9" s="20">
        <v>1</v>
      </c>
      <c r="AG9" s="16" t="s">
        <v>511</v>
      </c>
      <c r="AI9" s="4" t="s">
        <v>4</v>
      </c>
      <c r="AJ9" s="7">
        <v>1</v>
      </c>
      <c r="AM9" s="15">
        <v>3</v>
      </c>
      <c r="AN9" s="20" t="s">
        <v>238</v>
      </c>
      <c r="AO9" s="21">
        <v>0.25069444444444444</v>
      </c>
      <c r="AP9" s="21">
        <v>0.6791666666666667</v>
      </c>
      <c r="AQ9" s="38">
        <f t="shared" si="2"/>
        <v>0.42847222222222225</v>
      </c>
      <c r="AR9" s="20">
        <v>3</v>
      </c>
      <c r="AS9" s="16" t="s">
        <v>506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0" t="s">
        <v>118</v>
      </c>
      <c r="D10" s="21">
        <v>0.26250000000000001</v>
      </c>
      <c r="E10" s="21">
        <v>0.62847222222222221</v>
      </c>
      <c r="F10" s="38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0.3659722222222222</v>
      </c>
      <c r="G10" s="20">
        <v>3</v>
      </c>
      <c r="H10" s="65" t="s">
        <v>522</v>
      </c>
      <c r="J10" s="4" t="s">
        <v>5</v>
      </c>
      <c r="K10" s="7">
        <v>2</v>
      </c>
      <c r="L10" s="19"/>
      <c r="O10" s="15">
        <v>4</v>
      </c>
      <c r="P10" s="23" t="s">
        <v>37</v>
      </c>
      <c r="Q10" s="40">
        <v>0.28750000000000003</v>
      </c>
      <c r="R10" s="40">
        <v>0.67361111111111116</v>
      </c>
      <c r="S10" s="37">
        <f t="shared" si="0"/>
        <v>0.38611111111111113</v>
      </c>
      <c r="T10" s="23">
        <v>3</v>
      </c>
      <c r="U10" s="16" t="s">
        <v>89</v>
      </c>
      <c r="W10" s="4" t="s">
        <v>5</v>
      </c>
      <c r="X10" s="7">
        <v>2</v>
      </c>
      <c r="Z10" s="56"/>
      <c r="AA10" s="15">
        <v>4</v>
      </c>
      <c r="AB10" s="23" t="s">
        <v>48</v>
      </c>
      <c r="AC10" s="40">
        <v>0.27777777777777779</v>
      </c>
      <c r="AD10" s="40">
        <v>0.47916666666666669</v>
      </c>
      <c r="AE10" s="38">
        <f t="shared" si="1"/>
        <v>0.2013888888888889</v>
      </c>
      <c r="AF10" s="20">
        <v>2</v>
      </c>
      <c r="AG10" s="16" t="s">
        <v>512</v>
      </c>
      <c r="AI10" s="4" t="s">
        <v>5</v>
      </c>
      <c r="AJ10" s="7">
        <v>7</v>
      </c>
      <c r="AL10" s="54"/>
      <c r="AM10" s="1">
        <v>4</v>
      </c>
      <c r="AN10" s="2" t="s">
        <v>230</v>
      </c>
      <c r="AO10" s="41">
        <v>0.25</v>
      </c>
      <c r="AP10" s="41">
        <v>0.68958333333333333</v>
      </c>
      <c r="AQ10" s="26">
        <f t="shared" si="2"/>
        <v>0.43958333333333333</v>
      </c>
      <c r="AR10" s="2">
        <v>4</v>
      </c>
      <c r="AS10" s="45" t="s">
        <v>25</v>
      </c>
      <c r="AU10" s="4" t="s">
        <v>5</v>
      </c>
      <c r="AV10" s="7">
        <v>1</v>
      </c>
    </row>
    <row r="11" spans="1:48" s="1" customFormat="1" x14ac:dyDescent="0.2">
      <c r="A11"/>
      <c r="B11" s="50">
        <v>5</v>
      </c>
      <c r="C11" s="31" t="s">
        <v>12</v>
      </c>
      <c r="D11" s="32">
        <v>0.35416666666666669</v>
      </c>
      <c r="E11" s="32">
        <v>0.71111111111111114</v>
      </c>
      <c r="F11" s="51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0.35694444444444445</v>
      </c>
      <c r="G11" s="31">
        <v>3</v>
      </c>
      <c r="H11" s="68" t="s">
        <v>523</v>
      </c>
      <c r="J11" s="4" t="s">
        <v>6</v>
      </c>
      <c r="K11" s="7">
        <v>0</v>
      </c>
      <c r="O11" s="15">
        <v>5</v>
      </c>
      <c r="P11" s="23" t="s">
        <v>201</v>
      </c>
      <c r="Q11" s="40">
        <v>0.26180555555555557</v>
      </c>
      <c r="R11" s="40">
        <v>0.62569444444444444</v>
      </c>
      <c r="S11" s="37">
        <f t="shared" si="0"/>
        <v>0.36388888888888887</v>
      </c>
      <c r="T11" s="23">
        <v>3</v>
      </c>
      <c r="U11" s="16" t="s">
        <v>528</v>
      </c>
      <c r="W11" s="4" t="s">
        <v>33</v>
      </c>
      <c r="X11" s="7">
        <v>0</v>
      </c>
      <c r="Z11" s="56"/>
      <c r="AA11" s="15">
        <v>5</v>
      </c>
      <c r="AB11" s="23" t="s">
        <v>56</v>
      </c>
      <c r="AC11" s="40">
        <v>0.28750000000000003</v>
      </c>
      <c r="AD11" s="40">
        <v>0.47916666666666669</v>
      </c>
      <c r="AE11" s="38">
        <f t="shared" si="1"/>
        <v>0.19166666666666665</v>
      </c>
      <c r="AF11" s="20">
        <v>2</v>
      </c>
      <c r="AG11" s="16" t="s">
        <v>513</v>
      </c>
      <c r="AI11" s="4" t="s">
        <v>6</v>
      </c>
      <c r="AJ11" s="7">
        <v>0</v>
      </c>
      <c r="AM11" s="1">
        <v>5</v>
      </c>
      <c r="AN11" s="2" t="s">
        <v>231</v>
      </c>
      <c r="AO11" s="41">
        <v>0.27916666666666667</v>
      </c>
      <c r="AP11" s="41">
        <v>0.65277777777777779</v>
      </c>
      <c r="AQ11" s="26">
        <f t="shared" si="2"/>
        <v>0.37361111111111112</v>
      </c>
      <c r="AR11" s="2">
        <v>4</v>
      </c>
      <c r="AS11" s="45" t="s">
        <v>25</v>
      </c>
      <c r="AU11" s="4" t="s">
        <v>6</v>
      </c>
      <c r="AV11" s="7">
        <v>28</v>
      </c>
    </row>
    <row r="12" spans="1:48" s="1" customFormat="1" x14ac:dyDescent="0.2">
      <c r="A12"/>
      <c r="B12" s="15">
        <v>6</v>
      </c>
      <c r="C12" s="20" t="s">
        <v>20</v>
      </c>
      <c r="D12" s="21">
        <v>0.2638888888888889</v>
      </c>
      <c r="E12" s="40">
        <v>0.66736111111111107</v>
      </c>
      <c r="F12" s="38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0.40347222222222218</v>
      </c>
      <c r="G12" s="20">
        <v>3</v>
      </c>
      <c r="H12" s="24" t="s">
        <v>420</v>
      </c>
      <c r="J12" s="8" t="s">
        <v>8</v>
      </c>
      <c r="K12" s="9">
        <f>SUM(Table132456789101113212529343944495461491419242933364247539197861041101161221271311361419142419303642485460667277[Retase])</f>
        <v>68</v>
      </c>
      <c r="L12" s="19"/>
      <c r="N12" s="54"/>
      <c r="O12" s="15">
        <v>6</v>
      </c>
      <c r="P12" s="23" t="s">
        <v>39</v>
      </c>
      <c r="Q12" s="40">
        <v>0.28750000000000003</v>
      </c>
      <c r="R12" s="40">
        <v>0.62222222222222223</v>
      </c>
      <c r="S12" s="37">
        <f t="shared" si="0"/>
        <v>0.3347222222222222</v>
      </c>
      <c r="T12" s="23">
        <v>3</v>
      </c>
      <c r="U12" s="24" t="s">
        <v>529</v>
      </c>
      <c r="W12" s="8" t="s">
        <v>8</v>
      </c>
      <c r="X12" s="9">
        <f>SUM(Table1345678910111722263035404550556251015202530343843485492988710511111712312813213714210152520313743495561677378[Retase])</f>
        <v>15</v>
      </c>
      <c r="AA12" s="15">
        <v>6</v>
      </c>
      <c r="AB12" s="23" t="s">
        <v>40</v>
      </c>
      <c r="AC12" s="40">
        <v>0.41805555555555557</v>
      </c>
      <c r="AD12" s="40">
        <v>0.69305555555555554</v>
      </c>
      <c r="AE12" s="38">
        <f t="shared" si="1"/>
        <v>0.27499999999999997</v>
      </c>
      <c r="AF12" s="20">
        <v>3</v>
      </c>
      <c r="AG12" s="16" t="s">
        <v>514</v>
      </c>
      <c r="AI12" s="8" t="s">
        <v>8</v>
      </c>
      <c r="AJ12" s="9">
        <f>SUM(Table134567891011151819232731374247525927121722273228414652909680103109115121126120135140813231828344046525864707580[Retase])</f>
        <v>100</v>
      </c>
      <c r="AM12" s="1">
        <v>6</v>
      </c>
      <c r="AN12" s="2" t="s">
        <v>233</v>
      </c>
      <c r="AO12" s="41">
        <v>0.24305555555555555</v>
      </c>
      <c r="AP12" s="41">
        <v>0.67152777777777783</v>
      </c>
      <c r="AQ12" s="26">
        <f t="shared" si="2"/>
        <v>0.42847222222222225</v>
      </c>
      <c r="AR12" s="2">
        <v>4</v>
      </c>
      <c r="AS12" s="45" t="s">
        <v>25</v>
      </c>
      <c r="AU12" s="8" t="s">
        <v>8</v>
      </c>
      <c r="AV12" s="9">
        <f>SUM(Table1345678910111518192327313742475259271217222732284146529096801031091151211261201351408132318293541475359657176[Retase])</f>
        <v>35</v>
      </c>
    </row>
    <row r="13" spans="1:48" s="1" customFormat="1" x14ac:dyDescent="0.2">
      <c r="A13"/>
      <c r="B13" s="15">
        <v>7</v>
      </c>
      <c r="C13" s="20" t="s">
        <v>14</v>
      </c>
      <c r="D13" s="21">
        <v>0.26874999999999999</v>
      </c>
      <c r="E13" s="21">
        <v>0.65277777777777779</v>
      </c>
      <c r="F13" s="38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0.3840277777777778</v>
      </c>
      <c r="G13" s="20">
        <v>3</v>
      </c>
      <c r="H13" s="65" t="s">
        <v>520</v>
      </c>
      <c r="J13" s="10" t="s">
        <v>7</v>
      </c>
      <c r="K13" s="11">
        <f>K12/K8</f>
        <v>3.2380952380952381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2.5</v>
      </c>
      <c r="AA13" s="15">
        <v>7</v>
      </c>
      <c r="AB13" s="23" t="s">
        <v>82</v>
      </c>
      <c r="AC13" s="40">
        <v>0.28958333333333336</v>
      </c>
      <c r="AD13" s="40">
        <v>0.62152777777777779</v>
      </c>
      <c r="AE13" s="38">
        <f t="shared" si="1"/>
        <v>0.33194444444444443</v>
      </c>
      <c r="AF13" s="20">
        <v>4</v>
      </c>
      <c r="AG13" s="16" t="s">
        <v>515</v>
      </c>
      <c r="AI13" s="10" t="s">
        <v>7</v>
      </c>
      <c r="AJ13" s="11">
        <f>AJ12/AJ8</f>
        <v>4</v>
      </c>
      <c r="AM13" s="1">
        <v>7</v>
      </c>
      <c r="AN13" s="2" t="s">
        <v>234</v>
      </c>
      <c r="AO13" s="41">
        <v>0.26458333333333334</v>
      </c>
      <c r="AP13" s="41">
        <v>0.69791666666666663</v>
      </c>
      <c r="AQ13" s="26">
        <f t="shared" si="2"/>
        <v>0.43333333333333329</v>
      </c>
      <c r="AR13" s="2">
        <v>4</v>
      </c>
      <c r="AS13" s="45" t="s">
        <v>25</v>
      </c>
      <c r="AU13" s="10" t="s">
        <v>7</v>
      </c>
      <c r="AV13" s="11">
        <f>AV12/AV8</f>
        <v>3.5</v>
      </c>
    </row>
    <row r="14" spans="1:48" s="1" customFormat="1" x14ac:dyDescent="0.2">
      <c r="A14"/>
      <c r="B14" s="15">
        <v>8</v>
      </c>
      <c r="C14" s="20" t="s">
        <v>70</v>
      </c>
      <c r="D14" s="21">
        <v>0.28819444444444448</v>
      </c>
      <c r="E14" s="21">
        <v>0.64861111111111114</v>
      </c>
      <c r="F14" s="38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0.36041666666666666</v>
      </c>
      <c r="G14" s="20">
        <v>3</v>
      </c>
      <c r="H14" s="65" t="s">
        <v>524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50">
        <v>8</v>
      </c>
      <c r="AB14" s="33" t="s">
        <v>123</v>
      </c>
      <c r="AC14" s="44">
        <v>0.29791666666666666</v>
      </c>
      <c r="AD14" s="44">
        <v>0.68194444444444446</v>
      </c>
      <c r="AE14" s="51">
        <f t="shared" si="1"/>
        <v>0.3840277777777778</v>
      </c>
      <c r="AF14" s="31">
        <v>4</v>
      </c>
      <c r="AG14" s="55" t="s">
        <v>64</v>
      </c>
      <c r="AI14" s="12" t="s">
        <v>11</v>
      </c>
      <c r="AJ14" s="13">
        <v>5</v>
      </c>
      <c r="AM14" s="1">
        <v>8</v>
      </c>
      <c r="AN14" s="2" t="s">
        <v>236</v>
      </c>
      <c r="AO14" s="41">
        <v>0.25486111111111109</v>
      </c>
      <c r="AP14" s="41">
        <v>0.6958333333333333</v>
      </c>
      <c r="AQ14" s="26">
        <f t="shared" si="2"/>
        <v>0.44097222222222221</v>
      </c>
      <c r="AR14" s="2">
        <v>4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0" t="s">
        <v>73</v>
      </c>
      <c r="D15" s="21">
        <v>0.22916666666666666</v>
      </c>
      <c r="E15" s="21">
        <v>0.6020833333333333</v>
      </c>
      <c r="F15" s="38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0.37291666666666667</v>
      </c>
      <c r="G15" s="20">
        <v>3</v>
      </c>
      <c r="H15" s="65" t="s">
        <v>525</v>
      </c>
      <c r="J15" s="12" t="s">
        <v>88</v>
      </c>
      <c r="K15" s="14">
        <f>B3/K8</f>
        <v>0.38095238095238093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</v>
      </c>
      <c r="Z15" s="56" t="s">
        <v>209</v>
      </c>
      <c r="AA15" s="50">
        <v>9</v>
      </c>
      <c r="AB15" s="33" t="s">
        <v>30</v>
      </c>
      <c r="AC15" s="44">
        <v>0.35625000000000001</v>
      </c>
      <c r="AD15" s="44">
        <v>0.68819444444444444</v>
      </c>
      <c r="AE15" s="51">
        <f t="shared" si="1"/>
        <v>0.33194444444444443</v>
      </c>
      <c r="AF15" s="31">
        <v>4</v>
      </c>
      <c r="AG15" s="55" t="s">
        <v>518</v>
      </c>
      <c r="AI15" s="12" t="s">
        <v>88</v>
      </c>
      <c r="AJ15" s="14">
        <f>AA3/AJ8</f>
        <v>0.48</v>
      </c>
      <c r="AM15" s="1">
        <v>9</v>
      </c>
      <c r="AN15" s="2" t="s">
        <v>237</v>
      </c>
      <c r="AO15" s="41">
        <v>0.29652777777777778</v>
      </c>
      <c r="AP15" s="41">
        <v>0.70486111111111116</v>
      </c>
      <c r="AQ15" s="26">
        <f t="shared" si="2"/>
        <v>0.40833333333333338</v>
      </c>
      <c r="AR15" s="2">
        <v>4</v>
      </c>
      <c r="AS15" s="45" t="s">
        <v>25</v>
      </c>
      <c r="AU15" s="12" t="s">
        <v>88</v>
      </c>
      <c r="AV15" s="14">
        <f>AM3/AV8</f>
        <v>0.7</v>
      </c>
    </row>
    <row r="16" spans="1:48" x14ac:dyDescent="0.2">
      <c r="B16" s="15">
        <v>10</v>
      </c>
      <c r="C16" s="20" t="s">
        <v>69</v>
      </c>
      <c r="D16" s="21">
        <v>0.26874999999999999</v>
      </c>
      <c r="E16" s="21">
        <v>0.66736111111111107</v>
      </c>
      <c r="F16" s="38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0.39861111111111108</v>
      </c>
      <c r="G16" s="20">
        <v>3</v>
      </c>
      <c r="H16" s="65" t="s">
        <v>520</v>
      </c>
      <c r="J16" s="12" t="s">
        <v>24</v>
      </c>
      <c r="K16" s="14">
        <f>K8/K7</f>
        <v>0.91304347826086951</v>
      </c>
      <c r="W16" s="12" t="s">
        <v>27</v>
      </c>
      <c r="X16" s="14">
        <f>X8/X7</f>
        <v>0.75</v>
      </c>
      <c r="AA16" s="50">
        <v>10</v>
      </c>
      <c r="AB16" s="33" t="s">
        <v>31</v>
      </c>
      <c r="AC16" s="44">
        <v>0.29444444444444445</v>
      </c>
      <c r="AD16" s="44">
        <v>0.66180555555555554</v>
      </c>
      <c r="AE16" s="51">
        <f t="shared" si="1"/>
        <v>0.36736111111111108</v>
      </c>
      <c r="AF16" s="31">
        <v>4</v>
      </c>
      <c r="AG16" s="55" t="s">
        <v>64</v>
      </c>
      <c r="AI16" s="12" t="s">
        <v>27</v>
      </c>
      <c r="AJ16" s="14">
        <f>AJ8/AJ7</f>
        <v>0.75757575757575757</v>
      </c>
      <c r="AM16" s="1">
        <v>10</v>
      </c>
      <c r="AN16" s="2" t="s">
        <v>271</v>
      </c>
      <c r="AO16" s="41">
        <v>0.28750000000000003</v>
      </c>
      <c r="AP16" s="41">
        <v>0.72638888888888886</v>
      </c>
      <c r="AQ16" s="26">
        <f t="shared" si="2"/>
        <v>0.43888888888888883</v>
      </c>
      <c r="AR16" s="2">
        <v>4</v>
      </c>
      <c r="AS16" s="45" t="s">
        <v>25</v>
      </c>
      <c r="AU16" s="12" t="s">
        <v>27</v>
      </c>
      <c r="AV16" s="14">
        <f>AV8/AV7</f>
        <v>1</v>
      </c>
    </row>
    <row r="17" spans="2:48" x14ac:dyDescent="0.2">
      <c r="B17" s="15">
        <v>11</v>
      </c>
      <c r="C17" s="20" t="s">
        <v>120</v>
      </c>
      <c r="D17" s="21">
        <v>0.23958333333333334</v>
      </c>
      <c r="E17" s="21">
        <v>0.62708333333333333</v>
      </c>
      <c r="F17" s="38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0.38749999999999996</v>
      </c>
      <c r="G17" s="20">
        <v>3</v>
      </c>
      <c r="H17" s="65" t="s">
        <v>520</v>
      </c>
      <c r="J17" s="12" t="s">
        <v>117</v>
      </c>
      <c r="K17" s="48">
        <f>AVERAGE(Table132456789101113212529343944495461491419242933364247539197861041101161221271311361419142419303642485460667277[JAM KELUAR])</f>
        <v>0.25783730158730156</v>
      </c>
      <c r="W17" s="12" t="s">
        <v>117</v>
      </c>
      <c r="X17" s="48">
        <f>AVERAGE(Table1345678910111722263035404550556251015202530343843485492988710511111712312813213714210152520313743495561677378[JAM KELUAR])</f>
        <v>0.28379629629629632</v>
      </c>
      <c r="AA17" s="15">
        <v>11</v>
      </c>
      <c r="AB17" s="23" t="s">
        <v>45</v>
      </c>
      <c r="AC17" s="40">
        <v>0.21041666666666667</v>
      </c>
      <c r="AD17" s="40">
        <v>0.77569444444444446</v>
      </c>
      <c r="AE17" s="38">
        <f t="shared" si="1"/>
        <v>0.56527777777777777</v>
      </c>
      <c r="AF17" s="20">
        <v>4</v>
      </c>
      <c r="AG17" s="16" t="s">
        <v>516</v>
      </c>
      <c r="AI17" s="12" t="s">
        <v>117</v>
      </c>
      <c r="AJ17" s="48">
        <f>AVERAGE(Table134567891011151819232731374247525927121722273228414652909680103109115121126120135140813231828344046525864707580[JAM KELUAR])</f>
        <v>0.27711111111111109</v>
      </c>
      <c r="AU17" s="12" t="s">
        <v>117</v>
      </c>
      <c r="AV17" s="48">
        <f>AVERAGE(Table1345678910111518192327313742475259271217222732284146529096801031091151211261201351408132318293541475359657176[JAM KELUAR])</f>
        <v>0.26340277777777782</v>
      </c>
    </row>
    <row r="18" spans="2:48" x14ac:dyDescent="0.2">
      <c r="B18" s="15">
        <v>12</v>
      </c>
      <c r="C18" s="20" t="s">
        <v>121</v>
      </c>
      <c r="D18" s="21">
        <v>0.28402777777777777</v>
      </c>
      <c r="E18" s="21">
        <v>0.67152777777777783</v>
      </c>
      <c r="F18" s="38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0.38750000000000007</v>
      </c>
      <c r="G18" s="20">
        <v>3</v>
      </c>
      <c r="H18" s="65" t="s">
        <v>520</v>
      </c>
      <c r="AA18" s="15">
        <v>12</v>
      </c>
      <c r="AB18" s="23" t="s">
        <v>59</v>
      </c>
      <c r="AC18" s="40">
        <v>0.25069444444444444</v>
      </c>
      <c r="AD18" s="40">
        <v>0.74722222222222223</v>
      </c>
      <c r="AE18" s="38">
        <f t="shared" si="1"/>
        <v>0.49652777777777779</v>
      </c>
      <c r="AF18" s="20">
        <v>4</v>
      </c>
      <c r="AG18" s="16" t="s">
        <v>517</v>
      </c>
      <c r="AI18" s="17"/>
      <c r="AU18" s="17"/>
    </row>
    <row r="19" spans="2:48" ht="15.75" customHeight="1" x14ac:dyDescent="0.2">
      <c r="B19" s="15">
        <v>13</v>
      </c>
      <c r="C19" s="20" t="s">
        <v>19</v>
      </c>
      <c r="D19" s="21">
        <v>0.21041666666666667</v>
      </c>
      <c r="E19" s="21">
        <v>0.66805555555555562</v>
      </c>
      <c r="F19" s="38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0.45763888888888893</v>
      </c>
      <c r="G19" s="20">
        <v>3</v>
      </c>
      <c r="H19" s="65" t="s">
        <v>520</v>
      </c>
      <c r="AA19" s="15">
        <v>13</v>
      </c>
      <c r="AB19" s="23" t="s">
        <v>51</v>
      </c>
      <c r="AC19" s="40">
        <v>0.26874999999999999</v>
      </c>
      <c r="AD19" s="40">
        <v>0.6645833333333333</v>
      </c>
      <c r="AE19" s="38">
        <f t="shared" si="1"/>
        <v>0.39583333333333331</v>
      </c>
      <c r="AF19" s="20">
        <v>4</v>
      </c>
      <c r="AG19" s="16" t="s">
        <v>64</v>
      </c>
      <c r="AR19" s="34"/>
      <c r="AS19" s="35" t="s">
        <v>90</v>
      </c>
    </row>
    <row r="20" spans="2:48" ht="17.25" customHeight="1" x14ac:dyDescent="0.2">
      <c r="B20" s="1">
        <v>14</v>
      </c>
      <c r="C20" s="74" t="s">
        <v>71</v>
      </c>
      <c r="D20" s="75">
        <v>0.24305555555555555</v>
      </c>
      <c r="E20" s="75">
        <v>0.68541666666666667</v>
      </c>
      <c r="F20" s="76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0.44236111111111109</v>
      </c>
      <c r="G20" s="74">
        <v>4</v>
      </c>
      <c r="H20" s="69" t="s">
        <v>25</v>
      </c>
      <c r="AA20" s="1">
        <v>14</v>
      </c>
      <c r="AB20" s="2" t="s">
        <v>57</v>
      </c>
      <c r="AC20" s="30">
        <v>0.2951388888888889</v>
      </c>
      <c r="AD20" s="30">
        <v>0.7055555555555556</v>
      </c>
      <c r="AE20" s="26">
        <f t="shared" si="1"/>
        <v>0.41041666666666671</v>
      </c>
      <c r="AF20" s="2">
        <v>5</v>
      </c>
      <c r="AG20" s="45" t="s">
        <v>25</v>
      </c>
      <c r="AR20" s="56" t="s">
        <v>209</v>
      </c>
      <c r="AS20" s="35" t="s">
        <v>92</v>
      </c>
    </row>
    <row r="21" spans="2:48" ht="15.75" customHeight="1" x14ac:dyDescent="0.2">
      <c r="B21" s="1">
        <v>15</v>
      </c>
      <c r="C21" s="2" t="s">
        <v>72</v>
      </c>
      <c r="D21" s="41">
        <v>0.20902777777777778</v>
      </c>
      <c r="E21" s="41">
        <v>0.6972222222222223</v>
      </c>
      <c r="F21" s="26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0.48819444444444449</v>
      </c>
      <c r="G21" s="2">
        <v>4</v>
      </c>
      <c r="H21" s="69" t="s">
        <v>25</v>
      </c>
      <c r="AA21" s="1">
        <v>15</v>
      </c>
      <c r="AB21" s="29" t="s">
        <v>32</v>
      </c>
      <c r="AC21" s="30">
        <v>0.28541666666666665</v>
      </c>
      <c r="AD21" s="41">
        <v>0.7416666666666667</v>
      </c>
      <c r="AE21" s="39">
        <f t="shared" si="1"/>
        <v>0.45625000000000004</v>
      </c>
      <c r="AF21" s="2">
        <v>5</v>
      </c>
      <c r="AG21" s="45" t="s">
        <v>25</v>
      </c>
    </row>
    <row r="22" spans="2:48" ht="15" customHeight="1" x14ac:dyDescent="0.2">
      <c r="B22" s="1">
        <v>16</v>
      </c>
      <c r="C22" s="2" t="s">
        <v>74</v>
      </c>
      <c r="D22" s="41">
        <v>0.25694444444444448</v>
      </c>
      <c r="E22" s="41">
        <v>0.71527777777777779</v>
      </c>
      <c r="F22" s="26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0.45833333333333331</v>
      </c>
      <c r="G22" s="2">
        <v>4</v>
      </c>
      <c r="H22" s="69" t="s">
        <v>25</v>
      </c>
      <c r="AA22" s="1">
        <v>16</v>
      </c>
      <c r="AB22" s="29" t="s">
        <v>34</v>
      </c>
      <c r="AC22" s="41">
        <v>0.27777777777777779</v>
      </c>
      <c r="AD22" s="30">
        <v>0.70000000000000007</v>
      </c>
      <c r="AE22" s="39">
        <f t="shared" si="1"/>
        <v>0.42222222222222228</v>
      </c>
      <c r="AF22" s="29">
        <v>5</v>
      </c>
      <c r="AG22" s="45" t="s">
        <v>25</v>
      </c>
    </row>
    <row r="23" spans="2:48" ht="15" customHeight="1" x14ac:dyDescent="0.2">
      <c r="B23" s="1">
        <v>17</v>
      </c>
      <c r="C23" s="2" t="s">
        <v>75</v>
      </c>
      <c r="D23" s="41">
        <v>0.24027777777777778</v>
      </c>
      <c r="E23" s="41">
        <v>0.67708333333333337</v>
      </c>
      <c r="F23" s="26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0.43680555555555556</v>
      </c>
      <c r="G23" s="2">
        <v>4</v>
      </c>
      <c r="H23" s="69" t="s">
        <v>25</v>
      </c>
      <c r="AA23" s="1">
        <v>17</v>
      </c>
      <c r="AB23" s="29" t="s">
        <v>309</v>
      </c>
      <c r="AC23" s="30">
        <v>0.26874999999999999</v>
      </c>
      <c r="AD23" s="30">
        <v>0.7270833333333333</v>
      </c>
      <c r="AE23" s="39">
        <f t="shared" si="1"/>
        <v>0.45833333333333331</v>
      </c>
      <c r="AF23" s="29">
        <v>5</v>
      </c>
      <c r="AG23" s="45" t="s">
        <v>25</v>
      </c>
    </row>
    <row r="24" spans="2:48" ht="15" customHeight="1" x14ac:dyDescent="0.2">
      <c r="B24" s="1">
        <v>18</v>
      </c>
      <c r="C24" s="2" t="s">
        <v>76</v>
      </c>
      <c r="D24" s="41">
        <v>0.21111111111111111</v>
      </c>
      <c r="E24" s="41">
        <v>0.72638888888888886</v>
      </c>
      <c r="F24" s="26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0.51527777777777772</v>
      </c>
      <c r="G24" s="2">
        <v>4</v>
      </c>
      <c r="H24" s="69" t="s">
        <v>25</v>
      </c>
      <c r="T24" s="34"/>
      <c r="U24" s="35" t="s">
        <v>90</v>
      </c>
      <c r="AA24" s="1">
        <v>18</v>
      </c>
      <c r="AB24" s="29" t="s">
        <v>77</v>
      </c>
      <c r="AC24" s="30">
        <v>0.27569444444444446</v>
      </c>
      <c r="AD24" s="30">
        <v>0.70000000000000007</v>
      </c>
      <c r="AE24" s="39">
        <f t="shared" si="1"/>
        <v>0.4243055555555556</v>
      </c>
      <c r="AF24" s="29">
        <v>5</v>
      </c>
      <c r="AG24" s="45" t="s">
        <v>25</v>
      </c>
      <c r="AM24" s="49"/>
    </row>
    <row r="25" spans="2:48" ht="14.5" customHeight="1" x14ac:dyDescent="0.2">
      <c r="B25" s="1">
        <v>19</v>
      </c>
      <c r="C25" s="2" t="s">
        <v>16</v>
      </c>
      <c r="D25" s="41">
        <v>0.22916666666666666</v>
      </c>
      <c r="E25" s="41">
        <v>0.7090277777777777</v>
      </c>
      <c r="F25" s="26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0.47986111111111107</v>
      </c>
      <c r="G25" s="2">
        <v>4</v>
      </c>
      <c r="H25" s="69" t="s">
        <v>25</v>
      </c>
      <c r="T25" s="56" t="s">
        <v>209</v>
      </c>
      <c r="U25" s="35" t="s">
        <v>92</v>
      </c>
      <c r="AA25" s="1">
        <v>19</v>
      </c>
      <c r="AB25" s="29" t="s">
        <v>46</v>
      </c>
      <c r="AC25" s="30">
        <v>0.24166666666666667</v>
      </c>
      <c r="AD25" s="30">
        <v>0.6875</v>
      </c>
      <c r="AE25" s="39">
        <f t="shared" si="1"/>
        <v>0.4458333333333333</v>
      </c>
      <c r="AF25" s="29">
        <v>5</v>
      </c>
      <c r="AG25" s="45" t="s">
        <v>25</v>
      </c>
    </row>
    <row r="26" spans="2:48" ht="14.5" customHeight="1" x14ac:dyDescent="0.2">
      <c r="B26" s="1">
        <v>20</v>
      </c>
      <c r="C26" s="2" t="s">
        <v>17</v>
      </c>
      <c r="D26" s="41">
        <v>0.28402777777777777</v>
      </c>
      <c r="E26" s="41">
        <v>0.73958333333333337</v>
      </c>
      <c r="F26" s="26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0.4555555555555556</v>
      </c>
      <c r="G26" s="2">
        <v>4</v>
      </c>
      <c r="H26" s="69" t="s">
        <v>25</v>
      </c>
      <c r="N26" s="54"/>
      <c r="AA26" s="1">
        <v>20</v>
      </c>
      <c r="AB26" s="29" t="s">
        <v>50</v>
      </c>
      <c r="AC26" s="30">
        <v>0.25416666666666665</v>
      </c>
      <c r="AD26" s="30">
        <v>0.66805555555555562</v>
      </c>
      <c r="AE26" s="39">
        <f t="shared" si="1"/>
        <v>0.41388888888888897</v>
      </c>
      <c r="AF26" s="29">
        <v>5</v>
      </c>
      <c r="AG26" s="45" t="s">
        <v>25</v>
      </c>
    </row>
    <row r="27" spans="2:48" ht="14.5" customHeight="1" x14ac:dyDescent="0.2">
      <c r="B27" s="1">
        <v>21</v>
      </c>
      <c r="C27" s="2" t="s">
        <v>18</v>
      </c>
      <c r="D27" s="41">
        <v>0.2590277777777778</v>
      </c>
      <c r="E27" s="41">
        <v>0.7402777777777777</v>
      </c>
      <c r="F27" s="26">
        <f>Table132456789101113212529343944495461491419242933364247539197861041101161221271311361419142419303642485460667277[[#This Row],[JAM MASUK]]-Table132456789101113212529343944495461491419242933364247539197861041101161221271311361419142419303642485460667277[[#This Row],[JAM KELUAR]]</f>
        <v>0.4812499999999999</v>
      </c>
      <c r="G27" s="2">
        <v>4</v>
      </c>
      <c r="H27" s="69" t="s">
        <v>25</v>
      </c>
      <c r="N27" s="54"/>
      <c r="AA27" s="1">
        <v>21</v>
      </c>
      <c r="AB27" s="29" t="s">
        <v>47</v>
      </c>
      <c r="AC27" s="30">
        <v>0.25486111111111109</v>
      </c>
      <c r="AD27" s="30">
        <v>0.69513888888888886</v>
      </c>
      <c r="AE27" s="39">
        <f t="shared" si="1"/>
        <v>0.44027777777777777</v>
      </c>
      <c r="AF27" s="29">
        <v>5</v>
      </c>
      <c r="AG27" s="45" t="s">
        <v>25</v>
      </c>
    </row>
    <row r="28" spans="2:48" x14ac:dyDescent="0.2">
      <c r="N28" s="54"/>
      <c r="AA28" s="1">
        <v>22</v>
      </c>
      <c r="AB28" s="29" t="s">
        <v>81</v>
      </c>
      <c r="AC28" s="30">
        <v>0.21180555555555555</v>
      </c>
      <c r="AD28" s="30">
        <v>0.66736111111111107</v>
      </c>
      <c r="AE28" s="39">
        <f t="shared" si="1"/>
        <v>0.45555555555555549</v>
      </c>
      <c r="AF28" s="29">
        <v>5</v>
      </c>
      <c r="AG28" s="45" t="s">
        <v>25</v>
      </c>
    </row>
    <row r="29" spans="2:48" x14ac:dyDescent="0.2">
      <c r="N29" s="54"/>
      <c r="AA29" s="1">
        <v>23</v>
      </c>
      <c r="AB29" s="29" t="s">
        <v>60</v>
      </c>
      <c r="AC29" s="30">
        <v>0.27638888888888885</v>
      </c>
      <c r="AD29" s="30">
        <v>0.74791666666666667</v>
      </c>
      <c r="AE29" s="39">
        <f t="shared" si="1"/>
        <v>0.47152777777777782</v>
      </c>
      <c r="AF29" s="29">
        <v>5</v>
      </c>
      <c r="AG29" s="45" t="s">
        <v>25</v>
      </c>
    </row>
    <row r="30" spans="2:48" x14ac:dyDescent="0.2">
      <c r="G30" s="34"/>
      <c r="H30" s="35" t="s">
        <v>90</v>
      </c>
      <c r="AA30" s="1">
        <v>24</v>
      </c>
      <c r="AB30" s="29" t="s">
        <v>41</v>
      </c>
      <c r="AC30" s="30">
        <v>0.26666666666666666</v>
      </c>
      <c r="AD30" s="30">
        <v>0.76388888888888884</v>
      </c>
      <c r="AE30" s="39">
        <f t="shared" si="1"/>
        <v>0.49722222222222218</v>
      </c>
      <c r="AF30" s="29">
        <v>6</v>
      </c>
      <c r="AG30" s="45" t="s">
        <v>25</v>
      </c>
    </row>
    <row r="31" spans="2:48" x14ac:dyDescent="0.2">
      <c r="B31" s="49"/>
      <c r="G31" s="56" t="s">
        <v>209</v>
      </c>
      <c r="H31" s="35" t="s">
        <v>92</v>
      </c>
      <c r="AA31" s="1">
        <v>25</v>
      </c>
      <c r="AB31" s="29" t="s">
        <v>80</v>
      </c>
      <c r="AC31" s="30">
        <v>0.25486111111111109</v>
      </c>
      <c r="AD31" s="30">
        <v>0.71319444444444446</v>
      </c>
      <c r="AE31" s="39">
        <f t="shared" si="1"/>
        <v>0.45833333333333337</v>
      </c>
      <c r="AF31" s="29">
        <v>6</v>
      </c>
      <c r="AG31" s="45" t="s">
        <v>25</v>
      </c>
    </row>
    <row r="32" spans="2:48" x14ac:dyDescent="0.2">
      <c r="V32" s="1"/>
    </row>
    <row r="33" spans="1:33" x14ac:dyDescent="0.2">
      <c r="V33" s="1"/>
    </row>
    <row r="34" spans="1:33" x14ac:dyDescent="0.2">
      <c r="V34" s="1"/>
    </row>
    <row r="35" spans="1:33" x14ac:dyDescent="0.2">
      <c r="V35" s="1"/>
      <c r="AF35" s="34"/>
      <c r="AG35" s="35" t="s">
        <v>90</v>
      </c>
    </row>
    <row r="36" spans="1:33" x14ac:dyDescent="0.2">
      <c r="V36" s="1"/>
      <c r="AF36" s="56" t="s">
        <v>209</v>
      </c>
      <c r="AG36" s="35" t="s">
        <v>92</v>
      </c>
    </row>
    <row r="37" spans="1:33" x14ac:dyDescent="0.2">
      <c r="V37" s="1"/>
    </row>
    <row r="38" spans="1:33" x14ac:dyDescent="0.2">
      <c r="V38" s="1"/>
    </row>
    <row r="39" spans="1:33" x14ac:dyDescent="0.2">
      <c r="V39" s="1"/>
    </row>
    <row r="40" spans="1:33" x14ac:dyDescent="0.2">
      <c r="V40" s="1"/>
    </row>
    <row r="41" spans="1:33" ht="21" x14ac:dyDescent="0.25">
      <c r="A41" s="46"/>
    </row>
    <row r="58" spans="15:22" x14ac:dyDescent="0.2">
      <c r="O58" s="2" t="s">
        <v>0</v>
      </c>
      <c r="P58" s="2" t="s">
        <v>1</v>
      </c>
      <c r="Q58" s="22" t="s">
        <v>61</v>
      </c>
      <c r="R58" s="22" t="s">
        <v>62</v>
      </c>
      <c r="S58" s="22" t="s">
        <v>63</v>
      </c>
      <c r="T58" s="2" t="s">
        <v>2</v>
      </c>
      <c r="U58" s="2" t="s">
        <v>3</v>
      </c>
    </row>
    <row r="59" spans="15:22" x14ac:dyDescent="0.2">
      <c r="O59" s="27">
        <v>1</v>
      </c>
      <c r="P59" s="2"/>
      <c r="Q59" s="41"/>
      <c r="R59" s="42"/>
      <c r="S59" s="26"/>
      <c r="T59" s="2"/>
      <c r="U59" s="24"/>
    </row>
    <row r="60" spans="15:22" x14ac:dyDescent="0.2">
      <c r="O60" s="15">
        <v>2</v>
      </c>
      <c r="P60" s="29"/>
      <c r="Q60" s="30"/>
      <c r="R60" s="36"/>
      <c r="S60" s="26"/>
      <c r="T60" s="29"/>
      <c r="U60" s="24"/>
    </row>
    <row r="61" spans="15:22" x14ac:dyDescent="0.2">
      <c r="O61" s="15">
        <v>3</v>
      </c>
      <c r="P61" s="29"/>
      <c r="Q61" s="30"/>
      <c r="R61" s="36"/>
      <c r="S61" s="39"/>
      <c r="T61" s="29"/>
      <c r="U61" s="16"/>
    </row>
    <row r="62" spans="15:22" x14ac:dyDescent="0.2">
      <c r="O62" s="27">
        <v>4</v>
      </c>
      <c r="P62" s="29"/>
      <c r="Q62" s="30"/>
      <c r="R62" s="36"/>
      <c r="S62" s="39"/>
      <c r="T62" s="29"/>
      <c r="U62" s="24"/>
    </row>
    <row r="63" spans="15:22" x14ac:dyDescent="0.2">
      <c r="O63" s="15">
        <v>5</v>
      </c>
      <c r="P63" s="29"/>
      <c r="Q63" s="30"/>
      <c r="R63" s="36"/>
      <c r="S63" s="26"/>
      <c r="T63" s="29"/>
      <c r="U63" s="24"/>
      <c r="V63" s="1"/>
    </row>
    <row r="64" spans="15:22" x14ac:dyDescent="0.2">
      <c r="O64" s="15">
        <v>6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27">
        <v>7</v>
      </c>
      <c r="P65" s="29"/>
      <c r="Q65" s="30"/>
      <c r="R65" s="36"/>
      <c r="S65" s="39"/>
      <c r="T65" s="29"/>
      <c r="U65" s="24"/>
      <c r="V65" s="1"/>
    </row>
    <row r="66" spans="15:22" x14ac:dyDescent="0.2">
      <c r="O66" s="15">
        <v>8</v>
      </c>
      <c r="P66" s="29"/>
      <c r="Q66" s="30"/>
      <c r="R66" s="36"/>
      <c r="S66" s="26"/>
      <c r="T66" s="29"/>
      <c r="U66" s="24"/>
    </row>
    <row r="67" spans="15:22" x14ac:dyDescent="0.2">
      <c r="O67" s="15">
        <v>9</v>
      </c>
      <c r="P67" s="29"/>
      <c r="Q67" s="30"/>
      <c r="R67" s="36"/>
      <c r="S67" s="26"/>
      <c r="T67" s="29"/>
      <c r="U67" s="24"/>
    </row>
    <row r="68" spans="15:22" x14ac:dyDescent="0.2">
      <c r="O68" s="27">
        <v>10</v>
      </c>
      <c r="P68" s="29"/>
      <c r="Q68" s="30"/>
      <c r="R68" s="36"/>
      <c r="S68" s="26"/>
      <c r="T68" s="29"/>
      <c r="U68" s="24"/>
    </row>
    <row r="69" spans="15:22" x14ac:dyDescent="0.2">
      <c r="O69" s="15">
        <v>11</v>
      </c>
      <c r="P69" s="29"/>
      <c r="Q69" s="30"/>
      <c r="R69" s="36"/>
      <c r="S69" s="26"/>
      <c r="T69" s="29"/>
      <c r="U69" s="24"/>
    </row>
    <row r="70" spans="15:22" x14ac:dyDescent="0.2">
      <c r="O70" s="1">
        <v>12</v>
      </c>
      <c r="P70" s="29"/>
      <c r="Q70" s="30"/>
      <c r="R70" s="36"/>
      <c r="S70" s="39"/>
      <c r="T70" s="29"/>
      <c r="U70" s="25"/>
    </row>
    <row r="71" spans="15:22" x14ac:dyDescent="0.2">
      <c r="O71" s="28">
        <v>13</v>
      </c>
      <c r="P71" s="29"/>
      <c r="Q71" s="30"/>
      <c r="R71" s="36"/>
      <c r="S71" s="26"/>
      <c r="T71" s="29"/>
      <c r="U71" s="25"/>
    </row>
    <row r="72" spans="15:22" x14ac:dyDescent="0.2">
      <c r="O72" s="27">
        <v>14</v>
      </c>
      <c r="P72" s="29"/>
      <c r="Q72" s="30"/>
      <c r="R72" s="36"/>
      <c r="S72" s="26"/>
      <c r="T72" s="29"/>
      <c r="U72" s="24"/>
    </row>
    <row r="73" spans="15:22" x14ac:dyDescent="0.2">
      <c r="O73" s="15">
        <v>15</v>
      </c>
      <c r="P73" s="29"/>
      <c r="Q73" s="30"/>
      <c r="R73" s="36"/>
      <c r="S73" s="26"/>
      <c r="T73" s="29"/>
      <c r="U73" s="24"/>
    </row>
    <row r="74" spans="15:22" x14ac:dyDescent="0.2">
      <c r="O74" s="1">
        <v>16</v>
      </c>
      <c r="P74" s="29"/>
      <c r="Q74" s="30"/>
      <c r="R74" s="36"/>
      <c r="S74" s="26"/>
      <c r="T74" s="29"/>
      <c r="U74" s="25"/>
    </row>
    <row r="75" spans="15:22" x14ac:dyDescent="0.2">
      <c r="O75" s="28">
        <v>17</v>
      </c>
      <c r="P75" s="29"/>
      <c r="Q75" s="30"/>
      <c r="R75" s="36"/>
      <c r="S75" s="26"/>
      <c r="T75" s="29"/>
      <c r="U75" s="25"/>
    </row>
    <row r="76" spans="15:22" x14ac:dyDescent="0.2">
      <c r="O76" s="27">
        <v>18</v>
      </c>
      <c r="P76" s="29"/>
      <c r="Q76" s="30"/>
      <c r="R76" s="36"/>
      <c r="S76" s="26"/>
      <c r="T76" s="29"/>
      <c r="U76" s="24"/>
    </row>
    <row r="77" spans="15:22" x14ac:dyDescent="0.2">
      <c r="O77" s="1">
        <v>19</v>
      </c>
      <c r="P77" s="29"/>
      <c r="Q77" s="30"/>
      <c r="R77" s="36"/>
      <c r="S77" s="39"/>
      <c r="T77" s="29"/>
      <c r="U77" s="25"/>
    </row>
    <row r="78" spans="15:22" x14ac:dyDescent="0.2">
      <c r="O78" s="1">
        <v>20</v>
      </c>
      <c r="P78" s="29"/>
      <c r="Q78" s="30"/>
      <c r="R78" s="36"/>
      <c r="S78" s="39"/>
      <c r="T78" s="29"/>
      <c r="U78" s="25"/>
    </row>
    <row r="79" spans="15:22" x14ac:dyDescent="0.2">
      <c r="O79" s="28">
        <v>21</v>
      </c>
      <c r="P79" s="29"/>
      <c r="Q79" s="30"/>
      <c r="R79" s="36"/>
      <c r="S79" s="26"/>
      <c r="T79" s="29"/>
      <c r="U79" s="25"/>
    </row>
    <row r="80" spans="15:22" x14ac:dyDescent="0.2">
      <c r="O80" s="27">
        <v>22</v>
      </c>
      <c r="P80" s="29"/>
      <c r="Q80" s="30"/>
      <c r="R80" s="36"/>
      <c r="S80" s="26"/>
      <c r="T80" s="29"/>
      <c r="U80" s="25"/>
    </row>
  </sheetData>
  <mergeCells count="19">
    <mergeCell ref="O1:X1"/>
    <mergeCell ref="AA1:AJ1"/>
    <mergeCell ref="AM1:AV1"/>
    <mergeCell ref="B2:K2"/>
    <mergeCell ref="O2:X2"/>
    <mergeCell ref="AA2:AJ2"/>
    <mergeCell ref="AM2:AV2"/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</mergeCells>
  <pageMargins left="0.12" right="0.12" top="0.75" bottom="0.75" header="0.3" footer="0.3"/>
  <pageSetup paperSize="5" scale="68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5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5B3C-8558-401D-A765-ABC629CD0AED}">
  <sheetPr>
    <tabColor theme="7" tint="0.39997558519241921"/>
  </sheetPr>
  <dimension ref="A1:AV78"/>
  <sheetViews>
    <sheetView showGridLines="0" view="pageBreakPreview" topLeftCell="AI1" zoomScale="55" zoomScaleNormal="55" zoomScaleSheetLayoutView="55" workbookViewId="0">
      <selection activeCell="AN7" sqref="AN7:AS21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COUNTIF(Table13245678910111321252934394449546149141924293336424753919786104110116122127131136141914241930364248546066727782[Retase],"&gt;3")</f>
        <v>3</v>
      </c>
      <c r="D3" t="s">
        <v>241</v>
      </c>
      <c r="O3" s="60">
        <f>COUNTIF(Table134567891011172226303540455055625101520253034384348549298871051111171231281321371421015252031374349556167737883[Retase],"&gt;3")</f>
        <v>1</v>
      </c>
      <c r="P3" s="60" t="e">
        <f>COUNTIF(#REF!,"&gt;3")</f>
        <v>#REF!</v>
      </c>
      <c r="AA3" s="60">
        <f>COUNTIF(Table13456789101115181923273137424752592712172227322841465290968010310911512112612013514081323182834404652586470758085[Retase],"&gt;4")</f>
        <v>13</v>
      </c>
      <c r="AM3" s="60">
        <f>COUNTIF(Table134567891011151819232731374247525927121722273228414652909680103109115121126120135140813231829354147535965717681[Retase],"&gt;3")</f>
        <v>9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45428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45428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45428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45428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ht="16" x14ac:dyDescent="0.2">
      <c r="A7" s="56"/>
      <c r="B7" s="15">
        <v>1</v>
      </c>
      <c r="C7" s="62" t="s">
        <v>76</v>
      </c>
      <c r="D7" s="21">
        <v>0.26666666666666666</v>
      </c>
      <c r="E7" s="21">
        <v>0.42152777777777778</v>
      </c>
      <c r="F7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0.15486111111111112</v>
      </c>
      <c r="G7" s="20">
        <v>0</v>
      </c>
      <c r="H7" s="65" t="s">
        <v>530</v>
      </c>
      <c r="J7" s="4" t="s">
        <v>10</v>
      </c>
      <c r="K7" s="6">
        <v>23</v>
      </c>
      <c r="L7" s="19"/>
      <c r="N7" s="56" t="s">
        <v>209</v>
      </c>
      <c r="O7" s="50">
        <v>1</v>
      </c>
      <c r="P7" s="33" t="s">
        <v>84</v>
      </c>
      <c r="Q7" s="44">
        <v>0.60625000000000007</v>
      </c>
      <c r="R7" s="44">
        <v>0.6479166666666667</v>
      </c>
      <c r="S7" s="52">
        <f>R7-Q7</f>
        <v>4.166666666666663E-2</v>
      </c>
      <c r="T7" s="33">
        <v>1</v>
      </c>
      <c r="U7" s="53" t="s">
        <v>543</v>
      </c>
      <c r="W7" s="4" t="s">
        <v>10</v>
      </c>
      <c r="X7" s="6">
        <v>8</v>
      </c>
      <c r="AA7" s="15">
        <v>1</v>
      </c>
      <c r="AB7" s="23" t="s">
        <v>35</v>
      </c>
      <c r="AC7" s="21">
        <v>0.28611111111111115</v>
      </c>
      <c r="AD7" s="21">
        <v>0.54652777777777783</v>
      </c>
      <c r="AE7" s="37">
        <f t="shared" ref="AE7:AE31" si="0">AD7-AC7</f>
        <v>0.26041666666666669</v>
      </c>
      <c r="AF7" s="20">
        <v>2</v>
      </c>
      <c r="AG7" s="16" t="s">
        <v>546</v>
      </c>
      <c r="AI7" s="4" t="s">
        <v>10</v>
      </c>
      <c r="AJ7" s="6">
        <v>33</v>
      </c>
      <c r="AM7" s="15">
        <v>1</v>
      </c>
      <c r="AN7" s="20" t="s">
        <v>235</v>
      </c>
      <c r="AO7" s="21">
        <v>0.26805555555555555</v>
      </c>
      <c r="AP7" s="21">
        <v>0.66805555555555562</v>
      </c>
      <c r="AQ7" s="38">
        <f t="shared" ref="AQ7:AQ21" si="1">AP7-AO7</f>
        <v>0.40000000000000008</v>
      </c>
      <c r="AR7" s="20">
        <v>3</v>
      </c>
      <c r="AS7" s="16" t="s">
        <v>89</v>
      </c>
      <c r="AU7" s="4" t="s">
        <v>10</v>
      </c>
      <c r="AV7" s="6">
        <v>10</v>
      </c>
    </row>
    <row r="8" spans="1:48" s="1" customFormat="1" x14ac:dyDescent="0.2">
      <c r="A8"/>
      <c r="B8" s="50">
        <v>2</v>
      </c>
      <c r="C8" s="31" t="s">
        <v>68</v>
      </c>
      <c r="D8" s="32">
        <v>0.30555555555555552</v>
      </c>
      <c r="E8" s="32">
        <v>0.54236111111111118</v>
      </c>
      <c r="F8" s="51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0.23680555555555566</v>
      </c>
      <c r="G8" s="31">
        <v>1</v>
      </c>
      <c r="H8" s="73" t="s">
        <v>531</v>
      </c>
      <c r="J8" s="4" t="s">
        <v>9</v>
      </c>
      <c r="K8" s="7">
        <v>22</v>
      </c>
      <c r="L8" s="19"/>
      <c r="O8" s="15">
        <v>2</v>
      </c>
      <c r="P8" s="23" t="s">
        <v>83</v>
      </c>
      <c r="Q8" s="40">
        <v>0.27569444444444446</v>
      </c>
      <c r="R8" s="40" t="s">
        <v>310</v>
      </c>
      <c r="S8" s="37" t="e">
        <f>R8-Q8</f>
        <v>#VALUE!</v>
      </c>
      <c r="T8" s="23">
        <v>3</v>
      </c>
      <c r="U8" s="24" t="s">
        <v>544</v>
      </c>
      <c r="W8" s="4" t="s">
        <v>9</v>
      </c>
      <c r="X8" s="7">
        <v>5</v>
      </c>
      <c r="Z8" s="56" t="s">
        <v>209</v>
      </c>
      <c r="AA8" s="50">
        <v>2</v>
      </c>
      <c r="AB8" s="33" t="s">
        <v>82</v>
      </c>
      <c r="AC8" s="44">
        <v>0.4201388888888889</v>
      </c>
      <c r="AD8" s="44">
        <v>0.68194444444444446</v>
      </c>
      <c r="AE8" s="51">
        <f t="shared" si="0"/>
        <v>0.26180555555555557</v>
      </c>
      <c r="AF8" s="31">
        <v>3</v>
      </c>
      <c r="AG8" s="55" t="s">
        <v>553</v>
      </c>
      <c r="AI8" s="4" t="s">
        <v>9</v>
      </c>
      <c r="AJ8" s="6">
        <v>25</v>
      </c>
      <c r="AM8" s="15">
        <v>2</v>
      </c>
      <c r="AN8" s="20" t="s">
        <v>278</v>
      </c>
      <c r="AO8" s="21">
        <v>0.26805555555555555</v>
      </c>
      <c r="AP8" s="21">
        <v>0.68194444444444446</v>
      </c>
      <c r="AQ8" s="38">
        <f t="shared" si="1"/>
        <v>0.41388888888888892</v>
      </c>
      <c r="AR8" s="20">
        <v>3</v>
      </c>
      <c r="AS8" s="16" t="s">
        <v>89</v>
      </c>
      <c r="AU8" s="4" t="s">
        <v>9</v>
      </c>
      <c r="AV8" s="6">
        <v>15</v>
      </c>
    </row>
    <row r="9" spans="1:48" s="1" customFormat="1" x14ac:dyDescent="0.2">
      <c r="A9" s="56"/>
      <c r="B9" s="15">
        <v>3</v>
      </c>
      <c r="C9" s="20" t="s">
        <v>121</v>
      </c>
      <c r="D9" s="21">
        <v>0.26250000000000001</v>
      </c>
      <c r="E9" s="21">
        <v>0.36458333333333331</v>
      </c>
      <c r="F9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0.1020833333333333</v>
      </c>
      <c r="G9" s="20">
        <v>1</v>
      </c>
      <c r="H9" s="67" t="s">
        <v>532</v>
      </c>
      <c r="J9" s="4" t="s">
        <v>4</v>
      </c>
      <c r="K9" s="7">
        <v>0</v>
      </c>
      <c r="L9" s="19"/>
      <c r="N9" s="56"/>
      <c r="O9" s="50">
        <v>3</v>
      </c>
      <c r="P9" s="33" t="s">
        <v>36</v>
      </c>
      <c r="Q9" s="44">
        <v>0.30208333333333331</v>
      </c>
      <c r="R9" s="44">
        <v>0.66736111111111107</v>
      </c>
      <c r="S9" s="52">
        <f>R9-Q9</f>
        <v>0.36527777777777776</v>
      </c>
      <c r="T9" s="33">
        <v>3</v>
      </c>
      <c r="U9" s="53" t="s">
        <v>127</v>
      </c>
      <c r="W9" s="4" t="s">
        <v>4</v>
      </c>
      <c r="X9" s="7">
        <v>0</v>
      </c>
      <c r="Z9" s="56"/>
      <c r="AA9" s="15">
        <v>3</v>
      </c>
      <c r="AB9" s="23" t="s">
        <v>32</v>
      </c>
      <c r="AC9" s="40">
        <v>0.28333333333333333</v>
      </c>
      <c r="AD9" s="40">
        <v>0.54652777777777783</v>
      </c>
      <c r="AE9" s="38">
        <f t="shared" si="0"/>
        <v>0.26319444444444451</v>
      </c>
      <c r="AF9" s="20">
        <v>3</v>
      </c>
      <c r="AG9" s="16" t="s">
        <v>547</v>
      </c>
      <c r="AI9" s="4" t="s">
        <v>4</v>
      </c>
      <c r="AJ9" s="7">
        <v>1</v>
      </c>
      <c r="AM9" s="15">
        <v>3</v>
      </c>
      <c r="AN9" s="20" t="s">
        <v>280</v>
      </c>
      <c r="AO9" s="21">
        <v>0.26527777777777778</v>
      </c>
      <c r="AP9" s="21">
        <v>0.67152777777777783</v>
      </c>
      <c r="AQ9" s="38">
        <f t="shared" si="1"/>
        <v>0.40625000000000006</v>
      </c>
      <c r="AR9" s="20">
        <v>3</v>
      </c>
      <c r="AS9" s="16" t="s">
        <v>556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0" t="s">
        <v>118</v>
      </c>
      <c r="D10" s="21">
        <v>0.27847222222222223</v>
      </c>
      <c r="E10" s="21">
        <v>0.6</v>
      </c>
      <c r="F10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0.32152777777777775</v>
      </c>
      <c r="G10" s="20">
        <v>2</v>
      </c>
      <c r="H10" s="67" t="s">
        <v>533</v>
      </c>
      <c r="J10" s="4" t="s">
        <v>5</v>
      </c>
      <c r="K10" s="7">
        <v>1</v>
      </c>
      <c r="L10" s="19"/>
      <c r="O10" s="15">
        <v>4</v>
      </c>
      <c r="P10" s="23" t="s">
        <v>201</v>
      </c>
      <c r="Q10" s="40">
        <v>0.25555555555555559</v>
      </c>
      <c r="R10" s="40">
        <v>0.64097222222222217</v>
      </c>
      <c r="S10" s="37">
        <f>R10-Q10</f>
        <v>0.38541666666666657</v>
      </c>
      <c r="T10" s="23">
        <v>3</v>
      </c>
      <c r="U10" s="16" t="s">
        <v>545</v>
      </c>
      <c r="W10" s="4" t="s">
        <v>5</v>
      </c>
      <c r="X10" s="7">
        <v>3</v>
      </c>
      <c r="Z10" s="56"/>
      <c r="AA10" s="15">
        <v>4</v>
      </c>
      <c r="AB10" s="23" t="s">
        <v>57</v>
      </c>
      <c r="AC10" s="40">
        <v>0.27986111111111112</v>
      </c>
      <c r="AD10" s="40">
        <v>0.68611111111111101</v>
      </c>
      <c r="AE10" s="38">
        <f t="shared" si="0"/>
        <v>0.40624999999999989</v>
      </c>
      <c r="AF10" s="20">
        <v>4</v>
      </c>
      <c r="AG10" s="16" t="s">
        <v>495</v>
      </c>
      <c r="AI10" s="4" t="s">
        <v>5</v>
      </c>
      <c r="AJ10" s="7">
        <v>7</v>
      </c>
      <c r="AL10" s="54"/>
      <c r="AM10" s="50">
        <v>4</v>
      </c>
      <c r="AN10" s="31" t="s">
        <v>304</v>
      </c>
      <c r="AO10" s="32">
        <v>0.29236111111111113</v>
      </c>
      <c r="AP10" s="32">
        <v>0.67083333333333339</v>
      </c>
      <c r="AQ10" s="51">
        <f t="shared" si="1"/>
        <v>0.37847222222222227</v>
      </c>
      <c r="AR10" s="31">
        <v>3</v>
      </c>
      <c r="AS10" s="55" t="s">
        <v>557</v>
      </c>
      <c r="AU10" s="4" t="s">
        <v>5</v>
      </c>
      <c r="AV10" s="7">
        <v>1</v>
      </c>
    </row>
    <row r="11" spans="1:48" s="1" customFormat="1" x14ac:dyDescent="0.2">
      <c r="A11"/>
      <c r="B11" s="15">
        <v>5</v>
      </c>
      <c r="C11" s="20" t="s">
        <v>12</v>
      </c>
      <c r="D11" s="21">
        <v>0.2902777777777778</v>
      </c>
      <c r="E11" s="21">
        <v>0.59236111111111112</v>
      </c>
      <c r="F11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0.30208333333333331</v>
      </c>
      <c r="G11" s="20">
        <v>2</v>
      </c>
      <c r="H11" s="65" t="s">
        <v>542</v>
      </c>
      <c r="J11" s="4" t="s">
        <v>6</v>
      </c>
      <c r="K11" s="7">
        <v>0</v>
      </c>
      <c r="O11" s="1">
        <v>5</v>
      </c>
      <c r="P11" s="29" t="s">
        <v>37</v>
      </c>
      <c r="Q11" s="30">
        <v>0.27847222222222223</v>
      </c>
      <c r="R11" s="30">
        <v>0.71319444444444446</v>
      </c>
      <c r="S11" s="39">
        <f>R11-Q11</f>
        <v>0.43472222222222223</v>
      </c>
      <c r="T11" s="29">
        <v>4</v>
      </c>
      <c r="U11" s="45" t="s">
        <v>25</v>
      </c>
      <c r="W11" s="4" t="s">
        <v>33</v>
      </c>
      <c r="X11" s="7">
        <v>0</v>
      </c>
      <c r="Z11" s="56"/>
      <c r="AA11" s="50">
        <v>5</v>
      </c>
      <c r="AB11" s="33" t="s">
        <v>58</v>
      </c>
      <c r="AC11" s="44">
        <v>0.29236111111111113</v>
      </c>
      <c r="AD11" s="44">
        <v>0.66597222222222219</v>
      </c>
      <c r="AE11" s="51">
        <f t="shared" si="0"/>
        <v>0.37361111111111106</v>
      </c>
      <c r="AF11" s="31">
        <v>4</v>
      </c>
      <c r="AG11" s="55" t="s">
        <v>548</v>
      </c>
      <c r="AI11" s="4" t="s">
        <v>6</v>
      </c>
      <c r="AJ11" s="7">
        <v>0</v>
      </c>
      <c r="AM11" s="15">
        <v>5</v>
      </c>
      <c r="AN11" s="20" t="s">
        <v>306</v>
      </c>
      <c r="AO11" s="21">
        <v>0.27847222222222223</v>
      </c>
      <c r="AP11" s="21">
        <v>0.68541666666666667</v>
      </c>
      <c r="AQ11" s="38">
        <f t="shared" si="1"/>
        <v>0.40694444444444444</v>
      </c>
      <c r="AR11" s="20">
        <v>3</v>
      </c>
      <c r="AS11" s="16" t="s">
        <v>89</v>
      </c>
      <c r="AU11" s="4" t="s">
        <v>6</v>
      </c>
      <c r="AV11" s="7">
        <v>23</v>
      </c>
    </row>
    <row r="12" spans="1:48" s="1" customFormat="1" x14ac:dyDescent="0.2">
      <c r="A12"/>
      <c r="B12" s="15">
        <v>6</v>
      </c>
      <c r="C12" s="20" t="s">
        <v>70</v>
      </c>
      <c r="D12" s="21">
        <v>0.28750000000000003</v>
      </c>
      <c r="E12" s="21">
        <v>0.62361111111111112</v>
      </c>
      <c r="F12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0.33611111111111108</v>
      </c>
      <c r="G12" s="20">
        <v>2</v>
      </c>
      <c r="H12" s="65" t="s">
        <v>542</v>
      </c>
      <c r="J12" s="8" t="s">
        <v>8</v>
      </c>
      <c r="K12" s="9">
        <f>SUM(Table13245678910111321252934394449546149141924293336424753919786104110116122127131136141914241930364248546066727782[Retase])</f>
        <v>54</v>
      </c>
      <c r="L12" s="19"/>
      <c r="N12" s="54"/>
      <c r="O12"/>
      <c r="P12"/>
      <c r="Q12"/>
      <c r="R12"/>
      <c r="S12"/>
      <c r="T12"/>
      <c r="U12"/>
      <c r="W12" s="8" t="s">
        <v>8</v>
      </c>
      <c r="X12" s="9">
        <f>SUM(Table134567891011172226303540455055625101520253034384348549298871051111171231281321371421015252031374349556167737883[Retase])</f>
        <v>14</v>
      </c>
      <c r="AA12" s="15">
        <v>6</v>
      </c>
      <c r="AB12" s="23" t="s">
        <v>31</v>
      </c>
      <c r="AC12" s="40">
        <v>0.26666666666666666</v>
      </c>
      <c r="AD12" s="40">
        <v>0.66597222222222219</v>
      </c>
      <c r="AE12" s="38">
        <f t="shared" si="0"/>
        <v>0.39930555555555552</v>
      </c>
      <c r="AF12" s="20">
        <v>4</v>
      </c>
      <c r="AG12" s="16" t="s">
        <v>549</v>
      </c>
      <c r="AI12" s="8" t="s">
        <v>8</v>
      </c>
      <c r="AJ12" s="9">
        <f>SUM(Table13456789101115181923273137424752592712172227322841465290968010310911512112612013514081323182834404652586470758085[Retase])</f>
        <v>115</v>
      </c>
      <c r="AM12" s="15">
        <v>6</v>
      </c>
      <c r="AN12" s="20" t="s">
        <v>307</v>
      </c>
      <c r="AO12" s="21">
        <v>0.28402777777777777</v>
      </c>
      <c r="AP12" s="21">
        <v>0.65</v>
      </c>
      <c r="AQ12" s="38">
        <f t="shared" si="1"/>
        <v>0.36597222222222225</v>
      </c>
      <c r="AR12" s="20">
        <v>3</v>
      </c>
      <c r="AS12" s="16" t="s">
        <v>558</v>
      </c>
      <c r="AU12" s="8" t="s">
        <v>8</v>
      </c>
      <c r="AV12" s="9">
        <f>SUM(Table134567891011151819232731374247525927121722273228414652909680103109115121126120135140813231829354147535965717681[Retase])</f>
        <v>54</v>
      </c>
    </row>
    <row r="13" spans="1:48" s="1" customFormat="1" x14ac:dyDescent="0.2">
      <c r="A13"/>
      <c r="B13" s="15">
        <v>7</v>
      </c>
      <c r="C13" s="20" t="s">
        <v>69</v>
      </c>
      <c r="D13" s="21">
        <v>0.27569444444444446</v>
      </c>
      <c r="E13" s="40">
        <v>0.60138888888888886</v>
      </c>
      <c r="F13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0.3256944444444444</v>
      </c>
      <c r="G13" s="20">
        <v>2</v>
      </c>
      <c r="H13" s="65" t="s">
        <v>542</v>
      </c>
      <c r="J13" s="10" t="s">
        <v>7</v>
      </c>
      <c r="K13" s="11">
        <f>K12/K8</f>
        <v>2.4545454545454546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2.8</v>
      </c>
      <c r="Z13" s="56" t="s">
        <v>209</v>
      </c>
      <c r="AA13" s="50">
        <v>7</v>
      </c>
      <c r="AB13" s="33" t="s">
        <v>41</v>
      </c>
      <c r="AC13" s="44">
        <v>0.39999999999999997</v>
      </c>
      <c r="AD13" s="44">
        <v>0.74305555555555547</v>
      </c>
      <c r="AE13" s="51">
        <f t="shared" si="0"/>
        <v>0.3430555555555555</v>
      </c>
      <c r="AF13" s="31">
        <v>4</v>
      </c>
      <c r="AG13" s="55" t="s">
        <v>554</v>
      </c>
      <c r="AI13" s="10" t="s">
        <v>7</v>
      </c>
      <c r="AJ13" s="11">
        <f>AJ12/AJ8</f>
        <v>4.5999999999999996</v>
      </c>
      <c r="AM13" s="1">
        <v>7</v>
      </c>
      <c r="AN13" s="2" t="s">
        <v>273</v>
      </c>
      <c r="AO13" s="41">
        <v>0.25138888888888888</v>
      </c>
      <c r="AP13" s="41">
        <v>0.69930555555555562</v>
      </c>
      <c r="AQ13" s="26">
        <f t="shared" si="1"/>
        <v>0.44791666666666674</v>
      </c>
      <c r="AR13" s="2">
        <v>4</v>
      </c>
      <c r="AS13" s="78" t="s">
        <v>25</v>
      </c>
      <c r="AU13" s="10" t="s">
        <v>7</v>
      </c>
      <c r="AV13" s="11">
        <f>AV12/AV8</f>
        <v>3.6</v>
      </c>
    </row>
    <row r="14" spans="1:48" s="1" customFormat="1" x14ac:dyDescent="0.2">
      <c r="A14"/>
      <c r="B14" s="15">
        <v>8</v>
      </c>
      <c r="C14" s="20" t="s">
        <v>120</v>
      </c>
      <c r="D14" s="21">
        <v>0.26666666666666666</v>
      </c>
      <c r="E14" s="21">
        <v>0.64166666666666672</v>
      </c>
      <c r="F14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0.37500000000000006</v>
      </c>
      <c r="G14" s="20">
        <v>2</v>
      </c>
      <c r="H14" s="65" t="s">
        <v>542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15">
        <v>8</v>
      </c>
      <c r="AB14" s="23" t="s">
        <v>56</v>
      </c>
      <c r="AC14" s="40">
        <v>0.28541666666666665</v>
      </c>
      <c r="AD14" s="40">
        <v>0.6645833333333333</v>
      </c>
      <c r="AE14" s="38">
        <f t="shared" si="0"/>
        <v>0.37916666666666665</v>
      </c>
      <c r="AF14" s="20">
        <v>4</v>
      </c>
      <c r="AG14" s="16" t="s">
        <v>555</v>
      </c>
      <c r="AI14" s="12" t="s">
        <v>11</v>
      </c>
      <c r="AJ14" s="13">
        <v>5</v>
      </c>
      <c r="AM14" s="1">
        <v>8</v>
      </c>
      <c r="AN14" s="2" t="s">
        <v>240</v>
      </c>
      <c r="AO14" s="41">
        <v>0.26458333333333334</v>
      </c>
      <c r="AP14" s="41">
        <v>0.65625</v>
      </c>
      <c r="AQ14" s="26">
        <f t="shared" si="1"/>
        <v>0.39166666666666666</v>
      </c>
      <c r="AR14" s="2">
        <v>4</v>
      </c>
      <c r="AS14" s="78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0" t="s">
        <v>16</v>
      </c>
      <c r="D15" s="21">
        <v>0.27083333333333331</v>
      </c>
      <c r="E15" s="21">
        <v>0.70416666666666661</v>
      </c>
      <c r="F15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0.43333333333333329</v>
      </c>
      <c r="G15" s="20">
        <v>2</v>
      </c>
      <c r="H15" s="65" t="s">
        <v>534</v>
      </c>
      <c r="J15" s="12" t="s">
        <v>88</v>
      </c>
      <c r="K15" s="14">
        <f>B3/K8</f>
        <v>0.13636363636363635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0.2</v>
      </c>
      <c r="Z15" s="56"/>
      <c r="AA15" s="15">
        <v>9</v>
      </c>
      <c r="AB15" s="23" t="s">
        <v>80</v>
      </c>
      <c r="AC15" s="40">
        <v>0.26250000000000001</v>
      </c>
      <c r="AD15" s="40">
        <v>0.59444444444444444</v>
      </c>
      <c r="AE15" s="38">
        <f t="shared" si="0"/>
        <v>0.33194444444444443</v>
      </c>
      <c r="AF15" s="20">
        <v>4</v>
      </c>
      <c r="AG15" s="16" t="s">
        <v>550</v>
      </c>
      <c r="AI15" s="12" t="s">
        <v>88</v>
      </c>
      <c r="AJ15" s="14">
        <f>AA3/AJ8</f>
        <v>0.52</v>
      </c>
      <c r="AM15" s="1">
        <v>9</v>
      </c>
      <c r="AN15" s="2" t="s">
        <v>274</v>
      </c>
      <c r="AO15" s="41">
        <v>0.26458333333333334</v>
      </c>
      <c r="AP15" s="41">
        <v>0.66875000000000007</v>
      </c>
      <c r="AQ15" s="26">
        <f t="shared" si="1"/>
        <v>0.40416666666666673</v>
      </c>
      <c r="AR15" s="2">
        <v>4</v>
      </c>
      <c r="AS15" s="78" t="s">
        <v>25</v>
      </c>
      <c r="AU15" s="12" t="s">
        <v>88</v>
      </c>
      <c r="AV15" s="14">
        <f>AM3/AV8</f>
        <v>0.6</v>
      </c>
    </row>
    <row r="16" spans="1:48" x14ac:dyDescent="0.2">
      <c r="B16" s="15">
        <v>10</v>
      </c>
      <c r="C16" s="20" t="s">
        <v>17</v>
      </c>
      <c r="D16" s="21">
        <v>0.27777777777777779</v>
      </c>
      <c r="E16" s="21">
        <v>0.59236111111111112</v>
      </c>
      <c r="F16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0.31458333333333333</v>
      </c>
      <c r="G16" s="20">
        <v>2</v>
      </c>
      <c r="H16" s="65" t="s">
        <v>535</v>
      </c>
      <c r="J16" s="12" t="s">
        <v>24</v>
      </c>
      <c r="K16" s="14">
        <f>K8/K7</f>
        <v>0.95652173913043481</v>
      </c>
      <c r="W16" s="12" t="s">
        <v>27</v>
      </c>
      <c r="X16" s="14">
        <f>X8/X7</f>
        <v>0.625</v>
      </c>
      <c r="AA16" s="15">
        <v>10</v>
      </c>
      <c r="AB16" s="23" t="s">
        <v>50</v>
      </c>
      <c r="AC16" s="40">
        <v>0.26319444444444445</v>
      </c>
      <c r="AD16" s="40">
        <v>0.59375</v>
      </c>
      <c r="AE16" s="38">
        <f t="shared" si="0"/>
        <v>0.33055555555555555</v>
      </c>
      <c r="AF16" s="20">
        <v>4</v>
      </c>
      <c r="AG16" s="16" t="s">
        <v>551</v>
      </c>
      <c r="AI16" s="12" t="s">
        <v>27</v>
      </c>
      <c r="AJ16" s="14">
        <f>AJ8/AJ7</f>
        <v>0.75757575757575757</v>
      </c>
      <c r="AM16" s="1">
        <v>10</v>
      </c>
      <c r="AN16" s="2" t="s">
        <v>275</v>
      </c>
      <c r="AO16" s="41">
        <v>0.27847222222222223</v>
      </c>
      <c r="AP16" s="41">
        <v>0.70833333333333337</v>
      </c>
      <c r="AQ16" s="26">
        <f t="shared" si="1"/>
        <v>0.42986111111111114</v>
      </c>
      <c r="AR16" s="2">
        <v>4</v>
      </c>
      <c r="AS16" s="78" t="s">
        <v>25</v>
      </c>
      <c r="AU16" s="12" t="s">
        <v>27</v>
      </c>
      <c r="AV16" s="14">
        <f>AV8/AV7</f>
        <v>1.5</v>
      </c>
    </row>
    <row r="17" spans="1:48" x14ac:dyDescent="0.2">
      <c r="B17" s="15">
        <v>11</v>
      </c>
      <c r="C17" s="20" t="s">
        <v>18</v>
      </c>
      <c r="D17" s="21">
        <v>0.26666666666666666</v>
      </c>
      <c r="E17" s="21">
        <v>0.61111111111111105</v>
      </c>
      <c r="F17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0.34444444444444439</v>
      </c>
      <c r="G17" s="20">
        <v>2</v>
      </c>
      <c r="H17" s="65" t="s">
        <v>536</v>
      </c>
      <c r="J17" s="12" t="s">
        <v>117</v>
      </c>
      <c r="K17" s="48">
        <f>AVERAGE(Table13245678910111321252934394449546149141924293336424753919786104110116122127131136141914241930364248546066727782[JAM KELUAR])</f>
        <v>0.27686237373737371</v>
      </c>
      <c r="W17" s="12" t="s">
        <v>117</v>
      </c>
      <c r="X17" s="48">
        <f>AVERAGE(Table134567891011172226303540455055625101520253034384348549298871051111171231281321371421015252031374349556167737883[JAM KELUAR])</f>
        <v>0.34361111111111114</v>
      </c>
      <c r="AA17" s="15">
        <v>11</v>
      </c>
      <c r="AB17" s="23" t="s">
        <v>51</v>
      </c>
      <c r="AC17" s="40">
        <v>0.27083333333333331</v>
      </c>
      <c r="AD17" s="40">
        <v>0.65277777777777779</v>
      </c>
      <c r="AE17" s="38">
        <f t="shared" si="0"/>
        <v>0.38194444444444448</v>
      </c>
      <c r="AF17" s="20">
        <v>4</v>
      </c>
      <c r="AG17" s="16" t="s">
        <v>555</v>
      </c>
      <c r="AI17" s="12" t="s">
        <v>117</v>
      </c>
      <c r="AJ17" s="48">
        <f>AVERAGE(Table13456789101115181923273137424752592712172227322841465290968010310911512112612013514081323182834404652586470758085[JAM KELUAR])</f>
        <v>0.28741666666666665</v>
      </c>
      <c r="AM17" s="1">
        <v>11</v>
      </c>
      <c r="AN17" s="2" t="s">
        <v>279</v>
      </c>
      <c r="AO17" s="41">
        <v>0.26666666666666666</v>
      </c>
      <c r="AP17" s="41">
        <v>0.69027777777777777</v>
      </c>
      <c r="AQ17" s="26">
        <f t="shared" si="1"/>
        <v>0.4236111111111111</v>
      </c>
      <c r="AR17" s="2">
        <v>4</v>
      </c>
      <c r="AS17" s="78" t="s">
        <v>25</v>
      </c>
      <c r="AU17" s="12" t="s">
        <v>117</v>
      </c>
      <c r="AV17" s="48">
        <f>AVERAGE(Table134567891011151819232731374247525927121722273228414652909680103109115121126120135140813231829354147535965717681[JAM KELUAR])</f>
        <v>0.27148148148148149</v>
      </c>
    </row>
    <row r="18" spans="1:48" x14ac:dyDescent="0.2">
      <c r="B18" s="15">
        <v>12</v>
      </c>
      <c r="C18" s="20" t="s">
        <v>65</v>
      </c>
      <c r="D18" s="21">
        <v>0.26458333333333334</v>
      </c>
      <c r="E18" s="21">
        <v>0.60486111111111118</v>
      </c>
      <c r="F18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0.34027777777777785</v>
      </c>
      <c r="G18" s="20">
        <v>3</v>
      </c>
      <c r="H18" s="65" t="s">
        <v>537</v>
      </c>
      <c r="AA18" s="15">
        <v>12</v>
      </c>
      <c r="AB18" s="23" t="s">
        <v>60</v>
      </c>
      <c r="AC18" s="40">
        <v>0.27361111111111108</v>
      </c>
      <c r="AD18" s="40">
        <v>0.6430555555555556</v>
      </c>
      <c r="AE18" s="38">
        <f t="shared" si="0"/>
        <v>0.36944444444444452</v>
      </c>
      <c r="AF18" s="20">
        <v>4</v>
      </c>
      <c r="AG18" s="16" t="s">
        <v>552</v>
      </c>
      <c r="AI18" s="17"/>
      <c r="AM18" s="1">
        <v>12</v>
      </c>
      <c r="AN18" s="2" t="s">
        <v>303</v>
      </c>
      <c r="AO18" s="41">
        <v>0.27013888888888887</v>
      </c>
      <c r="AP18" s="41">
        <v>0.69930555555555562</v>
      </c>
      <c r="AQ18" s="26">
        <f t="shared" si="1"/>
        <v>0.42916666666666675</v>
      </c>
      <c r="AR18" s="2">
        <v>4</v>
      </c>
      <c r="AS18" s="78" t="s">
        <v>25</v>
      </c>
      <c r="AU18" s="17"/>
    </row>
    <row r="19" spans="1:48" ht="15.75" customHeight="1" x14ac:dyDescent="0.2">
      <c r="A19" s="56" t="s">
        <v>209</v>
      </c>
      <c r="B19" s="50">
        <v>13</v>
      </c>
      <c r="C19" s="31" t="s">
        <v>13</v>
      </c>
      <c r="D19" s="32">
        <v>0.30069444444444443</v>
      </c>
      <c r="E19" s="32">
        <v>0.70486111111111116</v>
      </c>
      <c r="F19" s="51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0.40416666666666673</v>
      </c>
      <c r="G19" s="31">
        <v>3</v>
      </c>
      <c r="H19" s="68" t="s">
        <v>486</v>
      </c>
      <c r="AA19" s="50">
        <v>13</v>
      </c>
      <c r="AB19" s="33" t="s">
        <v>123</v>
      </c>
      <c r="AC19" s="44">
        <v>0.29236111111111113</v>
      </c>
      <c r="AD19" s="44">
        <v>0.67708333333333337</v>
      </c>
      <c r="AE19" s="51">
        <f t="shared" si="0"/>
        <v>0.38472222222222224</v>
      </c>
      <c r="AF19" s="31">
        <v>5</v>
      </c>
      <c r="AG19" s="55" t="s">
        <v>25</v>
      </c>
      <c r="AM19" s="1">
        <v>13</v>
      </c>
      <c r="AN19" s="2" t="s">
        <v>475</v>
      </c>
      <c r="AO19" s="41">
        <v>0.27499999999999997</v>
      </c>
      <c r="AP19" s="41">
        <v>0.72916666666666663</v>
      </c>
      <c r="AQ19" s="26">
        <f t="shared" si="1"/>
        <v>0.45416666666666666</v>
      </c>
      <c r="AR19" s="2">
        <v>4</v>
      </c>
      <c r="AS19" s="78" t="s">
        <v>25</v>
      </c>
    </row>
    <row r="20" spans="1:48" ht="17.25" customHeight="1" x14ac:dyDescent="0.2">
      <c r="B20" s="15">
        <v>14</v>
      </c>
      <c r="C20" s="20" t="s">
        <v>20</v>
      </c>
      <c r="D20" s="21">
        <v>0.2902777777777778</v>
      </c>
      <c r="E20" s="21">
        <v>0.66041666666666665</v>
      </c>
      <c r="F20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0.37013888888888885</v>
      </c>
      <c r="G20" s="20">
        <v>3</v>
      </c>
      <c r="H20" s="65" t="s">
        <v>538</v>
      </c>
      <c r="AA20" s="1">
        <v>14</v>
      </c>
      <c r="AB20" s="29" t="s">
        <v>40</v>
      </c>
      <c r="AC20" s="30">
        <v>0.26458333333333334</v>
      </c>
      <c r="AD20" s="30">
        <v>0.69027777777777777</v>
      </c>
      <c r="AE20" s="26">
        <f t="shared" si="0"/>
        <v>0.42569444444444443</v>
      </c>
      <c r="AF20" s="2">
        <v>5</v>
      </c>
      <c r="AG20" s="45" t="s">
        <v>25</v>
      </c>
      <c r="AM20" s="1">
        <v>14</v>
      </c>
      <c r="AN20" s="2" t="s">
        <v>305</v>
      </c>
      <c r="AO20" s="41">
        <v>0.27361111111111108</v>
      </c>
      <c r="AP20" s="41">
        <v>0.71666666666666667</v>
      </c>
      <c r="AQ20" s="26">
        <f t="shared" si="1"/>
        <v>0.44305555555555559</v>
      </c>
      <c r="AR20" s="2">
        <v>4</v>
      </c>
      <c r="AS20" s="78" t="s">
        <v>25</v>
      </c>
    </row>
    <row r="21" spans="1:48" ht="15.75" customHeight="1" x14ac:dyDescent="0.2">
      <c r="B21" s="15">
        <v>15</v>
      </c>
      <c r="C21" s="20" t="s">
        <v>14</v>
      </c>
      <c r="D21" s="21">
        <v>0.2722222222222222</v>
      </c>
      <c r="E21" s="21">
        <v>0.66736111111111107</v>
      </c>
      <c r="F21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0.39513888888888887</v>
      </c>
      <c r="G21" s="20">
        <v>3</v>
      </c>
      <c r="H21" s="65" t="s">
        <v>542</v>
      </c>
      <c r="AA21" s="1">
        <v>15</v>
      </c>
      <c r="AB21" s="29" t="s">
        <v>30</v>
      </c>
      <c r="AC21" s="30">
        <v>0.2638888888888889</v>
      </c>
      <c r="AD21" s="41">
        <v>0.75069444444444444</v>
      </c>
      <c r="AE21" s="26">
        <f t="shared" si="0"/>
        <v>0.48680555555555555</v>
      </c>
      <c r="AF21" s="2">
        <v>5</v>
      </c>
      <c r="AG21" s="45" t="s">
        <v>25</v>
      </c>
      <c r="AM21" s="1">
        <v>15</v>
      </c>
      <c r="AN21" s="2" t="s">
        <v>476</v>
      </c>
      <c r="AO21" s="41">
        <v>0.27152777777777776</v>
      </c>
      <c r="AP21" s="41">
        <v>0.72291666666666676</v>
      </c>
      <c r="AQ21" s="26">
        <f t="shared" si="1"/>
        <v>0.45138888888888901</v>
      </c>
      <c r="AR21" s="2">
        <v>4</v>
      </c>
      <c r="AS21" s="78" t="s">
        <v>25</v>
      </c>
    </row>
    <row r="22" spans="1:48" ht="15" customHeight="1" x14ac:dyDescent="0.2">
      <c r="B22" s="15">
        <v>16</v>
      </c>
      <c r="C22" s="20" t="s">
        <v>72</v>
      </c>
      <c r="D22" s="21">
        <v>0.2638888888888889</v>
      </c>
      <c r="E22" s="21">
        <v>0.6118055555555556</v>
      </c>
      <c r="F22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0.34791666666666671</v>
      </c>
      <c r="G22" s="20">
        <v>3</v>
      </c>
      <c r="H22" s="65" t="s">
        <v>539</v>
      </c>
      <c r="T22" s="34"/>
      <c r="U22" s="35" t="s">
        <v>90</v>
      </c>
      <c r="AA22" s="1">
        <v>16</v>
      </c>
      <c r="AB22" s="2" t="s">
        <v>48</v>
      </c>
      <c r="AC22" s="41">
        <v>0.32222222222222224</v>
      </c>
      <c r="AD22" s="30">
        <v>0.67986111111111114</v>
      </c>
      <c r="AE22" s="26">
        <f t="shared" si="0"/>
        <v>0.3576388888888889</v>
      </c>
      <c r="AF22" s="2">
        <v>5</v>
      </c>
      <c r="AG22" s="45" t="s">
        <v>25</v>
      </c>
    </row>
    <row r="23" spans="1:48" ht="15" customHeight="1" x14ac:dyDescent="0.2">
      <c r="B23" s="15">
        <v>17</v>
      </c>
      <c r="C23" s="20" t="s">
        <v>73</v>
      </c>
      <c r="D23" s="21">
        <v>0.28750000000000003</v>
      </c>
      <c r="E23" s="21">
        <v>0.70277777777777783</v>
      </c>
      <c r="F23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0.4152777777777778</v>
      </c>
      <c r="G23" s="20">
        <v>3</v>
      </c>
      <c r="H23" s="65" t="s">
        <v>540</v>
      </c>
      <c r="T23" s="56" t="s">
        <v>209</v>
      </c>
      <c r="U23" s="35" t="s">
        <v>92</v>
      </c>
      <c r="AA23" s="1">
        <v>17</v>
      </c>
      <c r="AB23" s="29" t="s">
        <v>78</v>
      </c>
      <c r="AC23" s="30">
        <v>0.2722222222222222</v>
      </c>
      <c r="AD23" s="30">
        <v>0.7090277777777777</v>
      </c>
      <c r="AE23" s="39">
        <f t="shared" si="0"/>
        <v>0.4368055555555555</v>
      </c>
      <c r="AF23" s="2">
        <v>5</v>
      </c>
      <c r="AG23" s="45" t="s">
        <v>25</v>
      </c>
    </row>
    <row r="24" spans="1:48" ht="15" customHeight="1" x14ac:dyDescent="0.2">
      <c r="B24" s="15">
        <v>18</v>
      </c>
      <c r="C24" s="20" t="s">
        <v>15</v>
      </c>
      <c r="D24" s="63">
        <v>0.29097222222222224</v>
      </c>
      <c r="E24" s="63">
        <v>0.70763888888888893</v>
      </c>
      <c r="F24" s="64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0.41666666666666669</v>
      </c>
      <c r="G24" s="62">
        <v>3</v>
      </c>
      <c r="H24" s="65" t="s">
        <v>542</v>
      </c>
      <c r="AA24" s="1">
        <v>18</v>
      </c>
      <c r="AB24" s="29" t="s">
        <v>79</v>
      </c>
      <c r="AC24" s="30">
        <v>0.27569444444444446</v>
      </c>
      <c r="AD24" s="30">
        <v>0.75277777777777777</v>
      </c>
      <c r="AE24" s="39">
        <f t="shared" si="0"/>
        <v>0.4770833333333333</v>
      </c>
      <c r="AF24" s="29">
        <v>5</v>
      </c>
      <c r="AG24" s="45" t="s">
        <v>25</v>
      </c>
      <c r="AM24" s="49"/>
    </row>
    <row r="25" spans="1:48" ht="14.5" customHeight="1" x14ac:dyDescent="0.2">
      <c r="B25" s="15">
        <v>19</v>
      </c>
      <c r="C25" s="20" t="s">
        <v>19</v>
      </c>
      <c r="D25" s="21">
        <v>0.26527777777777778</v>
      </c>
      <c r="E25" s="21">
        <v>0.72430555555555554</v>
      </c>
      <c r="F25" s="38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0.45902777777777776</v>
      </c>
      <c r="G25" s="20">
        <v>3</v>
      </c>
      <c r="H25" s="65" t="s">
        <v>541</v>
      </c>
      <c r="AA25" s="1">
        <v>19</v>
      </c>
      <c r="AB25" s="29" t="s">
        <v>46</v>
      </c>
      <c r="AC25" s="30">
        <v>0.28333333333333333</v>
      </c>
      <c r="AD25" s="30">
        <v>0.70624999999999993</v>
      </c>
      <c r="AE25" s="39">
        <f t="shared" si="0"/>
        <v>0.42291666666666661</v>
      </c>
      <c r="AF25" s="29">
        <v>5</v>
      </c>
      <c r="AG25" s="45" t="s">
        <v>25</v>
      </c>
    </row>
    <row r="26" spans="1:48" ht="14.5" customHeight="1" x14ac:dyDescent="0.2">
      <c r="B26" s="1">
        <v>20</v>
      </c>
      <c r="C26" s="2" t="s">
        <v>71</v>
      </c>
      <c r="D26" s="41">
        <v>0.26250000000000001</v>
      </c>
      <c r="E26" s="41">
        <v>0.70694444444444438</v>
      </c>
      <c r="F26" s="26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0.44444444444444436</v>
      </c>
      <c r="G26" s="2">
        <v>4</v>
      </c>
      <c r="H26" s="69" t="s">
        <v>25</v>
      </c>
      <c r="N26" s="54"/>
      <c r="AA26" s="1">
        <v>20</v>
      </c>
      <c r="AB26" s="29" t="s">
        <v>309</v>
      </c>
      <c r="AC26" s="30">
        <v>0.28958333333333336</v>
      </c>
      <c r="AD26" s="30">
        <v>0.75347222222222221</v>
      </c>
      <c r="AE26" s="39">
        <f t="shared" si="0"/>
        <v>0.46388888888888885</v>
      </c>
      <c r="AF26" s="29">
        <v>6</v>
      </c>
      <c r="AG26" s="45" t="s">
        <v>25</v>
      </c>
    </row>
    <row r="27" spans="1:48" ht="14.5" customHeight="1" x14ac:dyDescent="0.2">
      <c r="B27" s="1">
        <v>21</v>
      </c>
      <c r="C27" s="2" t="s">
        <v>74</v>
      </c>
      <c r="D27" s="41">
        <v>0.26874999999999999</v>
      </c>
      <c r="E27" s="41">
        <v>0.71666666666666667</v>
      </c>
      <c r="F27" s="26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0.44791666666666669</v>
      </c>
      <c r="G27" s="2">
        <v>4</v>
      </c>
      <c r="H27" s="69" t="s">
        <v>25</v>
      </c>
      <c r="N27" s="54"/>
      <c r="AA27" s="1">
        <v>21</v>
      </c>
      <c r="AB27" s="29" t="s">
        <v>67</v>
      </c>
      <c r="AC27" s="30">
        <v>0.26666666666666666</v>
      </c>
      <c r="AD27" s="30">
        <v>0.76666666666666661</v>
      </c>
      <c r="AE27" s="39">
        <f t="shared" si="0"/>
        <v>0.49999999999999994</v>
      </c>
      <c r="AF27" s="29">
        <v>6</v>
      </c>
      <c r="AG27" s="45" t="s">
        <v>25</v>
      </c>
    </row>
    <row r="28" spans="1:48" x14ac:dyDescent="0.2">
      <c r="B28" s="1">
        <v>22</v>
      </c>
      <c r="C28" s="2" t="s">
        <v>75</v>
      </c>
      <c r="D28" s="41">
        <v>0.27569444444444446</v>
      </c>
      <c r="E28" s="41">
        <v>0.6972222222222223</v>
      </c>
      <c r="F28" s="26">
        <f>Table13245678910111321252934394449546149141924293336424753919786104110116122127131136141914241930364248546066727782[[#This Row],[JAM MASUK]]-Table13245678910111321252934394449546149141924293336424753919786104110116122127131136141914241930364248546066727782[[#This Row],[JAM KELUAR]]</f>
        <v>0.42152777777777783</v>
      </c>
      <c r="G28" s="2">
        <v>4</v>
      </c>
      <c r="H28" s="69" t="s">
        <v>25</v>
      </c>
      <c r="N28" s="54"/>
      <c r="AA28" s="1">
        <v>22</v>
      </c>
      <c r="AB28" s="29" t="s">
        <v>77</v>
      </c>
      <c r="AC28" s="30">
        <v>0.27291666666666664</v>
      </c>
      <c r="AD28" s="30">
        <v>0.75277777777777777</v>
      </c>
      <c r="AE28" s="39">
        <f t="shared" si="0"/>
        <v>0.47986111111111113</v>
      </c>
      <c r="AF28" s="29">
        <v>6</v>
      </c>
      <c r="AG28" s="45" t="s">
        <v>25</v>
      </c>
    </row>
    <row r="29" spans="1:48" x14ac:dyDescent="0.2">
      <c r="N29" s="54"/>
      <c r="AA29" s="1">
        <v>23</v>
      </c>
      <c r="AB29" s="29" t="s">
        <v>49</v>
      </c>
      <c r="AC29" s="30">
        <v>0.26250000000000001</v>
      </c>
      <c r="AD29" s="30">
        <v>0.75277777777777777</v>
      </c>
      <c r="AE29" s="39">
        <f t="shared" si="0"/>
        <v>0.49027777777777776</v>
      </c>
      <c r="AF29" s="29">
        <v>6</v>
      </c>
      <c r="AG29" s="45" t="s">
        <v>25</v>
      </c>
    </row>
    <row r="30" spans="1:48" x14ac:dyDescent="0.2">
      <c r="AA30" s="1">
        <v>24</v>
      </c>
      <c r="AB30" s="29" t="s">
        <v>47</v>
      </c>
      <c r="AC30" s="30">
        <v>0.26874999999999999</v>
      </c>
      <c r="AD30" s="30">
        <v>0.75277777777777777</v>
      </c>
      <c r="AE30" s="39">
        <f t="shared" si="0"/>
        <v>0.48402777777777778</v>
      </c>
      <c r="AF30" s="29">
        <v>6</v>
      </c>
      <c r="AG30" s="45" t="s">
        <v>25</v>
      </c>
    </row>
    <row r="31" spans="1:48" x14ac:dyDescent="0.2">
      <c r="B31" s="49"/>
      <c r="AA31" s="1">
        <v>25</v>
      </c>
      <c r="AB31" s="29" t="s">
        <v>81</v>
      </c>
      <c r="AC31" s="30">
        <v>0.26666666666666666</v>
      </c>
      <c r="AD31" s="30">
        <v>0.75069444444444444</v>
      </c>
      <c r="AE31" s="39">
        <f t="shared" si="0"/>
        <v>0.48402777777777778</v>
      </c>
      <c r="AF31" s="29">
        <v>6</v>
      </c>
      <c r="AG31" s="45" t="s">
        <v>25</v>
      </c>
    </row>
    <row r="32" spans="1:48" x14ac:dyDescent="0.2">
      <c r="V32" s="1"/>
    </row>
    <row r="33" spans="1:45" x14ac:dyDescent="0.2">
      <c r="V33" s="1"/>
      <c r="AF33" s="34"/>
      <c r="AG33" s="35" t="s">
        <v>90</v>
      </c>
    </row>
    <row r="34" spans="1:45" x14ac:dyDescent="0.2">
      <c r="G34" s="34"/>
      <c r="H34" s="35" t="s">
        <v>90</v>
      </c>
      <c r="V34" s="1"/>
      <c r="AF34" s="56" t="s">
        <v>209</v>
      </c>
      <c r="AG34" s="35" t="s">
        <v>92</v>
      </c>
      <c r="AR34" s="34"/>
      <c r="AS34" s="35" t="s">
        <v>90</v>
      </c>
    </row>
    <row r="35" spans="1:45" x14ac:dyDescent="0.2">
      <c r="G35" s="56" t="s">
        <v>209</v>
      </c>
      <c r="H35" s="35" t="s">
        <v>92</v>
      </c>
      <c r="V35" s="1"/>
      <c r="AR35" s="56" t="s">
        <v>209</v>
      </c>
      <c r="AS35" s="35" t="s">
        <v>92</v>
      </c>
    </row>
    <row r="36" spans="1:45" x14ac:dyDescent="0.2">
      <c r="V36" s="1"/>
    </row>
    <row r="37" spans="1:45" x14ac:dyDescent="0.2">
      <c r="V37" s="1"/>
    </row>
    <row r="38" spans="1:45" x14ac:dyDescent="0.2">
      <c r="V38" s="1"/>
    </row>
    <row r="39" spans="1:45" x14ac:dyDescent="0.2">
      <c r="V39" s="1"/>
    </row>
    <row r="40" spans="1:45" x14ac:dyDescent="0.2">
      <c r="V40" s="1"/>
    </row>
    <row r="41" spans="1:45" ht="21" x14ac:dyDescent="0.25">
      <c r="A41" s="46"/>
    </row>
    <row r="56" spans="15:22" x14ac:dyDescent="0.2">
      <c r="O56" s="2" t="s">
        <v>0</v>
      </c>
      <c r="P56" s="2" t="s">
        <v>1</v>
      </c>
      <c r="Q56" s="22" t="s">
        <v>61</v>
      </c>
      <c r="R56" s="22" t="s">
        <v>62</v>
      </c>
      <c r="S56" s="22" t="s">
        <v>63</v>
      </c>
      <c r="T56" s="2" t="s">
        <v>2</v>
      </c>
      <c r="U56" s="2" t="s">
        <v>3</v>
      </c>
    </row>
    <row r="57" spans="15:22" x14ac:dyDescent="0.2">
      <c r="O57" s="27">
        <v>1</v>
      </c>
      <c r="P57" s="2"/>
      <c r="Q57" s="41"/>
      <c r="R57" s="42"/>
      <c r="S57" s="26"/>
      <c r="T57" s="2"/>
      <c r="U57" s="24"/>
    </row>
    <row r="58" spans="15:22" x14ac:dyDescent="0.2">
      <c r="O58" s="15">
        <v>2</v>
      </c>
      <c r="P58" s="29"/>
      <c r="Q58" s="30"/>
      <c r="R58" s="36"/>
      <c r="S58" s="26"/>
      <c r="T58" s="29"/>
      <c r="U58" s="24"/>
    </row>
    <row r="59" spans="15:22" x14ac:dyDescent="0.2">
      <c r="O59" s="15">
        <v>3</v>
      </c>
      <c r="P59" s="29"/>
      <c r="Q59" s="30"/>
      <c r="R59" s="36"/>
      <c r="S59" s="39"/>
      <c r="T59" s="29"/>
      <c r="U59" s="16"/>
    </row>
    <row r="60" spans="15:22" x14ac:dyDescent="0.2">
      <c r="O60" s="27">
        <v>4</v>
      </c>
      <c r="P60" s="29"/>
      <c r="Q60" s="30"/>
      <c r="R60" s="36"/>
      <c r="S60" s="39"/>
      <c r="T60" s="29"/>
      <c r="U60" s="24"/>
    </row>
    <row r="61" spans="15:22" x14ac:dyDescent="0.2">
      <c r="O61" s="15">
        <v>5</v>
      </c>
      <c r="P61" s="29"/>
      <c r="Q61" s="30"/>
      <c r="R61" s="36"/>
      <c r="S61" s="26"/>
      <c r="T61" s="29"/>
      <c r="U61" s="24"/>
    </row>
    <row r="62" spans="15:22" x14ac:dyDescent="0.2">
      <c r="O62" s="15">
        <v>6</v>
      </c>
      <c r="P62" s="29"/>
      <c r="Q62" s="30"/>
      <c r="R62" s="36"/>
      <c r="S62" s="26"/>
      <c r="T62" s="29"/>
      <c r="U62" s="24"/>
    </row>
    <row r="63" spans="15:22" x14ac:dyDescent="0.2">
      <c r="O63" s="27">
        <v>7</v>
      </c>
      <c r="P63" s="29"/>
      <c r="Q63" s="30"/>
      <c r="R63" s="36"/>
      <c r="S63" s="39"/>
      <c r="T63" s="29"/>
      <c r="U63" s="24"/>
      <c r="V63" s="1"/>
    </row>
    <row r="64" spans="15:22" x14ac:dyDescent="0.2">
      <c r="O64" s="15">
        <v>8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5">
        <v>9</v>
      </c>
      <c r="P65" s="29"/>
      <c r="Q65" s="30"/>
      <c r="R65" s="36"/>
      <c r="S65" s="26"/>
      <c r="T65" s="29"/>
      <c r="U65" s="24"/>
      <c r="V65" s="1"/>
    </row>
    <row r="66" spans="15:22" x14ac:dyDescent="0.2">
      <c r="O66" s="27">
        <v>10</v>
      </c>
      <c r="P66" s="29"/>
      <c r="Q66" s="30"/>
      <c r="R66" s="36"/>
      <c r="S66" s="26"/>
      <c r="T66" s="29"/>
      <c r="U66" s="24"/>
    </row>
    <row r="67" spans="15:22" x14ac:dyDescent="0.2">
      <c r="O67" s="15">
        <v>11</v>
      </c>
      <c r="P67" s="29"/>
      <c r="Q67" s="30"/>
      <c r="R67" s="36"/>
      <c r="S67" s="26"/>
      <c r="T67" s="29"/>
      <c r="U67" s="24"/>
    </row>
    <row r="68" spans="15:22" x14ac:dyDescent="0.2">
      <c r="O68" s="1">
        <v>12</v>
      </c>
      <c r="P68" s="29"/>
      <c r="Q68" s="30"/>
      <c r="R68" s="36"/>
      <c r="S68" s="39"/>
      <c r="T68" s="29"/>
      <c r="U68" s="25"/>
    </row>
    <row r="69" spans="15:22" x14ac:dyDescent="0.2">
      <c r="O69" s="28">
        <v>13</v>
      </c>
      <c r="P69" s="29"/>
      <c r="Q69" s="30"/>
      <c r="R69" s="36"/>
      <c r="S69" s="26"/>
      <c r="T69" s="29"/>
      <c r="U69" s="25"/>
    </row>
    <row r="70" spans="15:22" x14ac:dyDescent="0.2">
      <c r="O70" s="27">
        <v>14</v>
      </c>
      <c r="P70" s="29"/>
      <c r="Q70" s="30"/>
      <c r="R70" s="36"/>
      <c r="S70" s="26"/>
      <c r="T70" s="29"/>
      <c r="U70" s="24"/>
    </row>
    <row r="71" spans="15:22" x14ac:dyDescent="0.2">
      <c r="O71" s="15">
        <v>15</v>
      </c>
      <c r="P71" s="29"/>
      <c r="Q71" s="30"/>
      <c r="R71" s="36"/>
      <c r="S71" s="26"/>
      <c r="T71" s="29"/>
      <c r="U71" s="24"/>
    </row>
    <row r="72" spans="15:22" x14ac:dyDescent="0.2">
      <c r="O72" s="1">
        <v>16</v>
      </c>
      <c r="P72" s="29"/>
      <c r="Q72" s="30"/>
      <c r="R72" s="36"/>
      <c r="S72" s="26"/>
      <c r="T72" s="29"/>
      <c r="U72" s="25"/>
    </row>
    <row r="73" spans="15:22" x14ac:dyDescent="0.2">
      <c r="O73" s="28">
        <v>17</v>
      </c>
      <c r="P73" s="29"/>
      <c r="Q73" s="30"/>
      <c r="R73" s="36"/>
      <c r="S73" s="26"/>
      <c r="T73" s="29"/>
      <c r="U73" s="25"/>
    </row>
    <row r="74" spans="15:22" x14ac:dyDescent="0.2">
      <c r="O74" s="27">
        <v>18</v>
      </c>
      <c r="P74" s="29"/>
      <c r="Q74" s="30"/>
      <c r="R74" s="36"/>
      <c r="S74" s="26"/>
      <c r="T74" s="29"/>
      <c r="U74" s="24"/>
    </row>
    <row r="75" spans="15:22" x14ac:dyDescent="0.2">
      <c r="O75" s="1">
        <v>19</v>
      </c>
      <c r="P75" s="29"/>
      <c r="Q75" s="30"/>
      <c r="R75" s="36"/>
      <c r="S75" s="39"/>
      <c r="T75" s="29"/>
      <c r="U75" s="25"/>
    </row>
    <row r="76" spans="15:22" x14ac:dyDescent="0.2">
      <c r="O76" s="1">
        <v>20</v>
      </c>
      <c r="P76" s="29"/>
      <c r="Q76" s="30"/>
      <c r="R76" s="36"/>
      <c r="S76" s="39"/>
      <c r="T76" s="29"/>
      <c r="U76" s="25"/>
    </row>
    <row r="77" spans="15:22" x14ac:dyDescent="0.2">
      <c r="O77" s="28">
        <v>21</v>
      </c>
      <c r="P77" s="29"/>
      <c r="Q77" s="30"/>
      <c r="R77" s="36"/>
      <c r="S77" s="26"/>
      <c r="T77" s="29"/>
      <c r="U77" s="25"/>
    </row>
    <row r="78" spans="15:22" x14ac:dyDescent="0.2">
      <c r="O78" s="27">
        <v>22</v>
      </c>
      <c r="P78" s="29"/>
      <c r="Q78" s="30"/>
      <c r="R78" s="36"/>
      <c r="S78" s="26"/>
      <c r="T78" s="29"/>
      <c r="U78" s="25"/>
    </row>
  </sheetData>
  <mergeCells count="19">
    <mergeCell ref="O1:X1"/>
    <mergeCell ref="AA1:AJ1"/>
    <mergeCell ref="AM1:AV1"/>
    <mergeCell ref="B2:K2"/>
    <mergeCell ref="O2:X2"/>
    <mergeCell ref="AA2:AJ2"/>
    <mergeCell ref="AM2:AV2"/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</mergeCells>
  <pageMargins left="0.12" right="0.12" top="0.75" bottom="0.75" header="0.3" footer="0.3"/>
  <pageSetup paperSize="5" scale="82" fitToWidth="0" orientation="landscape" horizontalDpi="360" verticalDpi="360" r:id="rId1"/>
  <rowBreaks count="1" manualBreakCount="1">
    <brk id="40" max="46" man="1"/>
  </rowBreaks>
  <colBreaks count="3" manualBreakCount="3">
    <brk id="12" min="1" max="39" man="1"/>
    <brk id="25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510E-288C-4300-9C60-442485F42682}">
  <sheetPr>
    <tabColor theme="7" tint="0.39997558519241921"/>
  </sheetPr>
  <dimension ref="A1:AV78"/>
  <sheetViews>
    <sheetView showGridLines="0" view="pageBreakPreview" topLeftCell="AS4" zoomScale="70" zoomScaleNormal="55" zoomScaleSheetLayoutView="70" workbookViewId="0">
      <selection activeCell="AN7" sqref="AN7:AS21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COUNTIF(Table1324567891011132125293439444954614914192429333642475391978610411011612212713113614191424193036424854606672778287[Retase],"&gt;3")</f>
        <v>5</v>
      </c>
      <c r="D3" t="s">
        <v>241</v>
      </c>
      <c r="O3" s="60">
        <f>COUNTIF(Table13456789101117222630354045505562510152025303438434854929887105111117123128132137142101525203137434955616773788388[Retase],"&gt;3")</f>
        <v>0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COUNTIF(Table1345678910111518192327313742475259271217222732284146529096801031091151211261201351408132318283440465258647075808590[Retase],"&gt;4")</f>
        <v>3</v>
      </c>
      <c r="AM3" s="60">
        <f>COUNTIF(Table13456789101115181923273137424752592712172227322841465290968010310911512112612013514081323182935414753596571768186[Retase],"&gt;3")</f>
        <v>6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45429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45429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45429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45429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3" t="s">
        <v>71</v>
      </c>
      <c r="D7" s="21">
        <v>0.23124999999999998</v>
      </c>
      <c r="E7" s="21">
        <v>0.5444444444444444</v>
      </c>
      <c r="F7" s="38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0.31319444444444444</v>
      </c>
      <c r="G7" s="20">
        <v>2</v>
      </c>
      <c r="H7" s="65" t="s">
        <v>587</v>
      </c>
      <c r="J7" s="4" t="s">
        <v>10</v>
      </c>
      <c r="K7" s="6">
        <v>23</v>
      </c>
      <c r="L7" s="19"/>
      <c r="N7" s="56"/>
      <c r="O7" s="15">
        <v>1</v>
      </c>
      <c r="P7" s="23" t="s">
        <v>83</v>
      </c>
      <c r="Q7" s="40">
        <v>0.37013888888888885</v>
      </c>
      <c r="R7" s="40">
        <v>0.55069444444444449</v>
      </c>
      <c r="S7" s="37">
        <f t="shared" ref="S7:S13" si="0">R7-Q7</f>
        <v>0.18055555555555564</v>
      </c>
      <c r="T7" s="23">
        <v>1</v>
      </c>
      <c r="U7" s="24" t="s">
        <v>583</v>
      </c>
      <c r="W7" s="4" t="s">
        <v>10</v>
      </c>
      <c r="X7" s="6">
        <v>8</v>
      </c>
      <c r="AA7" s="15">
        <v>1</v>
      </c>
      <c r="AB7" s="23" t="s">
        <v>57</v>
      </c>
      <c r="AC7" s="21">
        <v>0.27361111111111108</v>
      </c>
      <c r="AD7" s="21">
        <v>0.43263888888888885</v>
      </c>
      <c r="AE7" s="37">
        <f t="shared" ref="AE7:AE32" si="1">AD7-AC7</f>
        <v>0.15902777777777777</v>
      </c>
      <c r="AF7" s="20">
        <v>1</v>
      </c>
      <c r="AG7" s="16" t="s">
        <v>567</v>
      </c>
      <c r="AI7" s="4" t="s">
        <v>10</v>
      </c>
      <c r="AJ7" s="6">
        <v>33</v>
      </c>
      <c r="AM7" s="15">
        <v>1</v>
      </c>
      <c r="AN7" s="20" t="s">
        <v>302</v>
      </c>
      <c r="AO7" s="21">
        <v>0.28055555555555556</v>
      </c>
      <c r="AP7" s="21">
        <v>0.43194444444444446</v>
      </c>
      <c r="AQ7" s="38">
        <f t="shared" ref="AQ7:AQ21" si="2">AP7-AO7</f>
        <v>0.15138888888888891</v>
      </c>
      <c r="AR7" s="20">
        <v>1</v>
      </c>
      <c r="AS7" s="16" t="s">
        <v>560</v>
      </c>
      <c r="AU7" s="4" t="s">
        <v>10</v>
      </c>
      <c r="AV7" s="6">
        <v>15</v>
      </c>
    </row>
    <row r="8" spans="1:48" s="1" customFormat="1" x14ac:dyDescent="0.2">
      <c r="A8"/>
      <c r="B8" s="15">
        <v>2</v>
      </c>
      <c r="C8" s="23" t="s">
        <v>75</v>
      </c>
      <c r="D8" s="21">
        <v>0.25486111111111109</v>
      </c>
      <c r="E8" s="21">
        <v>0.57916666666666672</v>
      </c>
      <c r="F8" s="38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0.32430555555555562</v>
      </c>
      <c r="G8" s="20">
        <v>2</v>
      </c>
      <c r="H8" s="67" t="s">
        <v>588</v>
      </c>
      <c r="J8" s="4" t="s">
        <v>9</v>
      </c>
      <c r="K8" s="7">
        <v>16</v>
      </c>
      <c r="L8" s="19"/>
      <c r="O8" s="50">
        <v>2</v>
      </c>
      <c r="P8" s="33" t="s">
        <v>38</v>
      </c>
      <c r="Q8" s="44">
        <v>0.30694444444444441</v>
      </c>
      <c r="R8" s="44">
        <v>0.55555555555555558</v>
      </c>
      <c r="S8" s="52">
        <f t="shared" si="0"/>
        <v>0.24861111111111117</v>
      </c>
      <c r="T8" s="33">
        <v>1</v>
      </c>
      <c r="U8" s="53" t="s">
        <v>584</v>
      </c>
      <c r="W8" s="4" t="s">
        <v>9</v>
      </c>
      <c r="X8" s="7">
        <v>7</v>
      </c>
      <c r="Z8" s="56"/>
      <c r="AA8" s="15">
        <v>2</v>
      </c>
      <c r="AB8" s="23" t="s">
        <v>77</v>
      </c>
      <c r="AC8" s="40">
        <v>0.25069444444444444</v>
      </c>
      <c r="AD8" s="40">
        <v>0.4145833333333333</v>
      </c>
      <c r="AE8" s="38">
        <f t="shared" si="1"/>
        <v>0.16388888888888886</v>
      </c>
      <c r="AF8" s="20">
        <v>1</v>
      </c>
      <c r="AG8" s="16" t="s">
        <v>568</v>
      </c>
      <c r="AI8" s="4" t="s">
        <v>9</v>
      </c>
      <c r="AJ8" s="6">
        <v>26</v>
      </c>
      <c r="AM8" s="50">
        <v>2</v>
      </c>
      <c r="AN8" s="31" t="s">
        <v>300</v>
      </c>
      <c r="AO8" s="32">
        <v>0.29236111111111113</v>
      </c>
      <c r="AP8" s="32">
        <v>0.62986111111111109</v>
      </c>
      <c r="AQ8" s="51">
        <f t="shared" si="2"/>
        <v>0.33749999999999997</v>
      </c>
      <c r="AR8" s="31">
        <v>2</v>
      </c>
      <c r="AS8" s="55" t="s">
        <v>561</v>
      </c>
      <c r="AU8" s="4" t="s">
        <v>9</v>
      </c>
      <c r="AV8" s="6">
        <v>15</v>
      </c>
    </row>
    <row r="9" spans="1:48" s="1" customFormat="1" x14ac:dyDescent="0.2">
      <c r="A9" s="56"/>
      <c r="B9" s="15">
        <v>3</v>
      </c>
      <c r="C9" s="23" t="s">
        <v>17</v>
      </c>
      <c r="D9" s="21">
        <v>0.23611111111111113</v>
      </c>
      <c r="E9" s="21">
        <v>0.57361111111111118</v>
      </c>
      <c r="F9" s="38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0.33750000000000002</v>
      </c>
      <c r="G9" s="20">
        <v>2</v>
      </c>
      <c r="H9" s="67" t="s">
        <v>589</v>
      </c>
      <c r="J9" s="4" t="s">
        <v>4</v>
      </c>
      <c r="K9" s="7">
        <v>0</v>
      </c>
      <c r="L9" s="19"/>
      <c r="N9" s="56"/>
      <c r="O9" s="15">
        <v>3</v>
      </c>
      <c r="P9" s="23" t="s">
        <v>201</v>
      </c>
      <c r="Q9" s="40">
        <v>0.27291666666666664</v>
      </c>
      <c r="R9" s="40">
        <v>0.40833333333333338</v>
      </c>
      <c r="S9" s="37">
        <f t="shared" si="0"/>
        <v>0.13541666666666674</v>
      </c>
      <c r="T9" s="23">
        <v>1</v>
      </c>
      <c r="U9" s="24" t="s">
        <v>585</v>
      </c>
      <c r="W9" s="4" t="s">
        <v>4</v>
      </c>
      <c r="X9" s="7">
        <v>0</v>
      </c>
      <c r="Z9" s="56"/>
      <c r="AA9" s="15">
        <v>3</v>
      </c>
      <c r="AB9" s="23" t="s">
        <v>78</v>
      </c>
      <c r="AC9" s="40">
        <v>0.26597222222222222</v>
      </c>
      <c r="AD9" s="40">
        <v>0.44236111111111115</v>
      </c>
      <c r="AE9" s="38">
        <f t="shared" si="1"/>
        <v>0.17638888888888893</v>
      </c>
      <c r="AF9" s="20">
        <v>1</v>
      </c>
      <c r="AG9" s="16" t="s">
        <v>569</v>
      </c>
      <c r="AI9" s="4" t="s">
        <v>4</v>
      </c>
      <c r="AJ9" s="7">
        <v>1</v>
      </c>
      <c r="AM9" s="15">
        <v>3</v>
      </c>
      <c r="AN9" s="20" t="s">
        <v>232</v>
      </c>
      <c r="AO9" s="21">
        <v>0.26874999999999999</v>
      </c>
      <c r="AP9" s="21">
        <v>0.61805555555555558</v>
      </c>
      <c r="AQ9" s="38">
        <f t="shared" si="2"/>
        <v>0.34930555555555559</v>
      </c>
      <c r="AR9" s="20">
        <v>2</v>
      </c>
      <c r="AS9" s="16" t="s">
        <v>562</v>
      </c>
      <c r="AU9" s="4" t="s">
        <v>4</v>
      </c>
      <c r="AV9" s="7">
        <v>0</v>
      </c>
    </row>
    <row r="10" spans="1:48" s="1" customFormat="1" x14ac:dyDescent="0.2">
      <c r="A10"/>
      <c r="B10" s="50">
        <v>4</v>
      </c>
      <c r="C10" s="33" t="s">
        <v>12</v>
      </c>
      <c r="D10" s="32">
        <v>0.29236111111111113</v>
      </c>
      <c r="E10" s="32">
        <v>0.65277777777777779</v>
      </c>
      <c r="F10" s="51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0.36041666666666666</v>
      </c>
      <c r="G10" s="31">
        <v>3</v>
      </c>
      <c r="H10" s="73" t="s">
        <v>590</v>
      </c>
      <c r="J10" s="4" t="s">
        <v>5</v>
      </c>
      <c r="K10" s="7">
        <v>7</v>
      </c>
      <c r="L10" s="19"/>
      <c r="O10" s="15">
        <v>4</v>
      </c>
      <c r="P10" s="23" t="s">
        <v>37</v>
      </c>
      <c r="Q10" s="40">
        <v>0.27777777777777779</v>
      </c>
      <c r="R10" s="40">
        <v>0.57361111111111118</v>
      </c>
      <c r="S10" s="37">
        <f t="shared" si="0"/>
        <v>0.29583333333333339</v>
      </c>
      <c r="T10" s="23">
        <v>2</v>
      </c>
      <c r="U10" s="16" t="s">
        <v>586</v>
      </c>
      <c r="W10" s="4" t="s">
        <v>5</v>
      </c>
      <c r="X10" s="7">
        <v>1</v>
      </c>
      <c r="Z10" s="56"/>
      <c r="AA10" s="15">
        <v>4</v>
      </c>
      <c r="AB10" s="23" t="s">
        <v>46</v>
      </c>
      <c r="AC10" s="40">
        <v>0.26874999999999999</v>
      </c>
      <c r="AD10" s="40">
        <v>0.4513888888888889</v>
      </c>
      <c r="AE10" s="38">
        <f t="shared" si="1"/>
        <v>0.18263888888888891</v>
      </c>
      <c r="AF10" s="20">
        <v>1</v>
      </c>
      <c r="AG10" s="16" t="s">
        <v>570</v>
      </c>
      <c r="AI10" s="4" t="s">
        <v>5</v>
      </c>
      <c r="AJ10" s="7">
        <v>6</v>
      </c>
      <c r="AL10" s="54"/>
      <c r="AM10" s="15">
        <v>4</v>
      </c>
      <c r="AN10" s="20" t="s">
        <v>235</v>
      </c>
      <c r="AO10" s="21">
        <v>0.22222222222222221</v>
      </c>
      <c r="AP10" s="21">
        <v>0.66319444444444442</v>
      </c>
      <c r="AQ10" s="38">
        <f t="shared" si="2"/>
        <v>0.44097222222222221</v>
      </c>
      <c r="AR10" s="20">
        <v>2</v>
      </c>
      <c r="AS10" s="77" t="s">
        <v>563</v>
      </c>
      <c r="AU10" s="4" t="s">
        <v>5</v>
      </c>
      <c r="AV10" s="7">
        <v>1</v>
      </c>
    </row>
    <row r="11" spans="1:48" s="1" customFormat="1" x14ac:dyDescent="0.2">
      <c r="A11"/>
      <c r="B11" s="15">
        <v>5</v>
      </c>
      <c r="C11" s="23" t="s">
        <v>20</v>
      </c>
      <c r="D11" s="21">
        <v>0.25694444444444448</v>
      </c>
      <c r="E11" s="21">
        <v>0.70763888888888893</v>
      </c>
      <c r="F11" s="38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0.45069444444444445</v>
      </c>
      <c r="G11" s="20">
        <v>3</v>
      </c>
      <c r="H11" s="65" t="s">
        <v>591</v>
      </c>
      <c r="J11" s="4" t="s">
        <v>6</v>
      </c>
      <c r="K11" s="7">
        <v>0</v>
      </c>
      <c r="O11" s="50">
        <v>5</v>
      </c>
      <c r="P11" s="33" t="s">
        <v>39</v>
      </c>
      <c r="Q11" s="44">
        <v>0.29236111111111113</v>
      </c>
      <c r="R11" s="44">
        <v>0.62986111111111109</v>
      </c>
      <c r="S11" s="52">
        <f t="shared" si="0"/>
        <v>0.33749999999999997</v>
      </c>
      <c r="T11" s="33">
        <v>2</v>
      </c>
      <c r="U11" s="68" t="s">
        <v>594</v>
      </c>
      <c r="W11" s="4" t="s">
        <v>33</v>
      </c>
      <c r="X11" s="7">
        <v>0</v>
      </c>
      <c r="Z11" s="56"/>
      <c r="AA11" s="15">
        <v>5</v>
      </c>
      <c r="AB11" s="23" t="s">
        <v>51</v>
      </c>
      <c r="AC11" s="40">
        <v>0.26597222222222222</v>
      </c>
      <c r="AD11" s="40">
        <v>0.4291666666666667</v>
      </c>
      <c r="AE11" s="38">
        <f t="shared" si="1"/>
        <v>0.16319444444444448</v>
      </c>
      <c r="AF11" s="20">
        <v>1</v>
      </c>
      <c r="AG11" s="16" t="s">
        <v>571</v>
      </c>
      <c r="AI11" s="4" t="s">
        <v>6</v>
      </c>
      <c r="AJ11" s="7">
        <v>0</v>
      </c>
      <c r="AM11" s="15">
        <v>5</v>
      </c>
      <c r="AN11" s="20" t="s">
        <v>271</v>
      </c>
      <c r="AO11" s="21">
        <v>0.28958333333333336</v>
      </c>
      <c r="AP11" s="21">
        <v>0.62916666666666665</v>
      </c>
      <c r="AQ11" s="38">
        <f t="shared" si="2"/>
        <v>0.33958333333333329</v>
      </c>
      <c r="AR11" s="20">
        <v>2</v>
      </c>
      <c r="AS11" s="77" t="s">
        <v>564</v>
      </c>
      <c r="AU11" s="4" t="s">
        <v>6</v>
      </c>
      <c r="AV11" s="7">
        <v>23</v>
      </c>
    </row>
    <row r="12" spans="1:48" s="1" customFormat="1" x14ac:dyDescent="0.2">
      <c r="A12"/>
      <c r="B12" s="15">
        <v>6</v>
      </c>
      <c r="C12" s="23" t="s">
        <v>14</v>
      </c>
      <c r="D12" s="21">
        <v>0.26597222222222222</v>
      </c>
      <c r="E12" s="21">
        <v>0.66805555555555562</v>
      </c>
      <c r="F12" s="38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0.4020833333333334</v>
      </c>
      <c r="G12" s="20">
        <v>3</v>
      </c>
      <c r="H12" s="65" t="s">
        <v>594</v>
      </c>
      <c r="J12" s="8" t="s">
        <v>8</v>
      </c>
      <c r="K12" s="9">
        <f>SUM(Table1324567891011132125293439444954614914192429333642475391978610411011612212713113614191424193036424854606672778287[Retase])</f>
        <v>50</v>
      </c>
      <c r="L12" s="19"/>
      <c r="N12" s="54"/>
      <c r="O12" s="15">
        <v>6</v>
      </c>
      <c r="P12" s="23" t="s">
        <v>42</v>
      </c>
      <c r="Q12" s="40">
        <v>0.29097222222222224</v>
      </c>
      <c r="R12" s="40">
        <v>0.65555555555555556</v>
      </c>
      <c r="S12" s="37">
        <f t="shared" si="0"/>
        <v>0.36458333333333331</v>
      </c>
      <c r="T12" s="23">
        <v>2</v>
      </c>
      <c r="U12" s="65" t="s">
        <v>595</v>
      </c>
      <c r="W12" s="8" t="s">
        <v>8</v>
      </c>
      <c r="X12" s="9">
        <f>SUM(Table13456789101117222630354045505562510152025303438434854929887105111117123128132137142101525203137434955616773788388[Retase])</f>
        <v>12</v>
      </c>
      <c r="AA12" s="15">
        <v>6</v>
      </c>
      <c r="AB12" s="23" t="s">
        <v>35</v>
      </c>
      <c r="AC12" s="40">
        <v>0.27361111111111108</v>
      </c>
      <c r="AD12" s="40">
        <v>0.63888888888888895</v>
      </c>
      <c r="AE12" s="38">
        <f t="shared" si="1"/>
        <v>0.36527777777777787</v>
      </c>
      <c r="AF12" s="20">
        <v>2</v>
      </c>
      <c r="AG12" s="16" t="s">
        <v>577</v>
      </c>
      <c r="AI12" s="8" t="s">
        <v>8</v>
      </c>
      <c r="AJ12" s="9">
        <f>SUM(Table1345678910111518192327313742475259271217222732284146529096801031091151211261201351408132318283440465258647075808590[Retase])</f>
        <v>75</v>
      </c>
      <c r="AM12" s="15">
        <v>6</v>
      </c>
      <c r="AN12" s="20" t="s">
        <v>231</v>
      </c>
      <c r="AO12" s="21">
        <v>0.22500000000000001</v>
      </c>
      <c r="AP12" s="21">
        <v>0.74375000000000002</v>
      </c>
      <c r="AQ12" s="38">
        <f t="shared" si="2"/>
        <v>0.51875000000000004</v>
      </c>
      <c r="AR12" s="20">
        <v>3</v>
      </c>
      <c r="AS12" s="16" t="s">
        <v>565</v>
      </c>
      <c r="AU12" s="8" t="s">
        <v>8</v>
      </c>
      <c r="AV12" s="9">
        <f>SUM(Table13456789101115181923273137424752592712172227322841465290968010310911512112612013514081323182935414753596571768186[Retase])</f>
        <v>45</v>
      </c>
    </row>
    <row r="13" spans="1:48" s="1" customFormat="1" x14ac:dyDescent="0.2">
      <c r="A13"/>
      <c r="B13" s="15">
        <v>7</v>
      </c>
      <c r="C13" s="23" t="s">
        <v>70</v>
      </c>
      <c r="D13" s="21">
        <v>0.27777777777777779</v>
      </c>
      <c r="E13" s="40">
        <v>0.66388888888888886</v>
      </c>
      <c r="F13" s="38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0.38611111111111107</v>
      </c>
      <c r="G13" s="20">
        <v>3</v>
      </c>
      <c r="H13" s="65" t="s">
        <v>594</v>
      </c>
      <c r="J13" s="10" t="s">
        <v>7</v>
      </c>
      <c r="K13" s="11">
        <f>K12/K8</f>
        <v>3.125</v>
      </c>
      <c r="L13" s="19"/>
      <c r="O13" s="15">
        <v>7</v>
      </c>
      <c r="P13" s="23" t="s">
        <v>36</v>
      </c>
      <c r="Q13" s="40">
        <v>0.27916666666666667</v>
      </c>
      <c r="R13" s="40">
        <v>0.68055555555555547</v>
      </c>
      <c r="S13" s="37">
        <f t="shared" si="0"/>
        <v>0.4013888888888888</v>
      </c>
      <c r="T13" s="23">
        <v>3</v>
      </c>
      <c r="U13" s="65" t="s">
        <v>596</v>
      </c>
      <c r="W13" s="10" t="s">
        <v>7</v>
      </c>
      <c r="X13" s="11">
        <f>X12/X8</f>
        <v>1.7142857142857142</v>
      </c>
      <c r="Z13" s="56"/>
      <c r="AA13" s="15">
        <v>7</v>
      </c>
      <c r="AB13" s="23" t="s">
        <v>79</v>
      </c>
      <c r="AC13" s="40">
        <v>0.27569444444444446</v>
      </c>
      <c r="AD13" s="40">
        <v>0.70624999999999993</v>
      </c>
      <c r="AE13" s="38">
        <f t="shared" si="1"/>
        <v>0.43055555555555547</v>
      </c>
      <c r="AF13" s="20">
        <v>2</v>
      </c>
      <c r="AG13" s="16" t="s">
        <v>572</v>
      </c>
      <c r="AI13" s="10" t="s">
        <v>7</v>
      </c>
      <c r="AJ13" s="11">
        <f>AJ12/AJ8</f>
        <v>2.8846153846153846</v>
      </c>
      <c r="AM13" s="15">
        <v>7</v>
      </c>
      <c r="AN13" s="20" t="s">
        <v>233</v>
      </c>
      <c r="AO13" s="21">
        <v>0.21527777777777779</v>
      </c>
      <c r="AP13" s="21">
        <v>0.65972222222222221</v>
      </c>
      <c r="AQ13" s="38">
        <f t="shared" si="2"/>
        <v>0.44444444444444442</v>
      </c>
      <c r="AR13" s="20">
        <v>3</v>
      </c>
      <c r="AS13" s="77" t="s">
        <v>373</v>
      </c>
      <c r="AU13" s="10" t="s">
        <v>7</v>
      </c>
      <c r="AV13" s="11">
        <f>AV12/AV8</f>
        <v>3</v>
      </c>
    </row>
    <row r="14" spans="1:48" s="1" customFormat="1" x14ac:dyDescent="0.2">
      <c r="A14"/>
      <c r="B14" s="15">
        <v>8</v>
      </c>
      <c r="C14" s="23" t="s">
        <v>76</v>
      </c>
      <c r="D14" s="21">
        <v>0.20902777777777778</v>
      </c>
      <c r="E14" s="21">
        <v>0.57638888888888895</v>
      </c>
      <c r="F14" s="38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0.36736111111111114</v>
      </c>
      <c r="G14" s="20">
        <v>3</v>
      </c>
      <c r="H14" s="65" t="s">
        <v>501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15">
        <v>8</v>
      </c>
      <c r="AB14" s="23" t="s">
        <v>56</v>
      </c>
      <c r="AC14" s="40">
        <v>0.23958333333333334</v>
      </c>
      <c r="AD14" s="40">
        <v>0.54305555555555551</v>
      </c>
      <c r="AE14" s="38">
        <f t="shared" si="1"/>
        <v>0.30347222222222214</v>
      </c>
      <c r="AF14" s="20">
        <v>2</v>
      </c>
      <c r="AG14" s="16" t="s">
        <v>573</v>
      </c>
      <c r="AI14" s="12" t="s">
        <v>11</v>
      </c>
      <c r="AJ14" s="13">
        <v>5</v>
      </c>
      <c r="AM14" s="15">
        <v>8</v>
      </c>
      <c r="AN14" s="20" t="s">
        <v>559</v>
      </c>
      <c r="AO14" s="21">
        <v>0.26666666666666666</v>
      </c>
      <c r="AP14" s="21">
        <v>0.67499999999999993</v>
      </c>
      <c r="AQ14" s="38">
        <f t="shared" si="2"/>
        <v>0.40833333333333327</v>
      </c>
      <c r="AR14" s="20">
        <v>3</v>
      </c>
      <c r="AS14" s="16" t="s">
        <v>566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3" t="s">
        <v>120</v>
      </c>
      <c r="D15" s="21">
        <v>0.23819444444444446</v>
      </c>
      <c r="E15" s="21">
        <v>0.7104166666666667</v>
      </c>
      <c r="F15" s="38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0.47222222222222221</v>
      </c>
      <c r="G15" s="20">
        <v>3</v>
      </c>
      <c r="H15" s="65" t="s">
        <v>87</v>
      </c>
      <c r="J15" s="12" t="s">
        <v>88</v>
      </c>
      <c r="K15" s="14">
        <f>B3/K8</f>
        <v>0.3125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</v>
      </c>
      <c r="Z15" s="56"/>
      <c r="AA15" s="15">
        <v>9</v>
      </c>
      <c r="AB15" s="23" t="s">
        <v>49</v>
      </c>
      <c r="AC15" s="40">
        <v>0.26180555555555557</v>
      </c>
      <c r="AD15" s="40">
        <v>0.54236111111111118</v>
      </c>
      <c r="AE15" s="38">
        <f t="shared" si="1"/>
        <v>0.28055555555555561</v>
      </c>
      <c r="AF15" s="20">
        <v>2</v>
      </c>
      <c r="AG15" s="16" t="s">
        <v>574</v>
      </c>
      <c r="AI15" s="12" t="s">
        <v>88</v>
      </c>
      <c r="AJ15" s="14">
        <f>AA3/AJ8</f>
        <v>0.11538461538461539</v>
      </c>
      <c r="AM15" s="50">
        <v>9</v>
      </c>
      <c r="AN15" s="31" t="s">
        <v>239</v>
      </c>
      <c r="AO15" s="32">
        <v>0.29444444444444445</v>
      </c>
      <c r="AP15" s="32">
        <v>0.6972222222222223</v>
      </c>
      <c r="AQ15" s="51">
        <f t="shared" si="2"/>
        <v>0.40277777777777785</v>
      </c>
      <c r="AR15" s="31">
        <v>3</v>
      </c>
      <c r="AS15" s="79" t="s">
        <v>373</v>
      </c>
      <c r="AU15" s="12" t="s">
        <v>88</v>
      </c>
      <c r="AV15" s="14">
        <f>AM3/AV8</f>
        <v>0.4</v>
      </c>
    </row>
    <row r="16" spans="1:48" x14ac:dyDescent="0.2">
      <c r="B16" s="15">
        <v>10</v>
      </c>
      <c r="C16" s="23" t="s">
        <v>16</v>
      </c>
      <c r="D16" s="21">
        <v>0.24027777777777778</v>
      </c>
      <c r="E16" s="21">
        <v>0.67638888888888893</v>
      </c>
      <c r="F16" s="38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0.43611111111111112</v>
      </c>
      <c r="G16" s="20">
        <v>3</v>
      </c>
      <c r="H16" s="65" t="s">
        <v>592</v>
      </c>
      <c r="J16" s="12" t="s">
        <v>24</v>
      </c>
      <c r="K16" s="14">
        <f>K8/K7</f>
        <v>0.69565217391304346</v>
      </c>
      <c r="W16" s="12" t="s">
        <v>27</v>
      </c>
      <c r="X16" s="14">
        <f>X8/X7</f>
        <v>0.875</v>
      </c>
      <c r="AA16" s="15">
        <v>10</v>
      </c>
      <c r="AB16" s="23" t="s">
        <v>50</v>
      </c>
      <c r="AC16" s="40">
        <v>0.26250000000000001</v>
      </c>
      <c r="AD16" s="40">
        <v>0.54652777777777783</v>
      </c>
      <c r="AE16" s="38">
        <f t="shared" si="1"/>
        <v>0.28402777777777782</v>
      </c>
      <c r="AF16" s="20">
        <v>2</v>
      </c>
      <c r="AG16" s="16" t="s">
        <v>575</v>
      </c>
      <c r="AI16" s="12" t="s">
        <v>27</v>
      </c>
      <c r="AJ16" s="14">
        <f>AJ8/AJ7</f>
        <v>0.78787878787878785</v>
      </c>
      <c r="AM16" s="1">
        <v>10</v>
      </c>
      <c r="AN16" s="2" t="s">
        <v>301</v>
      </c>
      <c r="AO16" s="41">
        <v>0.27083333333333331</v>
      </c>
      <c r="AP16" s="41">
        <v>0.74305555555555547</v>
      </c>
      <c r="AQ16" s="26">
        <f t="shared" si="2"/>
        <v>0.47222222222222215</v>
      </c>
      <c r="AR16" s="2">
        <v>4</v>
      </c>
      <c r="AS16" s="45" t="s">
        <v>25</v>
      </c>
      <c r="AU16" s="12" t="s">
        <v>27</v>
      </c>
      <c r="AV16" s="14">
        <f>AV8/AV7</f>
        <v>1</v>
      </c>
    </row>
    <row r="17" spans="1:48" x14ac:dyDescent="0.2">
      <c r="B17" s="15">
        <v>11</v>
      </c>
      <c r="C17" s="23" t="s">
        <v>121</v>
      </c>
      <c r="D17" s="21">
        <v>0.28680555555555554</v>
      </c>
      <c r="E17" s="21">
        <v>0.69791666666666663</v>
      </c>
      <c r="F17" s="38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0.41111111111111109</v>
      </c>
      <c r="G17" s="20">
        <v>3</v>
      </c>
      <c r="H17" s="65" t="s">
        <v>593</v>
      </c>
      <c r="J17" s="12" t="s">
        <v>117</v>
      </c>
      <c r="K17" s="48">
        <f>AVERAGE(Table1324567891011132125293439444954614914192429333642475391978610411011612212713113614191424193036424854606672778287[JAM KELUAR])</f>
        <v>0.2479600694444444</v>
      </c>
      <c r="W17" s="12" t="s">
        <v>117</v>
      </c>
      <c r="X17" s="48">
        <f>AVERAGE(Table13456789101117222630354045505562510152025303438434854929887105111117123128132137142101525203137434955616773788388[JAM KELUAR])</f>
        <v>0.2986111111111111</v>
      </c>
      <c r="AA17" s="15">
        <v>11</v>
      </c>
      <c r="AB17" s="23" t="s">
        <v>47</v>
      </c>
      <c r="AC17" s="40">
        <v>0.26180555555555557</v>
      </c>
      <c r="AD17" s="40">
        <v>0.45624999999999999</v>
      </c>
      <c r="AE17" s="38">
        <f t="shared" si="1"/>
        <v>0.19444444444444442</v>
      </c>
      <c r="AF17" s="20">
        <v>2</v>
      </c>
      <c r="AG17" s="16" t="s">
        <v>576</v>
      </c>
      <c r="AI17" s="12" t="s">
        <v>117</v>
      </c>
      <c r="AJ17" s="48">
        <f>AVERAGE(Table1345678910111518192327313742475259271217222732284146529096801031091151211261201351408132318283440465258647075808590[JAM KELUAR])</f>
        <v>0.26915064102564107</v>
      </c>
      <c r="AM17" s="1">
        <v>11</v>
      </c>
      <c r="AN17" s="2" t="s">
        <v>230</v>
      </c>
      <c r="AO17" s="41">
        <v>0.21666666666666667</v>
      </c>
      <c r="AP17" s="41">
        <v>0.72638888888888886</v>
      </c>
      <c r="AQ17" s="26">
        <f t="shared" si="2"/>
        <v>0.50972222222222219</v>
      </c>
      <c r="AR17" s="2">
        <v>4</v>
      </c>
      <c r="AS17" s="45" t="s">
        <v>25</v>
      </c>
      <c r="AU17" s="12" t="s">
        <v>117</v>
      </c>
      <c r="AV17" s="48">
        <f>AVERAGE(Table13456789101115181923273137424752592712172227322841465290968010310911512112612013514081323182935414753596571768186[JAM KELUAR])</f>
        <v>0.25851851851851854</v>
      </c>
    </row>
    <row r="18" spans="1:48" x14ac:dyDescent="0.2">
      <c r="B18" s="1">
        <v>12</v>
      </c>
      <c r="C18" s="29" t="s">
        <v>65</v>
      </c>
      <c r="D18" s="41">
        <v>0.26597222222222222</v>
      </c>
      <c r="E18" s="41">
        <v>0.67569444444444438</v>
      </c>
      <c r="F18" s="26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0.40972222222222215</v>
      </c>
      <c r="G18" s="2">
        <v>4</v>
      </c>
      <c r="H18" s="69" t="s">
        <v>25</v>
      </c>
      <c r="AA18" s="50">
        <v>12</v>
      </c>
      <c r="AB18" s="33" t="s">
        <v>123</v>
      </c>
      <c r="AC18" s="44">
        <v>0.29652777777777778</v>
      </c>
      <c r="AD18" s="44">
        <v>0.65277777777777779</v>
      </c>
      <c r="AE18" s="51">
        <f t="shared" si="1"/>
        <v>0.35625000000000001</v>
      </c>
      <c r="AF18" s="31">
        <v>3</v>
      </c>
      <c r="AG18" s="55" t="s">
        <v>578</v>
      </c>
      <c r="AI18" s="17"/>
      <c r="AM18" s="1">
        <v>12</v>
      </c>
      <c r="AN18" s="2" t="s">
        <v>234</v>
      </c>
      <c r="AO18" s="41">
        <v>0.24305555555555555</v>
      </c>
      <c r="AP18" s="41">
        <v>0.74305555555555547</v>
      </c>
      <c r="AQ18" s="26">
        <f t="shared" si="2"/>
        <v>0.49999999999999989</v>
      </c>
      <c r="AR18" s="2">
        <v>4</v>
      </c>
      <c r="AS18" s="45" t="s">
        <v>25</v>
      </c>
      <c r="AU18" s="17"/>
    </row>
    <row r="19" spans="1:48" ht="15.75" customHeight="1" x14ac:dyDescent="0.2">
      <c r="A19" s="56"/>
      <c r="B19" s="1">
        <v>13</v>
      </c>
      <c r="C19" s="29" t="s">
        <v>73</v>
      </c>
      <c r="D19" s="41">
        <v>0.23055555555555554</v>
      </c>
      <c r="E19" s="41">
        <v>0.71527777777777779</v>
      </c>
      <c r="F19" s="26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0.48472222222222228</v>
      </c>
      <c r="G19" s="2">
        <v>4</v>
      </c>
      <c r="H19" s="69" t="s">
        <v>25</v>
      </c>
      <c r="AA19" s="15">
        <v>13</v>
      </c>
      <c r="AB19" s="23" t="s">
        <v>58</v>
      </c>
      <c r="AC19" s="40">
        <v>0.2638888888888889</v>
      </c>
      <c r="AD19" s="40">
        <v>0.64166666666666672</v>
      </c>
      <c r="AE19" s="38">
        <f t="shared" si="1"/>
        <v>0.37777777777777782</v>
      </c>
      <c r="AF19" s="20">
        <v>3</v>
      </c>
      <c r="AG19" s="16" t="s">
        <v>579</v>
      </c>
      <c r="AM19" s="1">
        <v>13</v>
      </c>
      <c r="AN19" s="2" t="s">
        <v>236</v>
      </c>
      <c r="AO19" s="41">
        <v>0.2590277777777778</v>
      </c>
      <c r="AP19" s="41">
        <v>0.76527777777777783</v>
      </c>
      <c r="AQ19" s="26">
        <f t="shared" si="2"/>
        <v>0.50625000000000009</v>
      </c>
      <c r="AR19" s="2">
        <v>4</v>
      </c>
      <c r="AS19" s="45" t="s">
        <v>25</v>
      </c>
    </row>
    <row r="20" spans="1:48" ht="17.25" customHeight="1" x14ac:dyDescent="0.2">
      <c r="B20" s="1">
        <v>14</v>
      </c>
      <c r="C20" s="29" t="s">
        <v>74</v>
      </c>
      <c r="D20" s="41">
        <v>0.25277777777777777</v>
      </c>
      <c r="E20" s="41">
        <v>0.70694444444444438</v>
      </c>
      <c r="F20" s="26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0.45416666666666661</v>
      </c>
      <c r="G20" s="2">
        <v>4</v>
      </c>
      <c r="H20" s="69" t="s">
        <v>25</v>
      </c>
      <c r="AA20" s="15">
        <v>14</v>
      </c>
      <c r="AB20" s="23" t="s">
        <v>32</v>
      </c>
      <c r="AC20" s="40">
        <v>0.37638888888888888</v>
      </c>
      <c r="AD20" s="40">
        <v>0.72152777777777777</v>
      </c>
      <c r="AE20" s="38">
        <f t="shared" si="1"/>
        <v>0.34513888888888888</v>
      </c>
      <c r="AF20" s="20">
        <v>3</v>
      </c>
      <c r="AG20" s="16" t="s">
        <v>580</v>
      </c>
      <c r="AM20" s="1">
        <v>14</v>
      </c>
      <c r="AN20" s="2" t="s">
        <v>307</v>
      </c>
      <c r="AO20" s="41">
        <v>0.26458333333333334</v>
      </c>
      <c r="AP20" s="41">
        <v>0.83888888888888891</v>
      </c>
      <c r="AQ20" s="26">
        <f t="shared" si="2"/>
        <v>0.57430555555555562</v>
      </c>
      <c r="AR20" s="2">
        <v>4</v>
      </c>
      <c r="AS20" s="45" t="s">
        <v>25</v>
      </c>
    </row>
    <row r="21" spans="1:48" ht="15.75" customHeight="1" x14ac:dyDescent="0.2">
      <c r="B21" s="1">
        <v>15</v>
      </c>
      <c r="C21" s="29" t="s">
        <v>15</v>
      </c>
      <c r="D21" s="41">
        <v>0.21527777777777779</v>
      </c>
      <c r="E21" s="41">
        <v>0.68958333333333333</v>
      </c>
      <c r="F21" s="26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0.47430555555555554</v>
      </c>
      <c r="G21" s="2">
        <v>4</v>
      </c>
      <c r="H21" s="69" t="s">
        <v>25</v>
      </c>
      <c r="AA21" s="15">
        <v>15</v>
      </c>
      <c r="AB21" s="23" t="s">
        <v>122</v>
      </c>
      <c r="AC21" s="40">
        <v>0.28750000000000003</v>
      </c>
      <c r="AD21" s="21">
        <v>0.73888888888888893</v>
      </c>
      <c r="AE21" s="38">
        <f t="shared" si="1"/>
        <v>0.4513888888888889</v>
      </c>
      <c r="AF21" s="20">
        <v>3</v>
      </c>
      <c r="AG21" s="16" t="s">
        <v>373</v>
      </c>
      <c r="AM21" s="1">
        <v>15</v>
      </c>
      <c r="AN21" s="2" t="s">
        <v>308</v>
      </c>
      <c r="AO21" s="41">
        <v>0.26874999999999999</v>
      </c>
      <c r="AP21" s="41">
        <v>0.72361111111111109</v>
      </c>
      <c r="AQ21" s="26">
        <f t="shared" si="2"/>
        <v>0.4548611111111111</v>
      </c>
      <c r="AR21" s="2">
        <v>4</v>
      </c>
      <c r="AS21" s="45" t="s">
        <v>25</v>
      </c>
    </row>
    <row r="22" spans="1:48" ht="15" customHeight="1" x14ac:dyDescent="0.2">
      <c r="B22" s="1">
        <v>16</v>
      </c>
      <c r="C22" s="2" t="s">
        <v>19</v>
      </c>
      <c r="D22" s="41">
        <v>0.21319444444444444</v>
      </c>
      <c r="E22" s="41">
        <v>0.68194444444444446</v>
      </c>
      <c r="F22" s="26">
        <f>Table1324567891011132125293439444954614914192429333642475391978610411011612212713113614191424193036424854606672778287[[#This Row],[JAM MASUK]]-Table1324567891011132125293439444954614914192429333642475391978610411011612212713113614191424193036424854606672778287[[#This Row],[JAM KELUAR]]</f>
        <v>0.46875</v>
      </c>
      <c r="G22" s="2">
        <v>4</v>
      </c>
      <c r="H22" s="69" t="s">
        <v>25</v>
      </c>
      <c r="T22" s="34"/>
      <c r="U22" s="35" t="s">
        <v>90</v>
      </c>
      <c r="AA22" s="15">
        <v>16</v>
      </c>
      <c r="AB22" s="23" t="s">
        <v>60</v>
      </c>
      <c r="AC22" s="21">
        <v>0.22708333333333333</v>
      </c>
      <c r="AD22" s="40">
        <v>0.75486111111111109</v>
      </c>
      <c r="AE22" s="38">
        <f t="shared" si="1"/>
        <v>0.52777777777777779</v>
      </c>
      <c r="AF22" s="20">
        <v>3</v>
      </c>
      <c r="AG22" s="16" t="s">
        <v>581</v>
      </c>
    </row>
    <row r="23" spans="1:48" ht="15" customHeight="1" x14ac:dyDescent="0.2">
      <c r="T23" s="56" t="s">
        <v>209</v>
      </c>
      <c r="U23" s="35" t="s">
        <v>92</v>
      </c>
      <c r="AA23" s="15">
        <v>17</v>
      </c>
      <c r="AB23" s="20" t="s">
        <v>82</v>
      </c>
      <c r="AC23" s="40">
        <v>0.2638888888888889</v>
      </c>
      <c r="AD23" s="40">
        <v>0.72499999999999998</v>
      </c>
      <c r="AE23" s="37">
        <f t="shared" si="1"/>
        <v>0.46111111111111108</v>
      </c>
      <c r="AF23" s="20">
        <v>4</v>
      </c>
      <c r="AG23" s="16" t="s">
        <v>373</v>
      </c>
    </row>
    <row r="24" spans="1:48" ht="15" customHeight="1" x14ac:dyDescent="0.2">
      <c r="AA24" s="15">
        <v>18</v>
      </c>
      <c r="AB24" s="23" t="s">
        <v>40</v>
      </c>
      <c r="AC24" s="40">
        <v>0.24027777777777778</v>
      </c>
      <c r="AD24" s="40">
        <v>0.65486111111111112</v>
      </c>
      <c r="AE24" s="37">
        <f t="shared" si="1"/>
        <v>0.4145833333333333</v>
      </c>
      <c r="AF24" s="23">
        <v>4</v>
      </c>
      <c r="AG24" s="16" t="s">
        <v>582</v>
      </c>
    </row>
    <row r="25" spans="1:48" ht="14.5" customHeight="1" x14ac:dyDescent="0.2">
      <c r="B25" s="49"/>
      <c r="AA25" s="15">
        <v>19</v>
      </c>
      <c r="AB25" s="23" t="s">
        <v>41</v>
      </c>
      <c r="AC25" s="40">
        <v>0.26527777777777778</v>
      </c>
      <c r="AD25" s="40">
        <v>0.75069444444444444</v>
      </c>
      <c r="AE25" s="37">
        <f t="shared" si="1"/>
        <v>0.48541666666666666</v>
      </c>
      <c r="AF25" s="23">
        <v>4</v>
      </c>
      <c r="AG25" s="16" t="s">
        <v>373</v>
      </c>
    </row>
    <row r="26" spans="1:48" ht="14.5" customHeight="1" x14ac:dyDescent="0.2">
      <c r="N26" s="54"/>
      <c r="AA26" s="15">
        <v>20</v>
      </c>
      <c r="AB26" s="23" t="s">
        <v>67</v>
      </c>
      <c r="AC26" s="40">
        <v>0.22916666666666666</v>
      </c>
      <c r="AD26" s="40">
        <v>0.74097222222222225</v>
      </c>
      <c r="AE26" s="37">
        <f t="shared" si="1"/>
        <v>0.51180555555555562</v>
      </c>
      <c r="AF26" s="23">
        <v>4</v>
      </c>
      <c r="AG26" s="16" t="s">
        <v>597</v>
      </c>
    </row>
    <row r="27" spans="1:48" ht="14.5" customHeight="1" x14ac:dyDescent="0.2">
      <c r="N27" s="54"/>
      <c r="AA27" s="15">
        <v>21</v>
      </c>
      <c r="AB27" s="23" t="s">
        <v>48</v>
      </c>
      <c r="AC27" s="40">
        <v>0.25486111111111109</v>
      </c>
      <c r="AD27" s="40">
        <v>0.68958333333333333</v>
      </c>
      <c r="AE27" s="37">
        <f t="shared" si="1"/>
        <v>0.43472222222222223</v>
      </c>
      <c r="AF27" s="23">
        <v>4</v>
      </c>
      <c r="AG27" s="16" t="s">
        <v>598</v>
      </c>
    </row>
    <row r="28" spans="1:48" x14ac:dyDescent="0.2">
      <c r="G28" s="34"/>
      <c r="H28" s="35" t="s">
        <v>90</v>
      </c>
      <c r="N28" s="54"/>
      <c r="AA28" s="15">
        <v>22</v>
      </c>
      <c r="AB28" s="23" t="s">
        <v>59</v>
      </c>
      <c r="AC28" s="40">
        <v>0.25208333333333333</v>
      </c>
      <c r="AD28" s="40">
        <v>0.68541666666666667</v>
      </c>
      <c r="AE28" s="37">
        <f t="shared" si="1"/>
        <v>0.43333333333333335</v>
      </c>
      <c r="AF28" s="23">
        <v>4</v>
      </c>
      <c r="AG28" s="16" t="s">
        <v>599</v>
      </c>
    </row>
    <row r="29" spans="1:48" x14ac:dyDescent="0.2">
      <c r="G29" s="56" t="s">
        <v>209</v>
      </c>
      <c r="H29" s="35" t="s">
        <v>92</v>
      </c>
      <c r="N29" s="54"/>
      <c r="AA29" s="15">
        <v>23</v>
      </c>
      <c r="AB29" s="23" t="s">
        <v>81</v>
      </c>
      <c r="AC29" s="40">
        <v>0.40277777777777773</v>
      </c>
      <c r="AD29" s="40">
        <v>0.7715277777777777</v>
      </c>
      <c r="AE29" s="37">
        <f t="shared" si="1"/>
        <v>0.36874999999999997</v>
      </c>
      <c r="AF29" s="23">
        <v>4</v>
      </c>
      <c r="AG29" s="16" t="s">
        <v>600</v>
      </c>
      <c r="AR29" s="34"/>
      <c r="AS29" s="35" t="s">
        <v>90</v>
      </c>
    </row>
    <row r="30" spans="1:48" x14ac:dyDescent="0.2">
      <c r="AA30" s="1">
        <v>24</v>
      </c>
      <c r="AB30" s="29" t="s">
        <v>30</v>
      </c>
      <c r="AC30" s="30">
        <v>0.22222222222222221</v>
      </c>
      <c r="AD30" s="30">
        <v>0.7715277777777777</v>
      </c>
      <c r="AE30" s="39">
        <f t="shared" si="1"/>
        <v>0.54930555555555549</v>
      </c>
      <c r="AF30" s="29">
        <v>5</v>
      </c>
      <c r="AG30" s="45" t="s">
        <v>25</v>
      </c>
      <c r="AR30" s="56" t="s">
        <v>209</v>
      </c>
      <c r="AS30" s="35" t="s">
        <v>92</v>
      </c>
    </row>
    <row r="31" spans="1:48" x14ac:dyDescent="0.2">
      <c r="AA31" s="1">
        <v>25</v>
      </c>
      <c r="AB31" s="29" t="s">
        <v>309</v>
      </c>
      <c r="AC31" s="30">
        <v>0.27986111111111112</v>
      </c>
      <c r="AD31" s="30">
        <v>0.78055555555555556</v>
      </c>
      <c r="AE31" s="39">
        <f t="shared" si="1"/>
        <v>0.50069444444444444</v>
      </c>
      <c r="AF31" s="29">
        <v>5</v>
      </c>
      <c r="AG31" s="45" t="s">
        <v>25</v>
      </c>
    </row>
    <row r="32" spans="1:48" x14ac:dyDescent="0.2">
      <c r="V32" s="1"/>
      <c r="AA32" s="1">
        <v>26</v>
      </c>
      <c r="AB32" s="29" t="s">
        <v>80</v>
      </c>
      <c r="AC32" s="30">
        <v>0.23611111111111113</v>
      </c>
      <c r="AD32" s="30">
        <v>0.74444444444444446</v>
      </c>
      <c r="AE32" s="39">
        <f t="shared" si="1"/>
        <v>0.5083333333333333</v>
      </c>
      <c r="AF32" s="29">
        <v>5</v>
      </c>
      <c r="AG32" s="45" t="s">
        <v>25</v>
      </c>
    </row>
    <row r="33" spans="1:33" x14ac:dyDescent="0.2">
      <c r="V33" s="1"/>
    </row>
    <row r="34" spans="1:33" x14ac:dyDescent="0.2">
      <c r="V34" s="1"/>
    </row>
    <row r="35" spans="1:33" x14ac:dyDescent="0.2">
      <c r="V35" s="1"/>
    </row>
    <row r="36" spans="1:33" x14ac:dyDescent="0.2">
      <c r="V36" s="1"/>
      <c r="AF36" s="34"/>
      <c r="AG36" s="35" t="s">
        <v>90</v>
      </c>
    </row>
    <row r="37" spans="1:33" x14ac:dyDescent="0.2">
      <c r="V37" s="1"/>
      <c r="AF37" s="56" t="s">
        <v>209</v>
      </c>
      <c r="AG37" s="35" t="s">
        <v>92</v>
      </c>
    </row>
    <row r="38" spans="1:33" x14ac:dyDescent="0.2">
      <c r="V38" s="1"/>
    </row>
    <row r="39" spans="1:33" x14ac:dyDescent="0.2">
      <c r="V39" s="1"/>
    </row>
    <row r="40" spans="1:33" x14ac:dyDescent="0.2">
      <c r="V40" s="1"/>
    </row>
    <row r="41" spans="1:33" ht="21" x14ac:dyDescent="0.25">
      <c r="A41" s="46"/>
    </row>
    <row r="56" spans="15:22" x14ac:dyDescent="0.2">
      <c r="O56" s="2" t="s">
        <v>0</v>
      </c>
      <c r="P56" s="2" t="s">
        <v>1</v>
      </c>
      <c r="Q56" s="22" t="s">
        <v>61</v>
      </c>
      <c r="R56" s="22" t="s">
        <v>62</v>
      </c>
      <c r="S56" s="22" t="s">
        <v>63</v>
      </c>
      <c r="T56" s="2" t="s">
        <v>2</v>
      </c>
      <c r="U56" s="2" t="s">
        <v>3</v>
      </c>
    </row>
    <row r="57" spans="15:22" x14ac:dyDescent="0.2">
      <c r="O57" s="27">
        <v>1</v>
      </c>
      <c r="P57" s="2"/>
      <c r="Q57" s="41"/>
      <c r="R57" s="42"/>
      <c r="S57" s="26"/>
      <c r="T57" s="2"/>
      <c r="U57" s="24"/>
    </row>
    <row r="58" spans="15:22" x14ac:dyDescent="0.2">
      <c r="O58" s="15">
        <v>2</v>
      </c>
      <c r="P58" s="29"/>
      <c r="Q58" s="30"/>
      <c r="R58" s="36"/>
      <c r="S58" s="26"/>
      <c r="T58" s="29"/>
      <c r="U58" s="24"/>
    </row>
    <row r="59" spans="15:22" x14ac:dyDescent="0.2">
      <c r="O59" s="15">
        <v>3</v>
      </c>
      <c r="P59" s="29"/>
      <c r="Q59" s="30"/>
      <c r="R59" s="36"/>
      <c r="S59" s="39"/>
      <c r="T59" s="29"/>
      <c r="U59" s="16"/>
    </row>
    <row r="60" spans="15:22" x14ac:dyDescent="0.2">
      <c r="O60" s="27">
        <v>4</v>
      </c>
      <c r="P60" s="29"/>
      <c r="Q60" s="30"/>
      <c r="R60" s="36"/>
      <c r="S60" s="39"/>
      <c r="T60" s="29"/>
      <c r="U60" s="24"/>
    </row>
    <row r="61" spans="15:22" x14ac:dyDescent="0.2">
      <c r="O61" s="15">
        <v>5</v>
      </c>
      <c r="P61" s="29"/>
      <c r="Q61" s="30"/>
      <c r="R61" s="36"/>
      <c r="S61" s="26"/>
      <c r="T61" s="29"/>
      <c r="U61" s="24"/>
    </row>
    <row r="62" spans="15:22" x14ac:dyDescent="0.2">
      <c r="O62" s="15">
        <v>6</v>
      </c>
      <c r="P62" s="29"/>
      <c r="Q62" s="30"/>
      <c r="R62" s="36"/>
      <c r="S62" s="26"/>
      <c r="T62" s="29"/>
      <c r="U62" s="24"/>
    </row>
    <row r="63" spans="15:22" x14ac:dyDescent="0.2">
      <c r="O63" s="27">
        <v>7</v>
      </c>
      <c r="P63" s="29"/>
      <c r="Q63" s="30"/>
      <c r="R63" s="36"/>
      <c r="S63" s="39"/>
      <c r="T63" s="29"/>
      <c r="U63" s="24"/>
      <c r="V63" s="1"/>
    </row>
    <row r="64" spans="15:22" x14ac:dyDescent="0.2">
      <c r="O64" s="15">
        <v>8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5">
        <v>9</v>
      </c>
      <c r="P65" s="29"/>
      <c r="Q65" s="30"/>
      <c r="R65" s="36"/>
      <c r="S65" s="26"/>
      <c r="T65" s="29"/>
      <c r="U65" s="24"/>
      <c r="V65" s="1"/>
    </row>
    <row r="66" spans="15:22" x14ac:dyDescent="0.2">
      <c r="O66" s="27">
        <v>10</v>
      </c>
      <c r="P66" s="29"/>
      <c r="Q66" s="30"/>
      <c r="R66" s="36"/>
      <c r="S66" s="26"/>
      <c r="T66" s="29"/>
      <c r="U66" s="24"/>
    </row>
    <row r="67" spans="15:22" x14ac:dyDescent="0.2">
      <c r="O67" s="15">
        <v>11</v>
      </c>
      <c r="P67" s="29"/>
      <c r="Q67" s="30"/>
      <c r="R67" s="36"/>
      <c r="S67" s="26"/>
      <c r="T67" s="29"/>
      <c r="U67" s="24"/>
    </row>
    <row r="68" spans="15:22" x14ac:dyDescent="0.2">
      <c r="O68" s="1">
        <v>12</v>
      </c>
      <c r="P68" s="29"/>
      <c r="Q68" s="30"/>
      <c r="R68" s="36"/>
      <c r="S68" s="39"/>
      <c r="T68" s="29"/>
      <c r="U68" s="25"/>
    </row>
    <row r="69" spans="15:22" x14ac:dyDescent="0.2">
      <c r="O69" s="28">
        <v>13</v>
      </c>
      <c r="P69" s="29"/>
      <c r="Q69" s="30"/>
      <c r="R69" s="36"/>
      <c r="S69" s="26"/>
      <c r="T69" s="29"/>
      <c r="U69" s="25"/>
    </row>
    <row r="70" spans="15:22" x14ac:dyDescent="0.2">
      <c r="O70" s="27">
        <v>14</v>
      </c>
      <c r="P70" s="29"/>
      <c r="Q70" s="30"/>
      <c r="R70" s="36"/>
      <c r="S70" s="26"/>
      <c r="T70" s="29"/>
      <c r="U70" s="24"/>
    </row>
    <row r="71" spans="15:22" x14ac:dyDescent="0.2">
      <c r="O71" s="15">
        <v>15</v>
      </c>
      <c r="P71" s="29"/>
      <c r="Q71" s="30"/>
      <c r="R71" s="36"/>
      <c r="S71" s="26"/>
      <c r="T71" s="29"/>
      <c r="U71" s="24"/>
    </row>
    <row r="72" spans="15:22" x14ac:dyDescent="0.2">
      <c r="O72" s="1">
        <v>16</v>
      </c>
      <c r="P72" s="29"/>
      <c r="Q72" s="30"/>
      <c r="R72" s="36"/>
      <c r="S72" s="26"/>
      <c r="T72" s="29"/>
      <c r="U72" s="25"/>
    </row>
    <row r="73" spans="15:22" x14ac:dyDescent="0.2">
      <c r="O73" s="28">
        <v>17</v>
      </c>
      <c r="P73" s="29"/>
      <c r="Q73" s="30"/>
      <c r="R73" s="36"/>
      <c r="S73" s="26"/>
      <c r="T73" s="29"/>
      <c r="U73" s="25"/>
    </row>
    <row r="74" spans="15:22" x14ac:dyDescent="0.2">
      <c r="O74" s="27">
        <v>18</v>
      </c>
      <c r="P74" s="29"/>
      <c r="Q74" s="30"/>
      <c r="R74" s="36"/>
      <c r="S74" s="26"/>
      <c r="T74" s="29"/>
      <c r="U74" s="24"/>
    </row>
    <row r="75" spans="15:22" x14ac:dyDescent="0.2">
      <c r="O75" s="1">
        <v>19</v>
      </c>
      <c r="P75" s="29"/>
      <c r="Q75" s="30"/>
      <c r="R75" s="36"/>
      <c r="S75" s="39"/>
      <c r="T75" s="29"/>
      <c r="U75" s="25"/>
    </row>
    <row r="76" spans="15:22" x14ac:dyDescent="0.2">
      <c r="O76" s="1">
        <v>20</v>
      </c>
      <c r="P76" s="29"/>
      <c r="Q76" s="30"/>
      <c r="R76" s="36"/>
      <c r="S76" s="39"/>
      <c r="T76" s="29"/>
      <c r="U76" s="25"/>
    </row>
    <row r="77" spans="15:22" x14ac:dyDescent="0.2">
      <c r="O77" s="28">
        <v>21</v>
      </c>
      <c r="P77" s="29"/>
      <c r="Q77" s="30"/>
      <c r="R77" s="36"/>
      <c r="S77" s="26"/>
      <c r="T77" s="29"/>
      <c r="U77" s="25"/>
    </row>
    <row r="78" spans="15:22" x14ac:dyDescent="0.2">
      <c r="O78" s="27">
        <v>22</v>
      </c>
      <c r="P78" s="29"/>
      <c r="Q78" s="30"/>
      <c r="R78" s="36"/>
      <c r="S78" s="26"/>
      <c r="T78" s="29"/>
      <c r="U78" s="25"/>
    </row>
  </sheetData>
  <mergeCells count="19"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  <mergeCell ref="O1:X1"/>
    <mergeCell ref="AA1:AJ1"/>
    <mergeCell ref="AM1:AV1"/>
    <mergeCell ref="B2:K2"/>
    <mergeCell ref="O2:X2"/>
    <mergeCell ref="AA2:AJ2"/>
    <mergeCell ref="AM2:AV2"/>
  </mergeCells>
  <phoneticPr fontId="18" type="noConversion"/>
  <pageMargins left="0.12" right="0.12" top="0.75" bottom="0.75" header="0.3" footer="0.3"/>
  <pageSetup paperSize="5" scale="82" fitToWidth="0" orientation="landscape" horizontalDpi="360" verticalDpi="360" r:id="rId1"/>
  <rowBreaks count="1" manualBreakCount="1">
    <brk id="40" max="46" man="1"/>
  </rowBreaks>
  <colBreaks count="3" manualBreakCount="3">
    <brk id="12" min="1" max="39" man="1"/>
    <brk id="25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D12D-4EC6-43BE-8CF4-D4AD9DCCBBF8}">
  <sheetPr>
    <tabColor theme="7" tint="0.39997558519241921"/>
  </sheetPr>
  <dimension ref="A1:AV77"/>
  <sheetViews>
    <sheetView showGridLines="0" view="pageBreakPreview" topLeftCell="AS4" zoomScale="70" zoomScaleNormal="55" zoomScaleSheetLayoutView="70" workbookViewId="0">
      <selection activeCell="AN7" sqref="AN7:AS21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COUNTIF(Table132456789101113212529343944495461491419242933364247539197861041101161221271311361419142419303642485460667277828792[Retase],"&gt;3")</f>
        <v>8</v>
      </c>
      <c r="D3" t="s">
        <v>241</v>
      </c>
      <c r="O3" s="60">
        <f>COUNTIF(Table1345678910111722263035404550556251015202530343843485492988710511111712312813213714210152520313743495561677378838893[Retase],"&gt;3")</f>
        <v>0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COUNTIF(Table134567891011151819232731374247525927121722273228414652909680103109115121126120135140813231828344046525864707580859095[Retase],"&gt;4")</f>
        <v>1</v>
      </c>
      <c r="AM3" s="60">
        <f>COUNTIF(Table1345678910111518192327313742475259271217222732284146529096801031091151211261201351408132318293541475359657176818691[Retase],"&gt;3")</f>
        <v>13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45430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45430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45430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45430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3" t="s">
        <v>74</v>
      </c>
      <c r="D7" s="21">
        <v>0.27013888888888887</v>
      </c>
      <c r="E7" s="21">
        <v>0.70000000000000007</v>
      </c>
      <c r="F7" s="38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0.42986111111111119</v>
      </c>
      <c r="G7" s="20">
        <v>1</v>
      </c>
      <c r="H7" s="65" t="s">
        <v>617</v>
      </c>
      <c r="J7" s="4" t="s">
        <v>10</v>
      </c>
      <c r="K7" s="6">
        <v>23</v>
      </c>
      <c r="L7" s="19"/>
      <c r="N7" s="56"/>
      <c r="O7" s="50">
        <v>1</v>
      </c>
      <c r="P7" s="33" t="s">
        <v>39</v>
      </c>
      <c r="Q7" s="44">
        <v>0.30416666666666664</v>
      </c>
      <c r="R7" s="44">
        <v>0.4597222222222222</v>
      </c>
      <c r="S7" s="52">
        <f t="shared" ref="S7:S12" si="0">R7-Q7</f>
        <v>0.15555555555555556</v>
      </c>
      <c r="T7" s="33">
        <v>1</v>
      </c>
      <c r="U7" s="68" t="s">
        <v>612</v>
      </c>
      <c r="W7" s="4" t="s">
        <v>10</v>
      </c>
      <c r="X7" s="6">
        <v>8</v>
      </c>
      <c r="AA7" s="50">
        <v>1</v>
      </c>
      <c r="AB7" s="33" t="s">
        <v>57</v>
      </c>
      <c r="AC7" s="32">
        <v>0.2986111111111111</v>
      </c>
      <c r="AD7" s="32">
        <v>0.58402777777777781</v>
      </c>
      <c r="AE7" s="52">
        <f t="shared" ref="AE7:AE27" si="1">AD7-AC7</f>
        <v>0.28541666666666671</v>
      </c>
      <c r="AF7" s="31">
        <v>1</v>
      </c>
      <c r="AG7" s="55" t="s">
        <v>603</v>
      </c>
      <c r="AI7" s="4" t="s">
        <v>10</v>
      </c>
      <c r="AJ7" s="6">
        <v>33</v>
      </c>
      <c r="AM7" s="15">
        <v>1</v>
      </c>
      <c r="AN7" s="20" t="s">
        <v>273</v>
      </c>
      <c r="AO7" s="21">
        <v>0.28958333333333336</v>
      </c>
      <c r="AP7" s="21">
        <v>0.46319444444444446</v>
      </c>
      <c r="AQ7" s="38">
        <f t="shared" ref="AQ7:AQ21" si="2">AP7-AO7</f>
        <v>0.1736111111111111</v>
      </c>
      <c r="AR7" s="20">
        <v>2</v>
      </c>
      <c r="AS7" s="16" t="s">
        <v>601</v>
      </c>
      <c r="AU7" s="4" t="s">
        <v>10</v>
      </c>
      <c r="AV7" s="6">
        <v>15</v>
      </c>
    </row>
    <row r="8" spans="1:48" s="1" customFormat="1" x14ac:dyDescent="0.2">
      <c r="A8"/>
      <c r="B8" s="15">
        <v>2</v>
      </c>
      <c r="C8" s="23" t="s">
        <v>15</v>
      </c>
      <c r="D8" s="21">
        <v>0.21736111111111112</v>
      </c>
      <c r="E8" s="21">
        <v>0.35625000000000001</v>
      </c>
      <c r="F8" s="38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0.1388888888888889</v>
      </c>
      <c r="G8" s="20">
        <v>1</v>
      </c>
      <c r="H8" s="67" t="s">
        <v>618</v>
      </c>
      <c r="J8" s="4" t="s">
        <v>9</v>
      </c>
      <c r="K8" s="7">
        <v>21</v>
      </c>
      <c r="L8" s="19"/>
      <c r="O8" s="15">
        <v>2</v>
      </c>
      <c r="P8" s="23" t="s">
        <v>42</v>
      </c>
      <c r="Q8" s="40">
        <v>0.2638888888888889</v>
      </c>
      <c r="R8" s="40">
        <v>0.39374999999999999</v>
      </c>
      <c r="S8" s="37">
        <f t="shared" si="0"/>
        <v>0.12986111111111109</v>
      </c>
      <c r="T8" s="23">
        <v>1</v>
      </c>
      <c r="U8" s="65" t="s">
        <v>613</v>
      </c>
      <c r="W8" s="4" t="s">
        <v>9</v>
      </c>
      <c r="X8" s="7">
        <v>6</v>
      </c>
      <c r="Z8" s="56"/>
      <c r="AA8" s="15">
        <v>2</v>
      </c>
      <c r="AB8" s="23" t="s">
        <v>48</v>
      </c>
      <c r="AC8" s="40">
        <v>0.28194444444444444</v>
      </c>
      <c r="AD8" s="40">
        <v>0.40277777777777773</v>
      </c>
      <c r="AE8" s="38">
        <f t="shared" si="1"/>
        <v>0.12083333333333329</v>
      </c>
      <c r="AF8" s="20">
        <v>1</v>
      </c>
      <c r="AG8" s="16" t="s">
        <v>604</v>
      </c>
      <c r="AI8" s="4" t="s">
        <v>9</v>
      </c>
      <c r="AJ8" s="6">
        <v>21</v>
      </c>
      <c r="AM8" s="15">
        <v>2</v>
      </c>
      <c r="AN8" s="20" t="s">
        <v>278</v>
      </c>
      <c r="AO8" s="21">
        <v>0.2638888888888889</v>
      </c>
      <c r="AP8" s="21">
        <v>0.47569444444444442</v>
      </c>
      <c r="AQ8" s="38">
        <f t="shared" si="2"/>
        <v>0.21180555555555552</v>
      </c>
      <c r="AR8" s="20">
        <v>2</v>
      </c>
      <c r="AS8" s="16" t="s">
        <v>602</v>
      </c>
      <c r="AU8" s="4" t="s">
        <v>9</v>
      </c>
      <c r="AV8" s="6">
        <v>15</v>
      </c>
    </row>
    <row r="9" spans="1:48" s="1" customFormat="1" x14ac:dyDescent="0.2">
      <c r="A9" s="56"/>
      <c r="B9" s="15">
        <v>3</v>
      </c>
      <c r="C9" s="23" t="s">
        <v>16</v>
      </c>
      <c r="D9" s="21">
        <v>0.24791666666666667</v>
      </c>
      <c r="E9" s="21">
        <v>0.40902777777777777</v>
      </c>
      <c r="F9" s="38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0.16111111111111109</v>
      </c>
      <c r="G9" s="20">
        <v>1</v>
      </c>
      <c r="H9" s="67" t="s">
        <v>619</v>
      </c>
      <c r="J9" s="4" t="s">
        <v>4</v>
      </c>
      <c r="K9" s="7">
        <v>0</v>
      </c>
      <c r="L9" s="19"/>
      <c r="N9" s="56"/>
      <c r="O9" s="15">
        <v>3</v>
      </c>
      <c r="P9" s="23" t="s">
        <v>83</v>
      </c>
      <c r="Q9" s="40">
        <v>0.26874999999999999</v>
      </c>
      <c r="R9" s="40">
        <v>0.55555555555555558</v>
      </c>
      <c r="S9" s="37">
        <f t="shared" si="0"/>
        <v>0.28680555555555559</v>
      </c>
      <c r="T9" s="23">
        <v>2</v>
      </c>
      <c r="U9" s="24" t="s">
        <v>614</v>
      </c>
      <c r="W9" s="4" t="s">
        <v>4</v>
      </c>
      <c r="X9" s="7">
        <v>0</v>
      </c>
      <c r="Z9" s="56"/>
      <c r="AA9" s="50">
        <v>3</v>
      </c>
      <c r="AB9" s="33" t="s">
        <v>122</v>
      </c>
      <c r="AC9" s="44">
        <v>0.29236111111111113</v>
      </c>
      <c r="AD9" s="44">
        <v>0.4465277777777778</v>
      </c>
      <c r="AE9" s="51">
        <f t="shared" si="1"/>
        <v>0.15416666666666667</v>
      </c>
      <c r="AF9" s="31">
        <v>1</v>
      </c>
      <c r="AG9" s="55" t="s">
        <v>605</v>
      </c>
      <c r="AI9" s="4" t="s">
        <v>4</v>
      </c>
      <c r="AJ9" s="7">
        <v>1</v>
      </c>
      <c r="AM9" s="1">
        <v>3</v>
      </c>
      <c r="AN9" s="2" t="s">
        <v>238</v>
      </c>
      <c r="AO9" s="41">
        <v>0.28055555555555556</v>
      </c>
      <c r="AP9" s="41">
        <v>0.6777777777777777</v>
      </c>
      <c r="AQ9" s="26">
        <f t="shared" si="2"/>
        <v>0.39722222222222214</v>
      </c>
      <c r="AR9" s="2">
        <v>4</v>
      </c>
      <c r="AS9" s="45" t="s">
        <v>25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3" t="s">
        <v>13</v>
      </c>
      <c r="D10" s="21">
        <v>0.23333333333333331</v>
      </c>
      <c r="E10" s="21">
        <v>0.5541666666666667</v>
      </c>
      <c r="F10" s="38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0.32083333333333341</v>
      </c>
      <c r="G10" s="20">
        <v>2</v>
      </c>
      <c r="H10" s="67" t="s">
        <v>620</v>
      </c>
      <c r="J10" s="4" t="s">
        <v>5</v>
      </c>
      <c r="K10" s="7">
        <v>2</v>
      </c>
      <c r="L10" s="19"/>
      <c r="O10" s="15">
        <v>4</v>
      </c>
      <c r="P10" s="23" t="s">
        <v>36</v>
      </c>
      <c r="Q10" s="40">
        <v>0.29236111111111113</v>
      </c>
      <c r="R10" s="40">
        <v>0.56944444444444442</v>
      </c>
      <c r="S10" s="37">
        <f t="shared" si="0"/>
        <v>0.27708333333333329</v>
      </c>
      <c r="T10" s="23">
        <v>2</v>
      </c>
      <c r="U10" s="16" t="s">
        <v>615</v>
      </c>
      <c r="W10" s="4" t="s">
        <v>5</v>
      </c>
      <c r="X10" s="7">
        <v>2</v>
      </c>
      <c r="Z10" s="56"/>
      <c r="AA10" s="15">
        <v>4</v>
      </c>
      <c r="AB10" s="23" t="s">
        <v>81</v>
      </c>
      <c r="AC10" s="40">
        <v>0.26874999999999999</v>
      </c>
      <c r="AD10" s="40">
        <v>0.65555555555555556</v>
      </c>
      <c r="AE10" s="38">
        <f t="shared" si="1"/>
        <v>0.38680555555555557</v>
      </c>
      <c r="AF10" s="20">
        <v>2</v>
      </c>
      <c r="AG10" s="16" t="s">
        <v>606</v>
      </c>
      <c r="AI10" s="4" t="s">
        <v>5</v>
      </c>
      <c r="AJ10" s="7">
        <v>11</v>
      </c>
      <c r="AL10" s="54"/>
      <c r="AM10" s="1">
        <v>4</v>
      </c>
      <c r="AN10" s="2" t="s">
        <v>239</v>
      </c>
      <c r="AO10" s="41">
        <v>0.28958333333333336</v>
      </c>
      <c r="AP10" s="41">
        <v>0.69652777777777775</v>
      </c>
      <c r="AQ10" s="26">
        <f t="shared" si="2"/>
        <v>0.40694444444444439</v>
      </c>
      <c r="AR10" s="2">
        <v>4</v>
      </c>
      <c r="AS10" s="45" t="s">
        <v>25</v>
      </c>
      <c r="AU10" s="4" t="s">
        <v>5</v>
      </c>
      <c r="AV10" s="7">
        <v>1</v>
      </c>
    </row>
    <row r="11" spans="1:48" s="1" customFormat="1" x14ac:dyDescent="0.2">
      <c r="A11" s="56" t="s">
        <v>209</v>
      </c>
      <c r="B11" s="50">
        <v>5</v>
      </c>
      <c r="C11" s="33" t="s">
        <v>69</v>
      </c>
      <c r="D11" s="32">
        <v>0.4604166666666667</v>
      </c>
      <c r="E11" s="32">
        <v>0.68541666666666667</v>
      </c>
      <c r="F11" s="51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0.22499999999999998</v>
      </c>
      <c r="G11" s="31">
        <v>2</v>
      </c>
      <c r="H11" s="68" t="s">
        <v>420</v>
      </c>
      <c r="J11" s="4" t="s">
        <v>6</v>
      </c>
      <c r="K11" s="7">
        <v>0</v>
      </c>
      <c r="O11" s="50">
        <v>5</v>
      </c>
      <c r="P11" s="33" t="s">
        <v>37</v>
      </c>
      <c r="Q11" s="44">
        <v>0.30555555555555552</v>
      </c>
      <c r="R11" s="44">
        <v>0.67222222222222217</v>
      </c>
      <c r="S11" s="52">
        <f t="shared" si="0"/>
        <v>0.36666666666666664</v>
      </c>
      <c r="T11" s="33">
        <v>3</v>
      </c>
      <c r="U11" s="53" t="s">
        <v>616</v>
      </c>
      <c r="W11" s="4" t="s">
        <v>33</v>
      </c>
      <c r="X11" s="7">
        <v>0</v>
      </c>
      <c r="Z11" s="56" t="s">
        <v>209</v>
      </c>
      <c r="AA11" s="50">
        <v>5</v>
      </c>
      <c r="AB11" s="33" t="s">
        <v>51</v>
      </c>
      <c r="AC11" s="44">
        <v>0.38263888888888892</v>
      </c>
      <c r="AD11" s="44">
        <v>0.71180555555555547</v>
      </c>
      <c r="AE11" s="51">
        <f t="shared" si="1"/>
        <v>0.32916666666666655</v>
      </c>
      <c r="AF11" s="31">
        <v>2</v>
      </c>
      <c r="AG11" s="55" t="s">
        <v>607</v>
      </c>
      <c r="AI11" s="4" t="s">
        <v>6</v>
      </c>
      <c r="AJ11" s="7">
        <v>0</v>
      </c>
      <c r="AM11" s="1">
        <v>5</v>
      </c>
      <c r="AN11" s="2" t="s">
        <v>279</v>
      </c>
      <c r="AO11" s="41">
        <v>0.26944444444444443</v>
      </c>
      <c r="AP11" s="41">
        <v>0.69027777777777777</v>
      </c>
      <c r="AQ11" s="26">
        <f t="shared" si="2"/>
        <v>0.42083333333333334</v>
      </c>
      <c r="AR11" s="2">
        <v>4</v>
      </c>
      <c r="AS11" s="45" t="s">
        <v>25</v>
      </c>
      <c r="AU11" s="4" t="s">
        <v>6</v>
      </c>
      <c r="AV11" s="7">
        <v>23</v>
      </c>
    </row>
    <row r="12" spans="1:48" s="1" customFormat="1" x14ac:dyDescent="0.2">
      <c r="A12" s="56" t="s">
        <v>209</v>
      </c>
      <c r="B12" s="50">
        <v>6</v>
      </c>
      <c r="C12" s="33" t="s">
        <v>76</v>
      </c>
      <c r="D12" s="32">
        <v>0.40416666666666662</v>
      </c>
      <c r="E12" s="32">
        <v>0.64374999999999993</v>
      </c>
      <c r="F12" s="51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0.23958333333333331</v>
      </c>
      <c r="G12" s="31">
        <v>2</v>
      </c>
      <c r="H12" s="68" t="s">
        <v>257</v>
      </c>
      <c r="J12" s="8" t="s">
        <v>8</v>
      </c>
      <c r="K12" s="9">
        <f>SUM(Table132456789101113212529343944495461491419242933364247539197861041101161221271311361419142419303642485460667277828792[Retase])</f>
        <v>62</v>
      </c>
      <c r="L12" s="19"/>
      <c r="N12" s="54"/>
      <c r="O12" s="50">
        <v>6</v>
      </c>
      <c r="P12" s="33" t="s">
        <v>38</v>
      </c>
      <c r="Q12" s="44">
        <v>0.31041666666666667</v>
      </c>
      <c r="R12" s="44">
        <v>0.6694444444444444</v>
      </c>
      <c r="S12" s="52">
        <f t="shared" si="0"/>
        <v>0.35902777777777772</v>
      </c>
      <c r="T12" s="33">
        <v>3</v>
      </c>
      <c r="U12" s="53" t="s">
        <v>89</v>
      </c>
      <c r="W12" s="8" t="s">
        <v>8</v>
      </c>
      <c r="X12" s="9">
        <f>SUM(Table1345678910111722263035404550556251015202530343843485492988710511111712312813213714210152520313743495561677378838893[Retase])</f>
        <v>12</v>
      </c>
      <c r="AA12" s="50">
        <v>6</v>
      </c>
      <c r="AB12" s="33" t="s">
        <v>60</v>
      </c>
      <c r="AC12" s="44">
        <v>0.29375000000000001</v>
      </c>
      <c r="AD12" s="44">
        <v>0.58194444444444449</v>
      </c>
      <c r="AE12" s="51">
        <f t="shared" si="1"/>
        <v>0.28819444444444448</v>
      </c>
      <c r="AF12" s="31">
        <v>2</v>
      </c>
      <c r="AG12" s="55" t="s">
        <v>608</v>
      </c>
      <c r="AI12" s="8" t="s">
        <v>8</v>
      </c>
      <c r="AJ12" s="9">
        <f>SUM(Table134567891011151819232731374247525927121722273228414652909680103109115121126120135140813231828344046525864707580859095[Retase])</f>
        <v>66</v>
      </c>
      <c r="AM12" s="1">
        <v>6</v>
      </c>
      <c r="AN12" s="2" t="s">
        <v>280</v>
      </c>
      <c r="AO12" s="41">
        <v>0.21527777777777779</v>
      </c>
      <c r="AP12" s="41">
        <v>0.63194444444444442</v>
      </c>
      <c r="AQ12" s="26">
        <f t="shared" si="2"/>
        <v>0.41666666666666663</v>
      </c>
      <c r="AR12" s="2">
        <v>4</v>
      </c>
      <c r="AS12" s="45" t="s">
        <v>25</v>
      </c>
      <c r="AU12" s="8" t="s">
        <v>8</v>
      </c>
      <c r="AV12" s="9">
        <f>SUM(Table1345678910111518192327313742475259271217222732284146529096801031091151211261201351408132318293541475359657176818691[Retase])</f>
        <v>60</v>
      </c>
    </row>
    <row r="13" spans="1:48" s="1" customFormat="1" x14ac:dyDescent="0.2">
      <c r="A13"/>
      <c r="B13" s="15">
        <v>7</v>
      </c>
      <c r="C13" s="23" t="s">
        <v>118</v>
      </c>
      <c r="D13" s="21">
        <v>0.27361111111111108</v>
      </c>
      <c r="E13" s="40">
        <v>0.70208333333333339</v>
      </c>
      <c r="F13" s="38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0.42847222222222231</v>
      </c>
      <c r="G13" s="20">
        <v>3</v>
      </c>
      <c r="H13" s="24" t="s">
        <v>89</v>
      </c>
      <c r="J13" s="10" t="s">
        <v>7</v>
      </c>
      <c r="K13" s="11">
        <f>K12/K8</f>
        <v>2.9523809523809526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2</v>
      </c>
      <c r="Z13" s="56"/>
      <c r="AA13" s="15">
        <v>7</v>
      </c>
      <c r="AB13" s="23" t="s">
        <v>58</v>
      </c>
      <c r="AC13" s="40">
        <v>0.28125</v>
      </c>
      <c r="AD13" s="40">
        <v>0.70763888888888893</v>
      </c>
      <c r="AE13" s="38">
        <f t="shared" si="1"/>
        <v>0.42638888888888893</v>
      </c>
      <c r="AF13" s="20">
        <v>3</v>
      </c>
      <c r="AG13" s="16" t="s">
        <v>624</v>
      </c>
      <c r="AI13" s="10" t="s">
        <v>7</v>
      </c>
      <c r="AJ13" s="11">
        <f>AJ12/AJ8</f>
        <v>3.1428571428571428</v>
      </c>
      <c r="AM13" s="50">
        <v>7</v>
      </c>
      <c r="AN13" s="31" t="s">
        <v>303</v>
      </c>
      <c r="AO13" s="32">
        <v>0.29305555555555557</v>
      </c>
      <c r="AP13" s="32">
        <v>0.65972222222222221</v>
      </c>
      <c r="AQ13" s="51">
        <f t="shared" si="2"/>
        <v>0.36666666666666664</v>
      </c>
      <c r="AR13" s="31">
        <v>4</v>
      </c>
      <c r="AS13" s="55" t="s">
        <v>25</v>
      </c>
      <c r="AU13" s="10" t="s">
        <v>7</v>
      </c>
      <c r="AV13" s="11">
        <f>AV12/AV8</f>
        <v>4</v>
      </c>
    </row>
    <row r="14" spans="1:48" s="1" customFormat="1" x14ac:dyDescent="0.2">
      <c r="A14"/>
      <c r="B14" s="15">
        <v>8</v>
      </c>
      <c r="C14" s="23" t="s">
        <v>119</v>
      </c>
      <c r="D14" s="21">
        <v>0.28888888888888892</v>
      </c>
      <c r="E14" s="21">
        <v>0.6430555555555556</v>
      </c>
      <c r="F14" s="38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0.35416666666666669</v>
      </c>
      <c r="G14" s="20">
        <v>3</v>
      </c>
      <c r="H14" s="24" t="s">
        <v>89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15">
        <v>8</v>
      </c>
      <c r="AB14" s="23" t="s">
        <v>77</v>
      </c>
      <c r="AC14" s="40">
        <v>0.26874999999999999</v>
      </c>
      <c r="AD14" s="40">
        <v>0.70624999999999993</v>
      </c>
      <c r="AE14" s="38">
        <f t="shared" si="1"/>
        <v>0.43749999999999994</v>
      </c>
      <c r="AF14" s="20">
        <v>3</v>
      </c>
      <c r="AG14" s="16" t="s">
        <v>609</v>
      </c>
      <c r="AI14" s="12" t="s">
        <v>11</v>
      </c>
      <c r="AJ14" s="13">
        <v>5</v>
      </c>
      <c r="AM14" s="1">
        <v>8</v>
      </c>
      <c r="AN14" s="2" t="s">
        <v>304</v>
      </c>
      <c r="AO14" s="41">
        <v>0.27777777777777779</v>
      </c>
      <c r="AP14" s="41">
        <v>0.6875</v>
      </c>
      <c r="AQ14" s="26">
        <f t="shared" si="2"/>
        <v>0.40972222222222221</v>
      </c>
      <c r="AR14" s="2">
        <v>4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3" t="s">
        <v>20</v>
      </c>
      <c r="D15" s="21">
        <v>0.24791666666666667</v>
      </c>
      <c r="E15" s="21">
        <v>0.71458333333333324</v>
      </c>
      <c r="F15" s="38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0.46666666666666656</v>
      </c>
      <c r="G15" s="20">
        <v>3</v>
      </c>
      <c r="H15" s="65" t="s">
        <v>621</v>
      </c>
      <c r="J15" s="12" t="s">
        <v>88</v>
      </c>
      <c r="K15" s="14">
        <f>B3/K8</f>
        <v>0.38095238095238093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</v>
      </c>
      <c r="Z15" s="56"/>
      <c r="AA15" s="15">
        <v>9</v>
      </c>
      <c r="AB15" s="23" t="s">
        <v>56</v>
      </c>
      <c r="AC15" s="40">
        <v>0.26874999999999999</v>
      </c>
      <c r="AD15" s="40">
        <v>0.6791666666666667</v>
      </c>
      <c r="AE15" s="38">
        <f t="shared" si="1"/>
        <v>0.41041666666666671</v>
      </c>
      <c r="AF15" s="20">
        <v>3</v>
      </c>
      <c r="AG15" s="16" t="s">
        <v>624</v>
      </c>
      <c r="AI15" s="12" t="s">
        <v>88</v>
      </c>
      <c r="AJ15" s="14">
        <f>AA3/AJ8</f>
        <v>4.7619047619047616E-2</v>
      </c>
      <c r="AM15" s="1">
        <v>9</v>
      </c>
      <c r="AN15" s="2" t="s">
        <v>305</v>
      </c>
      <c r="AO15" s="41">
        <v>0.26319444444444445</v>
      </c>
      <c r="AP15" s="41">
        <v>0.69513888888888886</v>
      </c>
      <c r="AQ15" s="26">
        <f t="shared" si="2"/>
        <v>0.43194444444444441</v>
      </c>
      <c r="AR15" s="2">
        <v>4</v>
      </c>
      <c r="AS15" s="45" t="s">
        <v>25</v>
      </c>
      <c r="AU15" s="12" t="s">
        <v>88</v>
      </c>
      <c r="AV15" s="14">
        <f>AM3/AV8</f>
        <v>0.8666666666666667</v>
      </c>
    </row>
    <row r="16" spans="1:48" x14ac:dyDescent="0.2">
      <c r="B16" s="15">
        <v>10</v>
      </c>
      <c r="C16" s="23" t="s">
        <v>14</v>
      </c>
      <c r="D16" s="21">
        <v>0.26666666666666666</v>
      </c>
      <c r="E16" s="21">
        <v>0.62569444444444444</v>
      </c>
      <c r="F16" s="38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0.35902777777777778</v>
      </c>
      <c r="G16" s="20">
        <v>3</v>
      </c>
      <c r="H16" s="65" t="s">
        <v>622</v>
      </c>
      <c r="J16" s="12" t="s">
        <v>24</v>
      </c>
      <c r="K16" s="14">
        <f>K8/K7</f>
        <v>0.91304347826086951</v>
      </c>
      <c r="W16" s="12" t="s">
        <v>27</v>
      </c>
      <c r="X16" s="14">
        <f>X8/X7</f>
        <v>0.75</v>
      </c>
      <c r="AA16" s="15">
        <v>10</v>
      </c>
      <c r="AB16" s="23" t="s">
        <v>50</v>
      </c>
      <c r="AC16" s="40">
        <v>0.26527777777777778</v>
      </c>
      <c r="AD16" s="40">
        <v>0.71388888888888891</v>
      </c>
      <c r="AE16" s="38">
        <f t="shared" si="1"/>
        <v>0.44861111111111113</v>
      </c>
      <c r="AF16" s="20">
        <v>3</v>
      </c>
      <c r="AG16" s="16" t="s">
        <v>610</v>
      </c>
      <c r="AI16" s="12" t="s">
        <v>27</v>
      </c>
      <c r="AJ16" s="14">
        <f>AJ8/AJ7</f>
        <v>0.63636363636363635</v>
      </c>
      <c r="AM16" s="1">
        <v>10</v>
      </c>
      <c r="AN16" s="2" t="s">
        <v>476</v>
      </c>
      <c r="AO16" s="41">
        <v>0.27777777777777779</v>
      </c>
      <c r="AP16" s="41">
        <v>0.65069444444444446</v>
      </c>
      <c r="AQ16" s="26">
        <f t="shared" si="2"/>
        <v>0.37291666666666667</v>
      </c>
      <c r="AR16" s="2">
        <v>4</v>
      </c>
      <c r="AS16" s="45" t="s">
        <v>25</v>
      </c>
      <c r="AU16" s="12" t="s">
        <v>27</v>
      </c>
      <c r="AV16" s="14">
        <f>AV8/AV7</f>
        <v>1</v>
      </c>
    </row>
    <row r="17" spans="1:48" x14ac:dyDescent="0.2">
      <c r="B17" s="15">
        <v>11</v>
      </c>
      <c r="C17" s="23" t="s">
        <v>120</v>
      </c>
      <c r="D17" s="21">
        <v>0.24791666666666667</v>
      </c>
      <c r="E17" s="21">
        <v>0.68194444444444446</v>
      </c>
      <c r="F17" s="38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0.43402777777777779</v>
      </c>
      <c r="G17" s="20">
        <v>3</v>
      </c>
      <c r="H17" s="24" t="s">
        <v>89</v>
      </c>
      <c r="J17" s="12" t="s">
        <v>117</v>
      </c>
      <c r="K17" s="48">
        <f>AVERAGE(Table132456789101113212529343944495461491419242933364247539197861041101161221271311361419142419303642485460667277828792[JAM KELUAR])</f>
        <v>0.26458333333333328</v>
      </c>
      <c r="W17" s="12" t="s">
        <v>117</v>
      </c>
      <c r="X17" s="48">
        <f>AVERAGE(Table1345678910111722263035404550556251015202530343843485492988710511111712312813213714210152520313743495561677378838893[JAM KELUAR])</f>
        <v>0.29085648148148152</v>
      </c>
      <c r="AA17" s="15">
        <v>11</v>
      </c>
      <c r="AB17" s="23" t="s">
        <v>82</v>
      </c>
      <c r="AC17" s="40">
        <v>0.27916666666666667</v>
      </c>
      <c r="AD17" s="40">
        <v>0.71319444444444446</v>
      </c>
      <c r="AE17" s="38">
        <f t="shared" si="1"/>
        <v>0.43402777777777779</v>
      </c>
      <c r="AF17" s="20">
        <v>4</v>
      </c>
      <c r="AG17" s="16" t="s">
        <v>624</v>
      </c>
      <c r="AI17" s="12" t="s">
        <v>117</v>
      </c>
      <c r="AJ17" s="48">
        <f>AVERAGE(Table134567891011151819232731374247525927121722273228414652909680103109115121126120135140813231828344046525864707580859095[JAM KELUAR])</f>
        <v>0.27757936507936509</v>
      </c>
      <c r="AM17" s="1">
        <v>11</v>
      </c>
      <c r="AN17" s="2" t="s">
        <v>306</v>
      </c>
      <c r="AO17" s="41">
        <v>0.23333333333333331</v>
      </c>
      <c r="AP17" s="41">
        <v>0.72638888888888886</v>
      </c>
      <c r="AQ17" s="26">
        <f t="shared" si="2"/>
        <v>0.49305555555555558</v>
      </c>
      <c r="AR17" s="2">
        <v>4</v>
      </c>
      <c r="AS17" s="45" t="s">
        <v>25</v>
      </c>
      <c r="AU17" s="12" t="s">
        <v>117</v>
      </c>
      <c r="AV17" s="48">
        <f>AVERAGE(Table1345678910111518192327313742475259271217222732284146529096801031091151211261201351408132318293541475359657176818691[JAM KELUAR])</f>
        <v>0.26532407407407399</v>
      </c>
    </row>
    <row r="18" spans="1:48" x14ac:dyDescent="0.2">
      <c r="B18" s="15">
        <v>12</v>
      </c>
      <c r="C18" s="23" t="s">
        <v>121</v>
      </c>
      <c r="D18" s="21">
        <v>0.25277777777777777</v>
      </c>
      <c r="E18" s="21">
        <v>0.63263888888888886</v>
      </c>
      <c r="F18" s="38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0.37986111111111109</v>
      </c>
      <c r="G18" s="20">
        <v>3</v>
      </c>
      <c r="H18" s="24" t="s">
        <v>89</v>
      </c>
      <c r="AA18" s="50">
        <v>12</v>
      </c>
      <c r="AB18" s="33" t="s">
        <v>123</v>
      </c>
      <c r="AC18" s="44">
        <v>0.29652777777777778</v>
      </c>
      <c r="AD18" s="44">
        <v>0.7270833333333333</v>
      </c>
      <c r="AE18" s="51">
        <f t="shared" si="1"/>
        <v>0.43055555555555552</v>
      </c>
      <c r="AF18" s="31">
        <v>4</v>
      </c>
      <c r="AG18" s="55" t="s">
        <v>624</v>
      </c>
      <c r="AI18" s="17"/>
      <c r="AM18" s="1">
        <v>12</v>
      </c>
      <c r="AN18" s="2" t="s">
        <v>240</v>
      </c>
      <c r="AO18" s="41">
        <v>0.26874999999999999</v>
      </c>
      <c r="AP18" s="41">
        <v>0.68541666666666667</v>
      </c>
      <c r="AQ18" s="26">
        <f t="shared" si="2"/>
        <v>0.41666666666666669</v>
      </c>
      <c r="AR18" s="2">
        <v>5</v>
      </c>
      <c r="AS18" s="45" t="s">
        <v>25</v>
      </c>
      <c r="AU18" s="17"/>
    </row>
    <row r="19" spans="1:48" ht="15.75" customHeight="1" x14ac:dyDescent="0.2">
      <c r="A19" s="56"/>
      <c r="B19" s="15">
        <v>13</v>
      </c>
      <c r="C19" s="23" t="s">
        <v>17</v>
      </c>
      <c r="D19" s="21">
        <v>0.22361111111111109</v>
      </c>
      <c r="E19" s="21">
        <v>0.70416666666666661</v>
      </c>
      <c r="F19" s="38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0.48055555555555551</v>
      </c>
      <c r="G19" s="20">
        <v>3</v>
      </c>
      <c r="H19" s="65" t="s">
        <v>623</v>
      </c>
      <c r="AA19" s="50">
        <v>13</v>
      </c>
      <c r="AB19" s="33" t="s">
        <v>40</v>
      </c>
      <c r="AC19" s="44">
        <v>0.29305555555555557</v>
      </c>
      <c r="AD19" s="44">
        <v>0.72569444444444453</v>
      </c>
      <c r="AE19" s="51">
        <f t="shared" si="1"/>
        <v>0.43263888888888896</v>
      </c>
      <c r="AF19" s="31">
        <v>4</v>
      </c>
      <c r="AG19" s="55" t="s">
        <v>257</v>
      </c>
      <c r="AM19" s="1">
        <v>13</v>
      </c>
      <c r="AN19" s="2" t="s">
        <v>274</v>
      </c>
      <c r="AO19" s="41">
        <v>0.25138888888888888</v>
      </c>
      <c r="AP19" s="41">
        <v>0.69236111111111109</v>
      </c>
      <c r="AQ19" s="26">
        <f t="shared" si="2"/>
        <v>0.44097222222222221</v>
      </c>
      <c r="AR19" s="2">
        <v>5</v>
      </c>
      <c r="AS19" s="45" t="s">
        <v>25</v>
      </c>
    </row>
    <row r="20" spans="1:48" ht="17.25" customHeight="1" x14ac:dyDescent="0.2">
      <c r="B20" s="1">
        <v>14</v>
      </c>
      <c r="C20" s="29" t="s">
        <v>65</v>
      </c>
      <c r="D20" s="41">
        <v>0.2673611111111111</v>
      </c>
      <c r="E20" s="41">
        <v>0.70694444444444438</v>
      </c>
      <c r="F20" s="26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0.43958333333333327</v>
      </c>
      <c r="G20" s="2">
        <v>4</v>
      </c>
      <c r="H20" s="69" t="s">
        <v>25</v>
      </c>
      <c r="AA20" s="15">
        <v>14</v>
      </c>
      <c r="AB20" s="23" t="s">
        <v>30</v>
      </c>
      <c r="AC20" s="40">
        <v>0.24305555555555555</v>
      </c>
      <c r="AD20" s="21">
        <v>0.74513888888888891</v>
      </c>
      <c r="AE20" s="38">
        <f t="shared" si="1"/>
        <v>0.50208333333333333</v>
      </c>
      <c r="AF20" s="20">
        <v>4</v>
      </c>
      <c r="AG20" s="16" t="s">
        <v>624</v>
      </c>
      <c r="AM20" s="1">
        <v>14</v>
      </c>
      <c r="AN20" s="2" t="s">
        <v>275</v>
      </c>
      <c r="AO20" s="41">
        <v>0.28611111111111115</v>
      </c>
      <c r="AP20" s="41">
        <v>0.72361111111111109</v>
      </c>
      <c r="AQ20" s="26">
        <f t="shared" si="2"/>
        <v>0.43749999999999994</v>
      </c>
      <c r="AR20" s="2">
        <v>5</v>
      </c>
      <c r="AS20" s="45" t="s">
        <v>25</v>
      </c>
    </row>
    <row r="21" spans="1:48" ht="15.75" customHeight="1" x14ac:dyDescent="0.2">
      <c r="B21" s="1">
        <v>15</v>
      </c>
      <c r="C21" s="29" t="s">
        <v>70</v>
      </c>
      <c r="D21" s="41">
        <v>0.28333333333333333</v>
      </c>
      <c r="E21" s="41">
        <v>0.71458333333333324</v>
      </c>
      <c r="F21" s="26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0.43124999999999991</v>
      </c>
      <c r="G21" s="2">
        <v>4</v>
      </c>
      <c r="H21" s="69" t="s">
        <v>25</v>
      </c>
      <c r="T21" s="34"/>
      <c r="U21" s="35" t="s">
        <v>90</v>
      </c>
      <c r="AA21" s="50">
        <v>15</v>
      </c>
      <c r="AB21" s="33" t="s">
        <v>32</v>
      </c>
      <c r="AC21" s="44">
        <v>0.29652777777777778</v>
      </c>
      <c r="AD21" s="44">
        <v>0.72291666666666676</v>
      </c>
      <c r="AE21" s="51">
        <f t="shared" si="1"/>
        <v>0.42638888888888898</v>
      </c>
      <c r="AF21" s="31">
        <v>4</v>
      </c>
      <c r="AG21" s="55" t="s">
        <v>624</v>
      </c>
      <c r="AM21" s="1">
        <v>15</v>
      </c>
      <c r="AN21" s="2" t="s">
        <v>475</v>
      </c>
      <c r="AO21" s="41">
        <v>0.22013888888888888</v>
      </c>
      <c r="AP21" s="41">
        <v>0.74861111111111101</v>
      </c>
      <c r="AQ21" s="26">
        <f t="shared" si="2"/>
        <v>0.52847222222222212</v>
      </c>
      <c r="AR21" s="2">
        <v>5</v>
      </c>
      <c r="AS21" s="45" t="s">
        <v>25</v>
      </c>
    </row>
    <row r="22" spans="1:48" ht="15" customHeight="1" x14ac:dyDescent="0.2">
      <c r="B22" s="1">
        <v>16</v>
      </c>
      <c r="C22" s="2" t="s">
        <v>71</v>
      </c>
      <c r="D22" s="41">
        <v>0.23611111111111113</v>
      </c>
      <c r="E22" s="41">
        <v>0.68055555555555547</v>
      </c>
      <c r="F22" s="26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0.44444444444444431</v>
      </c>
      <c r="G22" s="2">
        <v>4</v>
      </c>
      <c r="H22" s="69" t="s">
        <v>25</v>
      </c>
      <c r="T22" s="56" t="s">
        <v>209</v>
      </c>
      <c r="U22" s="35" t="s">
        <v>92</v>
      </c>
      <c r="AA22" s="15">
        <v>16</v>
      </c>
      <c r="AB22" s="23" t="s">
        <v>309</v>
      </c>
      <c r="AC22" s="21">
        <v>0.27430555555555552</v>
      </c>
      <c r="AD22" s="40">
        <v>0.7715277777777777</v>
      </c>
      <c r="AE22" s="38">
        <f t="shared" si="1"/>
        <v>0.49722222222222218</v>
      </c>
      <c r="AF22" s="20">
        <v>4</v>
      </c>
      <c r="AG22" s="16" t="s">
        <v>624</v>
      </c>
    </row>
    <row r="23" spans="1:48" ht="15" customHeight="1" x14ac:dyDescent="0.2">
      <c r="B23" s="1">
        <v>17</v>
      </c>
      <c r="C23" s="2" t="s">
        <v>72</v>
      </c>
      <c r="D23" s="41">
        <v>0.21319444444444444</v>
      </c>
      <c r="E23" s="41">
        <v>0.66736111111111107</v>
      </c>
      <c r="F23" s="26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0.45416666666666661</v>
      </c>
      <c r="G23" s="2">
        <v>4</v>
      </c>
      <c r="H23" s="69" t="s">
        <v>25</v>
      </c>
      <c r="AA23" s="15">
        <v>17</v>
      </c>
      <c r="AB23" s="20" t="s">
        <v>41</v>
      </c>
      <c r="AC23" s="40">
        <v>0.2590277777777778</v>
      </c>
      <c r="AD23" s="40">
        <v>0.74930555555555556</v>
      </c>
      <c r="AE23" s="37">
        <f t="shared" si="1"/>
        <v>0.49027777777777776</v>
      </c>
      <c r="AF23" s="20">
        <v>4</v>
      </c>
      <c r="AG23" s="16" t="s">
        <v>624</v>
      </c>
    </row>
    <row r="24" spans="1:48" ht="15" customHeight="1" x14ac:dyDescent="0.2">
      <c r="B24" s="1">
        <v>18</v>
      </c>
      <c r="C24" s="2" t="s">
        <v>73</v>
      </c>
      <c r="D24" s="41">
        <v>0.24166666666666667</v>
      </c>
      <c r="E24" s="41">
        <v>0.69791666666666663</v>
      </c>
      <c r="F24" s="26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0.45624999999999993</v>
      </c>
      <c r="G24" s="2">
        <v>4</v>
      </c>
      <c r="H24" s="69" t="s">
        <v>25</v>
      </c>
      <c r="AA24" s="15">
        <v>18</v>
      </c>
      <c r="AB24" s="23" t="s">
        <v>45</v>
      </c>
      <c r="AC24" s="40">
        <v>0.26458333333333334</v>
      </c>
      <c r="AD24" s="40">
        <v>0.72361111111111109</v>
      </c>
      <c r="AE24" s="37">
        <f t="shared" si="1"/>
        <v>0.45902777777777776</v>
      </c>
      <c r="AF24" s="23">
        <v>4</v>
      </c>
      <c r="AG24" s="16" t="s">
        <v>611</v>
      </c>
    </row>
    <row r="25" spans="1:48" ht="14.5" customHeight="1" x14ac:dyDescent="0.2">
      <c r="B25" s="1">
        <v>19</v>
      </c>
      <c r="C25" s="2" t="s">
        <v>75</v>
      </c>
      <c r="D25" s="41">
        <v>0.23611111111111113</v>
      </c>
      <c r="E25" s="41">
        <v>0.62847222222222221</v>
      </c>
      <c r="F25" s="26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0.39236111111111105</v>
      </c>
      <c r="G25" s="2">
        <v>4</v>
      </c>
      <c r="H25" s="69" t="s">
        <v>25</v>
      </c>
      <c r="AA25" s="15">
        <v>19</v>
      </c>
      <c r="AB25" s="23" t="s">
        <v>59</v>
      </c>
      <c r="AC25" s="40">
        <v>0.25416666666666665</v>
      </c>
      <c r="AD25" s="40">
        <v>0.70000000000000007</v>
      </c>
      <c r="AE25" s="37">
        <f t="shared" si="1"/>
        <v>0.44583333333333341</v>
      </c>
      <c r="AF25" s="23">
        <v>4</v>
      </c>
      <c r="AG25" s="16" t="s">
        <v>624</v>
      </c>
    </row>
    <row r="26" spans="1:48" ht="14.5" customHeight="1" x14ac:dyDescent="0.2">
      <c r="B26" s="1">
        <v>20</v>
      </c>
      <c r="C26" s="2" t="s">
        <v>18</v>
      </c>
      <c r="D26" s="41">
        <v>0.23402777777777781</v>
      </c>
      <c r="E26" s="41">
        <v>0.68125000000000002</v>
      </c>
      <c r="F26" s="26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0.44722222222222219</v>
      </c>
      <c r="G26" s="2">
        <v>4</v>
      </c>
      <c r="H26" s="69" t="s">
        <v>25</v>
      </c>
      <c r="N26" s="54"/>
      <c r="AA26" s="15">
        <v>20</v>
      </c>
      <c r="AB26" s="23" t="s">
        <v>80</v>
      </c>
      <c r="AC26" s="40">
        <v>0.22916666666666666</v>
      </c>
      <c r="AD26" s="40">
        <v>0.72638888888888886</v>
      </c>
      <c r="AE26" s="37">
        <f t="shared" si="1"/>
        <v>0.49722222222222223</v>
      </c>
      <c r="AF26" s="23">
        <v>4</v>
      </c>
      <c r="AG26" s="16" t="s">
        <v>624</v>
      </c>
    </row>
    <row r="27" spans="1:48" ht="14.5" customHeight="1" x14ac:dyDescent="0.2">
      <c r="B27" s="1">
        <v>21</v>
      </c>
      <c r="C27" s="2" t="s">
        <v>19</v>
      </c>
      <c r="D27" s="41">
        <v>0.20972222222222223</v>
      </c>
      <c r="E27" s="41">
        <v>0.67361111111111116</v>
      </c>
      <c r="F27" s="26">
        <f>Table132456789101113212529343944495461491419242933364247539197861041101161221271311361419142419303642485460667277828792[[#This Row],[JAM MASUK]]-Table132456789101113212529343944495461491419242933364247539197861041101161221271311361419142419303642485460667277828792[[#This Row],[JAM KELUAR]]</f>
        <v>0.46388888888888891</v>
      </c>
      <c r="G27" s="2">
        <v>4</v>
      </c>
      <c r="H27" s="69" t="s">
        <v>25</v>
      </c>
      <c r="N27" s="54"/>
      <c r="AA27" s="1">
        <v>21</v>
      </c>
      <c r="AB27" s="29" t="s">
        <v>67</v>
      </c>
      <c r="AC27" s="30">
        <v>0.23750000000000002</v>
      </c>
      <c r="AD27" s="30">
        <v>0.79861111111111116</v>
      </c>
      <c r="AE27" s="39">
        <f t="shared" si="1"/>
        <v>0.56111111111111112</v>
      </c>
      <c r="AF27" s="29">
        <v>5</v>
      </c>
      <c r="AG27" s="45" t="s">
        <v>25</v>
      </c>
    </row>
    <row r="28" spans="1:48" x14ac:dyDescent="0.2">
      <c r="N28" s="54"/>
      <c r="AR28" s="34"/>
      <c r="AS28" s="35" t="s">
        <v>90</v>
      </c>
    </row>
    <row r="29" spans="1:48" x14ac:dyDescent="0.2">
      <c r="N29" s="54"/>
      <c r="AR29" s="56" t="s">
        <v>209</v>
      </c>
      <c r="AS29" s="35" t="s">
        <v>92</v>
      </c>
    </row>
    <row r="31" spans="1:48" x14ac:dyDescent="0.2">
      <c r="AF31" s="34"/>
      <c r="AG31" s="35" t="s">
        <v>90</v>
      </c>
    </row>
    <row r="32" spans="1:48" x14ac:dyDescent="0.2">
      <c r="V32" s="1"/>
      <c r="AF32" s="56" t="s">
        <v>209</v>
      </c>
      <c r="AG32" s="35" t="s">
        <v>92</v>
      </c>
    </row>
    <row r="33" spans="1:22" x14ac:dyDescent="0.2">
      <c r="V33" s="1"/>
    </row>
    <row r="34" spans="1:22" x14ac:dyDescent="0.2">
      <c r="V34" s="1"/>
    </row>
    <row r="35" spans="1:22" x14ac:dyDescent="0.2">
      <c r="G35" s="34"/>
      <c r="H35" s="35" t="s">
        <v>90</v>
      </c>
      <c r="V35" s="1"/>
    </row>
    <row r="36" spans="1:22" x14ac:dyDescent="0.2">
      <c r="G36" s="56" t="s">
        <v>209</v>
      </c>
      <c r="H36" s="35" t="s">
        <v>92</v>
      </c>
      <c r="V36" s="1"/>
    </row>
    <row r="37" spans="1:22" x14ac:dyDescent="0.2">
      <c r="V37" s="1"/>
    </row>
    <row r="38" spans="1:22" x14ac:dyDescent="0.2">
      <c r="V38" s="1"/>
    </row>
    <row r="39" spans="1:22" x14ac:dyDescent="0.2">
      <c r="V39" s="1"/>
    </row>
    <row r="40" spans="1:22" x14ac:dyDescent="0.2">
      <c r="V40" s="1"/>
    </row>
    <row r="41" spans="1:22" ht="21" x14ac:dyDescent="0.25">
      <c r="A41" s="46"/>
    </row>
    <row r="55" spans="15:22" x14ac:dyDescent="0.2">
      <c r="O55" s="2" t="s">
        <v>0</v>
      </c>
      <c r="P55" s="2" t="s">
        <v>1</v>
      </c>
      <c r="Q55" s="22" t="s">
        <v>61</v>
      </c>
      <c r="R55" s="22" t="s">
        <v>62</v>
      </c>
      <c r="S55" s="22" t="s">
        <v>63</v>
      </c>
      <c r="T55" s="2" t="s">
        <v>2</v>
      </c>
      <c r="U55" s="2" t="s">
        <v>3</v>
      </c>
    </row>
    <row r="56" spans="15:22" x14ac:dyDescent="0.2">
      <c r="O56" s="27">
        <v>1</v>
      </c>
      <c r="P56" s="2"/>
      <c r="Q56" s="41"/>
      <c r="R56" s="42"/>
      <c r="S56" s="26"/>
      <c r="T56" s="2"/>
      <c r="U56" s="24"/>
    </row>
    <row r="57" spans="15:22" x14ac:dyDescent="0.2">
      <c r="O57" s="15">
        <v>2</v>
      </c>
      <c r="P57" s="29"/>
      <c r="Q57" s="30"/>
      <c r="R57" s="36"/>
      <c r="S57" s="26"/>
      <c r="T57" s="29"/>
      <c r="U57" s="24"/>
    </row>
    <row r="58" spans="15:22" x14ac:dyDescent="0.2">
      <c r="O58" s="15">
        <v>3</v>
      </c>
      <c r="P58" s="29"/>
      <c r="Q58" s="30"/>
      <c r="R58" s="36"/>
      <c r="S58" s="39"/>
      <c r="T58" s="29"/>
      <c r="U58" s="16"/>
    </row>
    <row r="59" spans="15:22" x14ac:dyDescent="0.2">
      <c r="O59" s="27">
        <v>4</v>
      </c>
      <c r="P59" s="29"/>
      <c r="Q59" s="30"/>
      <c r="R59" s="36"/>
      <c r="S59" s="39"/>
      <c r="T59" s="29"/>
      <c r="U59" s="24"/>
    </row>
    <row r="60" spans="15:22" x14ac:dyDescent="0.2">
      <c r="O60" s="15">
        <v>5</v>
      </c>
      <c r="P60" s="29"/>
      <c r="Q60" s="30"/>
      <c r="R60" s="36"/>
      <c r="S60" s="26"/>
      <c r="T60" s="29"/>
      <c r="U60" s="24"/>
    </row>
    <row r="61" spans="15:22" x14ac:dyDescent="0.2">
      <c r="O61" s="15">
        <v>6</v>
      </c>
      <c r="P61" s="29"/>
      <c r="Q61" s="30"/>
      <c r="R61" s="36"/>
      <c r="S61" s="26"/>
      <c r="T61" s="29"/>
      <c r="U61" s="24"/>
    </row>
    <row r="62" spans="15:22" x14ac:dyDescent="0.2">
      <c r="O62" s="27">
        <v>7</v>
      </c>
      <c r="P62" s="29"/>
      <c r="Q62" s="30"/>
      <c r="R62" s="36"/>
      <c r="S62" s="39"/>
      <c r="T62" s="29"/>
      <c r="U62" s="24"/>
    </row>
    <row r="63" spans="15:22" x14ac:dyDescent="0.2">
      <c r="O63" s="15">
        <v>8</v>
      </c>
      <c r="P63" s="29"/>
      <c r="Q63" s="30"/>
      <c r="R63" s="36"/>
      <c r="S63" s="26"/>
      <c r="T63" s="29"/>
      <c r="U63" s="24"/>
      <c r="V63" s="1"/>
    </row>
    <row r="64" spans="15:22" x14ac:dyDescent="0.2">
      <c r="O64" s="15">
        <v>9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27">
        <v>10</v>
      </c>
      <c r="P65" s="29"/>
      <c r="Q65" s="30"/>
      <c r="R65" s="36"/>
      <c r="S65" s="26"/>
      <c r="T65" s="29"/>
      <c r="U65" s="24"/>
      <c r="V65" s="1"/>
    </row>
    <row r="66" spans="15:22" x14ac:dyDescent="0.2">
      <c r="O66" s="15">
        <v>11</v>
      </c>
      <c r="P66" s="29"/>
      <c r="Q66" s="30"/>
      <c r="R66" s="36"/>
      <c r="S66" s="26"/>
      <c r="T66" s="29"/>
      <c r="U66" s="24"/>
    </row>
    <row r="67" spans="15:22" x14ac:dyDescent="0.2">
      <c r="O67" s="1">
        <v>12</v>
      </c>
      <c r="P67" s="29"/>
      <c r="Q67" s="30"/>
      <c r="R67" s="36"/>
      <c r="S67" s="39"/>
      <c r="T67" s="29"/>
      <c r="U67" s="25"/>
    </row>
    <row r="68" spans="15:22" x14ac:dyDescent="0.2">
      <c r="O68" s="28">
        <v>13</v>
      </c>
      <c r="P68" s="29"/>
      <c r="Q68" s="30"/>
      <c r="R68" s="36"/>
      <c r="S68" s="26"/>
      <c r="T68" s="29"/>
      <c r="U68" s="25"/>
    </row>
    <row r="69" spans="15:22" x14ac:dyDescent="0.2">
      <c r="O69" s="27">
        <v>14</v>
      </c>
      <c r="P69" s="29"/>
      <c r="Q69" s="30"/>
      <c r="R69" s="36"/>
      <c r="S69" s="26"/>
      <c r="T69" s="29"/>
      <c r="U69" s="24"/>
    </row>
    <row r="70" spans="15:22" x14ac:dyDescent="0.2">
      <c r="O70" s="15">
        <v>15</v>
      </c>
      <c r="P70" s="29"/>
      <c r="Q70" s="30"/>
      <c r="R70" s="36"/>
      <c r="S70" s="26"/>
      <c r="T70" s="29"/>
      <c r="U70" s="24"/>
    </row>
    <row r="71" spans="15:22" x14ac:dyDescent="0.2">
      <c r="O71" s="1">
        <v>16</v>
      </c>
      <c r="P71" s="29"/>
      <c r="Q71" s="30"/>
      <c r="R71" s="36"/>
      <c r="S71" s="26"/>
      <c r="T71" s="29"/>
      <c r="U71" s="25"/>
    </row>
    <row r="72" spans="15:22" x14ac:dyDescent="0.2">
      <c r="O72" s="28">
        <v>17</v>
      </c>
      <c r="P72" s="29"/>
      <c r="Q72" s="30"/>
      <c r="R72" s="36"/>
      <c r="S72" s="26"/>
      <c r="T72" s="29"/>
      <c r="U72" s="25"/>
    </row>
    <row r="73" spans="15:22" x14ac:dyDescent="0.2">
      <c r="O73" s="27">
        <v>18</v>
      </c>
      <c r="P73" s="29"/>
      <c r="Q73" s="30"/>
      <c r="R73" s="36"/>
      <c r="S73" s="26"/>
      <c r="T73" s="29"/>
      <c r="U73" s="24"/>
    </row>
    <row r="74" spans="15:22" x14ac:dyDescent="0.2">
      <c r="O74" s="1">
        <v>19</v>
      </c>
      <c r="P74" s="29"/>
      <c r="Q74" s="30"/>
      <c r="R74" s="36"/>
      <c r="S74" s="39"/>
      <c r="T74" s="29"/>
      <c r="U74" s="25"/>
    </row>
    <row r="75" spans="15:22" x14ac:dyDescent="0.2">
      <c r="O75" s="1">
        <v>20</v>
      </c>
      <c r="P75" s="29"/>
      <c r="Q75" s="30"/>
      <c r="R75" s="36"/>
      <c r="S75" s="39"/>
      <c r="T75" s="29"/>
      <c r="U75" s="25"/>
    </row>
    <row r="76" spans="15:22" x14ac:dyDescent="0.2">
      <c r="O76" s="28">
        <v>21</v>
      </c>
      <c r="P76" s="29"/>
      <c r="Q76" s="30"/>
      <c r="R76" s="36"/>
      <c r="S76" s="26"/>
      <c r="T76" s="29"/>
      <c r="U76" s="25"/>
    </row>
    <row r="77" spans="15:22" x14ac:dyDescent="0.2">
      <c r="O77" s="27">
        <v>22</v>
      </c>
      <c r="P77" s="29"/>
      <c r="Q77" s="30"/>
      <c r="R77" s="36"/>
      <c r="S77" s="26"/>
      <c r="T77" s="29"/>
      <c r="U77" s="25"/>
    </row>
  </sheetData>
  <mergeCells count="19"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  <mergeCell ref="O1:X1"/>
    <mergeCell ref="AA1:AJ1"/>
    <mergeCell ref="AM1:AV1"/>
    <mergeCell ref="B2:K2"/>
    <mergeCell ref="O2:X2"/>
    <mergeCell ref="AA2:AJ2"/>
    <mergeCell ref="AM2:AV2"/>
  </mergeCells>
  <pageMargins left="0.12" right="0.12" top="0.75" bottom="0.75" header="0.3" footer="0.3"/>
  <pageSetup paperSize="5" scale="82" fitToWidth="0" orientation="landscape" horizontalDpi="360" verticalDpi="360" r:id="rId1"/>
  <rowBreaks count="1" manualBreakCount="1">
    <brk id="40" max="46" man="1"/>
  </rowBreaks>
  <colBreaks count="3" manualBreakCount="3">
    <brk id="12" min="1" max="39" man="1"/>
    <brk id="25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8F77-88A6-4DE5-8150-02616DE2B73C}">
  <sheetPr>
    <tabColor theme="7" tint="0.39997558519241921"/>
  </sheetPr>
  <dimension ref="A1:AV76"/>
  <sheetViews>
    <sheetView showGridLines="0" view="pageBreakPreview" topLeftCell="AS1" zoomScale="70" zoomScaleNormal="55" zoomScaleSheetLayoutView="70" workbookViewId="0">
      <selection activeCell="AN7" sqref="AN7:AS21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2" x14ac:dyDescent="0.25">
      <c r="B1" s="59"/>
      <c r="C1" s="59"/>
      <c r="D1" s="59"/>
      <c r="E1" s="59"/>
      <c r="F1" s="59"/>
      <c r="G1" s="59"/>
      <c r="H1" s="59"/>
      <c r="I1" s="59"/>
      <c r="J1" s="59" t="s">
        <v>625</v>
      </c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COUNTIF(Table13245678910111321252934394449546149141924293336424753919786104110116122127131136141914241930364248546066727782879297[Retase],"&gt;3")</f>
        <v>16</v>
      </c>
      <c r="D3" t="s">
        <v>241</v>
      </c>
      <c r="O3" s="60">
        <f>COUNTIF(Table134567891011172226303540455055625101520253034384348549298871051111171231281321371421015252031374349556167737883889398[Retase],"&gt;3")</f>
        <v>1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COUNTIF(Table134567891011151819232731374247525927121722273228414652909680103109115121126120135140813231828344046525864707580859095100[Retase],"&gt;4")</f>
        <v>12</v>
      </c>
      <c r="AM3" s="60">
        <f>COUNTIF(Table134567891011151819232731374247525927121722273228414652909680103109115121126120135140813231829354147535965717681869196[Retase],"&gt;3")</f>
        <v>13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45431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45431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45431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45431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3" t="s">
        <v>118</v>
      </c>
      <c r="D7" s="21">
        <v>0.41736111111111113</v>
      </c>
      <c r="E7" s="21">
        <v>0.51527777777777783</v>
      </c>
      <c r="F7" s="38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9.7916666666666707E-2</v>
      </c>
      <c r="G7" s="20">
        <v>1</v>
      </c>
      <c r="H7" s="65" t="s">
        <v>626</v>
      </c>
      <c r="J7" s="4" t="s">
        <v>10</v>
      </c>
      <c r="K7" s="6">
        <v>23</v>
      </c>
      <c r="L7" s="19"/>
      <c r="N7" s="56"/>
      <c r="O7" s="15">
        <v>1</v>
      </c>
      <c r="P7" s="23" t="s">
        <v>36</v>
      </c>
      <c r="Q7" s="40">
        <v>0.29097222222222224</v>
      </c>
      <c r="R7" s="40">
        <v>0.54652777777777783</v>
      </c>
      <c r="S7" s="37">
        <f>R7-Q7</f>
        <v>0.25555555555555559</v>
      </c>
      <c r="T7" s="23">
        <v>2</v>
      </c>
      <c r="U7" s="65" t="s">
        <v>632</v>
      </c>
      <c r="W7" s="4" t="s">
        <v>10</v>
      </c>
      <c r="X7" s="6">
        <v>8</v>
      </c>
      <c r="AA7" s="15">
        <v>1</v>
      </c>
      <c r="AB7" s="23" t="s">
        <v>45</v>
      </c>
      <c r="AC7" s="21">
        <v>0.22083333333333333</v>
      </c>
      <c r="AD7" s="21">
        <v>0.55555555555555558</v>
      </c>
      <c r="AE7" s="37">
        <f t="shared" ref="AE7:AE28" si="0">AD7-AC7</f>
        <v>0.33472222222222225</v>
      </c>
      <c r="AF7" s="20">
        <v>2</v>
      </c>
      <c r="AG7" s="16" t="s">
        <v>635</v>
      </c>
      <c r="AI7" s="4" t="s">
        <v>10</v>
      </c>
      <c r="AJ7" s="6">
        <v>33</v>
      </c>
      <c r="AM7" s="50">
        <v>1</v>
      </c>
      <c r="AN7" s="31" t="s">
        <v>278</v>
      </c>
      <c r="AO7" s="32">
        <v>0.29236111111111113</v>
      </c>
      <c r="AP7" s="32">
        <v>0.65069444444444446</v>
      </c>
      <c r="AQ7" s="51">
        <f t="shared" ref="AQ7:AQ21" si="1">AP7-AO7</f>
        <v>0.35833333333333334</v>
      </c>
      <c r="AR7" s="31">
        <v>3</v>
      </c>
      <c r="AS7" s="55" t="s">
        <v>640</v>
      </c>
      <c r="AU7" s="4" t="s">
        <v>10</v>
      </c>
      <c r="AV7" s="6">
        <v>15</v>
      </c>
    </row>
    <row r="8" spans="1:48" s="1" customFormat="1" x14ac:dyDescent="0.2">
      <c r="A8"/>
      <c r="B8" s="15">
        <v>2</v>
      </c>
      <c r="C8" s="23" t="s">
        <v>12</v>
      </c>
      <c r="D8" s="21">
        <v>0.27569444444444446</v>
      </c>
      <c r="E8" s="21">
        <v>0.64027777777777783</v>
      </c>
      <c r="F8" s="38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0.36458333333333337</v>
      </c>
      <c r="G8" s="20">
        <v>2</v>
      </c>
      <c r="H8" s="67" t="s">
        <v>631</v>
      </c>
      <c r="J8" s="4" t="s">
        <v>9</v>
      </c>
      <c r="K8" s="7">
        <v>23</v>
      </c>
      <c r="L8" s="19"/>
      <c r="O8" s="15">
        <v>2</v>
      </c>
      <c r="P8" s="23" t="s">
        <v>37</v>
      </c>
      <c r="Q8" s="40">
        <v>0.28958333333333336</v>
      </c>
      <c r="R8" s="40">
        <v>0.46527777777777773</v>
      </c>
      <c r="S8" s="37">
        <f>R8-Q8</f>
        <v>0.17569444444444438</v>
      </c>
      <c r="T8" s="23">
        <v>2</v>
      </c>
      <c r="U8" s="65" t="s">
        <v>633</v>
      </c>
      <c r="W8" s="4" t="s">
        <v>9</v>
      </c>
      <c r="X8" s="7">
        <v>5</v>
      </c>
      <c r="Z8" s="56"/>
      <c r="AA8" s="15">
        <v>2</v>
      </c>
      <c r="AB8" s="23" t="s">
        <v>58</v>
      </c>
      <c r="AC8" s="40">
        <v>0.28958333333333336</v>
      </c>
      <c r="AD8" s="40">
        <v>0.67708333333333337</v>
      </c>
      <c r="AE8" s="38">
        <f t="shared" si="0"/>
        <v>0.38750000000000001</v>
      </c>
      <c r="AF8" s="20">
        <v>3</v>
      </c>
      <c r="AG8" s="16" t="s">
        <v>642</v>
      </c>
      <c r="AI8" s="4" t="s">
        <v>9</v>
      </c>
      <c r="AJ8" s="6">
        <v>22</v>
      </c>
      <c r="AM8" s="50">
        <v>2</v>
      </c>
      <c r="AN8" s="31" t="s">
        <v>305</v>
      </c>
      <c r="AO8" s="32">
        <v>0.30138888888888887</v>
      </c>
      <c r="AP8" s="32">
        <v>0.63541666666666663</v>
      </c>
      <c r="AQ8" s="51">
        <f t="shared" si="1"/>
        <v>0.33402777777777776</v>
      </c>
      <c r="AR8" s="31">
        <v>3</v>
      </c>
      <c r="AS8" s="55" t="s">
        <v>641</v>
      </c>
      <c r="AU8" s="4" t="s">
        <v>9</v>
      </c>
      <c r="AV8" s="6">
        <v>15</v>
      </c>
    </row>
    <row r="9" spans="1:48" s="1" customFormat="1" x14ac:dyDescent="0.2">
      <c r="A9" s="56"/>
      <c r="B9" s="15">
        <v>3</v>
      </c>
      <c r="C9" s="23" t="s">
        <v>13</v>
      </c>
      <c r="D9" s="21">
        <v>0.25972222222222224</v>
      </c>
      <c r="E9" s="21">
        <v>0.55694444444444446</v>
      </c>
      <c r="F9" s="38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0.29722222222222222</v>
      </c>
      <c r="G9" s="20">
        <v>2</v>
      </c>
      <c r="H9" s="67" t="s">
        <v>627</v>
      </c>
      <c r="J9" s="4" t="s">
        <v>4</v>
      </c>
      <c r="K9" s="7">
        <v>0</v>
      </c>
      <c r="L9" s="19"/>
      <c r="N9" s="56"/>
      <c r="O9" s="15">
        <v>3</v>
      </c>
      <c r="P9" s="23" t="s">
        <v>38</v>
      </c>
      <c r="Q9" s="40">
        <v>0.28958333333333336</v>
      </c>
      <c r="R9" s="40">
        <v>0.62916666666666665</v>
      </c>
      <c r="S9" s="37">
        <f>R9-Q9</f>
        <v>0.33958333333333329</v>
      </c>
      <c r="T9" s="23">
        <v>3</v>
      </c>
      <c r="U9" s="24" t="s">
        <v>634</v>
      </c>
      <c r="W9" s="4" t="s">
        <v>4</v>
      </c>
      <c r="X9" s="7">
        <v>0</v>
      </c>
      <c r="Z9" s="56"/>
      <c r="AA9" s="15">
        <v>3</v>
      </c>
      <c r="AB9" s="23" t="s">
        <v>77</v>
      </c>
      <c r="AC9" s="40">
        <v>0.25138888888888888</v>
      </c>
      <c r="AD9" s="40">
        <v>0.59583333333333333</v>
      </c>
      <c r="AE9" s="38">
        <f t="shared" si="0"/>
        <v>0.34444444444444444</v>
      </c>
      <c r="AF9" s="20">
        <v>3</v>
      </c>
      <c r="AG9" s="16" t="s">
        <v>636</v>
      </c>
      <c r="AI9" s="4" t="s">
        <v>4</v>
      </c>
      <c r="AJ9" s="7">
        <v>1</v>
      </c>
      <c r="AM9" s="1">
        <v>3</v>
      </c>
      <c r="AN9" s="2" t="s">
        <v>300</v>
      </c>
      <c r="AO9" s="41">
        <v>0.28888888888888892</v>
      </c>
      <c r="AP9" s="41">
        <v>0.66111111111111109</v>
      </c>
      <c r="AQ9" s="26">
        <f t="shared" si="1"/>
        <v>0.37222222222222218</v>
      </c>
      <c r="AR9" s="2">
        <v>4</v>
      </c>
      <c r="AS9" s="45" t="s">
        <v>25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3" t="s">
        <v>20</v>
      </c>
      <c r="D10" s="21">
        <v>0.26597222222222222</v>
      </c>
      <c r="E10" s="21">
        <v>0.62222222222222223</v>
      </c>
      <c r="F10" s="38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0.35625000000000001</v>
      </c>
      <c r="G10" s="20">
        <v>3</v>
      </c>
      <c r="H10" s="67" t="s">
        <v>223</v>
      </c>
      <c r="J10" s="4" t="s">
        <v>5</v>
      </c>
      <c r="K10" s="7">
        <v>0</v>
      </c>
      <c r="L10" s="19"/>
      <c r="O10" s="15">
        <v>4</v>
      </c>
      <c r="P10" s="23" t="s">
        <v>201</v>
      </c>
      <c r="Q10" s="40">
        <v>0.28888888888888892</v>
      </c>
      <c r="R10" s="40">
        <v>0.62777777777777777</v>
      </c>
      <c r="S10" s="37">
        <f>R10-Q10</f>
        <v>0.33888888888888885</v>
      </c>
      <c r="T10" s="23">
        <v>3</v>
      </c>
      <c r="U10" s="16" t="s">
        <v>425</v>
      </c>
      <c r="W10" s="4" t="s">
        <v>5</v>
      </c>
      <c r="X10" s="7">
        <v>3</v>
      </c>
      <c r="Z10" s="56"/>
      <c r="AA10" s="15">
        <v>4</v>
      </c>
      <c r="AB10" s="23" t="s">
        <v>59</v>
      </c>
      <c r="AC10" s="40">
        <v>0.24930555555555556</v>
      </c>
      <c r="AD10" s="40">
        <v>0.54305555555555551</v>
      </c>
      <c r="AE10" s="38">
        <f t="shared" si="0"/>
        <v>0.29374999999999996</v>
      </c>
      <c r="AF10" s="20">
        <v>3</v>
      </c>
      <c r="AG10" s="16" t="s">
        <v>628</v>
      </c>
      <c r="AI10" s="4" t="s">
        <v>5</v>
      </c>
      <c r="AJ10" s="7">
        <v>10</v>
      </c>
      <c r="AL10" s="54"/>
      <c r="AM10" s="1">
        <v>4</v>
      </c>
      <c r="AN10" s="2" t="s">
        <v>232</v>
      </c>
      <c r="AO10" s="41">
        <v>0.23819444444444446</v>
      </c>
      <c r="AP10" s="41">
        <v>0.66736111111111107</v>
      </c>
      <c r="AQ10" s="26">
        <f t="shared" si="1"/>
        <v>0.42916666666666659</v>
      </c>
      <c r="AR10" s="2">
        <v>4</v>
      </c>
      <c r="AS10" s="45" t="s">
        <v>25</v>
      </c>
      <c r="AU10" s="4" t="s">
        <v>5</v>
      </c>
      <c r="AV10" s="7">
        <v>1</v>
      </c>
    </row>
    <row r="11" spans="1:48" s="1" customFormat="1" x14ac:dyDescent="0.2">
      <c r="A11" s="56" t="s">
        <v>209</v>
      </c>
      <c r="B11" s="15">
        <v>5</v>
      </c>
      <c r="C11" s="23" t="s">
        <v>70</v>
      </c>
      <c r="D11" s="21">
        <v>0.3125</v>
      </c>
      <c r="E11" s="21">
        <v>0.7006944444444444</v>
      </c>
      <c r="F11" s="38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0.3881944444444444</v>
      </c>
      <c r="G11" s="20">
        <v>3</v>
      </c>
      <c r="H11" s="16" t="s">
        <v>628</v>
      </c>
      <c r="J11" s="4" t="s">
        <v>6</v>
      </c>
      <c r="K11" s="7">
        <v>0</v>
      </c>
      <c r="O11" s="1">
        <v>5</v>
      </c>
      <c r="P11" s="29" t="s">
        <v>42</v>
      </c>
      <c r="Q11" s="30">
        <v>0.28958333333333336</v>
      </c>
      <c r="R11" s="30">
        <v>0.7090277777777777</v>
      </c>
      <c r="S11" s="39">
        <f>R11-Q11</f>
        <v>0.41944444444444434</v>
      </c>
      <c r="T11" s="29">
        <v>4</v>
      </c>
      <c r="U11" s="25" t="s">
        <v>25</v>
      </c>
      <c r="W11" s="4" t="s">
        <v>33</v>
      </c>
      <c r="X11" s="7">
        <v>0</v>
      </c>
      <c r="Z11" s="56" t="s">
        <v>209</v>
      </c>
      <c r="AA11" s="15">
        <v>5</v>
      </c>
      <c r="AB11" s="23" t="s">
        <v>81</v>
      </c>
      <c r="AC11" s="40">
        <v>0.23680555555555557</v>
      </c>
      <c r="AD11" s="40">
        <v>0.53472222222222221</v>
      </c>
      <c r="AE11" s="38">
        <f t="shared" si="0"/>
        <v>0.29791666666666661</v>
      </c>
      <c r="AF11" s="20">
        <v>3</v>
      </c>
      <c r="AG11" s="16" t="s">
        <v>637</v>
      </c>
      <c r="AI11" s="4" t="s">
        <v>6</v>
      </c>
      <c r="AJ11" s="7">
        <v>0</v>
      </c>
      <c r="AM11" s="1">
        <v>5</v>
      </c>
      <c r="AN11" s="2" t="s">
        <v>559</v>
      </c>
      <c r="AO11" s="41">
        <v>0.24722222222222223</v>
      </c>
      <c r="AP11" s="41">
        <v>0.67638888888888893</v>
      </c>
      <c r="AQ11" s="26">
        <f t="shared" si="1"/>
        <v>0.4291666666666667</v>
      </c>
      <c r="AR11" s="2">
        <v>4</v>
      </c>
      <c r="AS11" s="45" t="s">
        <v>25</v>
      </c>
      <c r="AU11" s="4" t="s">
        <v>6</v>
      </c>
      <c r="AV11" s="7">
        <v>23</v>
      </c>
    </row>
    <row r="12" spans="1:48" s="1" customFormat="1" x14ac:dyDescent="0.2">
      <c r="A12" s="56" t="s">
        <v>209</v>
      </c>
      <c r="B12" s="15">
        <v>6</v>
      </c>
      <c r="C12" s="23" t="s">
        <v>121</v>
      </c>
      <c r="D12" s="21">
        <v>0.28611111111111115</v>
      </c>
      <c r="E12" s="21">
        <v>0.66736111111111107</v>
      </c>
      <c r="F12" s="38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0.38124999999999992</v>
      </c>
      <c r="G12" s="20">
        <v>3</v>
      </c>
      <c r="H12" s="65" t="s">
        <v>629</v>
      </c>
      <c r="J12" s="8" t="s">
        <v>8</v>
      </c>
      <c r="K12" s="9">
        <f>SUM(Table13245678910111321252934394449546149141924293336424753919786104110116122127131136141914241930364248546066727782879297[Retase])</f>
        <v>81</v>
      </c>
      <c r="L12" s="19"/>
      <c r="N12" s="54"/>
      <c r="O12"/>
      <c r="P12"/>
      <c r="Q12"/>
      <c r="R12"/>
      <c r="S12"/>
      <c r="T12"/>
      <c r="U12"/>
      <c r="W12" s="8" t="s">
        <v>8</v>
      </c>
      <c r="X12" s="9">
        <f>SUM(Table134567891011172226303540455055625101520253034384348549298871051111171231281321371421015252031374349556167737883889398[Retase])</f>
        <v>14</v>
      </c>
      <c r="AA12" s="15">
        <v>6</v>
      </c>
      <c r="AB12" s="23" t="s">
        <v>82</v>
      </c>
      <c r="AC12" s="40">
        <v>0.28958333333333336</v>
      </c>
      <c r="AD12" s="40">
        <v>0.64166666666666672</v>
      </c>
      <c r="AE12" s="38">
        <f t="shared" si="0"/>
        <v>0.35208333333333336</v>
      </c>
      <c r="AF12" s="20">
        <v>4</v>
      </c>
      <c r="AG12" s="16" t="s">
        <v>639</v>
      </c>
      <c r="AI12" s="8" t="s">
        <v>8</v>
      </c>
      <c r="AJ12" s="9">
        <f>SUM(Table134567891011151819232731374247525927121722273228414652909680103109115121126120135140813231828344046525864707580859095100[Retase])</f>
        <v>97</v>
      </c>
      <c r="AM12" s="1">
        <v>6</v>
      </c>
      <c r="AN12" s="2" t="s">
        <v>234</v>
      </c>
      <c r="AO12" s="41">
        <v>0.24791666666666667</v>
      </c>
      <c r="AP12" s="41">
        <v>0.69374999999999998</v>
      </c>
      <c r="AQ12" s="26">
        <f t="shared" si="1"/>
        <v>0.4458333333333333</v>
      </c>
      <c r="AR12" s="2">
        <v>4</v>
      </c>
      <c r="AS12" s="45" t="s">
        <v>25</v>
      </c>
      <c r="AU12" s="8" t="s">
        <v>8</v>
      </c>
      <c r="AV12" s="9">
        <f>SUM(Table134567891011151819232731374247525927121722273228414652909680103109115121126120135140813231829354147535965717681869196[Retase])</f>
        <v>63</v>
      </c>
    </row>
    <row r="13" spans="1:48" s="1" customFormat="1" x14ac:dyDescent="0.2">
      <c r="A13"/>
      <c r="B13" s="15">
        <v>7</v>
      </c>
      <c r="C13" s="23" t="s">
        <v>68</v>
      </c>
      <c r="D13" s="21">
        <v>0.26874999999999999</v>
      </c>
      <c r="E13" s="21">
        <v>0.66736111111111107</v>
      </c>
      <c r="F13" s="38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0.39861111111111108</v>
      </c>
      <c r="G13" s="20">
        <v>3</v>
      </c>
      <c r="H13" s="65" t="s">
        <v>630</v>
      </c>
      <c r="J13" s="10" t="s">
        <v>7</v>
      </c>
      <c r="K13" s="11">
        <f>K12/K8</f>
        <v>3.5217391304347827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2.8</v>
      </c>
      <c r="Z13" s="56"/>
      <c r="AA13" s="15">
        <v>7</v>
      </c>
      <c r="AB13" s="23" t="s">
        <v>40</v>
      </c>
      <c r="AC13" s="40">
        <v>0.26874999999999999</v>
      </c>
      <c r="AD13" s="40">
        <v>0.64583333333333337</v>
      </c>
      <c r="AE13" s="38">
        <f t="shared" si="0"/>
        <v>0.37708333333333338</v>
      </c>
      <c r="AF13" s="20">
        <v>4</v>
      </c>
      <c r="AG13" s="16" t="s">
        <v>639</v>
      </c>
      <c r="AI13" s="10" t="s">
        <v>7</v>
      </c>
      <c r="AJ13" s="11">
        <f>AJ12/AJ8</f>
        <v>4.4090909090909092</v>
      </c>
      <c r="AM13" s="1">
        <v>7</v>
      </c>
      <c r="AN13" s="2" t="s">
        <v>235</v>
      </c>
      <c r="AO13" s="41">
        <v>0.27777777777777779</v>
      </c>
      <c r="AP13" s="41">
        <v>0.73611111111111116</v>
      </c>
      <c r="AQ13" s="26">
        <f t="shared" si="1"/>
        <v>0.45833333333333337</v>
      </c>
      <c r="AR13" s="2">
        <v>4</v>
      </c>
      <c r="AS13" s="45" t="s">
        <v>25</v>
      </c>
      <c r="AU13" s="10" t="s">
        <v>7</v>
      </c>
      <c r="AV13" s="11">
        <f>AV12/AV8</f>
        <v>4.2</v>
      </c>
    </row>
    <row r="14" spans="1:48" s="1" customFormat="1" x14ac:dyDescent="0.2">
      <c r="A14"/>
      <c r="B14" s="1">
        <v>8</v>
      </c>
      <c r="C14" s="29" t="s">
        <v>65</v>
      </c>
      <c r="D14" s="41">
        <v>0.26874999999999999</v>
      </c>
      <c r="E14" s="30">
        <v>0.71111111111111114</v>
      </c>
      <c r="F14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0.44236111111111115</v>
      </c>
      <c r="G14" s="2">
        <v>4</v>
      </c>
      <c r="H14" s="69" t="s">
        <v>25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15">
        <v>8</v>
      </c>
      <c r="AB14" s="23" t="s">
        <v>35</v>
      </c>
      <c r="AC14" s="40">
        <v>0.3840277777777778</v>
      </c>
      <c r="AD14" s="40">
        <v>0.7270833333333333</v>
      </c>
      <c r="AE14" s="38">
        <f t="shared" si="0"/>
        <v>0.3430555555555555</v>
      </c>
      <c r="AF14" s="20">
        <v>4</v>
      </c>
      <c r="AG14" s="16" t="s">
        <v>639</v>
      </c>
      <c r="AI14" s="12" t="s">
        <v>11</v>
      </c>
      <c r="AJ14" s="13">
        <v>5</v>
      </c>
      <c r="AM14" s="1">
        <v>8</v>
      </c>
      <c r="AN14" s="2" t="s">
        <v>236</v>
      </c>
      <c r="AO14" s="41">
        <v>0.25555555555555559</v>
      </c>
      <c r="AP14" s="41">
        <v>0.6972222222222223</v>
      </c>
      <c r="AQ14" s="26">
        <f t="shared" si="1"/>
        <v>0.44166666666666671</v>
      </c>
      <c r="AR14" s="2">
        <v>4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">
        <v>9</v>
      </c>
      <c r="C15" s="29" t="s">
        <v>119</v>
      </c>
      <c r="D15" s="41">
        <v>0.28333333333333333</v>
      </c>
      <c r="E15" s="41">
        <v>0.72291666666666676</v>
      </c>
      <c r="F15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0.43958333333333344</v>
      </c>
      <c r="G15" s="2">
        <v>4</v>
      </c>
      <c r="H15" s="69" t="s">
        <v>25</v>
      </c>
      <c r="J15" s="12" t="s">
        <v>88</v>
      </c>
      <c r="K15" s="14">
        <f>B3/K8</f>
        <v>0.69565217391304346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0.2</v>
      </c>
      <c r="Z15" s="56"/>
      <c r="AA15" s="15">
        <v>9</v>
      </c>
      <c r="AB15" s="23" t="s">
        <v>48</v>
      </c>
      <c r="AC15" s="40">
        <v>0.27499999999999997</v>
      </c>
      <c r="AD15" s="40">
        <v>0.68541666666666667</v>
      </c>
      <c r="AE15" s="38">
        <f t="shared" si="0"/>
        <v>0.41041666666666671</v>
      </c>
      <c r="AF15" s="20">
        <v>4</v>
      </c>
      <c r="AG15" s="16" t="s">
        <v>639</v>
      </c>
      <c r="AI15" s="12" t="s">
        <v>88</v>
      </c>
      <c r="AJ15" s="14">
        <f>AA3/AJ8</f>
        <v>0.54545454545454541</v>
      </c>
      <c r="AM15" s="1">
        <v>9</v>
      </c>
      <c r="AN15" s="2" t="s">
        <v>271</v>
      </c>
      <c r="AO15" s="41">
        <v>0.26180555555555557</v>
      </c>
      <c r="AP15" s="41">
        <v>0.71527777777777779</v>
      </c>
      <c r="AQ15" s="26">
        <f t="shared" si="1"/>
        <v>0.45347222222222222</v>
      </c>
      <c r="AR15" s="2">
        <v>4</v>
      </c>
      <c r="AS15" s="45" t="s">
        <v>25</v>
      </c>
      <c r="AU15" s="12" t="s">
        <v>88</v>
      </c>
      <c r="AV15" s="14">
        <f>AM3/AV8</f>
        <v>0.8666666666666667</v>
      </c>
    </row>
    <row r="16" spans="1:48" x14ac:dyDescent="0.2">
      <c r="B16" s="1">
        <v>10</v>
      </c>
      <c r="C16" s="29" t="s">
        <v>14</v>
      </c>
      <c r="D16" s="41">
        <v>0.26250000000000001</v>
      </c>
      <c r="E16" s="41">
        <v>0.70138888888888884</v>
      </c>
      <c r="F16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0.43888888888888883</v>
      </c>
      <c r="G16" s="2">
        <v>4</v>
      </c>
      <c r="H16" s="69" t="s">
        <v>25</v>
      </c>
      <c r="J16" s="12" t="s">
        <v>24</v>
      </c>
      <c r="K16" s="14">
        <f>K8/K7</f>
        <v>1</v>
      </c>
      <c r="W16" s="12" t="s">
        <v>27</v>
      </c>
      <c r="X16" s="14">
        <f>X8/X7</f>
        <v>0.625</v>
      </c>
      <c r="AA16" s="15">
        <v>10</v>
      </c>
      <c r="AB16" s="23" t="s">
        <v>60</v>
      </c>
      <c r="AC16" s="40">
        <v>0.25972222222222224</v>
      </c>
      <c r="AD16" s="40">
        <v>0.68541666666666667</v>
      </c>
      <c r="AE16" s="38">
        <f t="shared" si="0"/>
        <v>0.42569444444444443</v>
      </c>
      <c r="AF16" s="20">
        <v>4</v>
      </c>
      <c r="AG16" s="16" t="s">
        <v>638</v>
      </c>
      <c r="AI16" s="12" t="s">
        <v>27</v>
      </c>
      <c r="AJ16" s="14">
        <f>AJ8/AJ7</f>
        <v>0.66666666666666663</v>
      </c>
      <c r="AM16" s="1">
        <v>10</v>
      </c>
      <c r="AN16" s="2" t="s">
        <v>307</v>
      </c>
      <c r="AO16" s="41">
        <v>0.25277777777777777</v>
      </c>
      <c r="AP16" s="41">
        <v>0.67708333333333337</v>
      </c>
      <c r="AQ16" s="26">
        <f t="shared" si="1"/>
        <v>0.4243055555555556</v>
      </c>
      <c r="AR16" s="2">
        <v>4</v>
      </c>
      <c r="AS16" s="45" t="s">
        <v>25</v>
      </c>
      <c r="AU16" s="12" t="s">
        <v>27</v>
      </c>
      <c r="AV16" s="14">
        <f>AV8/AV7</f>
        <v>1</v>
      </c>
    </row>
    <row r="17" spans="1:48" x14ac:dyDescent="0.2">
      <c r="B17" s="1">
        <v>11</v>
      </c>
      <c r="C17" s="29" t="s">
        <v>71</v>
      </c>
      <c r="D17" s="41">
        <v>0.23124999999999998</v>
      </c>
      <c r="E17" s="41">
        <v>0.65208333333333335</v>
      </c>
      <c r="F17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0.42083333333333339</v>
      </c>
      <c r="G17" s="2">
        <v>4</v>
      </c>
      <c r="H17" s="69" t="s">
        <v>25</v>
      </c>
      <c r="J17" s="12" t="s">
        <v>117</v>
      </c>
      <c r="K17" s="48">
        <f>AVERAGE(Table13245678910111321252934394449546149141924293336424753919786104110116122127131136141914241930364248546066727782879297[JAM KELUAR])</f>
        <v>0.25757850241545893</v>
      </c>
      <c r="W17" s="12" t="s">
        <v>117</v>
      </c>
      <c r="X17" s="48">
        <f>AVERAGE(Table134567891011172226303540455055625101520253034384348549298871051111171231281321371421015252031374349556167737883889398[JAM KELUAR])</f>
        <v>0.28972222222222227</v>
      </c>
      <c r="AA17" s="1">
        <v>11</v>
      </c>
      <c r="AB17" s="29" t="s">
        <v>123</v>
      </c>
      <c r="AC17" s="30">
        <v>0.30833333333333335</v>
      </c>
      <c r="AD17" s="30">
        <v>0.75486111111111109</v>
      </c>
      <c r="AE17" s="26">
        <f t="shared" si="0"/>
        <v>0.44652777777777775</v>
      </c>
      <c r="AF17" s="2">
        <v>5</v>
      </c>
      <c r="AG17" s="45" t="s">
        <v>25</v>
      </c>
      <c r="AI17" s="12" t="s">
        <v>117</v>
      </c>
      <c r="AJ17" s="48">
        <f>AVERAGE(Table134567891011151819232731374247525927121722273228414652909680103109115121126120135140813231828344046525864707580859095100[JAM KELUAR])</f>
        <v>0.26556186868686865</v>
      </c>
      <c r="AM17" s="1">
        <v>11</v>
      </c>
      <c r="AN17" s="2" t="s">
        <v>301</v>
      </c>
      <c r="AO17" s="41">
        <v>0.21319444444444444</v>
      </c>
      <c r="AP17" s="41">
        <v>0.71944444444444444</v>
      </c>
      <c r="AQ17" s="26">
        <f t="shared" si="1"/>
        <v>0.50624999999999998</v>
      </c>
      <c r="AR17" s="2">
        <v>5</v>
      </c>
      <c r="AS17" s="45" t="s">
        <v>25</v>
      </c>
      <c r="AU17" s="12" t="s">
        <v>117</v>
      </c>
      <c r="AV17" s="48">
        <f>AVERAGE(Table134567891011151819232731374247525927121722273228414652909680103109115121126120135140813231829354147535965717681869196[JAM KELUAR])</f>
        <v>0.25726851851851851</v>
      </c>
    </row>
    <row r="18" spans="1:48" x14ac:dyDescent="0.2">
      <c r="B18" s="1">
        <v>12</v>
      </c>
      <c r="C18" s="29" t="s">
        <v>72</v>
      </c>
      <c r="D18" s="41">
        <v>0.23750000000000002</v>
      </c>
      <c r="E18" s="41">
        <v>0.66111111111111109</v>
      </c>
      <c r="F18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0.42361111111111105</v>
      </c>
      <c r="G18" s="2">
        <v>4</v>
      </c>
      <c r="H18" s="69" t="s">
        <v>25</v>
      </c>
      <c r="AA18" s="1">
        <v>12</v>
      </c>
      <c r="AB18" s="29" t="s">
        <v>57</v>
      </c>
      <c r="AC18" s="30">
        <v>0.28194444444444444</v>
      </c>
      <c r="AD18" s="30">
        <v>0.74861111111111101</v>
      </c>
      <c r="AE18" s="26">
        <f t="shared" si="0"/>
        <v>0.46666666666666656</v>
      </c>
      <c r="AF18" s="2">
        <v>5</v>
      </c>
      <c r="AG18" s="45" t="s">
        <v>25</v>
      </c>
      <c r="AI18" s="17"/>
      <c r="AM18" s="1">
        <v>12</v>
      </c>
      <c r="AN18" s="2" t="s">
        <v>302</v>
      </c>
      <c r="AO18" s="41">
        <v>0.28055555555555556</v>
      </c>
      <c r="AP18" s="41">
        <v>0.72430555555555554</v>
      </c>
      <c r="AQ18" s="26">
        <f t="shared" si="1"/>
        <v>0.44374999999999998</v>
      </c>
      <c r="AR18" s="2">
        <v>5</v>
      </c>
      <c r="AS18" s="45" t="s">
        <v>25</v>
      </c>
      <c r="AU18" s="17"/>
    </row>
    <row r="19" spans="1:48" ht="15.75" customHeight="1" x14ac:dyDescent="0.2">
      <c r="A19" s="56"/>
      <c r="B19" s="1">
        <v>13</v>
      </c>
      <c r="C19" s="29" t="s">
        <v>73</v>
      </c>
      <c r="D19" s="41">
        <v>0.23333333333333331</v>
      </c>
      <c r="E19" s="41">
        <v>0.7284722222222223</v>
      </c>
      <c r="F19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0.49513888888888902</v>
      </c>
      <c r="G19" s="2">
        <v>4</v>
      </c>
      <c r="H19" s="69" t="s">
        <v>25</v>
      </c>
      <c r="AA19" s="1">
        <v>13</v>
      </c>
      <c r="AB19" s="29" t="s">
        <v>30</v>
      </c>
      <c r="AC19" s="30">
        <v>0.24722222222222223</v>
      </c>
      <c r="AD19" s="30">
        <v>0.73611111111111116</v>
      </c>
      <c r="AE19" s="26">
        <f t="shared" si="0"/>
        <v>0.48888888888888893</v>
      </c>
      <c r="AF19" s="2">
        <v>5</v>
      </c>
      <c r="AG19" s="45" t="s">
        <v>25</v>
      </c>
      <c r="AM19" s="1">
        <v>13</v>
      </c>
      <c r="AN19" s="2" t="s">
        <v>230</v>
      </c>
      <c r="AO19" s="41">
        <v>0.21041666666666667</v>
      </c>
      <c r="AP19" s="41">
        <v>0.70416666666666661</v>
      </c>
      <c r="AQ19" s="26">
        <f t="shared" si="1"/>
        <v>0.49374999999999991</v>
      </c>
      <c r="AR19" s="2">
        <v>5</v>
      </c>
      <c r="AS19" s="45" t="s">
        <v>25</v>
      </c>
    </row>
    <row r="20" spans="1:48" ht="17.25" customHeight="1" x14ac:dyDescent="0.2">
      <c r="B20" s="1">
        <v>14</v>
      </c>
      <c r="C20" s="29" t="s">
        <v>69</v>
      </c>
      <c r="D20" s="41">
        <v>0.26666666666666666</v>
      </c>
      <c r="E20" s="41">
        <v>0.70000000000000007</v>
      </c>
      <c r="F20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0.4333333333333334</v>
      </c>
      <c r="G20" s="2">
        <v>4</v>
      </c>
      <c r="H20" s="69" t="s">
        <v>25</v>
      </c>
      <c r="T20" s="34"/>
      <c r="U20" s="35" t="s">
        <v>90</v>
      </c>
      <c r="AA20" s="1">
        <v>14</v>
      </c>
      <c r="AB20" s="29" t="s">
        <v>67</v>
      </c>
      <c r="AC20" s="30">
        <v>0.23402777777777781</v>
      </c>
      <c r="AD20" s="41">
        <v>0.74305555555555547</v>
      </c>
      <c r="AE20" s="26">
        <f t="shared" si="0"/>
        <v>0.50902777777777763</v>
      </c>
      <c r="AF20" s="2">
        <v>5</v>
      </c>
      <c r="AG20" s="45" t="s">
        <v>25</v>
      </c>
      <c r="AM20" s="1">
        <v>14</v>
      </c>
      <c r="AN20" s="2" t="s">
        <v>231</v>
      </c>
      <c r="AO20" s="41">
        <v>0.26874999999999999</v>
      </c>
      <c r="AP20" s="41">
        <v>0.71597222222222223</v>
      </c>
      <c r="AQ20" s="26">
        <f t="shared" si="1"/>
        <v>0.44722222222222224</v>
      </c>
      <c r="AR20" s="2">
        <v>5</v>
      </c>
      <c r="AS20" s="45" t="s">
        <v>25</v>
      </c>
    </row>
    <row r="21" spans="1:48" ht="15.75" customHeight="1" x14ac:dyDescent="0.2">
      <c r="B21" s="1">
        <v>15</v>
      </c>
      <c r="C21" s="29" t="s">
        <v>74</v>
      </c>
      <c r="D21" s="41">
        <v>0.26319444444444445</v>
      </c>
      <c r="E21" s="41">
        <v>1704</v>
      </c>
      <c r="F21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1703.7368055555555</v>
      </c>
      <c r="G21" s="2">
        <v>4</v>
      </c>
      <c r="H21" s="69" t="s">
        <v>25</v>
      </c>
      <c r="T21" s="56" t="s">
        <v>209</v>
      </c>
      <c r="U21" s="35" t="s">
        <v>92</v>
      </c>
      <c r="AA21" s="1">
        <v>15</v>
      </c>
      <c r="AB21" s="29" t="s">
        <v>56</v>
      </c>
      <c r="AC21" s="30">
        <v>0.25486111111111109</v>
      </c>
      <c r="AD21" s="30">
        <v>0.7090277777777777</v>
      </c>
      <c r="AE21" s="26">
        <f t="shared" si="0"/>
        <v>0.45416666666666661</v>
      </c>
      <c r="AF21" s="2">
        <v>5</v>
      </c>
      <c r="AG21" s="45" t="s">
        <v>25</v>
      </c>
      <c r="AM21" s="1">
        <v>15</v>
      </c>
      <c r="AN21" s="2" t="s">
        <v>233</v>
      </c>
      <c r="AO21" s="41">
        <v>0.22222222222222221</v>
      </c>
      <c r="AP21" s="41">
        <v>0.67152777777777783</v>
      </c>
      <c r="AQ21" s="26">
        <f t="shared" si="1"/>
        <v>0.44930555555555562</v>
      </c>
      <c r="AR21" s="2">
        <v>5</v>
      </c>
      <c r="AS21" s="45" t="s">
        <v>25</v>
      </c>
    </row>
    <row r="22" spans="1:48" ht="15" customHeight="1" x14ac:dyDescent="0.2">
      <c r="B22" s="1">
        <v>16</v>
      </c>
      <c r="C22" s="29" t="s">
        <v>75</v>
      </c>
      <c r="D22" s="41">
        <v>0.21736111111111112</v>
      </c>
      <c r="E22" s="41">
        <v>0.65069444444444446</v>
      </c>
      <c r="F22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0.43333333333333335</v>
      </c>
      <c r="G22" s="2">
        <v>4</v>
      </c>
      <c r="H22" s="69" t="s">
        <v>25</v>
      </c>
      <c r="AA22" s="1">
        <v>16</v>
      </c>
      <c r="AB22" s="29" t="s">
        <v>46</v>
      </c>
      <c r="AC22" s="41">
        <v>0.27847222222222223</v>
      </c>
      <c r="AD22" s="30">
        <v>0.74722222222222223</v>
      </c>
      <c r="AE22" s="26">
        <f t="shared" si="0"/>
        <v>0.46875</v>
      </c>
      <c r="AF22" s="2">
        <v>5</v>
      </c>
      <c r="AG22" s="45" t="s">
        <v>25</v>
      </c>
    </row>
    <row r="23" spans="1:48" ht="15" customHeight="1" x14ac:dyDescent="0.2">
      <c r="B23" s="1">
        <v>17</v>
      </c>
      <c r="C23" s="2" t="s">
        <v>15</v>
      </c>
      <c r="D23" s="41">
        <v>0.2388888888888889</v>
      </c>
      <c r="E23" s="41">
        <v>0.67708333333333337</v>
      </c>
      <c r="F23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0.43819444444444444</v>
      </c>
      <c r="G23" s="2">
        <v>4</v>
      </c>
      <c r="H23" s="69" t="s">
        <v>25</v>
      </c>
      <c r="AA23" s="1">
        <v>17</v>
      </c>
      <c r="AB23" s="2" t="s">
        <v>80</v>
      </c>
      <c r="AC23" s="30">
        <v>0.22708333333333333</v>
      </c>
      <c r="AD23" s="30">
        <v>0.69236111111111109</v>
      </c>
      <c r="AE23" s="39">
        <f t="shared" si="0"/>
        <v>0.46527777777777779</v>
      </c>
      <c r="AF23" s="2">
        <v>5</v>
      </c>
      <c r="AG23" s="45" t="s">
        <v>25</v>
      </c>
    </row>
    <row r="24" spans="1:48" ht="15" customHeight="1" x14ac:dyDescent="0.2">
      <c r="B24" s="1">
        <v>18</v>
      </c>
      <c r="C24" s="2" t="s">
        <v>76</v>
      </c>
      <c r="D24" s="41">
        <v>0.19166666666666665</v>
      </c>
      <c r="E24" s="41">
        <v>0.70347222222222217</v>
      </c>
      <c r="F24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0.51180555555555551</v>
      </c>
      <c r="G24" s="2">
        <v>4</v>
      </c>
      <c r="H24" s="69" t="s">
        <v>25</v>
      </c>
      <c r="AA24" s="1">
        <v>18</v>
      </c>
      <c r="AB24" s="29" t="s">
        <v>50</v>
      </c>
      <c r="AC24" s="30">
        <v>0.26250000000000001</v>
      </c>
      <c r="AD24" s="30">
        <v>0.73402777777777783</v>
      </c>
      <c r="AE24" s="39">
        <f t="shared" si="0"/>
        <v>0.47152777777777782</v>
      </c>
      <c r="AF24" s="29">
        <v>5</v>
      </c>
      <c r="AG24" s="45" t="s">
        <v>25</v>
      </c>
    </row>
    <row r="25" spans="1:48" ht="14.5" customHeight="1" x14ac:dyDescent="0.2">
      <c r="B25" s="1">
        <v>19</v>
      </c>
      <c r="C25" s="2" t="s">
        <v>120</v>
      </c>
      <c r="D25" s="41">
        <v>0.23958333333333334</v>
      </c>
      <c r="E25" s="41">
        <v>0.72222222222222221</v>
      </c>
      <c r="F25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0.48263888888888884</v>
      </c>
      <c r="G25" s="2">
        <v>4</v>
      </c>
      <c r="H25" s="69" t="s">
        <v>25</v>
      </c>
      <c r="AA25" s="1">
        <v>19</v>
      </c>
      <c r="AB25" s="29" t="s">
        <v>51</v>
      </c>
      <c r="AC25" s="30">
        <v>0.25486111111111109</v>
      </c>
      <c r="AD25" s="30">
        <v>0.69861111111111107</v>
      </c>
      <c r="AE25" s="39">
        <f t="shared" si="0"/>
        <v>0.44374999999999998</v>
      </c>
      <c r="AF25" s="29">
        <v>5</v>
      </c>
      <c r="AG25" s="45" t="s">
        <v>25</v>
      </c>
    </row>
    <row r="26" spans="1:48" ht="14.5" customHeight="1" x14ac:dyDescent="0.2">
      <c r="B26" s="1">
        <v>20</v>
      </c>
      <c r="C26" s="2" t="s">
        <v>16</v>
      </c>
      <c r="D26" s="41">
        <v>0.25069444444444444</v>
      </c>
      <c r="E26" s="41">
        <v>0.68541666666666667</v>
      </c>
      <c r="F26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0.43472222222222223</v>
      </c>
      <c r="G26" s="2">
        <v>4</v>
      </c>
      <c r="H26" s="69" t="s">
        <v>25</v>
      </c>
      <c r="N26" s="54"/>
      <c r="AA26" s="1">
        <v>20</v>
      </c>
      <c r="AB26" s="29" t="s">
        <v>309</v>
      </c>
      <c r="AC26" s="30">
        <v>0.27986111111111112</v>
      </c>
      <c r="AD26" s="30">
        <v>0.74375000000000002</v>
      </c>
      <c r="AE26" s="39">
        <f t="shared" si="0"/>
        <v>0.46388888888888891</v>
      </c>
      <c r="AF26" s="29">
        <v>6</v>
      </c>
      <c r="AG26" s="45" t="s">
        <v>25</v>
      </c>
    </row>
    <row r="27" spans="1:48" ht="14.5" customHeight="1" x14ac:dyDescent="0.2">
      <c r="B27" s="1">
        <v>21</v>
      </c>
      <c r="C27" s="2" t="s">
        <v>17</v>
      </c>
      <c r="D27" s="41">
        <v>0.22361111111111109</v>
      </c>
      <c r="E27" s="41">
        <v>0.67638888888888893</v>
      </c>
      <c r="F27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0.45277777777777783</v>
      </c>
      <c r="G27" s="2">
        <v>4</v>
      </c>
      <c r="H27" s="69" t="s">
        <v>25</v>
      </c>
      <c r="N27" s="54"/>
      <c r="AA27" s="1">
        <v>21</v>
      </c>
      <c r="AB27" s="29" t="s">
        <v>41</v>
      </c>
      <c r="AC27" s="30">
        <v>0.24861111111111112</v>
      </c>
      <c r="AD27" s="30">
        <v>0.76180555555555562</v>
      </c>
      <c r="AE27" s="39">
        <f t="shared" si="0"/>
        <v>0.51319444444444451</v>
      </c>
      <c r="AF27" s="29">
        <v>6</v>
      </c>
      <c r="AG27" s="45" t="s">
        <v>25</v>
      </c>
    </row>
    <row r="28" spans="1:48" x14ac:dyDescent="0.2">
      <c r="B28" s="1">
        <v>22</v>
      </c>
      <c r="C28" s="2" t="s">
        <v>18</v>
      </c>
      <c r="D28" s="41">
        <v>0.25486111111111109</v>
      </c>
      <c r="E28" s="41">
        <v>0.69444444444444453</v>
      </c>
      <c r="F28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0.43958333333333344</v>
      </c>
      <c r="G28" s="2">
        <v>4</v>
      </c>
      <c r="H28" s="69" t="s">
        <v>25</v>
      </c>
      <c r="N28" s="54"/>
      <c r="AA28" s="1">
        <v>22</v>
      </c>
      <c r="AB28" s="2" t="s">
        <v>49</v>
      </c>
      <c r="AC28" s="30">
        <v>0.23958333333333334</v>
      </c>
      <c r="AD28" s="30">
        <v>0.75694444444444453</v>
      </c>
      <c r="AE28" s="39">
        <f t="shared" si="0"/>
        <v>0.51736111111111116</v>
      </c>
      <c r="AF28" s="29">
        <v>6</v>
      </c>
      <c r="AG28" s="45" t="s">
        <v>25</v>
      </c>
      <c r="AR28" s="34"/>
      <c r="AS28" s="35" t="s">
        <v>90</v>
      </c>
    </row>
    <row r="29" spans="1:48" x14ac:dyDescent="0.2">
      <c r="B29" s="1">
        <v>23</v>
      </c>
      <c r="C29" s="2" t="s">
        <v>19</v>
      </c>
      <c r="D29" s="41">
        <v>0.17500000000000002</v>
      </c>
      <c r="E29" s="41">
        <v>0.74791666666666667</v>
      </c>
      <c r="F29" s="26">
        <f>Table13245678910111321252934394449546149141924293336424753919786104110116122127131136141914241930364248546066727782879297[[#This Row],[JAM MASUK]]-Table13245678910111321252934394449546149141924293336424753919786104110116122127131136141914241930364248546066727782879297[[#This Row],[JAM KELUAR]]</f>
        <v>0.57291666666666663</v>
      </c>
      <c r="G29" s="2">
        <v>4</v>
      </c>
      <c r="H29" s="69" t="s">
        <v>25</v>
      </c>
      <c r="N29" s="54"/>
      <c r="AR29" s="56" t="s">
        <v>209</v>
      </c>
      <c r="AS29" s="35" t="s">
        <v>92</v>
      </c>
    </row>
    <row r="31" spans="1:48" x14ac:dyDescent="0.2">
      <c r="AF31" s="34"/>
      <c r="AG31" s="35" t="s">
        <v>90</v>
      </c>
    </row>
    <row r="32" spans="1:48" x14ac:dyDescent="0.2">
      <c r="V32" s="1"/>
      <c r="AF32" s="56" t="s">
        <v>209</v>
      </c>
      <c r="AG32" s="35" t="s">
        <v>92</v>
      </c>
    </row>
    <row r="33" spans="1:22" x14ac:dyDescent="0.2">
      <c r="V33" s="1"/>
    </row>
    <row r="34" spans="1:22" x14ac:dyDescent="0.2">
      <c r="V34" s="1"/>
    </row>
    <row r="35" spans="1:22" x14ac:dyDescent="0.2">
      <c r="G35" s="34"/>
      <c r="H35" s="35" t="s">
        <v>90</v>
      </c>
      <c r="V35" s="1"/>
    </row>
    <row r="36" spans="1:22" x14ac:dyDescent="0.2">
      <c r="G36" s="56" t="s">
        <v>209</v>
      </c>
      <c r="H36" s="35" t="s">
        <v>92</v>
      </c>
      <c r="V36" s="1"/>
    </row>
    <row r="37" spans="1:22" x14ac:dyDescent="0.2">
      <c r="V37" s="1"/>
    </row>
    <row r="38" spans="1:22" x14ac:dyDescent="0.2">
      <c r="V38" s="1"/>
    </row>
    <row r="39" spans="1:22" x14ac:dyDescent="0.2">
      <c r="V39" s="1"/>
    </row>
    <row r="40" spans="1:22" x14ac:dyDescent="0.2">
      <c r="V40" s="1"/>
    </row>
    <row r="41" spans="1:22" ht="21" x14ac:dyDescent="0.25">
      <c r="A41" s="46"/>
    </row>
    <row r="54" spans="15:22" x14ac:dyDescent="0.2">
      <c r="O54" s="2" t="s">
        <v>0</v>
      </c>
      <c r="P54" s="2" t="s">
        <v>1</v>
      </c>
      <c r="Q54" s="22" t="s">
        <v>61</v>
      </c>
      <c r="R54" s="22" t="s">
        <v>62</v>
      </c>
      <c r="S54" s="22" t="s">
        <v>63</v>
      </c>
      <c r="T54" s="2" t="s">
        <v>2</v>
      </c>
      <c r="U54" s="2" t="s">
        <v>3</v>
      </c>
    </row>
    <row r="55" spans="15:22" x14ac:dyDescent="0.2">
      <c r="O55" s="27">
        <v>1</v>
      </c>
      <c r="P55" s="2"/>
      <c r="Q55" s="41"/>
      <c r="R55" s="42"/>
      <c r="S55" s="26"/>
      <c r="T55" s="2"/>
      <c r="U55" s="24"/>
    </row>
    <row r="56" spans="15:22" x14ac:dyDescent="0.2">
      <c r="O56" s="15">
        <v>2</v>
      </c>
      <c r="P56" s="29"/>
      <c r="Q56" s="30"/>
      <c r="R56" s="36"/>
      <c r="S56" s="26"/>
      <c r="T56" s="29"/>
      <c r="U56" s="24"/>
    </row>
    <row r="57" spans="15:22" x14ac:dyDescent="0.2">
      <c r="O57" s="15">
        <v>3</v>
      </c>
      <c r="P57" s="29"/>
      <c r="Q57" s="30"/>
      <c r="R57" s="36"/>
      <c r="S57" s="39"/>
      <c r="T57" s="29"/>
      <c r="U57" s="16"/>
    </row>
    <row r="58" spans="15:22" x14ac:dyDescent="0.2">
      <c r="O58" s="27">
        <v>4</v>
      </c>
      <c r="P58" s="29"/>
      <c r="Q58" s="30"/>
      <c r="R58" s="36"/>
      <c r="S58" s="39"/>
      <c r="T58" s="29"/>
      <c r="U58" s="24"/>
    </row>
    <row r="59" spans="15:22" x14ac:dyDescent="0.2">
      <c r="O59" s="15">
        <v>5</v>
      </c>
      <c r="P59" s="29"/>
      <c r="Q59" s="30"/>
      <c r="R59" s="36"/>
      <c r="S59" s="26"/>
      <c r="T59" s="29"/>
      <c r="U59" s="24"/>
    </row>
    <row r="60" spans="15:22" x14ac:dyDescent="0.2">
      <c r="O60" s="15">
        <v>6</v>
      </c>
      <c r="P60" s="29"/>
      <c r="Q60" s="30"/>
      <c r="R60" s="36"/>
      <c r="S60" s="26"/>
      <c r="T60" s="29"/>
      <c r="U60" s="24"/>
    </row>
    <row r="61" spans="15:22" x14ac:dyDescent="0.2">
      <c r="O61" s="27">
        <v>7</v>
      </c>
      <c r="P61" s="29"/>
      <c r="Q61" s="30"/>
      <c r="R61" s="36"/>
      <c r="S61" s="39"/>
      <c r="T61" s="29"/>
      <c r="U61" s="24"/>
    </row>
    <row r="62" spans="15:22" x14ac:dyDescent="0.2">
      <c r="O62" s="15">
        <v>8</v>
      </c>
      <c r="P62" s="29"/>
      <c r="Q62" s="30"/>
      <c r="R62" s="36"/>
      <c r="S62" s="26"/>
      <c r="T62" s="29"/>
      <c r="U62" s="24"/>
    </row>
    <row r="63" spans="15:22" x14ac:dyDescent="0.2">
      <c r="O63" s="15">
        <v>9</v>
      </c>
      <c r="P63" s="29"/>
      <c r="Q63" s="30"/>
      <c r="R63" s="36"/>
      <c r="S63" s="26"/>
      <c r="T63" s="29"/>
      <c r="U63" s="24"/>
      <c r="V63" s="1"/>
    </row>
    <row r="64" spans="15:22" x14ac:dyDescent="0.2">
      <c r="O64" s="27">
        <v>10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5">
        <v>11</v>
      </c>
      <c r="P65" s="29"/>
      <c r="Q65" s="30"/>
      <c r="R65" s="36"/>
      <c r="S65" s="26"/>
      <c r="T65" s="29"/>
      <c r="U65" s="24"/>
      <c r="V65" s="1"/>
    </row>
    <row r="66" spans="15:22" x14ac:dyDescent="0.2">
      <c r="O66" s="1">
        <v>12</v>
      </c>
      <c r="P66" s="29"/>
      <c r="Q66" s="30"/>
      <c r="R66" s="36"/>
      <c r="S66" s="39"/>
      <c r="T66" s="29"/>
      <c r="U66" s="25"/>
    </row>
    <row r="67" spans="15:22" x14ac:dyDescent="0.2">
      <c r="O67" s="28">
        <v>13</v>
      </c>
      <c r="P67" s="29"/>
      <c r="Q67" s="30"/>
      <c r="R67" s="36"/>
      <c r="S67" s="26"/>
      <c r="T67" s="29"/>
      <c r="U67" s="25"/>
    </row>
    <row r="68" spans="15:22" x14ac:dyDescent="0.2">
      <c r="O68" s="27">
        <v>14</v>
      </c>
      <c r="P68" s="29"/>
      <c r="Q68" s="30"/>
      <c r="R68" s="36"/>
      <c r="S68" s="26"/>
      <c r="T68" s="29"/>
      <c r="U68" s="24"/>
    </row>
    <row r="69" spans="15:22" x14ac:dyDescent="0.2">
      <c r="O69" s="15">
        <v>15</v>
      </c>
      <c r="P69" s="29"/>
      <c r="Q69" s="30"/>
      <c r="R69" s="36"/>
      <c r="S69" s="26"/>
      <c r="T69" s="29"/>
      <c r="U69" s="24"/>
    </row>
    <row r="70" spans="15:22" x14ac:dyDescent="0.2">
      <c r="O70" s="1">
        <v>16</v>
      </c>
      <c r="P70" s="29"/>
      <c r="Q70" s="30"/>
      <c r="R70" s="36"/>
      <c r="S70" s="26"/>
      <c r="T70" s="29"/>
      <c r="U70" s="25"/>
    </row>
    <row r="71" spans="15:22" x14ac:dyDescent="0.2">
      <c r="O71" s="28">
        <v>17</v>
      </c>
      <c r="P71" s="29"/>
      <c r="Q71" s="30"/>
      <c r="R71" s="36"/>
      <c r="S71" s="26"/>
      <c r="T71" s="29"/>
      <c r="U71" s="25"/>
    </row>
    <row r="72" spans="15:22" x14ac:dyDescent="0.2">
      <c r="O72" s="27">
        <v>18</v>
      </c>
      <c r="P72" s="29"/>
      <c r="Q72" s="30"/>
      <c r="R72" s="36"/>
      <c r="S72" s="26"/>
      <c r="T72" s="29"/>
      <c r="U72" s="24"/>
    </row>
    <row r="73" spans="15:22" x14ac:dyDescent="0.2">
      <c r="O73" s="1">
        <v>19</v>
      </c>
      <c r="P73" s="29"/>
      <c r="Q73" s="30"/>
      <c r="R73" s="36"/>
      <c r="S73" s="39"/>
      <c r="T73" s="29"/>
      <c r="U73" s="25"/>
    </row>
    <row r="74" spans="15:22" x14ac:dyDescent="0.2">
      <c r="O74" s="1">
        <v>20</v>
      </c>
      <c r="P74" s="29"/>
      <c r="Q74" s="30"/>
      <c r="R74" s="36"/>
      <c r="S74" s="39"/>
      <c r="T74" s="29"/>
      <c r="U74" s="25"/>
    </row>
    <row r="75" spans="15:22" x14ac:dyDescent="0.2">
      <c r="O75" s="28">
        <v>21</v>
      </c>
      <c r="P75" s="29"/>
      <c r="Q75" s="30"/>
      <c r="R75" s="36"/>
      <c r="S75" s="26"/>
      <c r="T75" s="29"/>
      <c r="U75" s="25"/>
    </row>
    <row r="76" spans="15:22" x14ac:dyDescent="0.2">
      <c r="O76" s="27">
        <v>22</v>
      </c>
      <c r="P76" s="29"/>
      <c r="Q76" s="30"/>
      <c r="R76" s="36"/>
      <c r="S76" s="26"/>
      <c r="T76" s="29"/>
      <c r="U76" s="25"/>
    </row>
  </sheetData>
  <mergeCells count="19"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  <mergeCell ref="O1:X1"/>
    <mergeCell ref="AA1:AJ1"/>
    <mergeCell ref="AM1:AV1"/>
    <mergeCell ref="B2:K2"/>
    <mergeCell ref="O2:X2"/>
    <mergeCell ref="AA2:AJ2"/>
    <mergeCell ref="AM2:AV2"/>
  </mergeCells>
  <pageMargins left="0.12" right="0.12" top="0.75" bottom="0.75" header="0.3" footer="0.3"/>
  <pageSetup paperSize="5" scale="82" fitToWidth="0" orientation="landscape" horizontalDpi="360" verticalDpi="360" r:id="rId1"/>
  <rowBreaks count="1" manualBreakCount="1">
    <brk id="40" max="46" man="1"/>
  </rowBreaks>
  <colBreaks count="3" manualBreakCount="3">
    <brk id="12" min="1" max="39" man="1"/>
    <brk id="25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AA6E-2C66-434E-AB96-1E929524FB0B}">
  <sheetPr>
    <tabColor theme="7" tint="0.39997558519241921"/>
  </sheetPr>
  <dimension ref="A1:AJ64"/>
  <sheetViews>
    <sheetView showGridLines="0" view="pageBreakPreview" topLeftCell="AC1" zoomScaleNormal="55" zoomScaleSheetLayoutView="100" workbookViewId="0">
      <selection activeCell="AB6" sqref="AB6:AG19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6.83203125" customWidth="1"/>
    <col min="9" max="9" width="3.1640625" customWidth="1"/>
    <col min="10" max="10" width="30.83203125" bestFit="1" customWidth="1"/>
    <col min="11" max="11" width="18.1640625" customWidth="1"/>
    <col min="12" max="12" width="0.33203125" style="18" hidden="1" customWidth="1"/>
    <col min="13" max="14" width="1.5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81.5" customWidth="1"/>
    <col min="22" max="22" width="1.6640625" customWidth="1"/>
    <col min="23" max="23" width="28.5" customWidth="1"/>
    <col min="24" max="24" width="16.5" customWidth="1"/>
    <col min="25" max="25" width="1.83203125" customWidth="1"/>
    <col min="26" max="26" width="2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0.83203125" bestFit="1" customWidth="1"/>
    <col min="36" max="36" width="10" customWidth="1"/>
    <col min="37" max="37" width="17.83203125" customWidth="1"/>
    <col min="38" max="38" width="15.83203125" customWidth="1"/>
  </cols>
  <sheetData>
    <row r="1" spans="1:36" ht="21" x14ac:dyDescent="0.25">
      <c r="B1" s="104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O1" s="104" t="s">
        <v>53</v>
      </c>
      <c r="P1" s="104"/>
      <c r="Q1" s="104"/>
      <c r="R1" s="104"/>
      <c r="S1" s="104"/>
      <c r="T1" s="104"/>
      <c r="U1" s="104"/>
      <c r="V1" s="104"/>
      <c r="W1" s="104"/>
      <c r="X1" s="104"/>
      <c r="AA1" s="104" t="s">
        <v>54</v>
      </c>
      <c r="AB1" s="104"/>
      <c r="AC1" s="104"/>
      <c r="AD1" s="104"/>
      <c r="AE1" s="104"/>
      <c r="AF1" s="104"/>
      <c r="AG1" s="104"/>
      <c r="AH1" s="104"/>
      <c r="AI1" s="104"/>
      <c r="AJ1" s="104"/>
    </row>
    <row r="3" spans="1:36" ht="19" x14ac:dyDescent="0.25">
      <c r="B3" s="105" t="s">
        <v>22</v>
      </c>
      <c r="C3" s="105"/>
      <c r="D3" s="105"/>
      <c r="E3" s="105"/>
      <c r="F3" s="105"/>
      <c r="G3" s="105"/>
      <c r="H3" s="105"/>
      <c r="J3" s="106" t="s">
        <v>23</v>
      </c>
      <c r="K3" s="106"/>
      <c r="O3" s="108" t="s">
        <v>95</v>
      </c>
      <c r="P3" s="108"/>
      <c r="Q3" s="108"/>
      <c r="R3" s="108"/>
      <c r="S3" s="108"/>
      <c r="T3" s="108"/>
      <c r="U3" s="108"/>
      <c r="W3" s="106" t="s">
        <v>28</v>
      </c>
      <c r="X3" s="106"/>
      <c r="AA3" s="105" t="s">
        <v>43</v>
      </c>
      <c r="AB3" s="105"/>
      <c r="AC3" s="105"/>
      <c r="AD3" s="105"/>
      <c r="AE3" s="105"/>
      <c r="AF3" s="105"/>
      <c r="AG3" s="105"/>
      <c r="AI3" s="106" t="s">
        <v>44</v>
      </c>
      <c r="AJ3" s="106"/>
    </row>
    <row r="4" spans="1:36" x14ac:dyDescent="0.2">
      <c r="B4" s="109">
        <v>45414</v>
      </c>
      <c r="C4" s="109"/>
      <c r="D4" s="109"/>
      <c r="E4" s="109"/>
      <c r="F4" s="109"/>
      <c r="G4" s="109"/>
      <c r="H4" s="109"/>
      <c r="J4" s="107"/>
      <c r="K4" s="107"/>
      <c r="O4" s="109">
        <f>B4</f>
        <v>45414</v>
      </c>
      <c r="P4" s="109"/>
      <c r="Q4" s="109"/>
      <c r="R4" s="109"/>
      <c r="S4" s="109"/>
      <c r="T4" s="109"/>
      <c r="U4" s="109"/>
      <c r="W4" s="107"/>
      <c r="X4" s="107"/>
      <c r="AA4" s="109">
        <f>B4</f>
        <v>45414</v>
      </c>
      <c r="AB4" s="109"/>
      <c r="AC4" s="109"/>
      <c r="AD4" s="109"/>
      <c r="AE4" s="109"/>
      <c r="AF4" s="109"/>
      <c r="AG4" s="109"/>
      <c r="AI4" s="107"/>
      <c r="AJ4" s="107"/>
    </row>
    <row r="5" spans="1:36" s="1" customFormat="1" x14ac:dyDescent="0.2">
      <c r="A5"/>
      <c r="B5" s="2" t="s">
        <v>0</v>
      </c>
      <c r="C5" s="2" t="s">
        <v>1</v>
      </c>
      <c r="D5" s="2" t="s">
        <v>61</v>
      </c>
      <c r="E5" s="26" t="s">
        <v>62</v>
      </c>
      <c r="F5" s="2" t="s">
        <v>63</v>
      </c>
      <c r="G5" s="2" t="s">
        <v>2</v>
      </c>
      <c r="H5" s="2" t="s">
        <v>3</v>
      </c>
      <c r="J5" s="3" t="s">
        <v>21</v>
      </c>
      <c r="K5" s="5">
        <f>SUM(K7:K10)</f>
        <v>23</v>
      </c>
      <c r="L5" s="19"/>
      <c r="O5" s="2" t="s">
        <v>0</v>
      </c>
      <c r="P5" s="2" t="s">
        <v>1</v>
      </c>
      <c r="Q5" s="22" t="s">
        <v>61</v>
      </c>
      <c r="R5" s="22" t="s">
        <v>62</v>
      </c>
      <c r="S5" s="22" t="s">
        <v>63</v>
      </c>
      <c r="T5" s="2" t="s">
        <v>2</v>
      </c>
      <c r="U5" s="2" t="s">
        <v>3</v>
      </c>
      <c r="W5" s="3" t="s">
        <v>29</v>
      </c>
      <c r="X5" s="5">
        <f>SUM(X7:X10)</f>
        <v>19</v>
      </c>
      <c r="AA5" s="2" t="s">
        <v>0</v>
      </c>
      <c r="AB5" s="2" t="s">
        <v>1</v>
      </c>
      <c r="AC5" s="2" t="s">
        <v>61</v>
      </c>
      <c r="AD5" s="2" t="s">
        <v>62</v>
      </c>
      <c r="AE5" s="2" t="s">
        <v>63</v>
      </c>
      <c r="AF5" s="2" t="s">
        <v>2</v>
      </c>
      <c r="AG5" s="2" t="s">
        <v>3</v>
      </c>
      <c r="AI5" s="3" t="s">
        <v>21</v>
      </c>
      <c r="AJ5" s="5">
        <f>SUM(AJ7:AJ10)</f>
        <v>15</v>
      </c>
    </row>
    <row r="6" spans="1:36" s="1" customFormat="1" x14ac:dyDescent="0.2">
      <c r="A6"/>
      <c r="B6" s="15">
        <v>1</v>
      </c>
      <c r="C6" s="20" t="s">
        <v>65</v>
      </c>
      <c r="D6" s="21">
        <v>0.27916666666666667</v>
      </c>
      <c r="E6" s="21">
        <v>0.57916666666666672</v>
      </c>
      <c r="F6" s="38">
        <f>Table13245678910111321252934394449546149141924293336424753919786104110116122127131136141[[#This Row],[JAM MASUK]]-Table13245678910111321252934394449546149141924293336424753919786104110116122127131136141[[#This Row],[JAM KELUAR]]</f>
        <v>0.30000000000000004</v>
      </c>
      <c r="G6" s="20">
        <v>2</v>
      </c>
      <c r="H6" s="24" t="s">
        <v>140</v>
      </c>
      <c r="J6" s="4" t="s">
        <v>10</v>
      </c>
      <c r="K6" s="6">
        <v>23</v>
      </c>
      <c r="L6" s="19"/>
      <c r="O6" s="27">
        <v>1</v>
      </c>
      <c r="P6" s="31" t="s">
        <v>123</v>
      </c>
      <c r="Q6" s="21">
        <v>0.3354166666666667</v>
      </c>
      <c r="R6" s="21">
        <v>0.54583333333333328</v>
      </c>
      <c r="S6" s="37">
        <f t="shared" ref="S6:S16" si="0">R6-Q6</f>
        <v>0.21041666666666659</v>
      </c>
      <c r="T6" s="20">
        <v>2</v>
      </c>
      <c r="U6" s="24" t="s">
        <v>137</v>
      </c>
      <c r="W6" s="4" t="s">
        <v>10</v>
      </c>
      <c r="X6" s="6">
        <v>18</v>
      </c>
      <c r="AA6" s="15">
        <v>1</v>
      </c>
      <c r="AB6" s="31" t="s">
        <v>122</v>
      </c>
      <c r="AC6" s="32">
        <v>0.3611111111111111</v>
      </c>
      <c r="AD6" s="21">
        <v>0.46388888888888885</v>
      </c>
      <c r="AE6" s="37">
        <f t="shared" ref="AE6:AE19" si="1">AD6-AC6</f>
        <v>0.10277777777777775</v>
      </c>
      <c r="AF6" s="20">
        <v>1</v>
      </c>
      <c r="AG6" s="15" t="s">
        <v>125</v>
      </c>
      <c r="AI6" s="4" t="s">
        <v>10</v>
      </c>
      <c r="AJ6" s="6">
        <v>15</v>
      </c>
    </row>
    <row r="7" spans="1:36" s="1" customFormat="1" x14ac:dyDescent="0.2">
      <c r="A7"/>
      <c r="B7" s="15">
        <v>2</v>
      </c>
      <c r="C7" s="31" t="s">
        <v>14</v>
      </c>
      <c r="D7" s="32">
        <v>0.3125</v>
      </c>
      <c r="E7" s="21">
        <v>0.57847222222222217</v>
      </c>
      <c r="F7" s="38">
        <f>Table13245678910111321252934394449546149141924293336424753919786104110116122127131136141[[#This Row],[JAM MASUK]]-Table13245678910111321252934394449546149141924293336424753919786104110116122127131136141[[#This Row],[JAM KELUAR]]</f>
        <v>0.26597222222222217</v>
      </c>
      <c r="G7" s="20">
        <v>2</v>
      </c>
      <c r="H7" s="16" t="s">
        <v>141</v>
      </c>
      <c r="J7" s="4" t="s">
        <v>9</v>
      </c>
      <c r="K7" s="7">
        <v>22</v>
      </c>
      <c r="L7" s="19"/>
      <c r="O7" s="15">
        <v>2</v>
      </c>
      <c r="P7" s="23" t="s">
        <v>40</v>
      </c>
      <c r="Q7" s="40">
        <v>0.29097222222222224</v>
      </c>
      <c r="R7" s="40">
        <v>0.57986111111111105</v>
      </c>
      <c r="S7" s="37">
        <f t="shared" si="0"/>
        <v>0.28888888888888881</v>
      </c>
      <c r="T7" s="23">
        <v>2</v>
      </c>
      <c r="U7" s="24" t="s">
        <v>138</v>
      </c>
      <c r="W7" s="4" t="s">
        <v>9</v>
      </c>
      <c r="X7" s="7">
        <v>14</v>
      </c>
      <c r="AA7" s="15">
        <v>2</v>
      </c>
      <c r="AB7" s="31" t="s">
        <v>56</v>
      </c>
      <c r="AC7" s="32">
        <v>0.3034722222222222</v>
      </c>
      <c r="AD7" s="21">
        <v>0.44930555555555557</v>
      </c>
      <c r="AE7" s="38">
        <f t="shared" si="1"/>
        <v>0.14583333333333337</v>
      </c>
      <c r="AF7" s="20">
        <v>1</v>
      </c>
      <c r="AG7" s="15" t="s">
        <v>126</v>
      </c>
      <c r="AI7" s="4" t="s">
        <v>9</v>
      </c>
      <c r="AJ7" s="6">
        <v>14</v>
      </c>
    </row>
    <row r="8" spans="1:36" s="1" customFormat="1" x14ac:dyDescent="0.2">
      <c r="A8"/>
      <c r="B8" s="15">
        <v>3</v>
      </c>
      <c r="C8" s="20" t="s">
        <v>70</v>
      </c>
      <c r="D8" s="21">
        <v>0.27430555555555552</v>
      </c>
      <c r="E8" s="21">
        <v>0.55347222222222225</v>
      </c>
      <c r="F8" s="38">
        <f>Table13245678910111321252934394449546149141924293336424753919786104110116122127131136141[[#This Row],[JAM MASUK]]-Table13245678910111321252934394449546149141924293336424753919786104110116122127131136141[[#This Row],[JAM KELUAR]]</f>
        <v>0.27916666666666673</v>
      </c>
      <c r="G8" s="20">
        <v>2</v>
      </c>
      <c r="H8" s="24" t="s">
        <v>142</v>
      </c>
      <c r="J8" s="4" t="s">
        <v>4</v>
      </c>
      <c r="K8" s="7">
        <v>0</v>
      </c>
      <c r="L8" s="19"/>
      <c r="O8" s="27">
        <v>3</v>
      </c>
      <c r="P8" s="23" t="s">
        <v>31</v>
      </c>
      <c r="Q8" s="40">
        <v>0.28888888888888892</v>
      </c>
      <c r="R8" s="40">
        <v>0.57777777777777783</v>
      </c>
      <c r="S8" s="37">
        <f t="shared" si="0"/>
        <v>0.28888888888888892</v>
      </c>
      <c r="T8" s="23">
        <v>2</v>
      </c>
      <c r="U8" s="16" t="s">
        <v>139</v>
      </c>
      <c r="W8" s="4" t="s">
        <v>4</v>
      </c>
      <c r="X8" s="7">
        <v>0</v>
      </c>
      <c r="AA8" s="15">
        <v>3</v>
      </c>
      <c r="AB8" s="20" t="s">
        <v>46</v>
      </c>
      <c r="AC8" s="21">
        <v>0.26874999999999999</v>
      </c>
      <c r="AD8" s="21">
        <v>0.4861111111111111</v>
      </c>
      <c r="AE8" s="38">
        <f t="shared" si="1"/>
        <v>0.21736111111111112</v>
      </c>
      <c r="AF8" s="20">
        <v>2</v>
      </c>
      <c r="AG8" s="15" t="s">
        <v>127</v>
      </c>
      <c r="AI8" s="4" t="s">
        <v>4</v>
      </c>
      <c r="AJ8" s="7">
        <v>1</v>
      </c>
    </row>
    <row r="9" spans="1:36" s="1" customFormat="1" x14ac:dyDescent="0.2">
      <c r="A9"/>
      <c r="B9" s="15">
        <v>4</v>
      </c>
      <c r="C9" s="20" t="s">
        <v>18</v>
      </c>
      <c r="D9" s="21">
        <v>0.25694444444444448</v>
      </c>
      <c r="E9" s="21">
        <v>0.47638888888888892</v>
      </c>
      <c r="F9" s="38">
        <f>Table13245678910111321252934394449546149141924293336424753919786104110116122127131136141[[#This Row],[JAM MASUK]]-Table13245678910111321252934394449546149141924293336424753919786104110116122127131136141[[#This Row],[JAM KELUAR]]</f>
        <v>0.21944444444444444</v>
      </c>
      <c r="G9" s="20">
        <v>2</v>
      </c>
      <c r="H9" s="16" t="s">
        <v>143</v>
      </c>
      <c r="J9" s="4" t="s">
        <v>5</v>
      </c>
      <c r="K9" s="7">
        <v>1</v>
      </c>
      <c r="L9" s="19"/>
      <c r="O9" s="28">
        <v>4</v>
      </c>
      <c r="P9" s="29" t="s">
        <v>82</v>
      </c>
      <c r="Q9" s="30">
        <v>0.29097222222222224</v>
      </c>
      <c r="R9" s="30">
        <v>0.68541666666666667</v>
      </c>
      <c r="S9" s="39">
        <f t="shared" si="0"/>
        <v>0.39444444444444443</v>
      </c>
      <c r="T9" s="29">
        <v>5</v>
      </c>
      <c r="U9" s="45" t="s">
        <v>25</v>
      </c>
      <c r="W9" s="4" t="s">
        <v>5</v>
      </c>
      <c r="X9" s="7">
        <v>5</v>
      </c>
      <c r="AA9" s="15">
        <v>4</v>
      </c>
      <c r="AB9" s="20" t="s">
        <v>81</v>
      </c>
      <c r="AC9" s="21">
        <v>0.25347222222222221</v>
      </c>
      <c r="AD9" s="21">
        <v>0.45</v>
      </c>
      <c r="AE9" s="38">
        <f t="shared" si="1"/>
        <v>0.1965277777777778</v>
      </c>
      <c r="AF9" s="20">
        <v>2</v>
      </c>
      <c r="AG9" s="15" t="s">
        <v>128</v>
      </c>
      <c r="AI9" s="4" t="s">
        <v>5</v>
      </c>
      <c r="AJ9" s="7">
        <v>0</v>
      </c>
    </row>
    <row r="10" spans="1:36" s="1" customFormat="1" x14ac:dyDescent="0.2">
      <c r="A10"/>
      <c r="B10" s="15">
        <v>5</v>
      </c>
      <c r="C10" s="20" t="s">
        <v>118</v>
      </c>
      <c r="D10" s="21">
        <v>0.28194444444444444</v>
      </c>
      <c r="E10" s="21">
        <v>0.6118055555555556</v>
      </c>
      <c r="F10" s="38">
        <f>Table13245678910111321252934394449546149141924293336424753919786104110116122127131136141[[#This Row],[JAM MASUK]]-Table13245678910111321252934394449546149141924293336424753919786104110116122127131136141[[#This Row],[JAM KELUAR]]</f>
        <v>0.32986111111111116</v>
      </c>
      <c r="G10" s="20">
        <v>3</v>
      </c>
      <c r="H10" s="24" t="s">
        <v>150</v>
      </c>
      <c r="J10" s="4" t="s">
        <v>6</v>
      </c>
      <c r="K10" s="7">
        <v>0</v>
      </c>
      <c r="L10" s="19"/>
      <c r="O10" s="1">
        <v>5</v>
      </c>
      <c r="P10" s="33" t="s">
        <v>57</v>
      </c>
      <c r="Q10" s="44">
        <v>0.2986111111111111</v>
      </c>
      <c r="R10" s="30">
        <v>0.72222222222222221</v>
      </c>
      <c r="S10" s="39">
        <f t="shared" si="0"/>
        <v>0.4236111111111111</v>
      </c>
      <c r="T10" s="29">
        <v>5</v>
      </c>
      <c r="U10" s="45" t="s">
        <v>25</v>
      </c>
      <c r="W10" s="4" t="s">
        <v>33</v>
      </c>
      <c r="X10" s="7">
        <v>0</v>
      </c>
      <c r="AA10" s="15">
        <v>5</v>
      </c>
      <c r="AB10" s="20" t="s">
        <v>78</v>
      </c>
      <c r="AC10" s="21">
        <v>0.26805555555555555</v>
      </c>
      <c r="AD10" s="21">
        <v>0.58750000000000002</v>
      </c>
      <c r="AE10" s="38">
        <f t="shared" si="1"/>
        <v>0.31944444444444448</v>
      </c>
      <c r="AF10" s="20">
        <v>3</v>
      </c>
      <c r="AG10" s="15" t="s">
        <v>127</v>
      </c>
      <c r="AI10" s="4" t="s">
        <v>6</v>
      </c>
      <c r="AJ10" s="7">
        <v>0</v>
      </c>
    </row>
    <row r="11" spans="1:36" s="1" customFormat="1" x14ac:dyDescent="0.2">
      <c r="A11"/>
      <c r="B11" s="15">
        <v>6</v>
      </c>
      <c r="C11" s="31" t="s">
        <v>12</v>
      </c>
      <c r="D11" s="32">
        <v>0.29652777777777778</v>
      </c>
      <c r="E11" s="43">
        <v>0.66111111111111109</v>
      </c>
      <c r="F11" s="38">
        <f>Table13245678910111321252934394449546149141924293336424753919786104110116122127131136141[[#This Row],[JAM MASUK]]-Table13245678910111321252934394449546149141924293336424753919786104110116122127131136141[[#This Row],[JAM KELUAR]]</f>
        <v>0.36458333333333331</v>
      </c>
      <c r="G11" s="20">
        <v>3</v>
      </c>
      <c r="H11" s="16" t="s">
        <v>144</v>
      </c>
      <c r="J11" s="8" t="s">
        <v>8</v>
      </c>
      <c r="K11" s="9">
        <f>SUM(Table13245678910111321252934394449546149141924293336424753919786104110116122127131136141[Retase])</f>
        <v>72</v>
      </c>
      <c r="L11" s="19"/>
      <c r="O11" s="28">
        <v>6</v>
      </c>
      <c r="P11" s="33" t="s">
        <v>59</v>
      </c>
      <c r="Q11" s="44">
        <v>0.30208333333333331</v>
      </c>
      <c r="R11" s="30">
        <v>0.72083333333333333</v>
      </c>
      <c r="S11" s="39">
        <f t="shared" si="0"/>
        <v>0.41875000000000001</v>
      </c>
      <c r="T11" s="29">
        <v>5</v>
      </c>
      <c r="U11" s="45" t="s">
        <v>25</v>
      </c>
      <c r="W11" s="8" t="s">
        <v>8</v>
      </c>
      <c r="X11" s="9">
        <f>SUM(Table13456789101117222630354045505562510152025303438434854929887105111117123128132137142[Retase])</f>
        <v>50</v>
      </c>
      <c r="AA11" s="15">
        <v>6</v>
      </c>
      <c r="AB11" s="20" t="s">
        <v>48</v>
      </c>
      <c r="AC11" s="21">
        <v>0.25208333333333333</v>
      </c>
      <c r="AD11" s="21">
        <v>0.58680555555555558</v>
      </c>
      <c r="AE11" s="38">
        <f t="shared" si="1"/>
        <v>0.33472222222222225</v>
      </c>
      <c r="AF11" s="20">
        <v>4</v>
      </c>
      <c r="AG11" s="15" t="s">
        <v>129</v>
      </c>
      <c r="AI11" s="8" t="s">
        <v>8</v>
      </c>
      <c r="AJ11" s="9">
        <f>SUM(Table134567891011151819232731374247525927121722273228414652909680103109115121126120135140[Retase])</f>
        <v>54</v>
      </c>
    </row>
    <row r="12" spans="1:36" s="1" customFormat="1" x14ac:dyDescent="0.2">
      <c r="A12"/>
      <c r="B12" s="15">
        <v>7</v>
      </c>
      <c r="C12" s="20" t="s">
        <v>20</v>
      </c>
      <c r="D12" s="21">
        <v>0.28125</v>
      </c>
      <c r="E12" s="21">
        <v>0.6166666666666667</v>
      </c>
      <c r="F12" s="38">
        <f>Table13245678910111321252934394449546149141924293336424753919786104110116122127131136141[[#This Row],[JAM MASUK]]-Table13245678910111321252934394449546149141924293336424753919786104110116122127131136141[[#This Row],[JAM KELUAR]]</f>
        <v>0.3354166666666667</v>
      </c>
      <c r="G12" s="20">
        <v>3</v>
      </c>
      <c r="H12" s="24" t="s">
        <v>150</v>
      </c>
      <c r="J12" s="10" t="s">
        <v>7</v>
      </c>
      <c r="K12" s="11">
        <f>K11/K7</f>
        <v>3.2727272727272729</v>
      </c>
      <c r="L12" s="19"/>
      <c r="O12" s="28">
        <v>7</v>
      </c>
      <c r="P12" s="29" t="s">
        <v>60</v>
      </c>
      <c r="Q12" s="30">
        <v>0.2902777777777778</v>
      </c>
      <c r="R12" s="30">
        <v>0.75902777777777775</v>
      </c>
      <c r="S12" s="39">
        <f t="shared" si="0"/>
        <v>0.46874999999999994</v>
      </c>
      <c r="T12" s="29">
        <v>5</v>
      </c>
      <c r="U12" s="45" t="s">
        <v>25</v>
      </c>
      <c r="W12" s="10" t="s">
        <v>7</v>
      </c>
      <c r="X12" s="11">
        <f>X11/X7</f>
        <v>3.5714285714285716</v>
      </c>
      <c r="AA12" s="15">
        <v>7</v>
      </c>
      <c r="AB12" s="31" t="s">
        <v>79</v>
      </c>
      <c r="AC12" s="32">
        <v>0.30486111111111108</v>
      </c>
      <c r="AD12" s="21">
        <v>0.65763888888888888</v>
      </c>
      <c r="AE12" s="38">
        <f t="shared" si="1"/>
        <v>0.3527777777777778</v>
      </c>
      <c r="AF12" s="20">
        <v>4</v>
      </c>
      <c r="AG12" s="15" t="s">
        <v>151</v>
      </c>
      <c r="AI12" s="10" t="s">
        <v>7</v>
      </c>
      <c r="AJ12" s="11">
        <f>AJ11/AJ7</f>
        <v>3.8571428571428572</v>
      </c>
    </row>
    <row r="13" spans="1:36" s="1" customFormat="1" x14ac:dyDescent="0.2">
      <c r="A13"/>
      <c r="B13" s="15">
        <v>8</v>
      </c>
      <c r="C13" s="31" t="s">
        <v>69</v>
      </c>
      <c r="D13" s="32">
        <v>0.29236111111111113</v>
      </c>
      <c r="E13" s="21">
        <v>0.62430555555555556</v>
      </c>
      <c r="F13" s="38">
        <f>Table13245678910111321252934394449546149141924293336424753919786104110116122127131136141[[#This Row],[JAM MASUK]]-Table13245678910111321252934394449546149141924293336424753919786104110116122127131136141[[#This Row],[JAM KELUAR]]</f>
        <v>0.33194444444444443</v>
      </c>
      <c r="G13" s="20">
        <v>3</v>
      </c>
      <c r="H13" s="16" t="s">
        <v>145</v>
      </c>
      <c r="J13" s="12" t="s">
        <v>11</v>
      </c>
      <c r="K13" s="13">
        <v>4</v>
      </c>
      <c r="L13" s="19"/>
      <c r="O13" s="1">
        <v>8</v>
      </c>
      <c r="P13" s="29" t="s">
        <v>58</v>
      </c>
      <c r="Q13" s="30">
        <v>0.2638888888888889</v>
      </c>
      <c r="R13" s="30">
        <v>0.74652777777777779</v>
      </c>
      <c r="S13" s="39">
        <f t="shared" si="0"/>
        <v>0.4826388888888889</v>
      </c>
      <c r="T13" s="29">
        <v>6</v>
      </c>
      <c r="U13" s="45" t="s">
        <v>25</v>
      </c>
      <c r="W13" s="12" t="s">
        <v>11</v>
      </c>
      <c r="X13" s="13">
        <v>5</v>
      </c>
      <c r="AA13" s="15">
        <v>8</v>
      </c>
      <c r="AB13" s="20" t="s">
        <v>51</v>
      </c>
      <c r="AC13" s="21">
        <v>0.26666666666666666</v>
      </c>
      <c r="AD13" s="21">
        <v>0.64374999999999993</v>
      </c>
      <c r="AE13" s="38">
        <f t="shared" si="1"/>
        <v>0.37708333333333327</v>
      </c>
      <c r="AF13" s="20">
        <v>4</v>
      </c>
      <c r="AG13" s="15" t="s">
        <v>130</v>
      </c>
      <c r="AI13" s="12" t="s">
        <v>11</v>
      </c>
      <c r="AJ13" s="13">
        <v>5</v>
      </c>
    </row>
    <row r="14" spans="1:36" s="1" customFormat="1" x14ac:dyDescent="0.2">
      <c r="A14"/>
      <c r="B14" s="15">
        <v>9</v>
      </c>
      <c r="C14" s="31" t="s">
        <v>149</v>
      </c>
      <c r="D14" s="32">
        <v>0.35138888888888892</v>
      </c>
      <c r="E14" s="21">
        <v>0.67013888888888884</v>
      </c>
      <c r="F14" s="38">
        <f>Table13245678910111321252934394449546149141924293336424753919786104110116122127131136141[[#This Row],[JAM MASUK]]-Table13245678910111321252934394449546149141924293336424753919786104110116122127131136141[[#This Row],[JAM KELUAR]]</f>
        <v>0.31874999999999992</v>
      </c>
      <c r="G14" s="20">
        <v>3</v>
      </c>
      <c r="H14" s="16" t="s">
        <v>146</v>
      </c>
      <c r="J14" s="12" t="s">
        <v>88</v>
      </c>
      <c r="K14" s="14">
        <f>9/22</f>
        <v>0.40909090909090912</v>
      </c>
      <c r="L14" s="19"/>
      <c r="O14" s="28">
        <v>9</v>
      </c>
      <c r="P14" s="29" t="s">
        <v>30</v>
      </c>
      <c r="Q14" s="30">
        <v>0.23472222222222219</v>
      </c>
      <c r="R14" s="30">
        <v>0.73472222222222217</v>
      </c>
      <c r="S14" s="39">
        <f t="shared" si="0"/>
        <v>0.5</v>
      </c>
      <c r="T14" s="29">
        <v>6</v>
      </c>
      <c r="U14" s="45" t="s">
        <v>25</v>
      </c>
      <c r="W14" s="12" t="s">
        <v>88</v>
      </c>
      <c r="X14" s="14">
        <f>8/11</f>
        <v>0.72727272727272729</v>
      </c>
      <c r="AA14" s="1">
        <v>9</v>
      </c>
      <c r="AB14" s="31" t="s">
        <v>77</v>
      </c>
      <c r="AC14" s="32">
        <v>0.29791666666666666</v>
      </c>
      <c r="AD14" s="41">
        <v>0.73333333333333339</v>
      </c>
      <c r="AE14" s="26">
        <f t="shared" si="1"/>
        <v>0.43541666666666673</v>
      </c>
      <c r="AF14" s="2">
        <v>5</v>
      </c>
      <c r="AG14" s="45" t="s">
        <v>25</v>
      </c>
      <c r="AI14" s="12" t="s">
        <v>88</v>
      </c>
      <c r="AJ14" s="14">
        <f>6/14</f>
        <v>0.42857142857142855</v>
      </c>
    </row>
    <row r="15" spans="1:36" x14ac:dyDescent="0.2">
      <c r="B15" s="15">
        <v>10</v>
      </c>
      <c r="C15" s="20" t="s">
        <v>15</v>
      </c>
      <c r="D15" s="21">
        <v>0.22916666666666666</v>
      </c>
      <c r="E15" s="21">
        <v>0.55486111111111114</v>
      </c>
      <c r="F15" s="38">
        <f>Table13245678910111321252934394449546149141924293336424753919786104110116122127131136141[[#This Row],[JAM MASUK]]-Table13245678910111321252934394449546149141924293336424753919786104110116122127131136141[[#This Row],[JAM KELUAR]]</f>
        <v>0.32569444444444451</v>
      </c>
      <c r="G15" s="20">
        <v>3</v>
      </c>
      <c r="H15" s="24" t="s">
        <v>150</v>
      </c>
      <c r="J15" s="12" t="s">
        <v>24</v>
      </c>
      <c r="K15" s="14">
        <f>K7/K6</f>
        <v>0.95652173913043481</v>
      </c>
      <c r="O15" s="28">
        <v>10</v>
      </c>
      <c r="P15" s="33" t="s">
        <v>32</v>
      </c>
      <c r="Q15" s="44">
        <v>0.29166666666666669</v>
      </c>
      <c r="R15" s="30">
        <v>0.76736111111111116</v>
      </c>
      <c r="S15" s="39">
        <f t="shared" si="0"/>
        <v>0.47569444444444448</v>
      </c>
      <c r="T15" s="29">
        <v>6</v>
      </c>
      <c r="U15" s="45" t="s">
        <v>25</v>
      </c>
      <c r="W15" s="12" t="s">
        <v>27</v>
      </c>
      <c r="X15" s="14">
        <f>X7/X6</f>
        <v>0.77777777777777779</v>
      </c>
      <c r="AA15" s="1">
        <v>10</v>
      </c>
      <c r="AB15" s="2" t="s">
        <v>49</v>
      </c>
      <c r="AC15" s="41">
        <v>0.2673611111111111</v>
      </c>
      <c r="AD15" s="41">
        <v>0.70138888888888884</v>
      </c>
      <c r="AE15" s="26">
        <f t="shared" si="1"/>
        <v>0.43402777777777773</v>
      </c>
      <c r="AF15" s="2">
        <v>5</v>
      </c>
      <c r="AG15" s="45" t="s">
        <v>25</v>
      </c>
      <c r="AI15" s="12" t="s">
        <v>27</v>
      </c>
      <c r="AJ15" s="14">
        <f>AJ7/AJ6</f>
        <v>0.93333333333333335</v>
      </c>
    </row>
    <row r="16" spans="1:36" x14ac:dyDescent="0.2">
      <c r="B16" s="15">
        <v>11</v>
      </c>
      <c r="C16" s="20" t="s">
        <v>16</v>
      </c>
      <c r="D16" s="21">
        <v>0.24930555555555556</v>
      </c>
      <c r="E16" s="21">
        <v>0.60763888888888895</v>
      </c>
      <c r="F16" s="38">
        <f>Table13245678910111321252934394449546149141924293336424753919786104110116122127131136141[[#This Row],[JAM MASUK]]-Table13245678910111321252934394449546149141924293336424753919786104110116122127131136141[[#This Row],[JAM KELUAR]]</f>
        <v>0.35833333333333339</v>
      </c>
      <c r="G16" s="20">
        <v>3</v>
      </c>
      <c r="H16" s="24" t="s">
        <v>150</v>
      </c>
      <c r="J16" s="12" t="s">
        <v>117</v>
      </c>
      <c r="K16" s="48">
        <f>AVERAGE(Table13245678910111321252934394449546149141924293336424753919786104110116122127131136141[JAM KELUAR])</f>
        <v>0.2660669191919191</v>
      </c>
      <c r="O16" s="1">
        <v>11</v>
      </c>
      <c r="P16" s="29" t="s">
        <v>35</v>
      </c>
      <c r="Q16" s="30">
        <v>0.27847222222222223</v>
      </c>
      <c r="R16" s="30">
        <v>0.76041666666666663</v>
      </c>
      <c r="S16" s="39">
        <f t="shared" si="0"/>
        <v>0.4819444444444444</v>
      </c>
      <c r="T16" s="29">
        <v>6</v>
      </c>
      <c r="U16" s="45" t="s">
        <v>25</v>
      </c>
      <c r="W16" s="12" t="s">
        <v>117</v>
      </c>
      <c r="X16" s="48">
        <f>AVERAGE(Table13456789101117222630354045505562510152025303438434854929887105111117123128132137142[JAM KELUAR])</f>
        <v>0.28781565656565655</v>
      </c>
      <c r="AA16" s="1">
        <v>11</v>
      </c>
      <c r="AB16" s="31" t="s">
        <v>50</v>
      </c>
      <c r="AC16" s="32">
        <v>0.34375</v>
      </c>
      <c r="AD16" s="41">
        <v>0.7597222222222223</v>
      </c>
      <c r="AE16" s="26">
        <f t="shared" si="1"/>
        <v>0.4159722222222223</v>
      </c>
      <c r="AF16" s="2">
        <v>5</v>
      </c>
      <c r="AG16" s="45" t="s">
        <v>25</v>
      </c>
      <c r="AI16" s="12" t="s">
        <v>117</v>
      </c>
      <c r="AJ16" s="48">
        <f>AVERAGE(Table134567891011151819232731374247525927121722273228414652909680103109115121126120135140[JAM KELUAR])</f>
        <v>0.27693452380952382</v>
      </c>
    </row>
    <row r="17" spans="2:35" x14ac:dyDescent="0.2">
      <c r="B17" s="15">
        <v>12</v>
      </c>
      <c r="C17" s="20" t="s">
        <v>121</v>
      </c>
      <c r="D17" s="21">
        <v>0.28055555555555556</v>
      </c>
      <c r="E17" s="21">
        <v>0.60416666666666663</v>
      </c>
      <c r="F17" s="38">
        <f>Table13245678910111321252934394449546149141924293336424753919786104110116122127131136141[[#This Row],[JAM MASUK]]-Table13245678910111321252934394449546149141924293336424753919786104110116122127131136141[[#This Row],[JAM KELUAR]]</f>
        <v>0.32361111111111107</v>
      </c>
      <c r="G17" s="20">
        <v>3</v>
      </c>
      <c r="H17" s="16" t="s">
        <v>147</v>
      </c>
      <c r="AA17" s="1">
        <v>12</v>
      </c>
      <c r="AB17" s="2" t="s">
        <v>45</v>
      </c>
      <c r="AC17" s="41">
        <v>0.22013888888888888</v>
      </c>
      <c r="AD17" s="41">
        <v>0.68333333333333324</v>
      </c>
      <c r="AE17" s="26">
        <f t="shared" si="1"/>
        <v>0.46319444444444435</v>
      </c>
      <c r="AF17" s="2">
        <v>6</v>
      </c>
      <c r="AG17" s="45" t="s">
        <v>25</v>
      </c>
      <c r="AI17" s="17"/>
    </row>
    <row r="18" spans="2:35" ht="15.75" customHeight="1" x14ac:dyDescent="0.2">
      <c r="B18" s="15">
        <v>13</v>
      </c>
      <c r="C18" s="20" t="s">
        <v>17</v>
      </c>
      <c r="D18" s="21">
        <v>0.23958333333333334</v>
      </c>
      <c r="E18" s="21">
        <v>0.59583333333333333</v>
      </c>
      <c r="F18" s="38">
        <f>Table13245678910111321252934394449546149141924293336424753919786104110116122127131136141[[#This Row],[JAM MASUK]]-Table13245678910111321252934394449546149141924293336424753919786104110116122127131136141[[#This Row],[JAM KELUAR]]</f>
        <v>0.35624999999999996</v>
      </c>
      <c r="G18" s="20">
        <v>3</v>
      </c>
      <c r="H18" s="16" t="s">
        <v>148</v>
      </c>
      <c r="AA18" s="1">
        <v>13</v>
      </c>
      <c r="AB18" s="2" t="s">
        <v>80</v>
      </c>
      <c r="AC18" s="41">
        <v>0.20972222222222223</v>
      </c>
      <c r="AD18" s="41">
        <v>0.72361111111111109</v>
      </c>
      <c r="AE18" s="26">
        <f t="shared" si="1"/>
        <v>0.51388888888888884</v>
      </c>
      <c r="AF18" s="2">
        <v>6</v>
      </c>
      <c r="AG18" s="45" t="s">
        <v>25</v>
      </c>
    </row>
    <row r="19" spans="2:35" ht="17.25" customHeight="1" x14ac:dyDescent="0.25">
      <c r="B19" s="1">
        <v>14</v>
      </c>
      <c r="C19" s="31" t="s">
        <v>119</v>
      </c>
      <c r="D19" s="32">
        <v>0.29305555555555557</v>
      </c>
      <c r="E19" s="41">
        <v>0.71875</v>
      </c>
      <c r="F19" s="26">
        <f>Table13245678910111321252934394449546149141924293336424753919786104110116122127131136141[[#This Row],[JAM MASUK]]-Table13245678910111321252934394449546149141924293336424753919786104110116122127131136141[[#This Row],[JAM KELUAR]]</f>
        <v>0.42569444444444443</v>
      </c>
      <c r="G19" s="2">
        <v>4</v>
      </c>
      <c r="H19" s="45" t="s">
        <v>25</v>
      </c>
      <c r="O19" s="108" t="s">
        <v>66</v>
      </c>
      <c r="P19" s="108"/>
      <c r="Q19" s="108"/>
      <c r="R19" s="108"/>
      <c r="S19" s="108"/>
      <c r="T19" s="108"/>
      <c r="U19" s="108"/>
      <c r="W19" s="106" t="s">
        <v>28</v>
      </c>
      <c r="X19" s="106"/>
      <c r="AA19" s="1">
        <v>14</v>
      </c>
      <c r="AB19" s="2" t="s">
        <v>47</v>
      </c>
      <c r="AC19" s="41">
        <v>0.25972222222222224</v>
      </c>
      <c r="AD19" s="41">
        <v>0.73402777777777783</v>
      </c>
      <c r="AE19" s="26">
        <f t="shared" si="1"/>
        <v>0.47430555555555559</v>
      </c>
      <c r="AF19" s="2">
        <v>6</v>
      </c>
      <c r="AG19" s="45" t="s">
        <v>25</v>
      </c>
    </row>
    <row r="20" spans="2:35" ht="15.75" customHeight="1" x14ac:dyDescent="0.2">
      <c r="B20" s="1">
        <v>15</v>
      </c>
      <c r="C20" s="2" t="s">
        <v>13</v>
      </c>
      <c r="D20" s="41">
        <v>0.26180555555555557</v>
      </c>
      <c r="E20" s="41">
        <v>0.64861111111111114</v>
      </c>
      <c r="F20" s="26">
        <f>Table13245678910111321252934394449546149141924293336424753919786104110116122127131136141[[#This Row],[JAM MASUK]]-Table13245678910111321252934394449546149141924293336424753919786104110116122127131136141[[#This Row],[JAM KELUAR]]</f>
        <v>0.38680555555555557</v>
      </c>
      <c r="G20" s="2">
        <v>4</v>
      </c>
      <c r="H20" s="45" t="s">
        <v>25</v>
      </c>
      <c r="O20" s="109">
        <f>B4</f>
        <v>45414</v>
      </c>
      <c r="P20" s="109"/>
      <c r="Q20" s="109"/>
      <c r="R20" s="109"/>
      <c r="S20" s="109"/>
      <c r="T20" s="109"/>
      <c r="U20" s="109"/>
      <c r="W20" s="110"/>
      <c r="X20" s="110"/>
    </row>
    <row r="21" spans="2:35" x14ac:dyDescent="0.2">
      <c r="B21" s="1">
        <v>16</v>
      </c>
      <c r="C21" s="2" t="s">
        <v>71</v>
      </c>
      <c r="D21" s="41">
        <v>0.24305555555555555</v>
      </c>
      <c r="E21" s="41">
        <v>0.67361111111111116</v>
      </c>
      <c r="F21" s="26">
        <f>Table13245678910111321252934394449546149141924293336424753919786104110116122127131136141[[#This Row],[JAM MASUK]]-Table13245678910111321252934394449546149141924293336424753919786104110116122127131136141[[#This Row],[JAM KELUAR]]</f>
        <v>0.43055555555555558</v>
      </c>
      <c r="G21" s="2">
        <v>4</v>
      </c>
      <c r="H21" s="45" t="s">
        <v>25</v>
      </c>
      <c r="O21" s="2" t="s">
        <v>0</v>
      </c>
      <c r="P21" s="2" t="s">
        <v>1</v>
      </c>
      <c r="Q21" s="22" t="s">
        <v>61</v>
      </c>
      <c r="R21" s="22" t="s">
        <v>62</v>
      </c>
      <c r="S21" s="22" t="s">
        <v>63</v>
      </c>
      <c r="T21" s="2" t="s">
        <v>2</v>
      </c>
      <c r="U21" s="2" t="s">
        <v>3</v>
      </c>
      <c r="W21" s="3" t="s">
        <v>29</v>
      </c>
      <c r="X21" s="5">
        <f>SUM(X23:X26)</f>
        <v>8</v>
      </c>
      <c r="AF21" s="34"/>
      <c r="AG21" s="35" t="s">
        <v>90</v>
      </c>
    </row>
    <row r="22" spans="2:35" x14ac:dyDescent="0.2">
      <c r="B22" s="1">
        <v>17</v>
      </c>
      <c r="C22" s="2" t="s">
        <v>68</v>
      </c>
      <c r="D22" s="41">
        <v>0.25625000000000003</v>
      </c>
      <c r="E22" s="41">
        <v>0.67499999999999993</v>
      </c>
      <c r="F22" s="26">
        <f>Table13245678910111321252934394449546149141924293336424753919786104110116122127131136141[[#This Row],[JAM MASUK]]-Table13245678910111321252934394449546149141924293336424753919786104110116122127131136141[[#This Row],[JAM KELUAR]]</f>
        <v>0.4187499999999999</v>
      </c>
      <c r="G22" s="2">
        <v>4</v>
      </c>
      <c r="H22" s="45" t="s">
        <v>25</v>
      </c>
      <c r="O22" s="15">
        <v>1</v>
      </c>
      <c r="P22" s="23" t="s">
        <v>83</v>
      </c>
      <c r="Q22" s="40">
        <v>0.27708333333333335</v>
      </c>
      <c r="R22" s="40">
        <v>0.66041666666666665</v>
      </c>
      <c r="S22" s="37">
        <f t="shared" ref="S22:S28" si="2">R22-Q22</f>
        <v>0.3833333333333333</v>
      </c>
      <c r="T22" s="23">
        <v>3</v>
      </c>
      <c r="U22" s="16" t="s">
        <v>136</v>
      </c>
      <c r="W22" s="4" t="s">
        <v>10</v>
      </c>
      <c r="X22" s="6">
        <v>8</v>
      </c>
      <c r="AF22" s="1" t="s">
        <v>91</v>
      </c>
      <c r="AG22" s="35" t="s">
        <v>92</v>
      </c>
    </row>
    <row r="23" spans="2:35" ht="15" customHeight="1" x14ac:dyDescent="0.2">
      <c r="B23" s="1">
        <v>18</v>
      </c>
      <c r="C23" s="2" t="s">
        <v>73</v>
      </c>
      <c r="D23" s="41">
        <v>0.23333333333333331</v>
      </c>
      <c r="E23" s="41">
        <v>0.67708333333333337</v>
      </c>
      <c r="F23" s="26">
        <f>Table13245678910111321252934394449546149141924293336424753919786104110116122127131136141[[#This Row],[JAM MASUK]]-Table13245678910111321252934394449546149141924293336424753919786104110116122127131136141[[#This Row],[JAM KELUAR]]</f>
        <v>0.44375000000000009</v>
      </c>
      <c r="G23" s="2">
        <v>4</v>
      </c>
      <c r="H23" s="45" t="s">
        <v>25</v>
      </c>
      <c r="O23" s="15">
        <v>2</v>
      </c>
      <c r="P23" s="33" t="s">
        <v>36</v>
      </c>
      <c r="Q23" s="44">
        <v>0.3263888888888889</v>
      </c>
      <c r="R23" s="40">
        <v>0.65625</v>
      </c>
      <c r="S23" s="37">
        <f t="shared" si="2"/>
        <v>0.3298611111111111</v>
      </c>
      <c r="T23" s="23">
        <v>3</v>
      </c>
      <c r="U23" s="47" t="s">
        <v>131</v>
      </c>
      <c r="W23" s="4" t="s">
        <v>9</v>
      </c>
      <c r="X23" s="7">
        <v>7</v>
      </c>
    </row>
    <row r="24" spans="2:35" ht="14.5" customHeight="1" x14ac:dyDescent="0.2">
      <c r="B24" s="1">
        <v>19</v>
      </c>
      <c r="C24" s="2" t="s">
        <v>75</v>
      </c>
      <c r="D24" s="41">
        <v>0.24305555555555555</v>
      </c>
      <c r="E24" s="41">
        <v>0.66319444444444442</v>
      </c>
      <c r="F24" s="26">
        <f>Table13245678910111321252934394449546149141924293336424753919786104110116122127131136141[[#This Row],[JAM MASUK]]-Table13245678910111321252934394449546149141924293336424753919786104110116122127131136141[[#This Row],[JAM KELUAR]]</f>
        <v>0.42013888888888884</v>
      </c>
      <c r="G24" s="2">
        <v>4</v>
      </c>
      <c r="H24" s="45" t="s">
        <v>25</v>
      </c>
      <c r="O24" s="15">
        <v>3</v>
      </c>
      <c r="P24" s="33" t="s">
        <v>133</v>
      </c>
      <c r="Q24" s="44">
        <v>0.35069444444444442</v>
      </c>
      <c r="R24" s="40">
        <v>0.68402777777777779</v>
      </c>
      <c r="S24" s="37">
        <f t="shared" si="2"/>
        <v>0.33333333333333337</v>
      </c>
      <c r="T24" s="23">
        <v>3</v>
      </c>
      <c r="U24" s="24" t="s">
        <v>132</v>
      </c>
      <c r="W24" s="4" t="s">
        <v>4</v>
      </c>
      <c r="X24" s="7">
        <v>0</v>
      </c>
    </row>
    <row r="25" spans="2:35" ht="14.5" customHeight="1" x14ac:dyDescent="0.2">
      <c r="B25" s="1">
        <v>20</v>
      </c>
      <c r="C25" s="2" t="s">
        <v>120</v>
      </c>
      <c r="D25" s="41">
        <v>0.24166666666666667</v>
      </c>
      <c r="E25" s="41">
        <v>0.6479166666666667</v>
      </c>
      <c r="F25" s="26">
        <f>Table13245678910111321252934394449546149141924293336424753919786104110116122127131136141[[#This Row],[JAM MASUK]]-Table13245678910111321252934394449546149141924293336424753919786104110116122127131136141[[#This Row],[JAM KELUAR]]</f>
        <v>0.40625</v>
      </c>
      <c r="G25" s="2">
        <v>4</v>
      </c>
      <c r="H25" s="45" t="s">
        <v>25</v>
      </c>
      <c r="O25" s="15">
        <v>4</v>
      </c>
      <c r="P25" s="23" t="s">
        <v>85</v>
      </c>
      <c r="Q25" s="40">
        <v>0.28541666666666665</v>
      </c>
      <c r="R25" s="40">
        <v>0.65069444444444446</v>
      </c>
      <c r="S25" s="37">
        <f t="shared" si="2"/>
        <v>0.36527777777777781</v>
      </c>
      <c r="T25" s="23">
        <v>3</v>
      </c>
      <c r="U25" s="24" t="s">
        <v>135</v>
      </c>
      <c r="W25" s="4" t="s">
        <v>5</v>
      </c>
      <c r="X25" s="7">
        <v>1</v>
      </c>
    </row>
    <row r="26" spans="2:35" ht="14.5" customHeight="1" x14ac:dyDescent="0.2">
      <c r="B26" s="1">
        <v>21</v>
      </c>
      <c r="C26" s="2" t="s">
        <v>19</v>
      </c>
      <c r="D26" s="41">
        <v>0.24097222222222223</v>
      </c>
      <c r="E26" s="41">
        <v>0.71319444444444446</v>
      </c>
      <c r="F26" s="26">
        <f>Table13245678910111321252934394449546149141924293336424753919786104110116122127131136141[[#This Row],[JAM MASUK]]-Table13245678910111321252934394449546149141924293336424753919786104110116122127131136141[[#This Row],[JAM KELUAR]]</f>
        <v>0.47222222222222221</v>
      </c>
      <c r="G26" s="2">
        <v>4</v>
      </c>
      <c r="H26" s="45" t="s">
        <v>25</v>
      </c>
      <c r="O26" s="15">
        <v>5</v>
      </c>
      <c r="P26" s="33" t="s">
        <v>39</v>
      </c>
      <c r="Q26" s="44">
        <v>0.30624999999999997</v>
      </c>
      <c r="R26" s="40">
        <v>0.65138888888888891</v>
      </c>
      <c r="S26" s="37">
        <f t="shared" si="2"/>
        <v>0.34513888888888894</v>
      </c>
      <c r="T26" s="23">
        <v>3</v>
      </c>
      <c r="U26" s="24" t="s">
        <v>134</v>
      </c>
      <c r="W26" s="4" t="s">
        <v>33</v>
      </c>
      <c r="X26" s="7">
        <v>0</v>
      </c>
    </row>
    <row r="27" spans="2:35" x14ac:dyDescent="0.2">
      <c r="B27" s="1">
        <v>22</v>
      </c>
      <c r="C27" s="2" t="s">
        <v>76</v>
      </c>
      <c r="D27" s="41">
        <v>0.21527777777777779</v>
      </c>
      <c r="E27" s="41">
        <v>0.71527777777777779</v>
      </c>
      <c r="F27" s="26">
        <f>Table13245678910111321252934394449546149141924293336424753919786104110116122127131136141[[#This Row],[JAM MASUK]]-Table13245678910111321252934394449546149141924293336424753919786104110116122127131136141[[#This Row],[JAM KELUAR]]</f>
        <v>0.5</v>
      </c>
      <c r="G27" s="2">
        <v>5</v>
      </c>
      <c r="H27" s="45" t="s">
        <v>25</v>
      </c>
      <c r="O27" s="15">
        <v>6</v>
      </c>
      <c r="P27" s="23" t="s">
        <v>42</v>
      </c>
      <c r="Q27" s="40">
        <v>0.27986111111111112</v>
      </c>
      <c r="R27" s="40">
        <v>0.61249999999999993</v>
      </c>
      <c r="S27" s="37">
        <f t="shared" si="2"/>
        <v>0.33263888888888882</v>
      </c>
      <c r="T27" s="23">
        <v>3</v>
      </c>
      <c r="U27" s="16" t="s">
        <v>136</v>
      </c>
      <c r="W27" s="8" t="s">
        <v>8</v>
      </c>
      <c r="X27" s="9">
        <f>SUM(Table1345678910111722263032364146515663611162126313539444955939988106112118124129133138143[Retase])</f>
        <v>22</v>
      </c>
    </row>
    <row r="28" spans="2:35" x14ac:dyDescent="0.2">
      <c r="O28" s="1">
        <v>7</v>
      </c>
      <c r="P28" s="29" t="s">
        <v>84</v>
      </c>
      <c r="Q28" s="30">
        <v>0.27291666666666664</v>
      </c>
      <c r="R28" s="30">
        <v>0.70138888888888884</v>
      </c>
      <c r="S28" s="39">
        <f t="shared" si="2"/>
        <v>0.4284722222222222</v>
      </c>
      <c r="T28" s="29">
        <v>4</v>
      </c>
      <c r="U28" s="25" t="s">
        <v>25</v>
      </c>
      <c r="W28" s="10" t="s">
        <v>7</v>
      </c>
      <c r="X28" s="11">
        <f>X27/X23</f>
        <v>3.1428571428571428</v>
      </c>
    </row>
    <row r="29" spans="2:35" x14ac:dyDescent="0.2">
      <c r="W29" s="12" t="s">
        <v>11</v>
      </c>
      <c r="X29" s="13">
        <v>4</v>
      </c>
    </row>
    <row r="30" spans="2:35" x14ac:dyDescent="0.2">
      <c r="G30" s="34"/>
      <c r="H30" s="35" t="s">
        <v>90</v>
      </c>
      <c r="T30" s="34"/>
      <c r="U30" s="35" t="s">
        <v>90</v>
      </c>
      <c r="W30" s="12" t="s">
        <v>88</v>
      </c>
      <c r="X30" s="14">
        <f>1/7</f>
        <v>0.14285714285714285</v>
      </c>
      <c r="AF30" s="49"/>
    </row>
    <row r="31" spans="2:35" x14ac:dyDescent="0.2">
      <c r="G31" s="1" t="s">
        <v>91</v>
      </c>
      <c r="H31" s="35" t="s">
        <v>92</v>
      </c>
      <c r="T31" s="1" t="s">
        <v>91</v>
      </c>
      <c r="U31" s="35" t="s">
        <v>92</v>
      </c>
      <c r="V31" s="1"/>
      <c r="W31" s="12" t="s">
        <v>27</v>
      </c>
      <c r="X31" s="14">
        <f>X23/X22</f>
        <v>0.875</v>
      </c>
    </row>
    <row r="32" spans="2:35" x14ac:dyDescent="0.2">
      <c r="V32" s="1"/>
      <c r="W32" s="12" t="s">
        <v>117</v>
      </c>
      <c r="X32" s="48">
        <f>AVERAGE(Table1345678910111722263032364146515663611162126313539444955939988106112118124129133138143[JAM KELUAR])</f>
        <v>0.29980158730158729</v>
      </c>
    </row>
    <row r="33" spans="1:27" x14ac:dyDescent="0.2">
      <c r="V33" s="1"/>
    </row>
    <row r="34" spans="1:27" x14ac:dyDescent="0.2">
      <c r="G34" s="49"/>
      <c r="V34" s="1"/>
    </row>
    <row r="35" spans="1:27" x14ac:dyDescent="0.2">
      <c r="T35" s="49"/>
      <c r="V35" s="1"/>
      <c r="AA35" s="49" t="s">
        <v>124</v>
      </c>
    </row>
    <row r="36" spans="1:27" x14ac:dyDescent="0.2">
      <c r="V36" s="1"/>
    </row>
    <row r="37" spans="1:27" x14ac:dyDescent="0.2">
      <c r="B37" s="49" t="s">
        <v>124</v>
      </c>
      <c r="O37" s="49" t="s">
        <v>124</v>
      </c>
      <c r="V37" s="1"/>
    </row>
    <row r="38" spans="1:27" x14ac:dyDescent="0.2">
      <c r="V38" s="1"/>
    </row>
    <row r="39" spans="1:27" x14ac:dyDescent="0.2">
      <c r="V39" s="1"/>
    </row>
    <row r="40" spans="1:27" ht="21" x14ac:dyDescent="0.25">
      <c r="A40" s="46"/>
    </row>
    <row r="42" spans="1:27" x14ac:dyDescent="0.2">
      <c r="O42" s="2" t="s">
        <v>0</v>
      </c>
      <c r="P42" s="2" t="s">
        <v>1</v>
      </c>
      <c r="Q42" s="22" t="s">
        <v>61</v>
      </c>
      <c r="R42" s="22" t="s">
        <v>62</v>
      </c>
      <c r="S42" s="22" t="s">
        <v>63</v>
      </c>
      <c r="T42" s="2" t="s">
        <v>2</v>
      </c>
      <c r="U42" s="2" t="s">
        <v>3</v>
      </c>
    </row>
    <row r="43" spans="1:27" x14ac:dyDescent="0.2">
      <c r="O43" s="27">
        <v>1</v>
      </c>
      <c r="P43" s="2"/>
      <c r="Q43" s="41"/>
      <c r="R43" s="42"/>
      <c r="S43" s="26"/>
      <c r="T43" s="2"/>
      <c r="U43" s="24"/>
    </row>
    <row r="44" spans="1:27" x14ac:dyDescent="0.2">
      <c r="O44" s="15">
        <v>2</v>
      </c>
      <c r="P44" s="29"/>
      <c r="Q44" s="30"/>
      <c r="R44" s="36"/>
      <c r="S44" s="26"/>
      <c r="T44" s="29"/>
      <c r="U44" s="24"/>
    </row>
    <row r="45" spans="1:27" x14ac:dyDescent="0.2">
      <c r="O45" s="15">
        <v>3</v>
      </c>
      <c r="P45" s="29"/>
      <c r="Q45" s="30"/>
      <c r="R45" s="36"/>
      <c r="S45" s="39"/>
      <c r="T45" s="29"/>
      <c r="U45" s="16"/>
    </row>
    <row r="46" spans="1:27" x14ac:dyDescent="0.2">
      <c r="O46" s="27">
        <v>4</v>
      </c>
      <c r="P46" s="29"/>
      <c r="Q46" s="30"/>
      <c r="R46" s="36"/>
      <c r="S46" s="39"/>
      <c r="T46" s="29"/>
      <c r="U46" s="24"/>
    </row>
    <row r="47" spans="1:27" x14ac:dyDescent="0.2">
      <c r="O47" s="15">
        <v>5</v>
      </c>
      <c r="P47" s="29"/>
      <c r="Q47" s="30"/>
      <c r="R47" s="36"/>
      <c r="S47" s="26"/>
      <c r="T47" s="29"/>
      <c r="U47" s="24"/>
    </row>
    <row r="48" spans="1:27" x14ac:dyDescent="0.2">
      <c r="O48" s="15">
        <v>6</v>
      </c>
      <c r="P48" s="29"/>
      <c r="Q48" s="30"/>
      <c r="R48" s="36"/>
      <c r="S48" s="26"/>
      <c r="T48" s="29"/>
      <c r="U48" s="24"/>
    </row>
    <row r="49" spans="15:22" x14ac:dyDescent="0.2">
      <c r="O49" s="27">
        <v>7</v>
      </c>
      <c r="P49" s="29"/>
      <c r="Q49" s="30"/>
      <c r="R49" s="36"/>
      <c r="S49" s="39"/>
      <c r="T49" s="29"/>
      <c r="U49" s="24"/>
    </row>
    <row r="50" spans="15:22" x14ac:dyDescent="0.2">
      <c r="O50" s="15">
        <v>8</v>
      </c>
      <c r="P50" s="29"/>
      <c r="Q50" s="30"/>
      <c r="R50" s="36"/>
      <c r="S50" s="26"/>
      <c r="T50" s="29"/>
      <c r="U50" s="24"/>
    </row>
    <row r="51" spans="15:22" x14ac:dyDescent="0.2">
      <c r="O51" s="15">
        <v>9</v>
      </c>
      <c r="P51" s="29"/>
      <c r="Q51" s="30"/>
      <c r="R51" s="36"/>
      <c r="S51" s="26"/>
      <c r="T51" s="29"/>
      <c r="U51" s="24"/>
    </row>
    <row r="52" spans="15:22" x14ac:dyDescent="0.2">
      <c r="O52" s="27">
        <v>10</v>
      </c>
      <c r="P52" s="29"/>
      <c r="Q52" s="30"/>
      <c r="R52" s="36"/>
      <c r="S52" s="26"/>
      <c r="T52" s="29"/>
      <c r="U52" s="24"/>
    </row>
    <row r="53" spans="15:22" x14ac:dyDescent="0.2">
      <c r="O53" s="15">
        <v>11</v>
      </c>
      <c r="P53" s="29"/>
      <c r="Q53" s="30"/>
      <c r="R53" s="36"/>
      <c r="S53" s="26"/>
      <c r="T53" s="29"/>
      <c r="U53" s="24"/>
    </row>
    <row r="54" spans="15:22" x14ac:dyDescent="0.2">
      <c r="O54" s="1">
        <v>12</v>
      </c>
      <c r="P54" s="29"/>
      <c r="Q54" s="30"/>
      <c r="R54" s="36"/>
      <c r="S54" s="39"/>
      <c r="T54" s="29"/>
      <c r="U54" s="25"/>
    </row>
    <row r="55" spans="15:22" x14ac:dyDescent="0.2">
      <c r="O55" s="28">
        <v>13</v>
      </c>
      <c r="P55" s="29"/>
      <c r="Q55" s="30"/>
      <c r="R55" s="36"/>
      <c r="S55" s="26"/>
      <c r="T55" s="29"/>
      <c r="U55" s="25"/>
    </row>
    <row r="56" spans="15:22" x14ac:dyDescent="0.2">
      <c r="O56" s="27">
        <v>14</v>
      </c>
      <c r="P56" s="29"/>
      <c r="Q56" s="30"/>
      <c r="R56" s="36"/>
      <c r="S56" s="26"/>
      <c r="T56" s="29"/>
      <c r="U56" s="24"/>
    </row>
    <row r="57" spans="15:22" x14ac:dyDescent="0.2">
      <c r="O57" s="15">
        <v>15</v>
      </c>
      <c r="P57" s="29"/>
      <c r="Q57" s="30"/>
      <c r="R57" s="36"/>
      <c r="S57" s="26"/>
      <c r="T57" s="29"/>
      <c r="U57" s="24"/>
    </row>
    <row r="58" spans="15:22" x14ac:dyDescent="0.2">
      <c r="O58" s="1">
        <v>16</v>
      </c>
      <c r="P58" s="29"/>
      <c r="Q58" s="30"/>
      <c r="R58" s="36"/>
      <c r="S58" s="26"/>
      <c r="T58" s="29"/>
      <c r="U58" s="25"/>
    </row>
    <row r="59" spans="15:22" x14ac:dyDescent="0.2">
      <c r="O59" s="28">
        <v>17</v>
      </c>
      <c r="P59" s="29"/>
      <c r="Q59" s="30"/>
      <c r="R59" s="36"/>
      <c r="S59" s="26"/>
      <c r="T59" s="29"/>
      <c r="U59" s="25"/>
    </row>
    <row r="60" spans="15:22" x14ac:dyDescent="0.2">
      <c r="O60" s="27">
        <v>18</v>
      </c>
      <c r="P60" s="29"/>
      <c r="Q60" s="30"/>
      <c r="R60" s="36"/>
      <c r="S60" s="26"/>
      <c r="T60" s="29"/>
      <c r="U60" s="24"/>
    </row>
    <row r="61" spans="15:22" x14ac:dyDescent="0.2">
      <c r="O61" s="1">
        <v>19</v>
      </c>
      <c r="P61" s="29"/>
      <c r="Q61" s="30"/>
      <c r="R61" s="36"/>
      <c r="S61" s="39"/>
      <c r="T61" s="29"/>
      <c r="U61" s="25"/>
    </row>
    <row r="62" spans="15:22" x14ac:dyDescent="0.2">
      <c r="O62" s="1">
        <v>20</v>
      </c>
      <c r="P62" s="29"/>
      <c r="Q62" s="30"/>
      <c r="R62" s="36"/>
      <c r="S62" s="39"/>
      <c r="T62" s="29"/>
      <c r="U62" s="25"/>
      <c r="V62" s="1"/>
    </row>
    <row r="63" spans="15:22" x14ac:dyDescent="0.2">
      <c r="O63" s="28">
        <v>21</v>
      </c>
      <c r="P63" s="29"/>
      <c r="Q63" s="30"/>
      <c r="R63" s="36"/>
      <c r="S63" s="26"/>
      <c r="T63" s="29"/>
      <c r="U63" s="25"/>
      <c r="V63" s="1"/>
    </row>
    <row r="64" spans="15:22" x14ac:dyDescent="0.2">
      <c r="O64" s="27">
        <v>22</v>
      </c>
      <c r="P64" s="29"/>
      <c r="Q64" s="30"/>
      <c r="R64" s="36"/>
      <c r="S64" s="26"/>
      <c r="T64" s="29"/>
      <c r="U64" s="25"/>
      <c r="V64" s="1"/>
    </row>
  </sheetData>
  <mergeCells count="15">
    <mergeCell ref="AA1:AJ1"/>
    <mergeCell ref="B3:H3"/>
    <mergeCell ref="J3:K4"/>
    <mergeCell ref="O3:U3"/>
    <mergeCell ref="W3:X4"/>
    <mergeCell ref="AA3:AG3"/>
    <mergeCell ref="AI3:AJ4"/>
    <mergeCell ref="B4:H4"/>
    <mergeCell ref="O4:U4"/>
    <mergeCell ref="AA4:AG4"/>
    <mergeCell ref="W19:X20"/>
    <mergeCell ref="O19:U19"/>
    <mergeCell ref="O20:U20"/>
    <mergeCell ref="B1:K1"/>
    <mergeCell ref="O1:X1"/>
  </mergeCells>
  <pageMargins left="0.12" right="0.12" top="0.75" bottom="0.75" header="0.3" footer="0.3"/>
  <pageSetup paperSize="5" scale="83" fitToWidth="0" orientation="landscape" horizontalDpi="360" verticalDpi="360" r:id="rId1"/>
  <rowBreaks count="1" manualBreakCount="1">
    <brk id="39" max="46" man="1"/>
  </rowBreaks>
  <colBreaks count="2" manualBreakCount="2">
    <brk id="13" max="38" man="1"/>
    <brk id="25" max="38" man="1"/>
  </colBreaks>
  <tableParts count="5"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71269-3DAF-488D-8F42-41CD7E9A6C83}">
  <sheetPr>
    <tabColor theme="7" tint="0.39997558519241921"/>
  </sheetPr>
  <dimension ref="A1:AV76"/>
  <sheetViews>
    <sheetView showGridLines="0" view="pageBreakPreview" topLeftCell="U1" zoomScale="55" zoomScaleNormal="55" zoomScaleSheetLayoutView="55" workbookViewId="0">
      <selection activeCell="AN7" sqref="AN7:AS26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2" x14ac:dyDescent="0.25">
      <c r="B1" s="59"/>
      <c r="C1" s="59"/>
      <c r="D1" s="59"/>
      <c r="E1" s="59"/>
      <c r="F1" s="59"/>
      <c r="G1" s="59"/>
      <c r="H1" s="59"/>
      <c r="I1" s="59"/>
      <c r="J1" s="59" t="s">
        <v>625</v>
      </c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COUNTIF(Table13245678910111321252934394449546149141924293336424753919786104110116122127131136141914241930364248546066727782879297102[Retase],"&gt;3")</f>
        <v>9</v>
      </c>
      <c r="D3" t="s">
        <v>241</v>
      </c>
      <c r="O3" s="60">
        <f>COUNTIF(Table134567891011172226303540455055625101520253034384348549298871051111171231281321371421015252031374349556167737883889398103[Retase],"&gt;3")</f>
        <v>0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COUNTIF(Table134567891011151819232731374247525927121722273228414652909680103109115121126120135140813231828344046525864707580859095100105[Retase],"&gt;4")</f>
        <v>10</v>
      </c>
      <c r="AM3" s="60">
        <f>COUNTIF(Table134567891011151819232731374247525927121722273228414652909680103109115121126120135140813231829354147535965717681869196101[Retase],"&gt;3")</f>
        <v>18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45432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45432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45432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45432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3" t="s">
        <v>118</v>
      </c>
      <c r="D7" s="21">
        <v>0.27430555555555552</v>
      </c>
      <c r="E7" s="21">
        <v>0.45208333333333334</v>
      </c>
      <c r="F7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0.17777777777777781</v>
      </c>
      <c r="G7" s="20">
        <v>1</v>
      </c>
      <c r="H7" s="65" t="s">
        <v>656</v>
      </c>
      <c r="J7" s="4" t="s">
        <v>10</v>
      </c>
      <c r="K7" s="6">
        <v>23</v>
      </c>
      <c r="L7" s="19"/>
      <c r="N7" s="56"/>
      <c r="O7" s="15">
        <v>1</v>
      </c>
      <c r="P7" s="23" t="s">
        <v>39</v>
      </c>
      <c r="Q7" s="40">
        <v>0.25694444444444448</v>
      </c>
      <c r="R7" s="40">
        <v>0.59791666666666665</v>
      </c>
      <c r="S7" s="37">
        <f t="shared" ref="S7:S12" si="0">R7-Q7</f>
        <v>0.34097222222222218</v>
      </c>
      <c r="T7" s="23">
        <v>2</v>
      </c>
      <c r="U7" s="24" t="s">
        <v>654</v>
      </c>
      <c r="W7" s="4" t="s">
        <v>10</v>
      </c>
      <c r="X7" s="6">
        <v>8</v>
      </c>
      <c r="AA7" s="15">
        <v>1</v>
      </c>
      <c r="AB7" s="23" t="s">
        <v>31</v>
      </c>
      <c r="AC7" s="21">
        <v>0.2638888888888889</v>
      </c>
      <c r="AD7" s="21">
        <v>0.4513888888888889</v>
      </c>
      <c r="AE7" s="37">
        <f t="shared" ref="AE7:AE31" si="1">AD7-AC7</f>
        <v>0.1875</v>
      </c>
      <c r="AF7" s="20">
        <v>1</v>
      </c>
      <c r="AG7" s="16" t="s">
        <v>643</v>
      </c>
      <c r="AI7" s="4" t="s">
        <v>10</v>
      </c>
      <c r="AJ7" s="6">
        <v>33</v>
      </c>
      <c r="AM7" s="15">
        <v>1</v>
      </c>
      <c r="AN7" s="20" t="s">
        <v>230</v>
      </c>
      <c r="AO7" s="21">
        <v>0.21319444444444444</v>
      </c>
      <c r="AP7" s="21">
        <v>0.41875000000000001</v>
      </c>
      <c r="AQ7" s="38">
        <f t="shared" ref="AQ7:AQ26" si="2">AP7-AO7</f>
        <v>0.20555555555555557</v>
      </c>
      <c r="AR7" s="20">
        <v>1</v>
      </c>
      <c r="AS7" s="16" t="s">
        <v>649</v>
      </c>
      <c r="AU7" s="4" t="s">
        <v>10</v>
      </c>
      <c r="AV7" s="6">
        <v>20</v>
      </c>
    </row>
    <row r="8" spans="1:48" s="1" customFormat="1" x14ac:dyDescent="0.2">
      <c r="A8"/>
      <c r="B8" s="15">
        <v>2</v>
      </c>
      <c r="C8" s="23" t="s">
        <v>19</v>
      </c>
      <c r="D8" s="21">
        <v>0.20902777777777778</v>
      </c>
      <c r="E8" s="21">
        <v>0.63194444444444442</v>
      </c>
      <c r="F8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0.42291666666666661</v>
      </c>
      <c r="G8" s="20">
        <v>1</v>
      </c>
      <c r="H8" s="67" t="s">
        <v>657</v>
      </c>
      <c r="J8" s="4" t="s">
        <v>9</v>
      </c>
      <c r="K8" s="7">
        <v>23</v>
      </c>
      <c r="L8" s="19"/>
      <c r="O8" s="15">
        <v>2</v>
      </c>
      <c r="P8" s="23" t="s">
        <v>42</v>
      </c>
      <c r="Q8" s="40">
        <v>0.27638888888888885</v>
      </c>
      <c r="R8" s="40">
        <v>0.56944444444444442</v>
      </c>
      <c r="S8" s="37">
        <f t="shared" si="0"/>
        <v>0.29305555555555557</v>
      </c>
      <c r="T8" s="23">
        <v>2</v>
      </c>
      <c r="U8" s="24" t="s">
        <v>655</v>
      </c>
      <c r="W8" s="4" t="s">
        <v>9</v>
      </c>
      <c r="X8" s="7">
        <v>6</v>
      </c>
      <c r="Z8" s="56"/>
      <c r="AA8" s="15">
        <v>2</v>
      </c>
      <c r="AB8" s="23" t="s">
        <v>57</v>
      </c>
      <c r="AC8" s="40">
        <v>0.28055555555555556</v>
      </c>
      <c r="AD8" s="40">
        <v>0.64166666666666672</v>
      </c>
      <c r="AE8" s="38">
        <f t="shared" si="1"/>
        <v>0.36111111111111116</v>
      </c>
      <c r="AF8" s="20">
        <v>2</v>
      </c>
      <c r="AG8" s="16" t="s">
        <v>644</v>
      </c>
      <c r="AI8" s="4" t="s">
        <v>9</v>
      </c>
      <c r="AJ8" s="6">
        <v>25</v>
      </c>
      <c r="AM8" s="1">
        <v>2</v>
      </c>
      <c r="AN8" s="2" t="s">
        <v>308</v>
      </c>
      <c r="AO8" s="41">
        <v>0.26458333333333334</v>
      </c>
      <c r="AP8" s="41">
        <v>0.68541666666666667</v>
      </c>
      <c r="AQ8" s="26">
        <f t="shared" si="2"/>
        <v>0.42083333333333334</v>
      </c>
      <c r="AR8" s="2">
        <v>3</v>
      </c>
      <c r="AS8" s="45" t="s">
        <v>669</v>
      </c>
      <c r="AU8" s="4" t="s">
        <v>9</v>
      </c>
      <c r="AV8" s="6">
        <v>20</v>
      </c>
    </row>
    <row r="9" spans="1:48" s="1" customFormat="1" x14ac:dyDescent="0.2">
      <c r="A9" s="56"/>
      <c r="B9" s="15">
        <v>3</v>
      </c>
      <c r="C9" s="23" t="s">
        <v>73</v>
      </c>
      <c r="D9" s="21">
        <v>0.22500000000000001</v>
      </c>
      <c r="E9" s="21">
        <v>0.63750000000000007</v>
      </c>
      <c r="F9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0.41250000000000009</v>
      </c>
      <c r="G9" s="20">
        <v>2</v>
      </c>
      <c r="H9" s="67" t="s">
        <v>658</v>
      </c>
      <c r="J9" s="4" t="s">
        <v>4</v>
      </c>
      <c r="K9" s="7">
        <v>0</v>
      </c>
      <c r="L9" s="19"/>
      <c r="N9" s="56"/>
      <c r="O9" s="15">
        <v>3</v>
      </c>
      <c r="P9" s="23" t="s">
        <v>83</v>
      </c>
      <c r="Q9" s="40">
        <v>0.26666666666666666</v>
      </c>
      <c r="R9" s="40">
        <v>0.62291666666666667</v>
      </c>
      <c r="S9" s="37">
        <f t="shared" si="0"/>
        <v>0.35625000000000001</v>
      </c>
      <c r="T9" s="23">
        <v>3</v>
      </c>
      <c r="U9" s="65" t="s">
        <v>650</v>
      </c>
      <c r="W9" s="4" t="s">
        <v>4</v>
      </c>
      <c r="X9" s="7">
        <v>0</v>
      </c>
      <c r="Z9" s="56"/>
      <c r="AA9" s="50">
        <v>3</v>
      </c>
      <c r="AB9" s="33" t="s">
        <v>309</v>
      </c>
      <c r="AC9" s="44">
        <v>0.31111111111111112</v>
      </c>
      <c r="AD9" s="44">
        <v>0.70138888888888884</v>
      </c>
      <c r="AE9" s="51">
        <f t="shared" si="1"/>
        <v>0.39027777777777772</v>
      </c>
      <c r="AF9" s="31">
        <v>2</v>
      </c>
      <c r="AG9" s="55" t="s">
        <v>645</v>
      </c>
      <c r="AI9" s="4" t="s">
        <v>4</v>
      </c>
      <c r="AJ9" s="7">
        <v>1</v>
      </c>
      <c r="AM9" s="1">
        <v>3</v>
      </c>
      <c r="AN9" s="2" t="s">
        <v>300</v>
      </c>
      <c r="AO9" s="41">
        <v>0.28958333333333336</v>
      </c>
      <c r="AP9" s="41">
        <v>0.7006944444444444</v>
      </c>
      <c r="AQ9" s="26">
        <f t="shared" si="2"/>
        <v>0.41111111111111104</v>
      </c>
      <c r="AR9" s="2">
        <v>4</v>
      </c>
      <c r="AS9" s="45" t="s">
        <v>25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3" t="s">
        <v>76</v>
      </c>
      <c r="D10" s="21">
        <v>0.21111111111111111</v>
      </c>
      <c r="E10" s="21">
        <v>0.62986111111111109</v>
      </c>
      <c r="F10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0.41874999999999996</v>
      </c>
      <c r="G10" s="20">
        <v>2</v>
      </c>
      <c r="H10" s="67" t="s">
        <v>659</v>
      </c>
      <c r="J10" s="4" t="s">
        <v>5</v>
      </c>
      <c r="K10" s="7">
        <v>0</v>
      </c>
      <c r="L10" s="19"/>
      <c r="O10" s="15">
        <v>4</v>
      </c>
      <c r="P10" s="23" t="s">
        <v>36</v>
      </c>
      <c r="Q10" s="40">
        <v>0.28472222222222221</v>
      </c>
      <c r="R10" s="40">
        <v>0.68888888888888899</v>
      </c>
      <c r="S10" s="37">
        <f t="shared" si="0"/>
        <v>0.40416666666666679</v>
      </c>
      <c r="T10" s="23">
        <v>3</v>
      </c>
      <c r="U10" s="67" t="s">
        <v>651</v>
      </c>
      <c r="W10" s="4" t="s">
        <v>5</v>
      </c>
      <c r="X10" s="7">
        <v>2</v>
      </c>
      <c r="Z10" s="56"/>
      <c r="AA10" s="50">
        <v>4</v>
      </c>
      <c r="AB10" s="33" t="s">
        <v>79</v>
      </c>
      <c r="AC10" s="44">
        <v>0.29375000000000001</v>
      </c>
      <c r="AD10" s="44">
        <v>0.63958333333333328</v>
      </c>
      <c r="AE10" s="51">
        <f t="shared" si="1"/>
        <v>0.34583333333333327</v>
      </c>
      <c r="AF10" s="31">
        <v>2</v>
      </c>
      <c r="AG10" s="55" t="s">
        <v>646</v>
      </c>
      <c r="AI10" s="4" t="s">
        <v>5</v>
      </c>
      <c r="AJ10" s="7">
        <v>7</v>
      </c>
      <c r="AL10" s="54"/>
      <c r="AM10" s="1">
        <v>4</v>
      </c>
      <c r="AN10" s="2" t="s">
        <v>302</v>
      </c>
      <c r="AO10" s="41">
        <v>0.27986111111111112</v>
      </c>
      <c r="AP10" s="41">
        <v>0.66527777777777775</v>
      </c>
      <c r="AQ10" s="26">
        <f t="shared" si="2"/>
        <v>0.38541666666666663</v>
      </c>
      <c r="AR10" s="2">
        <v>4</v>
      </c>
      <c r="AS10" s="45" t="s">
        <v>25</v>
      </c>
      <c r="AU10" s="4" t="s">
        <v>5</v>
      </c>
      <c r="AV10" s="7">
        <v>1</v>
      </c>
    </row>
    <row r="11" spans="1:48" s="1" customFormat="1" x14ac:dyDescent="0.2">
      <c r="A11" s="56"/>
      <c r="B11" s="15">
        <v>5</v>
      </c>
      <c r="C11" s="23" t="s">
        <v>121</v>
      </c>
      <c r="D11" s="21">
        <v>0.27152777777777776</v>
      </c>
      <c r="E11" s="21">
        <v>0.63888888888888895</v>
      </c>
      <c r="F11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0.36736111111111119</v>
      </c>
      <c r="G11" s="20">
        <v>2</v>
      </c>
      <c r="H11" s="67" t="s">
        <v>660</v>
      </c>
      <c r="J11" s="4" t="s">
        <v>6</v>
      </c>
      <c r="K11" s="7">
        <v>0</v>
      </c>
      <c r="N11" s="56" t="s">
        <v>209</v>
      </c>
      <c r="O11" s="50">
        <v>5</v>
      </c>
      <c r="P11" s="33" t="s">
        <v>38</v>
      </c>
      <c r="Q11" s="44">
        <v>0.34722222222222227</v>
      </c>
      <c r="R11" s="44">
        <v>0.71319444444444446</v>
      </c>
      <c r="S11" s="52">
        <f t="shared" si="0"/>
        <v>0.3659722222222222</v>
      </c>
      <c r="T11" s="33">
        <v>3</v>
      </c>
      <c r="U11" s="53" t="s">
        <v>652</v>
      </c>
      <c r="W11" s="4" t="s">
        <v>33</v>
      </c>
      <c r="X11" s="7">
        <v>0</v>
      </c>
      <c r="Z11" s="56"/>
      <c r="AA11" s="15">
        <v>5</v>
      </c>
      <c r="AB11" s="23" t="s">
        <v>58</v>
      </c>
      <c r="AC11" s="40">
        <v>0.28611111111111115</v>
      </c>
      <c r="AD11" s="40">
        <v>0.70972222222222225</v>
      </c>
      <c r="AE11" s="38">
        <f t="shared" si="1"/>
        <v>0.4236111111111111</v>
      </c>
      <c r="AF11" s="20">
        <v>3</v>
      </c>
      <c r="AG11" s="16" t="s">
        <v>668</v>
      </c>
      <c r="AI11" s="4" t="s">
        <v>6</v>
      </c>
      <c r="AJ11" s="7">
        <v>0</v>
      </c>
      <c r="AM11" s="1">
        <v>5</v>
      </c>
      <c r="AN11" s="2" t="s">
        <v>238</v>
      </c>
      <c r="AO11" s="41">
        <v>0.24236111111111111</v>
      </c>
      <c r="AP11" s="41">
        <v>0.68541666666666667</v>
      </c>
      <c r="AQ11" s="26">
        <f t="shared" si="2"/>
        <v>0.44305555555555554</v>
      </c>
      <c r="AR11" s="2">
        <v>4</v>
      </c>
      <c r="AS11" s="45" t="s">
        <v>25</v>
      </c>
      <c r="AU11" s="4" t="s">
        <v>6</v>
      </c>
      <c r="AV11" s="7">
        <v>18</v>
      </c>
    </row>
    <row r="12" spans="1:48" s="1" customFormat="1" x14ac:dyDescent="0.2">
      <c r="A12" s="56"/>
      <c r="B12" s="15">
        <v>6</v>
      </c>
      <c r="C12" s="23" t="s">
        <v>65</v>
      </c>
      <c r="D12" s="21">
        <v>0.2722222222222222</v>
      </c>
      <c r="E12" s="21">
        <v>0.62569444444444444</v>
      </c>
      <c r="F12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0.35347222222222224</v>
      </c>
      <c r="G12" s="20">
        <v>3</v>
      </c>
      <c r="H12" s="65" t="s">
        <v>661</v>
      </c>
      <c r="J12" s="8" t="s">
        <v>8</v>
      </c>
      <c r="K12" s="9">
        <f>SUM(Table13245678910111321252934394449546149141924293336424753919786104110116122127131136141914241930364248546066727782879297102[Retase])</f>
        <v>71</v>
      </c>
      <c r="L12" s="19"/>
      <c r="N12" s="54"/>
      <c r="O12" s="15">
        <v>6</v>
      </c>
      <c r="P12" s="23" t="s">
        <v>201</v>
      </c>
      <c r="Q12" s="40">
        <v>0.26458333333333334</v>
      </c>
      <c r="R12" s="40" t="s">
        <v>310</v>
      </c>
      <c r="S12" s="37" t="e">
        <f t="shared" si="0"/>
        <v>#VALUE!</v>
      </c>
      <c r="T12" s="23">
        <v>3</v>
      </c>
      <c r="U12" s="24" t="s">
        <v>653</v>
      </c>
      <c r="W12" s="8" t="s">
        <v>8</v>
      </c>
      <c r="X12" s="9">
        <f>SUM(Table134567891011172226303540455055625101520253034384348549298871051111171231281321371421015252031374349556167737883889398103[Retase])</f>
        <v>16</v>
      </c>
      <c r="AA12" s="50">
        <v>6</v>
      </c>
      <c r="AB12" s="33" t="s">
        <v>82</v>
      </c>
      <c r="AC12" s="44">
        <v>0.30555555555555552</v>
      </c>
      <c r="AD12" s="44">
        <v>0.75069444444444444</v>
      </c>
      <c r="AE12" s="51">
        <f t="shared" si="1"/>
        <v>0.44513888888888892</v>
      </c>
      <c r="AF12" s="31">
        <v>4</v>
      </c>
      <c r="AG12" s="55" t="s">
        <v>668</v>
      </c>
      <c r="AI12" s="8" t="s">
        <v>8</v>
      </c>
      <c r="AJ12" s="9">
        <f>SUM(Table134567891011151819232731374247525927121722273228414652909680103109115121126120135140813231828344046525864707580859095100105[Retase])</f>
        <v>101</v>
      </c>
      <c r="AM12" s="1">
        <v>6</v>
      </c>
      <c r="AN12" s="2" t="s">
        <v>239</v>
      </c>
      <c r="AO12" s="41">
        <v>0.26180555555555557</v>
      </c>
      <c r="AP12" s="41">
        <v>0.65555555555555556</v>
      </c>
      <c r="AQ12" s="26">
        <f t="shared" si="2"/>
        <v>0.39374999999999999</v>
      </c>
      <c r="AR12" s="2">
        <v>4</v>
      </c>
      <c r="AS12" s="45" t="s">
        <v>25</v>
      </c>
      <c r="AU12" s="8" t="s">
        <v>8</v>
      </c>
      <c r="AV12" s="9">
        <f>SUM(Table134567891011151819232731374247525927121722273228414652909680103109115121126120135140813231829354147535965717681869196101[Retase])</f>
        <v>82</v>
      </c>
    </row>
    <row r="13" spans="1:48" s="1" customFormat="1" x14ac:dyDescent="0.2">
      <c r="A13"/>
      <c r="B13" s="15">
        <v>7</v>
      </c>
      <c r="C13" s="23" t="s">
        <v>119</v>
      </c>
      <c r="D13" s="21">
        <v>0.28958333333333336</v>
      </c>
      <c r="E13" s="21">
        <v>0.71250000000000002</v>
      </c>
      <c r="F13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0.42291666666666666</v>
      </c>
      <c r="G13" s="20">
        <v>3</v>
      </c>
      <c r="H13" s="65" t="s">
        <v>662</v>
      </c>
      <c r="J13" s="10" t="s">
        <v>7</v>
      </c>
      <c r="K13" s="11">
        <f>K12/K8</f>
        <v>3.0869565217391304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2.6666666666666665</v>
      </c>
      <c r="Z13" s="56" t="s">
        <v>209</v>
      </c>
      <c r="AA13" s="50">
        <v>7</v>
      </c>
      <c r="AB13" s="33" t="s">
        <v>123</v>
      </c>
      <c r="AC13" s="44">
        <v>0.31527777777777777</v>
      </c>
      <c r="AD13" s="44">
        <v>0.70347222222222217</v>
      </c>
      <c r="AE13" s="51">
        <f t="shared" si="1"/>
        <v>0.3881944444444444</v>
      </c>
      <c r="AF13" s="31">
        <v>4</v>
      </c>
      <c r="AG13" s="55" t="s">
        <v>668</v>
      </c>
      <c r="AI13" s="10" t="s">
        <v>7</v>
      </c>
      <c r="AJ13" s="11">
        <f>AJ12/AJ8</f>
        <v>4.04</v>
      </c>
      <c r="AM13" s="1">
        <v>7</v>
      </c>
      <c r="AN13" s="2" t="s">
        <v>273</v>
      </c>
      <c r="AO13" s="41">
        <v>0.26527777777777778</v>
      </c>
      <c r="AP13" s="41">
        <v>0.6645833333333333</v>
      </c>
      <c r="AQ13" s="26">
        <f t="shared" si="2"/>
        <v>0.39930555555555552</v>
      </c>
      <c r="AR13" s="2">
        <v>4</v>
      </c>
      <c r="AS13" s="45" t="s">
        <v>25</v>
      </c>
      <c r="AU13" s="10" t="s">
        <v>7</v>
      </c>
      <c r="AV13" s="11">
        <f>AV12/AV8</f>
        <v>4.0999999999999996</v>
      </c>
    </row>
    <row r="14" spans="1:48" s="1" customFormat="1" x14ac:dyDescent="0.2">
      <c r="A14"/>
      <c r="B14" s="15">
        <v>8</v>
      </c>
      <c r="C14" s="23" t="s">
        <v>12</v>
      </c>
      <c r="D14" s="21">
        <v>0.28541666666666665</v>
      </c>
      <c r="E14" s="40">
        <v>0.63194444444444442</v>
      </c>
      <c r="F14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0.34652777777777777</v>
      </c>
      <c r="G14" s="20">
        <v>3</v>
      </c>
      <c r="H14" s="65" t="s">
        <v>663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15">
        <v>8</v>
      </c>
      <c r="AB14" s="23" t="s">
        <v>30</v>
      </c>
      <c r="AC14" s="40">
        <v>0.23611111111111113</v>
      </c>
      <c r="AD14" s="40">
        <v>0.72361111111111109</v>
      </c>
      <c r="AE14" s="38">
        <f t="shared" si="1"/>
        <v>0.48749999999999993</v>
      </c>
      <c r="AF14" s="20">
        <v>4</v>
      </c>
      <c r="AG14" s="16" t="s">
        <v>668</v>
      </c>
      <c r="AI14" s="12" t="s">
        <v>11</v>
      </c>
      <c r="AJ14" s="13">
        <v>5</v>
      </c>
      <c r="AM14" s="1">
        <v>8</v>
      </c>
      <c r="AN14" s="2" t="s">
        <v>278</v>
      </c>
      <c r="AO14" s="41">
        <v>0.25694444444444448</v>
      </c>
      <c r="AP14" s="41">
        <v>0.71944444444444444</v>
      </c>
      <c r="AQ14" s="26">
        <f t="shared" si="2"/>
        <v>0.46249999999999997</v>
      </c>
      <c r="AR14" s="2">
        <v>4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3" t="s">
        <v>13</v>
      </c>
      <c r="D15" s="21">
        <v>0.23611111111111113</v>
      </c>
      <c r="E15" s="21">
        <v>0.5625</v>
      </c>
      <c r="F15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0.32638888888888884</v>
      </c>
      <c r="G15" s="20">
        <v>3</v>
      </c>
      <c r="H15" s="24" t="s">
        <v>664</v>
      </c>
      <c r="J15" s="12" t="s">
        <v>88</v>
      </c>
      <c r="K15" s="14">
        <f>B3/K8</f>
        <v>0.39130434782608697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</v>
      </c>
      <c r="Z15" s="56"/>
      <c r="AA15" s="15">
        <v>9</v>
      </c>
      <c r="AB15" s="23" t="s">
        <v>34</v>
      </c>
      <c r="AC15" s="40">
        <v>0.28958333333333336</v>
      </c>
      <c r="AD15" s="40">
        <v>0.73611111111111116</v>
      </c>
      <c r="AE15" s="38">
        <f t="shared" si="1"/>
        <v>0.4465277777777778</v>
      </c>
      <c r="AF15" s="20">
        <v>4</v>
      </c>
      <c r="AG15" s="16" t="s">
        <v>668</v>
      </c>
      <c r="AI15" s="12" t="s">
        <v>88</v>
      </c>
      <c r="AJ15" s="14">
        <f>AA3/AJ8</f>
        <v>0.4</v>
      </c>
      <c r="AM15" s="1">
        <v>9</v>
      </c>
      <c r="AN15" s="2" t="s">
        <v>280</v>
      </c>
      <c r="AO15" s="41">
        <v>0.2298611111111111</v>
      </c>
      <c r="AP15" s="41">
        <v>0.65972222222222221</v>
      </c>
      <c r="AQ15" s="26">
        <f t="shared" si="2"/>
        <v>0.42986111111111114</v>
      </c>
      <c r="AR15" s="2">
        <v>4</v>
      </c>
      <c r="AS15" s="45" t="s">
        <v>25</v>
      </c>
      <c r="AU15" s="12" t="s">
        <v>88</v>
      </c>
      <c r="AV15" s="14">
        <f>AM3/AV8</f>
        <v>0.9</v>
      </c>
    </row>
    <row r="16" spans="1:48" x14ac:dyDescent="0.2">
      <c r="B16" s="15">
        <v>10</v>
      </c>
      <c r="C16" s="23" t="s">
        <v>14</v>
      </c>
      <c r="D16" s="21">
        <v>0.26874999999999999</v>
      </c>
      <c r="E16" s="21">
        <v>0.6381944444444444</v>
      </c>
      <c r="F16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0.36944444444444441</v>
      </c>
      <c r="G16" s="20">
        <v>3</v>
      </c>
      <c r="H16" s="65" t="s">
        <v>89</v>
      </c>
      <c r="J16" s="12" t="s">
        <v>24</v>
      </c>
      <c r="K16" s="14">
        <f>K8/K7</f>
        <v>1</v>
      </c>
      <c r="W16" s="12" t="s">
        <v>27</v>
      </c>
      <c r="X16" s="14">
        <f>X8/X7</f>
        <v>0.75</v>
      </c>
      <c r="AA16" s="15">
        <v>10</v>
      </c>
      <c r="AB16" s="23" t="s">
        <v>122</v>
      </c>
      <c r="AC16" s="40">
        <v>0.25486111111111109</v>
      </c>
      <c r="AD16" s="40">
        <v>0.68611111111111101</v>
      </c>
      <c r="AE16" s="38">
        <f t="shared" si="1"/>
        <v>0.43124999999999991</v>
      </c>
      <c r="AF16" s="20">
        <v>4</v>
      </c>
      <c r="AG16" s="16" t="s">
        <v>668</v>
      </c>
      <c r="AI16" s="12" t="s">
        <v>27</v>
      </c>
      <c r="AJ16" s="14">
        <f>AJ8/AJ7</f>
        <v>0.75757575757575757</v>
      </c>
      <c r="AM16" s="1">
        <v>10</v>
      </c>
      <c r="AN16" s="2" t="s">
        <v>303</v>
      </c>
      <c r="AO16" s="41">
        <v>0.27777777777777779</v>
      </c>
      <c r="AP16" s="41">
        <v>0.70208333333333339</v>
      </c>
      <c r="AQ16" s="26">
        <f t="shared" si="2"/>
        <v>0.4243055555555556</v>
      </c>
      <c r="AR16" s="2">
        <v>4</v>
      </c>
      <c r="AS16" s="45" t="s">
        <v>25</v>
      </c>
      <c r="AU16" s="12" t="s">
        <v>27</v>
      </c>
      <c r="AV16" s="14">
        <f>AV8/AV7</f>
        <v>1</v>
      </c>
    </row>
    <row r="17" spans="1:48" x14ac:dyDescent="0.2">
      <c r="B17" s="15">
        <v>11</v>
      </c>
      <c r="C17" s="23" t="s">
        <v>70</v>
      </c>
      <c r="D17" s="21">
        <v>0.28680555555555554</v>
      </c>
      <c r="E17" s="21">
        <v>0.71736111111111101</v>
      </c>
      <c r="F17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0.43055555555555547</v>
      </c>
      <c r="G17" s="20">
        <v>3</v>
      </c>
      <c r="H17" s="65" t="s">
        <v>89</v>
      </c>
      <c r="J17" s="12" t="s">
        <v>117</v>
      </c>
      <c r="K17" s="48">
        <f>AVERAGE(Table13245678910111321252934394449546149141924293336424753919786104110116122127131136141914241930364248546066727782879297102[JAM KELUAR])</f>
        <v>0.25015096618357485</v>
      </c>
      <c r="W17" s="12" t="s">
        <v>117</v>
      </c>
      <c r="X17" s="48">
        <f>AVERAGE(Table134567891011172226303540455055625101520253034384348549298871051111171231281321371421015252031374349556167737883889398103[JAM KELUAR])</f>
        <v>0.28275462962962966</v>
      </c>
      <c r="AA17" s="50">
        <v>11</v>
      </c>
      <c r="AB17" s="33" t="s">
        <v>56</v>
      </c>
      <c r="AC17" s="44">
        <v>0.29652777777777778</v>
      </c>
      <c r="AD17" s="44">
        <v>0.65625</v>
      </c>
      <c r="AE17" s="51">
        <f t="shared" si="1"/>
        <v>0.35972222222222222</v>
      </c>
      <c r="AF17" s="31">
        <v>4</v>
      </c>
      <c r="AG17" s="55" t="s">
        <v>668</v>
      </c>
      <c r="AI17" s="12" t="s">
        <v>117</v>
      </c>
      <c r="AJ17" s="48">
        <f>AVERAGE(Table134567891011151819232731374247525927121722273228414652909680103109115121126120135140813231828344046525864707580859095100105[JAM KELUAR])</f>
        <v>0.27197222222222223</v>
      </c>
      <c r="AM17" s="1">
        <v>11</v>
      </c>
      <c r="AN17" s="2" t="s">
        <v>304</v>
      </c>
      <c r="AO17" s="41">
        <v>0.27083333333333331</v>
      </c>
      <c r="AP17" s="41">
        <v>0.69444444444444453</v>
      </c>
      <c r="AQ17" s="26">
        <f t="shared" si="2"/>
        <v>0.42361111111111122</v>
      </c>
      <c r="AR17" s="2">
        <v>4</v>
      </c>
      <c r="AS17" s="45" t="s">
        <v>25</v>
      </c>
      <c r="AU17" s="12" t="s">
        <v>117</v>
      </c>
      <c r="AV17" s="48">
        <f>AVERAGE(Table134567891011151819232731374247525927121722273228414652909680103109115121126120135140813231829354147535965717681869196101[JAM KELUAR])</f>
        <v>0.25034722222222228</v>
      </c>
    </row>
    <row r="18" spans="1:48" x14ac:dyDescent="0.2">
      <c r="B18" s="15">
        <v>12</v>
      </c>
      <c r="C18" s="23" t="s">
        <v>71</v>
      </c>
      <c r="D18" s="21">
        <v>0.26250000000000001</v>
      </c>
      <c r="E18" s="21">
        <v>0.63958333333333328</v>
      </c>
      <c r="F18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0.37708333333333327</v>
      </c>
      <c r="G18" s="20">
        <v>3</v>
      </c>
      <c r="H18" s="65" t="s">
        <v>665</v>
      </c>
      <c r="AA18" s="15">
        <v>12</v>
      </c>
      <c r="AB18" s="23" t="s">
        <v>49</v>
      </c>
      <c r="AC18" s="40">
        <v>0.2638888888888889</v>
      </c>
      <c r="AD18" s="40">
        <v>0.6381944444444444</v>
      </c>
      <c r="AE18" s="38">
        <f t="shared" si="1"/>
        <v>0.3743055555555555</v>
      </c>
      <c r="AF18" s="20">
        <v>4</v>
      </c>
      <c r="AG18" s="16" t="s">
        <v>668</v>
      </c>
      <c r="AI18" s="17"/>
      <c r="AM18" s="1">
        <v>12</v>
      </c>
      <c r="AN18" s="2" t="s">
        <v>305</v>
      </c>
      <c r="AO18" s="41">
        <v>0.26874999999999999</v>
      </c>
      <c r="AP18" s="41">
        <v>0.68680555555555556</v>
      </c>
      <c r="AQ18" s="26">
        <f t="shared" si="2"/>
        <v>0.41805555555555557</v>
      </c>
      <c r="AR18" s="2">
        <v>4</v>
      </c>
      <c r="AS18" s="45" t="s">
        <v>25</v>
      </c>
      <c r="AU18" s="17"/>
    </row>
    <row r="19" spans="1:48" ht="15.75" customHeight="1" x14ac:dyDescent="0.2">
      <c r="A19" s="56"/>
      <c r="B19" s="15">
        <v>13</v>
      </c>
      <c r="C19" s="23" t="s">
        <v>16</v>
      </c>
      <c r="D19" s="21">
        <v>0.26041666666666669</v>
      </c>
      <c r="E19" s="21">
        <v>0.69652777777777775</v>
      </c>
      <c r="F19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0.43611111111111106</v>
      </c>
      <c r="G19" s="20">
        <v>3</v>
      </c>
      <c r="H19" s="65" t="s">
        <v>666</v>
      </c>
      <c r="AA19" s="15">
        <v>13</v>
      </c>
      <c r="AB19" s="23" t="s">
        <v>80</v>
      </c>
      <c r="AC19" s="40">
        <v>0.23402777777777781</v>
      </c>
      <c r="AD19" s="40">
        <v>0.63194444444444442</v>
      </c>
      <c r="AE19" s="38">
        <f t="shared" si="1"/>
        <v>0.39791666666666659</v>
      </c>
      <c r="AF19" s="20">
        <v>4</v>
      </c>
      <c r="AG19" s="16" t="s">
        <v>647</v>
      </c>
      <c r="AM19" s="1">
        <v>13</v>
      </c>
      <c r="AN19" s="2" t="s">
        <v>476</v>
      </c>
      <c r="AO19" s="41">
        <v>0.25694444444444448</v>
      </c>
      <c r="AP19" s="41">
        <v>0.68541666666666667</v>
      </c>
      <c r="AQ19" s="26">
        <f t="shared" si="2"/>
        <v>0.4284722222222222</v>
      </c>
      <c r="AR19" s="2">
        <v>4</v>
      </c>
      <c r="AS19" s="45" t="s">
        <v>25</v>
      </c>
    </row>
    <row r="20" spans="1:48" ht="17.25" customHeight="1" x14ac:dyDescent="0.2">
      <c r="B20" s="15">
        <v>14</v>
      </c>
      <c r="C20" s="23" t="s">
        <v>17</v>
      </c>
      <c r="D20" s="21">
        <v>0.21527777777777779</v>
      </c>
      <c r="E20" s="21">
        <v>0.66736111111111107</v>
      </c>
      <c r="F20" s="38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0.45208333333333328</v>
      </c>
      <c r="G20" s="20">
        <v>3</v>
      </c>
      <c r="H20" s="65" t="s">
        <v>667</v>
      </c>
      <c r="T20" s="34"/>
      <c r="U20" s="35" t="s">
        <v>90</v>
      </c>
      <c r="AA20" s="15">
        <v>14</v>
      </c>
      <c r="AB20" s="23" t="s">
        <v>50</v>
      </c>
      <c r="AC20" s="40">
        <v>0.28125</v>
      </c>
      <c r="AD20" s="21">
        <v>0.65694444444444444</v>
      </c>
      <c r="AE20" s="38">
        <f t="shared" si="1"/>
        <v>0.37569444444444444</v>
      </c>
      <c r="AF20" s="20">
        <v>4</v>
      </c>
      <c r="AG20" s="16" t="s">
        <v>668</v>
      </c>
      <c r="AM20" s="1">
        <v>14</v>
      </c>
      <c r="AN20" s="2" t="s">
        <v>307</v>
      </c>
      <c r="AO20" s="41">
        <v>0.24374999999999999</v>
      </c>
      <c r="AP20" s="41">
        <v>0.68611111111111101</v>
      </c>
      <c r="AQ20" s="26">
        <f t="shared" si="2"/>
        <v>0.44236111111111098</v>
      </c>
      <c r="AR20" s="2">
        <v>4</v>
      </c>
      <c r="AS20" s="45" t="s">
        <v>25</v>
      </c>
    </row>
    <row r="21" spans="1:48" ht="15.75" customHeight="1" x14ac:dyDescent="0.2">
      <c r="B21" s="1">
        <v>15</v>
      </c>
      <c r="C21" s="29" t="s">
        <v>20</v>
      </c>
      <c r="D21" s="41">
        <v>0.26944444444444443</v>
      </c>
      <c r="E21" s="41">
        <v>0.67638888888888893</v>
      </c>
      <c r="F21" s="26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0.4069444444444445</v>
      </c>
      <c r="G21" s="2">
        <v>4</v>
      </c>
      <c r="H21" s="69" t="s">
        <v>25</v>
      </c>
      <c r="T21" s="56" t="s">
        <v>209</v>
      </c>
      <c r="U21" s="35" t="s">
        <v>92</v>
      </c>
      <c r="AA21" s="15">
        <v>15</v>
      </c>
      <c r="AB21" s="23" t="s">
        <v>51</v>
      </c>
      <c r="AC21" s="21">
        <v>0.27847222222222223</v>
      </c>
      <c r="AD21" s="40">
        <v>0.68402777777777779</v>
      </c>
      <c r="AE21" s="38">
        <f t="shared" si="1"/>
        <v>0.40555555555555556</v>
      </c>
      <c r="AF21" s="20">
        <v>4</v>
      </c>
      <c r="AG21" s="16" t="s">
        <v>648</v>
      </c>
      <c r="AM21" s="1">
        <v>15</v>
      </c>
      <c r="AN21" s="2" t="s">
        <v>301</v>
      </c>
      <c r="AO21" s="41">
        <v>0.22222222222222221</v>
      </c>
      <c r="AP21" s="41">
        <v>0.70138888888888884</v>
      </c>
      <c r="AQ21" s="26">
        <f t="shared" si="2"/>
        <v>0.47916666666666663</v>
      </c>
      <c r="AR21" s="2">
        <v>5</v>
      </c>
      <c r="AS21" s="45" t="s">
        <v>25</v>
      </c>
    </row>
    <row r="22" spans="1:48" ht="15" customHeight="1" x14ac:dyDescent="0.2">
      <c r="B22" s="1">
        <v>16</v>
      </c>
      <c r="C22" s="29" t="s">
        <v>72</v>
      </c>
      <c r="D22" s="41">
        <v>0.22708333333333333</v>
      </c>
      <c r="E22" s="41">
        <v>0.64374999999999993</v>
      </c>
      <c r="F22" s="26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0.41666666666666663</v>
      </c>
      <c r="G22" s="2">
        <v>4</v>
      </c>
      <c r="H22" s="69" t="s">
        <v>25</v>
      </c>
      <c r="AA22" s="1">
        <v>16</v>
      </c>
      <c r="AB22" s="29" t="s">
        <v>35</v>
      </c>
      <c r="AC22" s="30">
        <v>0.26666666666666666</v>
      </c>
      <c r="AD22" s="30">
        <v>0.71944444444444444</v>
      </c>
      <c r="AE22" s="26">
        <f t="shared" si="1"/>
        <v>0.45277777777777778</v>
      </c>
      <c r="AF22" s="2">
        <v>5</v>
      </c>
      <c r="AG22" s="45" t="s">
        <v>25</v>
      </c>
      <c r="AM22" s="1">
        <v>16</v>
      </c>
      <c r="AN22" s="2" t="s">
        <v>240</v>
      </c>
      <c r="AO22" s="41">
        <v>0.22708333333333333</v>
      </c>
      <c r="AP22" s="41">
        <v>0.70000000000000007</v>
      </c>
      <c r="AQ22" s="26">
        <f t="shared" si="2"/>
        <v>0.47291666666666676</v>
      </c>
      <c r="AR22" s="2">
        <v>5</v>
      </c>
      <c r="AS22" s="45" t="s">
        <v>25</v>
      </c>
    </row>
    <row r="23" spans="1:48" ht="15" customHeight="1" x14ac:dyDescent="0.2">
      <c r="B23" s="1">
        <v>17</v>
      </c>
      <c r="C23" s="29" t="s">
        <v>68</v>
      </c>
      <c r="D23" s="41">
        <v>0.26597222222222222</v>
      </c>
      <c r="E23" s="41">
        <v>0.66805555555555562</v>
      </c>
      <c r="F23" s="26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0.4020833333333334</v>
      </c>
      <c r="G23" s="2">
        <v>4</v>
      </c>
      <c r="H23" s="69" t="s">
        <v>25</v>
      </c>
      <c r="AA23" s="1">
        <v>17</v>
      </c>
      <c r="AB23" s="29" t="s">
        <v>41</v>
      </c>
      <c r="AC23" s="30">
        <v>0.26666666666666666</v>
      </c>
      <c r="AD23" s="30">
        <v>0.72916666666666663</v>
      </c>
      <c r="AE23" s="39">
        <f t="shared" si="1"/>
        <v>0.46249999999999997</v>
      </c>
      <c r="AF23" s="2">
        <v>5</v>
      </c>
      <c r="AG23" s="45" t="s">
        <v>25</v>
      </c>
      <c r="AM23" s="1">
        <v>17</v>
      </c>
      <c r="AN23" s="2" t="s">
        <v>274</v>
      </c>
      <c r="AO23" s="41">
        <v>0.22013888888888888</v>
      </c>
      <c r="AP23" s="41">
        <v>0.70138888888888884</v>
      </c>
      <c r="AQ23" s="26">
        <f t="shared" si="2"/>
        <v>0.48124999999999996</v>
      </c>
      <c r="AR23" s="2">
        <v>5</v>
      </c>
      <c r="AS23" s="45" t="s">
        <v>25</v>
      </c>
    </row>
    <row r="24" spans="1:48" ht="15" customHeight="1" x14ac:dyDescent="0.2">
      <c r="B24" s="1">
        <v>18</v>
      </c>
      <c r="C24" s="2" t="s">
        <v>69</v>
      </c>
      <c r="D24" s="41">
        <v>0.26805555555555555</v>
      </c>
      <c r="E24" s="41">
        <v>0.69236111111111109</v>
      </c>
      <c r="F24" s="26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0.42430555555555555</v>
      </c>
      <c r="G24" s="2">
        <v>4</v>
      </c>
      <c r="H24" s="69" t="s">
        <v>25</v>
      </c>
      <c r="AA24" s="1">
        <v>18</v>
      </c>
      <c r="AB24" s="29" t="s">
        <v>67</v>
      </c>
      <c r="AC24" s="30">
        <v>0.28125</v>
      </c>
      <c r="AD24" s="30">
        <v>0.7368055555555556</v>
      </c>
      <c r="AE24" s="39">
        <f t="shared" si="1"/>
        <v>0.4555555555555556</v>
      </c>
      <c r="AF24" s="29">
        <v>5</v>
      </c>
      <c r="AG24" s="45" t="s">
        <v>25</v>
      </c>
      <c r="AM24" s="1">
        <v>18</v>
      </c>
      <c r="AN24" s="2" t="s">
        <v>275</v>
      </c>
      <c r="AO24" s="41">
        <v>0.24027777777777778</v>
      </c>
      <c r="AP24" s="41">
        <v>0.71250000000000002</v>
      </c>
      <c r="AQ24" s="26">
        <f t="shared" si="2"/>
        <v>0.47222222222222221</v>
      </c>
      <c r="AR24" s="2">
        <v>5</v>
      </c>
      <c r="AS24" s="45" t="s">
        <v>25</v>
      </c>
    </row>
    <row r="25" spans="1:48" ht="14.5" customHeight="1" x14ac:dyDescent="0.2">
      <c r="B25" s="1">
        <v>19</v>
      </c>
      <c r="C25" s="2" t="s">
        <v>74</v>
      </c>
      <c r="D25" s="41">
        <v>0.26180555555555557</v>
      </c>
      <c r="E25" s="41">
        <v>0.65763888888888888</v>
      </c>
      <c r="F25" s="26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0.39583333333333331</v>
      </c>
      <c r="G25" s="2">
        <v>4</v>
      </c>
      <c r="H25" s="69" t="s">
        <v>25</v>
      </c>
      <c r="AA25" s="1">
        <v>19</v>
      </c>
      <c r="AB25" s="2" t="s">
        <v>45</v>
      </c>
      <c r="AC25" s="30">
        <v>0.22013888888888888</v>
      </c>
      <c r="AD25" s="30">
        <v>0.69861111111111107</v>
      </c>
      <c r="AE25" s="39">
        <f t="shared" si="1"/>
        <v>0.47847222222222219</v>
      </c>
      <c r="AF25" s="29">
        <v>5</v>
      </c>
      <c r="AG25" s="45" t="s">
        <v>25</v>
      </c>
      <c r="AM25" s="1">
        <v>19</v>
      </c>
      <c r="AN25" s="2" t="s">
        <v>279</v>
      </c>
      <c r="AO25" s="41">
        <v>0.25208333333333333</v>
      </c>
      <c r="AP25" s="41">
        <v>0.73402777777777783</v>
      </c>
      <c r="AQ25" s="26">
        <f t="shared" si="2"/>
        <v>0.48194444444444451</v>
      </c>
      <c r="AR25" s="2">
        <v>5</v>
      </c>
      <c r="AS25" s="45" t="s">
        <v>25</v>
      </c>
    </row>
    <row r="26" spans="1:48" ht="14.5" customHeight="1" x14ac:dyDescent="0.2">
      <c r="B26" s="1">
        <v>20</v>
      </c>
      <c r="C26" s="2" t="s">
        <v>75</v>
      </c>
      <c r="D26" s="41">
        <v>0.20972222222222223</v>
      </c>
      <c r="E26" s="41">
        <v>0.64166666666666672</v>
      </c>
      <c r="F26" s="26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0.43194444444444446</v>
      </c>
      <c r="G26" s="2">
        <v>4</v>
      </c>
      <c r="H26" s="69" t="s">
        <v>25</v>
      </c>
      <c r="N26" s="54"/>
      <c r="AA26" s="1">
        <v>20</v>
      </c>
      <c r="AB26" s="29" t="s">
        <v>77</v>
      </c>
      <c r="AC26" s="30">
        <v>0.24305555555555555</v>
      </c>
      <c r="AD26" s="30">
        <v>0.7583333333333333</v>
      </c>
      <c r="AE26" s="39">
        <f t="shared" si="1"/>
        <v>0.51527777777777772</v>
      </c>
      <c r="AF26" s="29">
        <v>5</v>
      </c>
      <c r="AG26" s="45" t="s">
        <v>25</v>
      </c>
      <c r="AM26" s="1">
        <v>20</v>
      </c>
      <c r="AN26" s="2" t="s">
        <v>475</v>
      </c>
      <c r="AO26" s="41">
        <v>0.22361111111111109</v>
      </c>
      <c r="AP26" s="41">
        <v>0.7319444444444444</v>
      </c>
      <c r="AQ26" s="26">
        <f t="shared" si="2"/>
        <v>0.5083333333333333</v>
      </c>
      <c r="AR26" s="2">
        <v>5</v>
      </c>
      <c r="AS26" s="45" t="s">
        <v>25</v>
      </c>
    </row>
    <row r="27" spans="1:48" ht="14.5" customHeight="1" x14ac:dyDescent="0.2">
      <c r="B27" s="1">
        <v>21</v>
      </c>
      <c r="C27" s="2" t="s">
        <v>15</v>
      </c>
      <c r="D27" s="41">
        <v>0.20972222222222223</v>
      </c>
      <c r="E27" s="41">
        <v>0.64444444444444449</v>
      </c>
      <c r="F27" s="26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0.43472222222222223</v>
      </c>
      <c r="G27" s="2">
        <v>4</v>
      </c>
      <c r="H27" s="69" t="s">
        <v>25</v>
      </c>
      <c r="N27" s="54"/>
      <c r="AA27" s="1">
        <v>21</v>
      </c>
      <c r="AB27" s="29" t="s">
        <v>59</v>
      </c>
      <c r="AC27" s="30">
        <v>0.25069444444444444</v>
      </c>
      <c r="AD27" s="30">
        <v>0.70416666666666661</v>
      </c>
      <c r="AE27" s="39">
        <f t="shared" si="1"/>
        <v>0.45347222222222217</v>
      </c>
      <c r="AF27" s="29">
        <v>5</v>
      </c>
      <c r="AG27" s="45" t="s">
        <v>25</v>
      </c>
    </row>
    <row r="28" spans="1:48" x14ac:dyDescent="0.2">
      <c r="B28" s="1">
        <v>22</v>
      </c>
      <c r="C28" s="2" t="s">
        <v>120</v>
      </c>
      <c r="D28" s="41">
        <v>0.22291666666666665</v>
      </c>
      <c r="E28" s="41">
        <v>0.72083333333333333</v>
      </c>
      <c r="F28" s="26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0.49791666666666667</v>
      </c>
      <c r="G28" s="2">
        <v>4</v>
      </c>
      <c r="H28" s="69" t="s">
        <v>25</v>
      </c>
      <c r="N28" s="54"/>
      <c r="AA28" s="1">
        <v>22</v>
      </c>
      <c r="AB28" s="29" t="s">
        <v>46</v>
      </c>
      <c r="AC28" s="30">
        <v>0.28541666666666665</v>
      </c>
      <c r="AD28" s="30">
        <v>0.71111111111111114</v>
      </c>
      <c r="AE28" s="39">
        <f t="shared" si="1"/>
        <v>0.42569444444444449</v>
      </c>
      <c r="AF28" s="29">
        <v>5</v>
      </c>
      <c r="AG28" s="45" t="s">
        <v>25</v>
      </c>
    </row>
    <row r="29" spans="1:48" x14ac:dyDescent="0.2">
      <c r="B29" s="1">
        <v>23</v>
      </c>
      <c r="C29" s="2" t="s">
        <v>18</v>
      </c>
      <c r="D29" s="41">
        <v>0.25069444444444444</v>
      </c>
      <c r="E29" s="41">
        <v>0.67499999999999993</v>
      </c>
      <c r="F29" s="26">
        <f>Table13245678910111321252934394449546149141924293336424753919786104110116122127131136141914241930364248546066727782879297102[[#This Row],[JAM MASUK]]-Table13245678910111321252934394449546149141924293336424753919786104110116122127131136141914241930364248546066727782879297102[[#This Row],[JAM KELUAR]]</f>
        <v>0.42430555555555549</v>
      </c>
      <c r="G29" s="2">
        <v>4</v>
      </c>
      <c r="H29" s="69" t="s">
        <v>25</v>
      </c>
      <c r="N29" s="54"/>
      <c r="AA29" s="1">
        <v>23</v>
      </c>
      <c r="AB29" s="29" t="s">
        <v>47</v>
      </c>
      <c r="AC29" s="30">
        <v>0.26111111111111113</v>
      </c>
      <c r="AD29" s="30">
        <v>0.71875</v>
      </c>
      <c r="AE29" s="39">
        <f t="shared" si="1"/>
        <v>0.45763888888888887</v>
      </c>
      <c r="AF29" s="29">
        <v>5</v>
      </c>
      <c r="AG29" s="45" t="s">
        <v>25</v>
      </c>
    </row>
    <row r="30" spans="1:48" x14ac:dyDescent="0.2">
      <c r="AA30" s="1">
        <v>24</v>
      </c>
      <c r="AB30" s="2" t="s">
        <v>60</v>
      </c>
      <c r="AC30" s="30">
        <v>0.27638888888888885</v>
      </c>
      <c r="AD30" s="30">
        <v>0.70624999999999993</v>
      </c>
      <c r="AE30" s="39">
        <f t="shared" si="1"/>
        <v>0.42986111111111108</v>
      </c>
      <c r="AF30" s="29">
        <v>5</v>
      </c>
      <c r="AG30" s="45" t="s">
        <v>25</v>
      </c>
      <c r="AR30" s="34"/>
      <c r="AS30" s="35" t="s">
        <v>90</v>
      </c>
    </row>
    <row r="31" spans="1:48" x14ac:dyDescent="0.2">
      <c r="AA31" s="1">
        <v>25</v>
      </c>
      <c r="AB31" s="2" t="s">
        <v>81</v>
      </c>
      <c r="AC31" s="30">
        <v>0.25694444444444448</v>
      </c>
      <c r="AD31" s="30">
        <v>0.74930555555555556</v>
      </c>
      <c r="AE31" s="26">
        <f t="shared" si="1"/>
        <v>0.49236111111111108</v>
      </c>
      <c r="AF31" s="2">
        <v>6</v>
      </c>
      <c r="AG31" s="45" t="s">
        <v>25</v>
      </c>
      <c r="AR31" s="56" t="s">
        <v>209</v>
      </c>
      <c r="AS31" s="35" t="s">
        <v>92</v>
      </c>
    </row>
    <row r="32" spans="1:48" x14ac:dyDescent="0.2">
      <c r="V32" s="1"/>
    </row>
    <row r="33" spans="1:33" x14ac:dyDescent="0.2">
      <c r="V33" s="1"/>
    </row>
    <row r="34" spans="1:33" x14ac:dyDescent="0.2">
      <c r="V34" s="1"/>
      <c r="AF34" s="34"/>
      <c r="AG34" s="35" t="s">
        <v>90</v>
      </c>
    </row>
    <row r="35" spans="1:33" x14ac:dyDescent="0.2">
      <c r="G35" s="34"/>
      <c r="H35" s="35" t="s">
        <v>90</v>
      </c>
      <c r="V35" s="1"/>
      <c r="AF35" s="56" t="s">
        <v>209</v>
      </c>
      <c r="AG35" s="35" t="s">
        <v>92</v>
      </c>
    </row>
    <row r="36" spans="1:33" x14ac:dyDescent="0.2">
      <c r="G36" s="56" t="s">
        <v>209</v>
      </c>
      <c r="H36" s="35" t="s">
        <v>92</v>
      </c>
      <c r="V36" s="1"/>
    </row>
    <row r="37" spans="1:33" x14ac:dyDescent="0.2">
      <c r="V37" s="1"/>
    </row>
    <row r="38" spans="1:33" x14ac:dyDescent="0.2">
      <c r="V38" s="1"/>
    </row>
    <row r="39" spans="1:33" x14ac:dyDescent="0.2">
      <c r="V39" s="1"/>
    </row>
    <row r="40" spans="1:33" x14ac:dyDescent="0.2">
      <c r="V40" s="1"/>
    </row>
    <row r="41" spans="1:33" ht="21" x14ac:dyDescent="0.25">
      <c r="A41" s="46"/>
    </row>
    <row r="54" spans="15:22" x14ac:dyDescent="0.2">
      <c r="O54" s="2" t="s">
        <v>0</v>
      </c>
      <c r="P54" s="2" t="s">
        <v>1</v>
      </c>
      <c r="Q54" s="22" t="s">
        <v>61</v>
      </c>
      <c r="R54" s="22" t="s">
        <v>62</v>
      </c>
      <c r="S54" s="22" t="s">
        <v>63</v>
      </c>
      <c r="T54" s="2" t="s">
        <v>2</v>
      </c>
      <c r="U54" s="2" t="s">
        <v>3</v>
      </c>
    </row>
    <row r="55" spans="15:22" x14ac:dyDescent="0.2">
      <c r="O55" s="27">
        <v>1</v>
      </c>
      <c r="P55" s="2"/>
      <c r="Q55" s="41"/>
      <c r="R55" s="42"/>
      <c r="S55" s="26"/>
      <c r="T55" s="2"/>
      <c r="U55" s="24"/>
    </row>
    <row r="56" spans="15:22" x14ac:dyDescent="0.2">
      <c r="O56" s="15">
        <v>2</v>
      </c>
      <c r="P56" s="29"/>
      <c r="Q56" s="30"/>
      <c r="R56" s="36"/>
      <c r="S56" s="26"/>
      <c r="T56" s="29"/>
      <c r="U56" s="24"/>
    </row>
    <row r="57" spans="15:22" x14ac:dyDescent="0.2">
      <c r="O57" s="15">
        <v>3</v>
      </c>
      <c r="P57" s="29"/>
      <c r="Q57" s="30"/>
      <c r="R57" s="36"/>
      <c r="S57" s="39"/>
      <c r="T57" s="29"/>
      <c r="U57" s="16"/>
    </row>
    <row r="58" spans="15:22" x14ac:dyDescent="0.2">
      <c r="O58" s="27">
        <v>4</v>
      </c>
      <c r="P58" s="29"/>
      <c r="Q58" s="30"/>
      <c r="R58" s="36"/>
      <c r="S58" s="39"/>
      <c r="T58" s="29"/>
      <c r="U58" s="24"/>
    </row>
    <row r="59" spans="15:22" x14ac:dyDescent="0.2">
      <c r="O59" s="15">
        <v>5</v>
      </c>
      <c r="P59" s="29"/>
      <c r="Q59" s="30"/>
      <c r="R59" s="36"/>
      <c r="S59" s="26"/>
      <c r="T59" s="29"/>
      <c r="U59" s="24"/>
    </row>
    <row r="60" spans="15:22" x14ac:dyDescent="0.2">
      <c r="O60" s="15">
        <v>6</v>
      </c>
      <c r="P60" s="29"/>
      <c r="Q60" s="30"/>
      <c r="R60" s="36"/>
      <c r="S60" s="26"/>
      <c r="T60" s="29"/>
      <c r="U60" s="24"/>
    </row>
    <row r="61" spans="15:22" x14ac:dyDescent="0.2">
      <c r="O61" s="27">
        <v>7</v>
      </c>
      <c r="P61" s="29"/>
      <c r="Q61" s="30"/>
      <c r="R61" s="36"/>
      <c r="S61" s="39"/>
      <c r="T61" s="29"/>
      <c r="U61" s="24"/>
    </row>
    <row r="62" spans="15:22" x14ac:dyDescent="0.2">
      <c r="O62" s="15">
        <v>8</v>
      </c>
      <c r="P62" s="29"/>
      <c r="Q62" s="30"/>
      <c r="R62" s="36"/>
      <c r="S62" s="26"/>
      <c r="T62" s="29"/>
      <c r="U62" s="24"/>
    </row>
    <row r="63" spans="15:22" x14ac:dyDescent="0.2">
      <c r="O63" s="15">
        <v>9</v>
      </c>
      <c r="P63" s="29"/>
      <c r="Q63" s="30"/>
      <c r="R63" s="36"/>
      <c r="S63" s="26"/>
      <c r="T63" s="29"/>
      <c r="U63" s="24"/>
      <c r="V63" s="1"/>
    </row>
    <row r="64" spans="15:22" x14ac:dyDescent="0.2">
      <c r="O64" s="27">
        <v>10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5">
        <v>11</v>
      </c>
      <c r="P65" s="29"/>
      <c r="Q65" s="30"/>
      <c r="R65" s="36"/>
      <c r="S65" s="26"/>
      <c r="T65" s="29"/>
      <c r="U65" s="24"/>
      <c r="V65" s="1"/>
    </row>
    <row r="66" spans="15:22" x14ac:dyDescent="0.2">
      <c r="O66" s="1">
        <v>12</v>
      </c>
      <c r="P66" s="29"/>
      <c r="Q66" s="30"/>
      <c r="R66" s="36"/>
      <c r="S66" s="39"/>
      <c r="T66" s="29"/>
      <c r="U66" s="25"/>
    </row>
    <row r="67" spans="15:22" x14ac:dyDescent="0.2">
      <c r="O67" s="28">
        <v>13</v>
      </c>
      <c r="P67" s="29"/>
      <c r="Q67" s="30"/>
      <c r="R67" s="36"/>
      <c r="S67" s="26"/>
      <c r="T67" s="29"/>
      <c r="U67" s="25"/>
    </row>
    <row r="68" spans="15:22" x14ac:dyDescent="0.2">
      <c r="O68" s="27">
        <v>14</v>
      </c>
      <c r="P68" s="29"/>
      <c r="Q68" s="30"/>
      <c r="R68" s="36"/>
      <c r="S68" s="26"/>
      <c r="T68" s="29"/>
      <c r="U68" s="24"/>
    </row>
    <row r="69" spans="15:22" x14ac:dyDescent="0.2">
      <c r="O69" s="15">
        <v>15</v>
      </c>
      <c r="P69" s="29"/>
      <c r="Q69" s="30"/>
      <c r="R69" s="36"/>
      <c r="S69" s="26"/>
      <c r="T69" s="29"/>
      <c r="U69" s="24"/>
    </row>
    <row r="70" spans="15:22" x14ac:dyDescent="0.2">
      <c r="O70" s="1">
        <v>16</v>
      </c>
      <c r="P70" s="29"/>
      <c r="Q70" s="30"/>
      <c r="R70" s="36"/>
      <c r="S70" s="26"/>
      <c r="T70" s="29"/>
      <c r="U70" s="25"/>
    </row>
    <row r="71" spans="15:22" x14ac:dyDescent="0.2">
      <c r="O71" s="28">
        <v>17</v>
      </c>
      <c r="P71" s="29"/>
      <c r="Q71" s="30"/>
      <c r="R71" s="36"/>
      <c r="S71" s="26"/>
      <c r="T71" s="29"/>
      <c r="U71" s="25"/>
    </row>
    <row r="72" spans="15:22" x14ac:dyDescent="0.2">
      <c r="O72" s="27">
        <v>18</v>
      </c>
      <c r="P72" s="29"/>
      <c r="Q72" s="30"/>
      <c r="R72" s="36"/>
      <c r="S72" s="26"/>
      <c r="T72" s="29"/>
      <c r="U72" s="24"/>
    </row>
    <row r="73" spans="15:22" x14ac:dyDescent="0.2">
      <c r="O73" s="1">
        <v>19</v>
      </c>
      <c r="P73" s="29"/>
      <c r="Q73" s="30"/>
      <c r="R73" s="36"/>
      <c r="S73" s="39"/>
      <c r="T73" s="29"/>
      <c r="U73" s="25"/>
    </row>
    <row r="74" spans="15:22" x14ac:dyDescent="0.2">
      <c r="O74" s="1">
        <v>20</v>
      </c>
      <c r="P74" s="29"/>
      <c r="Q74" s="30"/>
      <c r="R74" s="36"/>
      <c r="S74" s="39"/>
      <c r="T74" s="29"/>
      <c r="U74" s="25"/>
    </row>
    <row r="75" spans="15:22" x14ac:dyDescent="0.2">
      <c r="O75" s="28">
        <v>21</v>
      </c>
      <c r="P75" s="29"/>
      <c r="Q75" s="30"/>
      <c r="R75" s="36"/>
      <c r="S75" s="26"/>
      <c r="T75" s="29"/>
      <c r="U75" s="25"/>
    </row>
    <row r="76" spans="15:22" x14ac:dyDescent="0.2">
      <c r="O76" s="27">
        <v>22</v>
      </c>
      <c r="P76" s="29"/>
      <c r="Q76" s="30"/>
      <c r="R76" s="36"/>
      <c r="S76" s="26"/>
      <c r="T76" s="29"/>
      <c r="U76" s="25"/>
    </row>
  </sheetData>
  <mergeCells count="19">
    <mergeCell ref="O1:X1"/>
    <mergeCell ref="AA1:AJ1"/>
    <mergeCell ref="AM1:AV1"/>
    <mergeCell ref="B2:K2"/>
    <mergeCell ref="O2:X2"/>
    <mergeCell ref="AA2:AJ2"/>
    <mergeCell ref="AM2:AV2"/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</mergeCells>
  <phoneticPr fontId="18" type="noConversion"/>
  <pageMargins left="0.12" right="0.12" top="0.75" bottom="0.75" header="0.3" footer="0.3"/>
  <pageSetup paperSize="5" scale="82" fitToWidth="0" orientation="landscape" horizontalDpi="360" verticalDpi="360" r:id="rId1"/>
  <rowBreaks count="1" manualBreakCount="1">
    <brk id="40" max="46" man="1"/>
  </rowBreaks>
  <colBreaks count="3" manualBreakCount="3">
    <brk id="12" min="1" max="39" man="1"/>
    <brk id="25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9AA4-B168-41FA-88C6-3C6DA42050B0}">
  <sheetPr>
    <tabColor theme="7" tint="0.39997558519241921"/>
  </sheetPr>
  <dimension ref="A1:AV75"/>
  <sheetViews>
    <sheetView showGridLines="0" view="pageBreakPreview" topLeftCell="AO1" zoomScale="70" zoomScaleNormal="55" zoomScaleSheetLayoutView="70" workbookViewId="0">
      <selection activeCell="AN7" sqref="AN7:AS27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2" x14ac:dyDescent="0.25">
      <c r="B1" s="59"/>
      <c r="C1" s="59"/>
      <c r="D1" s="59"/>
      <c r="E1" s="59"/>
      <c r="F1" s="59"/>
      <c r="G1" s="59"/>
      <c r="H1" s="59"/>
      <c r="I1" s="59"/>
      <c r="J1" s="59" t="s">
        <v>625</v>
      </c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COUNTIF(Table13245678910111321252934394449546149141924293336424753919786104110116122127131136141914241930364248546066727782879297102107[Retase],"&gt;3")</f>
        <v>5</v>
      </c>
      <c r="D3" t="s">
        <v>241</v>
      </c>
      <c r="O3" s="60">
        <f>COUNTIF(Table134567891011172226303540455055625101520253034384348549298871051111171231281321371421015252031374349556167737883889398103108[Retase],"&gt;3")</f>
        <v>1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COUNTIF(Table134567891011151819232731374247525927121722273228414652909680103109115121126120135140813231828344046525864707580859095100105110[Retase],"&gt;4")</f>
        <v>8</v>
      </c>
      <c r="AM3" s="60">
        <f>COUNTIF(Table134567891011151819232731374247525927121722273228414652909680103109115121126120135140813231829354147535965717681869196101106[Retase],"&gt;3")</f>
        <v>13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45433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45433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45433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45433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3" t="s">
        <v>118</v>
      </c>
      <c r="D7" s="21">
        <v>0.28958333333333336</v>
      </c>
      <c r="E7" s="21">
        <v>0.60972222222222217</v>
      </c>
      <c r="F7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0.32013888888888881</v>
      </c>
      <c r="G7" s="20">
        <v>2</v>
      </c>
      <c r="H7" s="65" t="s">
        <v>670</v>
      </c>
      <c r="J7" s="4" t="s">
        <v>10</v>
      </c>
      <c r="K7" s="6">
        <v>23</v>
      </c>
      <c r="L7" s="19"/>
      <c r="N7" s="56" t="s">
        <v>209</v>
      </c>
      <c r="O7" s="50">
        <v>1</v>
      </c>
      <c r="P7" s="33" t="s">
        <v>201</v>
      </c>
      <c r="Q7" s="44">
        <v>0.32083333333333336</v>
      </c>
      <c r="R7" s="44">
        <v>0.53472222222222221</v>
      </c>
      <c r="S7" s="52">
        <f t="shared" ref="S7:S12" si="0">R7-Q7</f>
        <v>0.21388888888888885</v>
      </c>
      <c r="T7" s="33">
        <v>1</v>
      </c>
      <c r="U7" s="68" t="s">
        <v>674</v>
      </c>
      <c r="W7" s="4" t="s">
        <v>10</v>
      </c>
      <c r="X7" s="6">
        <v>8</v>
      </c>
      <c r="AA7" s="15">
        <v>1</v>
      </c>
      <c r="AB7" s="23" t="s">
        <v>31</v>
      </c>
      <c r="AC7" s="21">
        <v>0.26944444444444443</v>
      </c>
      <c r="AD7" s="21">
        <v>0.55277777777777781</v>
      </c>
      <c r="AE7" s="37">
        <f t="shared" ref="AE7:AE30" si="1">AD7-AC7</f>
        <v>0.28333333333333338</v>
      </c>
      <c r="AF7" s="20">
        <v>2</v>
      </c>
      <c r="AG7" s="16" t="s">
        <v>678</v>
      </c>
      <c r="AI7" s="4" t="s">
        <v>10</v>
      </c>
      <c r="AJ7" s="6">
        <v>33</v>
      </c>
      <c r="AM7" s="15">
        <v>1</v>
      </c>
      <c r="AN7" s="20" t="s">
        <v>238</v>
      </c>
      <c r="AO7" s="21">
        <v>0.23750000000000002</v>
      </c>
      <c r="AP7" s="21" t="s">
        <v>310</v>
      </c>
      <c r="AQ7" s="38" t="e">
        <f t="shared" ref="AQ7:AQ27" si="2">AP7-AO7</f>
        <v>#VALUE!</v>
      </c>
      <c r="AR7" s="20">
        <v>1</v>
      </c>
      <c r="AS7" s="16" t="s">
        <v>696</v>
      </c>
      <c r="AU7" s="4" t="s">
        <v>10</v>
      </c>
      <c r="AV7" s="6">
        <v>20</v>
      </c>
    </row>
    <row r="8" spans="1:48" s="1" customFormat="1" x14ac:dyDescent="0.2">
      <c r="A8"/>
      <c r="B8" s="50">
        <v>2</v>
      </c>
      <c r="C8" s="33" t="s">
        <v>12</v>
      </c>
      <c r="D8" s="32">
        <v>0.30069444444444443</v>
      </c>
      <c r="E8" s="32">
        <v>0.56597222222222221</v>
      </c>
      <c r="F8" s="51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0.26527777777777778</v>
      </c>
      <c r="G8" s="31">
        <v>2</v>
      </c>
      <c r="H8" s="73" t="s">
        <v>694</v>
      </c>
      <c r="J8" s="4" t="s">
        <v>9</v>
      </c>
      <c r="K8" s="7">
        <v>20</v>
      </c>
      <c r="L8" s="19"/>
      <c r="O8" s="50">
        <v>2</v>
      </c>
      <c r="P8" s="33" t="s">
        <v>42</v>
      </c>
      <c r="Q8" s="44">
        <v>0.30208333333333331</v>
      </c>
      <c r="R8" s="44">
        <v>0.6020833333333333</v>
      </c>
      <c r="S8" s="52">
        <f t="shared" si="0"/>
        <v>0.3</v>
      </c>
      <c r="T8" s="33">
        <v>2</v>
      </c>
      <c r="U8" s="53" t="s">
        <v>675</v>
      </c>
      <c r="W8" s="4" t="s">
        <v>9</v>
      </c>
      <c r="X8" s="7">
        <v>6</v>
      </c>
      <c r="Z8" s="56"/>
      <c r="AA8" s="15">
        <v>2</v>
      </c>
      <c r="AB8" s="23" t="s">
        <v>50</v>
      </c>
      <c r="AC8" s="40">
        <v>0.28263888888888888</v>
      </c>
      <c r="AD8" s="40">
        <v>0.57013888888888886</v>
      </c>
      <c r="AE8" s="38">
        <f t="shared" si="1"/>
        <v>0.28749999999999998</v>
      </c>
      <c r="AF8" s="20">
        <v>2</v>
      </c>
      <c r="AG8" s="16" t="s">
        <v>679</v>
      </c>
      <c r="AI8" s="4" t="s">
        <v>9</v>
      </c>
      <c r="AJ8" s="6">
        <v>24</v>
      </c>
      <c r="AM8" s="50">
        <v>2</v>
      </c>
      <c r="AN8" s="31" t="s">
        <v>239</v>
      </c>
      <c r="AO8" s="32">
        <v>0.30694444444444441</v>
      </c>
      <c r="AP8" s="32">
        <v>0.44166666666666665</v>
      </c>
      <c r="AQ8" s="51">
        <f t="shared" si="2"/>
        <v>0.13472222222222224</v>
      </c>
      <c r="AR8" s="31">
        <v>1</v>
      </c>
      <c r="AS8" s="55" t="s">
        <v>690</v>
      </c>
      <c r="AU8" s="4" t="s">
        <v>9</v>
      </c>
      <c r="AV8" s="6">
        <v>21</v>
      </c>
    </row>
    <row r="9" spans="1:48" s="1" customFormat="1" x14ac:dyDescent="0.2">
      <c r="A9" s="56"/>
      <c r="B9" s="15">
        <v>3</v>
      </c>
      <c r="C9" s="23" t="s">
        <v>20</v>
      </c>
      <c r="D9" s="21">
        <v>0.2388888888888889</v>
      </c>
      <c r="E9" s="21">
        <v>0.56736111111111109</v>
      </c>
      <c r="F9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0.32847222222222217</v>
      </c>
      <c r="G9" s="20">
        <v>2</v>
      </c>
      <c r="H9" s="67" t="s">
        <v>694</v>
      </c>
      <c r="J9" s="4" t="s">
        <v>4</v>
      </c>
      <c r="K9" s="7">
        <v>0</v>
      </c>
      <c r="L9" s="19"/>
      <c r="N9" s="56"/>
      <c r="O9" s="15">
        <v>3</v>
      </c>
      <c r="P9" s="23" t="s">
        <v>36</v>
      </c>
      <c r="Q9" s="40">
        <v>0.28125</v>
      </c>
      <c r="R9" s="40">
        <v>0.64166666666666672</v>
      </c>
      <c r="S9" s="37">
        <f t="shared" si="0"/>
        <v>0.36041666666666672</v>
      </c>
      <c r="T9" s="23">
        <v>3</v>
      </c>
      <c r="U9" s="24"/>
      <c r="W9" s="4" t="s">
        <v>4</v>
      </c>
      <c r="X9" s="7">
        <v>0</v>
      </c>
      <c r="Z9" s="56"/>
      <c r="AA9" s="50">
        <v>3</v>
      </c>
      <c r="AB9" s="33" t="s">
        <v>58</v>
      </c>
      <c r="AC9" s="44">
        <v>0.29236111111111113</v>
      </c>
      <c r="AD9" s="44">
        <v>0.68819444444444444</v>
      </c>
      <c r="AE9" s="51">
        <f t="shared" si="1"/>
        <v>0.39583333333333331</v>
      </c>
      <c r="AF9" s="31">
        <v>3</v>
      </c>
      <c r="AG9" s="55" t="s">
        <v>693</v>
      </c>
      <c r="AI9" s="4" t="s">
        <v>4</v>
      </c>
      <c r="AJ9" s="7">
        <v>1</v>
      </c>
      <c r="AM9" s="15">
        <v>3</v>
      </c>
      <c r="AN9" s="20" t="s">
        <v>301</v>
      </c>
      <c r="AO9" s="21">
        <v>0.21875</v>
      </c>
      <c r="AP9" s="21">
        <v>0.71111111111111114</v>
      </c>
      <c r="AQ9" s="38">
        <f t="shared" si="2"/>
        <v>0.49236111111111114</v>
      </c>
      <c r="AR9" s="20">
        <v>3</v>
      </c>
      <c r="AS9" s="16" t="s">
        <v>691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3" t="s">
        <v>14</v>
      </c>
      <c r="D10" s="21">
        <v>0.26527777777777778</v>
      </c>
      <c r="E10" s="21">
        <v>0.62013888888888891</v>
      </c>
      <c r="F10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0.35486111111111113</v>
      </c>
      <c r="G10" s="20">
        <v>2</v>
      </c>
      <c r="H10" s="67" t="s">
        <v>694</v>
      </c>
      <c r="J10" s="4" t="s">
        <v>5</v>
      </c>
      <c r="K10" s="7">
        <v>3</v>
      </c>
      <c r="L10" s="19"/>
      <c r="N10" s="56" t="s">
        <v>209</v>
      </c>
      <c r="O10" s="50">
        <v>4</v>
      </c>
      <c r="P10" s="33" t="s">
        <v>37</v>
      </c>
      <c r="Q10" s="44">
        <v>0.32083333333333336</v>
      </c>
      <c r="R10" s="44">
        <v>0.69097222222222221</v>
      </c>
      <c r="S10" s="52">
        <f t="shared" si="0"/>
        <v>0.37013888888888885</v>
      </c>
      <c r="T10" s="33">
        <v>3</v>
      </c>
      <c r="U10" s="55" t="s">
        <v>676</v>
      </c>
      <c r="W10" s="4" t="s">
        <v>5</v>
      </c>
      <c r="X10" s="7">
        <v>2</v>
      </c>
      <c r="Z10" s="56"/>
      <c r="AA10" s="15">
        <v>4</v>
      </c>
      <c r="AB10" s="23" t="s">
        <v>67</v>
      </c>
      <c r="AC10" s="40">
        <v>0.22569444444444445</v>
      </c>
      <c r="AD10" s="40">
        <v>0.54513888888888895</v>
      </c>
      <c r="AE10" s="38">
        <f t="shared" si="1"/>
        <v>0.31944444444444453</v>
      </c>
      <c r="AF10" s="20">
        <v>3</v>
      </c>
      <c r="AG10" s="16" t="s">
        <v>680</v>
      </c>
      <c r="AI10" s="4" t="s">
        <v>5</v>
      </c>
      <c r="AJ10" s="7">
        <v>8</v>
      </c>
      <c r="AL10" s="54"/>
      <c r="AM10" s="15">
        <v>4</v>
      </c>
      <c r="AN10" s="20" t="s">
        <v>235</v>
      </c>
      <c r="AO10" s="21">
        <v>0.25555555555555559</v>
      </c>
      <c r="AP10" s="21">
        <v>0.60486111111111118</v>
      </c>
      <c r="AQ10" s="38">
        <f t="shared" si="2"/>
        <v>0.34930555555555559</v>
      </c>
      <c r="AR10" s="20">
        <v>3</v>
      </c>
      <c r="AS10" s="16" t="s">
        <v>692</v>
      </c>
      <c r="AU10" s="4" t="s">
        <v>5</v>
      </c>
      <c r="AV10" s="7">
        <v>1</v>
      </c>
    </row>
    <row r="11" spans="1:48" s="1" customFormat="1" x14ac:dyDescent="0.2">
      <c r="A11" s="56"/>
      <c r="B11" s="15">
        <v>5</v>
      </c>
      <c r="C11" s="23" t="s">
        <v>70</v>
      </c>
      <c r="D11" s="21">
        <v>0.28958333333333336</v>
      </c>
      <c r="E11" s="21">
        <v>0.65208333333333335</v>
      </c>
      <c r="F11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0.36249999999999999</v>
      </c>
      <c r="G11" s="20">
        <v>2</v>
      </c>
      <c r="H11" s="67" t="s">
        <v>694</v>
      </c>
      <c r="J11" s="4" t="s">
        <v>6</v>
      </c>
      <c r="K11" s="7">
        <v>0</v>
      </c>
      <c r="N11" s="56"/>
      <c r="O11" s="50">
        <v>5</v>
      </c>
      <c r="P11" s="33" t="s">
        <v>38</v>
      </c>
      <c r="Q11" s="44">
        <v>0.29652777777777778</v>
      </c>
      <c r="R11" s="44">
        <v>0.67361111111111116</v>
      </c>
      <c r="S11" s="52">
        <f t="shared" si="0"/>
        <v>0.37708333333333338</v>
      </c>
      <c r="T11" s="33">
        <v>3</v>
      </c>
      <c r="U11" s="68" t="s">
        <v>677</v>
      </c>
      <c r="W11" s="4" t="s">
        <v>33</v>
      </c>
      <c r="X11" s="7">
        <v>0</v>
      </c>
      <c r="Z11" s="56"/>
      <c r="AA11" s="15">
        <v>5</v>
      </c>
      <c r="AB11" s="23" t="s">
        <v>122</v>
      </c>
      <c r="AC11" s="40">
        <v>0.28472222222222221</v>
      </c>
      <c r="AD11" s="40">
        <v>0.69305555555555554</v>
      </c>
      <c r="AE11" s="38">
        <f t="shared" si="1"/>
        <v>0.40833333333333333</v>
      </c>
      <c r="AF11" s="20">
        <v>3</v>
      </c>
      <c r="AG11" s="16" t="s">
        <v>681</v>
      </c>
      <c r="AI11" s="4" t="s">
        <v>6</v>
      </c>
      <c r="AJ11" s="7">
        <v>0</v>
      </c>
      <c r="AM11" s="15">
        <v>5</v>
      </c>
      <c r="AN11" s="20" t="s">
        <v>278</v>
      </c>
      <c r="AO11" s="21">
        <v>0.25694444444444448</v>
      </c>
      <c r="AP11" s="21">
        <v>0.66041666666666665</v>
      </c>
      <c r="AQ11" s="38">
        <f t="shared" si="2"/>
        <v>0.40347222222222218</v>
      </c>
      <c r="AR11" s="20">
        <v>3</v>
      </c>
      <c r="AS11" s="16" t="s">
        <v>695</v>
      </c>
      <c r="AU11" s="4" t="s">
        <v>6</v>
      </c>
      <c r="AV11" s="7">
        <v>17</v>
      </c>
    </row>
    <row r="12" spans="1:48" s="1" customFormat="1" x14ac:dyDescent="0.2">
      <c r="A12" s="56"/>
      <c r="B12" s="15">
        <v>6</v>
      </c>
      <c r="C12" s="23" t="s">
        <v>15</v>
      </c>
      <c r="D12" s="21">
        <v>0.20555555555555557</v>
      </c>
      <c r="E12" s="21">
        <v>0.45833333333333331</v>
      </c>
      <c r="F12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0.25277777777777777</v>
      </c>
      <c r="G12" s="20">
        <v>2</v>
      </c>
      <c r="H12" s="67" t="s">
        <v>694</v>
      </c>
      <c r="J12" s="8" t="s">
        <v>8</v>
      </c>
      <c r="K12" s="9">
        <f>SUM(Table13245678910111321252934394449546149141924293336424753919786104110116122127131136141914241930364248546066727782879297102107[Retase])</f>
        <v>55</v>
      </c>
      <c r="L12" s="19"/>
      <c r="N12" s="54"/>
      <c r="O12" s="1">
        <v>6</v>
      </c>
      <c r="P12" s="29" t="s">
        <v>39</v>
      </c>
      <c r="Q12" s="30">
        <v>0.28541666666666665</v>
      </c>
      <c r="R12" s="30">
        <v>0.68958333333333333</v>
      </c>
      <c r="S12" s="39">
        <f t="shared" si="0"/>
        <v>0.40416666666666667</v>
      </c>
      <c r="T12" s="29">
        <v>4</v>
      </c>
      <c r="U12" s="25" t="s">
        <v>25</v>
      </c>
      <c r="W12" s="8" t="s">
        <v>8</v>
      </c>
      <c r="X12" s="9">
        <f>SUM(Table134567891011172226303540455055625101520253034384348549298871051111171231281321371421015252031374349556167737883889398103108[Retase])</f>
        <v>16</v>
      </c>
      <c r="AA12" s="50">
        <v>6</v>
      </c>
      <c r="AB12" s="33" t="s">
        <v>79</v>
      </c>
      <c r="AC12" s="44">
        <v>0.30624999999999997</v>
      </c>
      <c r="AD12" s="44">
        <v>0.63680555555555551</v>
      </c>
      <c r="AE12" s="51">
        <f t="shared" si="1"/>
        <v>0.33055555555555555</v>
      </c>
      <c r="AF12" s="31">
        <v>3</v>
      </c>
      <c r="AG12" s="55" t="s">
        <v>682</v>
      </c>
      <c r="AI12" s="8" t="s">
        <v>8</v>
      </c>
      <c r="AJ12" s="9">
        <f>SUM(Table134567891011151819232731374247525927121722273228414652909680103109115121126120135140813231828344046525864707580859095100105110[Retase])</f>
        <v>97</v>
      </c>
      <c r="AM12" s="15">
        <v>6</v>
      </c>
      <c r="AN12" s="20" t="s">
        <v>280</v>
      </c>
      <c r="AO12" s="21">
        <v>0.21458333333333335</v>
      </c>
      <c r="AP12" s="21">
        <v>0.64583333333333337</v>
      </c>
      <c r="AQ12" s="38">
        <f t="shared" si="2"/>
        <v>0.43125000000000002</v>
      </c>
      <c r="AR12" s="20">
        <v>3</v>
      </c>
      <c r="AS12" s="16" t="s">
        <v>695</v>
      </c>
      <c r="AU12" s="8" t="s">
        <v>8</v>
      </c>
      <c r="AV12" s="9">
        <f>SUM(Table134567891011151819232731374247525927121722273228414652909680103109115121126120135140813231829354147535965717681869196101106[Retase])</f>
        <v>73</v>
      </c>
    </row>
    <row r="13" spans="1:48" s="1" customFormat="1" x14ac:dyDescent="0.2">
      <c r="A13"/>
      <c r="B13" s="15">
        <v>7</v>
      </c>
      <c r="C13" s="23" t="s">
        <v>120</v>
      </c>
      <c r="D13" s="21">
        <v>0.24027777777777778</v>
      </c>
      <c r="E13" s="21">
        <v>0.66875000000000007</v>
      </c>
      <c r="F13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0.42847222222222225</v>
      </c>
      <c r="G13" s="20">
        <v>2</v>
      </c>
      <c r="H13" s="67" t="s">
        <v>694</v>
      </c>
      <c r="J13" s="10" t="s">
        <v>7</v>
      </c>
      <c r="K13" s="11">
        <f>K12/K8</f>
        <v>2.75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2.6666666666666665</v>
      </c>
      <c r="Z13" s="56"/>
      <c r="AA13" s="15">
        <v>7</v>
      </c>
      <c r="AB13" s="23" t="s">
        <v>82</v>
      </c>
      <c r="AC13" s="40">
        <v>0.27638888888888885</v>
      </c>
      <c r="AD13" s="40">
        <v>0.75555555555555554</v>
      </c>
      <c r="AE13" s="38">
        <f t="shared" si="1"/>
        <v>0.47916666666666669</v>
      </c>
      <c r="AF13" s="20">
        <v>4</v>
      </c>
      <c r="AG13" s="16" t="s">
        <v>683</v>
      </c>
      <c r="AI13" s="10" t="s">
        <v>7</v>
      </c>
      <c r="AJ13" s="11">
        <f>AJ12/AJ8</f>
        <v>4.041666666666667</v>
      </c>
      <c r="AM13" s="50">
        <v>7</v>
      </c>
      <c r="AN13" s="31" t="s">
        <v>303</v>
      </c>
      <c r="AO13" s="32">
        <v>0.29236111111111113</v>
      </c>
      <c r="AP13" s="32">
        <v>0.66319444444444442</v>
      </c>
      <c r="AQ13" s="51">
        <f t="shared" si="2"/>
        <v>0.37083333333333329</v>
      </c>
      <c r="AR13" s="31">
        <v>3</v>
      </c>
      <c r="AS13" s="55" t="s">
        <v>695</v>
      </c>
      <c r="AU13" s="10" t="s">
        <v>7</v>
      </c>
      <c r="AV13" s="11">
        <f>AV12/AV8</f>
        <v>3.4761904761904763</v>
      </c>
    </row>
    <row r="14" spans="1:48" s="1" customFormat="1" x14ac:dyDescent="0.2">
      <c r="A14"/>
      <c r="B14" s="15">
        <v>8</v>
      </c>
      <c r="C14" s="23" t="s">
        <v>16</v>
      </c>
      <c r="D14" s="21">
        <v>0.26874999999999999</v>
      </c>
      <c r="E14" s="21">
        <v>0.67222222222222217</v>
      </c>
      <c r="F14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0.40347222222222218</v>
      </c>
      <c r="G14" s="20">
        <v>2</v>
      </c>
      <c r="H14" s="65" t="s">
        <v>671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15">
        <v>8</v>
      </c>
      <c r="AB14" s="23" t="s">
        <v>123</v>
      </c>
      <c r="AC14" s="40">
        <v>0.27569444444444446</v>
      </c>
      <c r="AD14" s="40">
        <v>0.67152777777777783</v>
      </c>
      <c r="AE14" s="38">
        <f t="shared" si="1"/>
        <v>0.39583333333333337</v>
      </c>
      <c r="AF14" s="20">
        <v>4</v>
      </c>
      <c r="AG14" s="16" t="s">
        <v>684</v>
      </c>
      <c r="AI14" s="12" t="s">
        <v>11</v>
      </c>
      <c r="AJ14" s="13">
        <v>5</v>
      </c>
      <c r="AM14" s="15">
        <v>8</v>
      </c>
      <c r="AN14" s="20" t="s">
        <v>304</v>
      </c>
      <c r="AO14" s="21">
        <v>0.24097222222222223</v>
      </c>
      <c r="AP14" s="21">
        <v>0.64652777777777781</v>
      </c>
      <c r="AQ14" s="38">
        <f t="shared" si="2"/>
        <v>0.40555555555555556</v>
      </c>
      <c r="AR14" s="20">
        <v>3</v>
      </c>
      <c r="AS14" s="16" t="s">
        <v>695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3" t="s">
        <v>121</v>
      </c>
      <c r="D15" s="21">
        <v>0.24722222222222223</v>
      </c>
      <c r="E15" s="40">
        <v>0.60763888888888895</v>
      </c>
      <c r="F15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0.36041666666666672</v>
      </c>
      <c r="G15" s="20">
        <v>2</v>
      </c>
      <c r="H15" s="67" t="s">
        <v>694</v>
      </c>
      <c r="J15" s="12" t="s">
        <v>88</v>
      </c>
      <c r="K15" s="14">
        <f>B3/K8</f>
        <v>0.25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0.16666666666666666</v>
      </c>
      <c r="Z15" s="56"/>
      <c r="AA15" s="15">
        <v>9</v>
      </c>
      <c r="AB15" s="23" t="s">
        <v>40</v>
      </c>
      <c r="AC15" s="40">
        <v>0.28680555555555554</v>
      </c>
      <c r="AD15" s="40">
        <v>0.69791666666666663</v>
      </c>
      <c r="AE15" s="38">
        <f t="shared" si="1"/>
        <v>0.41111111111111109</v>
      </c>
      <c r="AF15" s="20">
        <v>4</v>
      </c>
      <c r="AG15" s="16" t="s">
        <v>685</v>
      </c>
      <c r="AI15" s="12" t="s">
        <v>88</v>
      </c>
      <c r="AJ15" s="14">
        <f>AA3/AJ8</f>
        <v>0.33333333333333331</v>
      </c>
      <c r="AM15" s="1">
        <v>9</v>
      </c>
      <c r="AN15" s="2" t="s">
        <v>231</v>
      </c>
      <c r="AO15" s="41">
        <v>0.23263888888888887</v>
      </c>
      <c r="AP15" s="41">
        <v>0.66805555555555562</v>
      </c>
      <c r="AQ15" s="26">
        <f t="shared" si="2"/>
        <v>0.43541666666666679</v>
      </c>
      <c r="AR15" s="2">
        <v>4</v>
      </c>
      <c r="AS15" s="45" t="s">
        <v>25</v>
      </c>
      <c r="AU15" s="12" t="s">
        <v>88</v>
      </c>
      <c r="AV15" s="14">
        <f>AM3/AV8</f>
        <v>0.61904761904761907</v>
      </c>
    </row>
    <row r="16" spans="1:48" x14ac:dyDescent="0.2">
      <c r="B16" s="15">
        <v>10</v>
      </c>
      <c r="C16" s="23" t="s">
        <v>17</v>
      </c>
      <c r="D16" s="21">
        <v>0.22361111111111109</v>
      </c>
      <c r="E16" s="21">
        <v>0.66527777777777775</v>
      </c>
      <c r="F16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0.44166666666666665</v>
      </c>
      <c r="G16" s="20">
        <v>2</v>
      </c>
      <c r="H16" s="67" t="s">
        <v>694</v>
      </c>
      <c r="J16" s="12" t="s">
        <v>24</v>
      </c>
      <c r="K16" s="14">
        <f>K8/K7</f>
        <v>0.86956521739130432</v>
      </c>
      <c r="W16" s="12" t="s">
        <v>27</v>
      </c>
      <c r="X16" s="14">
        <f>X8/X7</f>
        <v>0.75</v>
      </c>
      <c r="AA16" s="15">
        <v>10</v>
      </c>
      <c r="AB16" s="23" t="s">
        <v>77</v>
      </c>
      <c r="AC16" s="40">
        <v>0.25</v>
      </c>
      <c r="AD16" s="40">
        <v>0.70416666666666661</v>
      </c>
      <c r="AE16" s="38">
        <f t="shared" si="1"/>
        <v>0.45416666666666661</v>
      </c>
      <c r="AF16" s="20">
        <v>4</v>
      </c>
      <c r="AG16" s="16" t="s">
        <v>693</v>
      </c>
      <c r="AI16" s="12" t="s">
        <v>27</v>
      </c>
      <c r="AJ16" s="14">
        <f>AJ8/AJ7</f>
        <v>0.72727272727272729</v>
      </c>
      <c r="AM16" s="1">
        <v>10</v>
      </c>
      <c r="AN16" s="2" t="s">
        <v>232</v>
      </c>
      <c r="AO16" s="41">
        <v>0.23958333333333334</v>
      </c>
      <c r="AP16" s="41">
        <v>0.69166666666666676</v>
      </c>
      <c r="AQ16" s="26">
        <f t="shared" si="2"/>
        <v>0.45208333333333339</v>
      </c>
      <c r="AR16" s="2">
        <v>4</v>
      </c>
      <c r="AS16" s="45" t="s">
        <v>25</v>
      </c>
      <c r="AU16" s="12" t="s">
        <v>27</v>
      </c>
      <c r="AV16" s="14">
        <f>AV8/AV7</f>
        <v>1.05</v>
      </c>
    </row>
    <row r="17" spans="1:48" x14ac:dyDescent="0.2">
      <c r="B17" s="15">
        <v>11</v>
      </c>
      <c r="C17" s="23" t="s">
        <v>65</v>
      </c>
      <c r="D17" s="21">
        <v>0.27152777777777776</v>
      </c>
      <c r="E17" s="21">
        <v>0.66388888888888886</v>
      </c>
      <c r="F17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0.3923611111111111</v>
      </c>
      <c r="G17" s="20">
        <v>3</v>
      </c>
      <c r="H17" s="67" t="s">
        <v>694</v>
      </c>
      <c r="J17" s="12" t="s">
        <v>117</v>
      </c>
      <c r="K17" s="48">
        <f>AVERAGE(Table13245678910111321252934394449546149141924293336424753919786104110116122127131136141914241930364248546066727782879297102107[JAM KELUAR])</f>
        <v>0.24979166666666663</v>
      </c>
      <c r="W17" s="12" t="s">
        <v>117</v>
      </c>
      <c r="X17" s="48">
        <f>AVERAGE(Table134567891011172226303540455055625101520253034384348549298871051111171231281321371421015252031374349556167737883889398103108[JAM KELUAR])</f>
        <v>0.30115740740740743</v>
      </c>
      <c r="AA17" s="15">
        <v>11</v>
      </c>
      <c r="AB17" s="23" t="s">
        <v>59</v>
      </c>
      <c r="AC17" s="40">
        <v>0.25486111111111109</v>
      </c>
      <c r="AD17" s="40">
        <v>0.68888888888888899</v>
      </c>
      <c r="AE17" s="38">
        <f t="shared" si="1"/>
        <v>0.4340277777777779</v>
      </c>
      <c r="AF17" s="20">
        <v>4</v>
      </c>
      <c r="AG17" s="16" t="s">
        <v>686</v>
      </c>
      <c r="AI17" s="12" t="s">
        <v>117</v>
      </c>
      <c r="AJ17" s="48">
        <f>AVERAGE(Table134567891011151819232731374247525927121722273228414652909680103109115121126120135140813231828344046525864707580859095100105110[JAM KELUAR])</f>
        <v>0.26409143518518519</v>
      </c>
      <c r="AM17" s="1">
        <v>11</v>
      </c>
      <c r="AN17" s="2" t="s">
        <v>233</v>
      </c>
      <c r="AO17" s="41">
        <v>0.22222222222222221</v>
      </c>
      <c r="AP17" s="41">
        <v>0.62708333333333333</v>
      </c>
      <c r="AQ17" s="26">
        <f t="shared" si="2"/>
        <v>0.40486111111111112</v>
      </c>
      <c r="AR17" s="2">
        <v>4</v>
      </c>
      <c r="AS17" s="45" t="s">
        <v>25</v>
      </c>
      <c r="AU17" s="12" t="s">
        <v>117</v>
      </c>
      <c r="AV17" s="48">
        <f>AVERAGE(Table134567891011151819232731374247525927121722273228414652909680103109115121126120135140813231829354147535965717681869196101106[JAM KELUAR])</f>
        <v>0.24520502645502645</v>
      </c>
    </row>
    <row r="18" spans="1:48" x14ac:dyDescent="0.2">
      <c r="B18" s="15">
        <v>12</v>
      </c>
      <c r="C18" s="23" t="s">
        <v>68</v>
      </c>
      <c r="D18" s="21">
        <v>0.2722222222222222</v>
      </c>
      <c r="E18" s="21">
        <v>0.65972222222222221</v>
      </c>
      <c r="F18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0.38750000000000001</v>
      </c>
      <c r="G18" s="20">
        <v>3</v>
      </c>
      <c r="H18" s="67" t="s">
        <v>694</v>
      </c>
      <c r="AA18" s="15">
        <v>12</v>
      </c>
      <c r="AB18" s="23" t="s">
        <v>46</v>
      </c>
      <c r="AC18" s="40">
        <v>0.24374999999999999</v>
      </c>
      <c r="AD18" s="40">
        <v>0.69930555555555562</v>
      </c>
      <c r="AE18" s="38">
        <f t="shared" si="1"/>
        <v>0.4555555555555556</v>
      </c>
      <c r="AF18" s="20">
        <v>4</v>
      </c>
      <c r="AG18" s="16" t="s">
        <v>687</v>
      </c>
      <c r="AI18" s="17"/>
      <c r="AM18" s="1">
        <v>12</v>
      </c>
      <c r="AN18" s="2" t="s">
        <v>559</v>
      </c>
      <c r="AO18" s="41">
        <v>0.25625000000000003</v>
      </c>
      <c r="AP18" s="41">
        <v>0.68194444444444446</v>
      </c>
      <c r="AQ18" s="26">
        <f t="shared" si="2"/>
        <v>0.42569444444444443</v>
      </c>
      <c r="AR18" s="2">
        <v>4</v>
      </c>
      <c r="AS18" s="45" t="s">
        <v>25</v>
      </c>
      <c r="AU18" s="17"/>
    </row>
    <row r="19" spans="1:48" ht="15.75" customHeight="1" x14ac:dyDescent="0.2">
      <c r="A19" s="56"/>
      <c r="B19" s="15">
        <v>13</v>
      </c>
      <c r="C19" s="23" t="s">
        <v>73</v>
      </c>
      <c r="D19" s="21">
        <v>0.23611111111111113</v>
      </c>
      <c r="E19" s="21">
        <v>0.61388888888888882</v>
      </c>
      <c r="F19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0.37777777777777766</v>
      </c>
      <c r="G19" s="20">
        <v>3</v>
      </c>
      <c r="H19" s="65" t="s">
        <v>672</v>
      </c>
      <c r="T19" s="34"/>
      <c r="U19" s="35" t="s">
        <v>90</v>
      </c>
      <c r="AA19" s="15">
        <v>13</v>
      </c>
      <c r="AB19" s="23" t="s">
        <v>47</v>
      </c>
      <c r="AC19" s="40">
        <v>0.25833333333333336</v>
      </c>
      <c r="AD19" s="40">
        <v>0.70486111111111116</v>
      </c>
      <c r="AE19" s="38">
        <f t="shared" si="1"/>
        <v>0.4465277777777778</v>
      </c>
      <c r="AF19" s="20">
        <v>4</v>
      </c>
      <c r="AG19" s="16" t="s">
        <v>693</v>
      </c>
      <c r="AM19" s="1">
        <v>13</v>
      </c>
      <c r="AN19" s="2" t="s">
        <v>236</v>
      </c>
      <c r="AO19" s="41">
        <v>0.24444444444444446</v>
      </c>
      <c r="AP19" s="41">
        <v>0.67986111111111114</v>
      </c>
      <c r="AQ19" s="26">
        <f t="shared" si="2"/>
        <v>0.43541666666666667</v>
      </c>
      <c r="AR19" s="2">
        <v>4</v>
      </c>
      <c r="AS19" s="45" t="s">
        <v>25</v>
      </c>
    </row>
    <row r="20" spans="1:48" ht="17.25" customHeight="1" x14ac:dyDescent="0.2">
      <c r="B20" s="15">
        <v>14</v>
      </c>
      <c r="C20" s="23" t="s">
        <v>69</v>
      </c>
      <c r="D20" s="21">
        <v>0.27291666666666664</v>
      </c>
      <c r="E20" s="21">
        <v>0.6743055555555556</v>
      </c>
      <c r="F20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0.40138888888888896</v>
      </c>
      <c r="G20" s="20">
        <v>3</v>
      </c>
      <c r="H20" s="67" t="s">
        <v>694</v>
      </c>
      <c r="T20" s="56" t="s">
        <v>209</v>
      </c>
      <c r="U20" s="35" t="s">
        <v>92</v>
      </c>
      <c r="AA20" s="15">
        <v>14</v>
      </c>
      <c r="AB20" s="23" t="s">
        <v>81</v>
      </c>
      <c r="AC20" s="40">
        <v>0.24722222222222223</v>
      </c>
      <c r="AD20" s="21">
        <v>0.67847222222222225</v>
      </c>
      <c r="AE20" s="38">
        <f t="shared" si="1"/>
        <v>0.43125000000000002</v>
      </c>
      <c r="AF20" s="20">
        <v>4</v>
      </c>
      <c r="AG20" s="16" t="s">
        <v>688</v>
      </c>
      <c r="AM20" s="1">
        <v>14</v>
      </c>
      <c r="AN20" s="2" t="s">
        <v>237</v>
      </c>
      <c r="AO20" s="41">
        <v>0.28750000000000003</v>
      </c>
      <c r="AP20" s="41">
        <v>0.71111111111111114</v>
      </c>
      <c r="AQ20" s="26">
        <f t="shared" si="2"/>
        <v>0.4236111111111111</v>
      </c>
      <c r="AR20" s="2">
        <v>4</v>
      </c>
      <c r="AS20" s="45" t="s">
        <v>25</v>
      </c>
    </row>
    <row r="21" spans="1:48" ht="15.75" customHeight="1" x14ac:dyDescent="0.2">
      <c r="B21" s="15">
        <v>15</v>
      </c>
      <c r="C21" s="23" t="s">
        <v>18</v>
      </c>
      <c r="D21" s="21">
        <v>0.25347222222222221</v>
      </c>
      <c r="E21" s="21">
        <v>0.63263888888888886</v>
      </c>
      <c r="F21" s="38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0.37916666666666665</v>
      </c>
      <c r="G21" s="20">
        <v>3</v>
      </c>
      <c r="H21" s="65" t="s">
        <v>673</v>
      </c>
      <c r="AA21" s="15">
        <v>15</v>
      </c>
      <c r="AB21" s="23" t="s">
        <v>51</v>
      </c>
      <c r="AC21" s="21">
        <v>0.25972222222222224</v>
      </c>
      <c r="AD21" s="40">
        <v>0.7090277777777777</v>
      </c>
      <c r="AE21" s="38">
        <f t="shared" si="1"/>
        <v>0.44930555555555546</v>
      </c>
      <c r="AF21" s="20">
        <v>4</v>
      </c>
      <c r="AG21" s="16" t="s">
        <v>689</v>
      </c>
      <c r="AM21" s="1">
        <v>15</v>
      </c>
      <c r="AN21" s="2" t="s">
        <v>271</v>
      </c>
      <c r="AO21" s="41">
        <v>0.27638888888888885</v>
      </c>
      <c r="AP21" s="41">
        <v>0.72361111111111109</v>
      </c>
      <c r="AQ21" s="26">
        <f t="shared" si="2"/>
        <v>0.44722222222222224</v>
      </c>
      <c r="AR21" s="2">
        <v>4</v>
      </c>
      <c r="AS21" s="45" t="s">
        <v>25</v>
      </c>
    </row>
    <row r="22" spans="1:48" ht="15" customHeight="1" x14ac:dyDescent="0.2">
      <c r="B22" s="1">
        <v>16</v>
      </c>
      <c r="C22" s="29" t="s">
        <v>13</v>
      </c>
      <c r="D22" s="41">
        <v>0.25833333333333336</v>
      </c>
      <c r="E22" s="41">
        <v>0.6972222222222223</v>
      </c>
      <c r="F22" s="26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0.43888888888888894</v>
      </c>
      <c r="G22" s="2">
        <v>4</v>
      </c>
      <c r="H22" s="69" t="s">
        <v>25</v>
      </c>
      <c r="AA22" s="15">
        <v>16</v>
      </c>
      <c r="AB22" s="23" t="s">
        <v>60</v>
      </c>
      <c r="AC22" s="21">
        <v>0.2673611111111111</v>
      </c>
      <c r="AD22" s="40">
        <v>0.68055555555555547</v>
      </c>
      <c r="AE22" s="38">
        <f t="shared" si="1"/>
        <v>0.41319444444444436</v>
      </c>
      <c r="AF22" s="20">
        <v>4</v>
      </c>
      <c r="AG22" s="16" t="s">
        <v>693</v>
      </c>
      <c r="AM22" s="1">
        <v>16</v>
      </c>
      <c r="AN22" s="2" t="s">
        <v>273</v>
      </c>
      <c r="AO22" s="41">
        <v>0.23680555555555557</v>
      </c>
      <c r="AP22" s="41">
        <v>0.72499999999999998</v>
      </c>
      <c r="AQ22" s="26">
        <f t="shared" si="2"/>
        <v>0.48819444444444438</v>
      </c>
      <c r="AR22" s="2">
        <v>4</v>
      </c>
      <c r="AS22" s="45" t="s">
        <v>25</v>
      </c>
    </row>
    <row r="23" spans="1:48" ht="15" customHeight="1" x14ac:dyDescent="0.2">
      <c r="B23" s="1">
        <v>17</v>
      </c>
      <c r="C23" s="29" t="s">
        <v>72</v>
      </c>
      <c r="D23" s="41">
        <v>0.21388888888888891</v>
      </c>
      <c r="E23" s="41">
        <v>0.69513888888888886</v>
      </c>
      <c r="F23" s="26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0.48124999999999996</v>
      </c>
      <c r="G23" s="2">
        <v>4</v>
      </c>
      <c r="H23" s="69" t="s">
        <v>25</v>
      </c>
      <c r="AA23" s="1">
        <v>17</v>
      </c>
      <c r="AB23" s="29" t="s">
        <v>30</v>
      </c>
      <c r="AC23" s="30">
        <v>0.24305555555555555</v>
      </c>
      <c r="AD23" s="30">
        <v>0.70833333333333337</v>
      </c>
      <c r="AE23" s="39">
        <f t="shared" si="1"/>
        <v>0.46527777777777779</v>
      </c>
      <c r="AF23" s="2">
        <v>5</v>
      </c>
      <c r="AG23" s="45" t="s">
        <v>25</v>
      </c>
      <c r="AM23" s="1">
        <v>17</v>
      </c>
      <c r="AN23" s="2" t="s">
        <v>240</v>
      </c>
      <c r="AO23" s="41">
        <v>0.21527777777777779</v>
      </c>
      <c r="AP23" s="41">
        <v>0.71111111111111114</v>
      </c>
      <c r="AQ23" s="26">
        <f t="shared" si="2"/>
        <v>0.49583333333333335</v>
      </c>
      <c r="AR23" s="2">
        <v>4</v>
      </c>
      <c r="AS23" s="45" t="s">
        <v>25</v>
      </c>
    </row>
    <row r="24" spans="1:48" ht="15" customHeight="1" x14ac:dyDescent="0.2">
      <c r="B24" s="1">
        <v>18</v>
      </c>
      <c r="C24" s="29" t="s">
        <v>74</v>
      </c>
      <c r="D24" s="41">
        <v>0.22500000000000001</v>
      </c>
      <c r="E24" s="41">
        <v>0.68402777777777779</v>
      </c>
      <c r="F24" s="26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0.45902777777777781</v>
      </c>
      <c r="G24" s="2">
        <v>4</v>
      </c>
      <c r="H24" s="69" t="s">
        <v>25</v>
      </c>
      <c r="AA24" s="1">
        <v>18</v>
      </c>
      <c r="AB24" s="29" t="s">
        <v>34</v>
      </c>
      <c r="AC24" s="30">
        <v>0.21249999999999999</v>
      </c>
      <c r="AD24" s="30">
        <v>0.71180555555555547</v>
      </c>
      <c r="AE24" s="39">
        <f t="shared" si="1"/>
        <v>0.49930555555555545</v>
      </c>
      <c r="AF24" s="29">
        <v>5</v>
      </c>
      <c r="AG24" s="45" t="s">
        <v>25</v>
      </c>
      <c r="AM24" s="1">
        <v>18</v>
      </c>
      <c r="AN24" s="2" t="s">
        <v>274</v>
      </c>
      <c r="AO24" s="41">
        <v>0.21180555555555555</v>
      </c>
      <c r="AP24" s="41">
        <v>0.6875</v>
      </c>
      <c r="AQ24" s="26">
        <f t="shared" si="2"/>
        <v>0.47569444444444442</v>
      </c>
      <c r="AR24" s="2">
        <v>4</v>
      </c>
      <c r="AS24" s="45" t="s">
        <v>25</v>
      </c>
    </row>
    <row r="25" spans="1:48" ht="14.5" customHeight="1" x14ac:dyDescent="0.2">
      <c r="B25" s="1">
        <v>19</v>
      </c>
      <c r="C25" s="29" t="s">
        <v>75</v>
      </c>
      <c r="D25" s="41">
        <v>0.21805555555555556</v>
      </c>
      <c r="E25" s="41">
        <v>0.68125000000000002</v>
      </c>
      <c r="F25" s="26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0.46319444444444446</v>
      </c>
      <c r="G25" s="2">
        <v>4</v>
      </c>
      <c r="H25" s="69" t="s">
        <v>25</v>
      </c>
      <c r="AA25" s="50">
        <v>19</v>
      </c>
      <c r="AB25" s="31" t="s">
        <v>309</v>
      </c>
      <c r="AC25" s="44">
        <v>0.29236111111111113</v>
      </c>
      <c r="AD25" s="44">
        <v>0.75069444444444444</v>
      </c>
      <c r="AE25" s="52">
        <f t="shared" si="1"/>
        <v>0.45833333333333331</v>
      </c>
      <c r="AF25" s="33">
        <v>5</v>
      </c>
      <c r="AG25" s="55" t="s">
        <v>25</v>
      </c>
      <c r="AM25" s="1">
        <v>19</v>
      </c>
      <c r="AN25" s="2" t="s">
        <v>275</v>
      </c>
      <c r="AO25" s="41">
        <v>0.22291666666666665</v>
      </c>
      <c r="AP25" s="41">
        <v>0.69097222222222221</v>
      </c>
      <c r="AQ25" s="26">
        <f t="shared" si="2"/>
        <v>0.46805555555555556</v>
      </c>
      <c r="AR25" s="2">
        <v>4</v>
      </c>
      <c r="AS25" s="45" t="s">
        <v>25</v>
      </c>
    </row>
    <row r="26" spans="1:48" ht="14.5" customHeight="1" x14ac:dyDescent="0.2">
      <c r="B26" s="1">
        <v>20</v>
      </c>
      <c r="C26" s="29" t="s">
        <v>76</v>
      </c>
      <c r="D26" s="41">
        <v>0.20486111111111113</v>
      </c>
      <c r="E26" s="41">
        <v>0.68125000000000002</v>
      </c>
      <c r="F26" s="26">
        <f>Table13245678910111321252934394449546149141924293336424753919786104110116122127131136141914241930364248546066727782879297102107[[#This Row],[JAM MASUK]]-Table13245678910111321252934394449546149141924293336424753919786104110116122127131136141914241930364248546066727782879297102107[[#This Row],[JAM KELUAR]]</f>
        <v>0.47638888888888886</v>
      </c>
      <c r="G26" s="2">
        <v>4</v>
      </c>
      <c r="H26" s="69" t="s">
        <v>25</v>
      </c>
      <c r="N26" s="54"/>
      <c r="AA26" s="1">
        <v>20</v>
      </c>
      <c r="AB26" s="29" t="s">
        <v>48</v>
      </c>
      <c r="AC26" s="30">
        <v>0.28055555555555556</v>
      </c>
      <c r="AD26" s="30">
        <v>0.70972222222222225</v>
      </c>
      <c r="AE26" s="39">
        <f t="shared" si="1"/>
        <v>0.4291666666666667</v>
      </c>
      <c r="AF26" s="29">
        <v>5</v>
      </c>
      <c r="AG26" s="45" t="s">
        <v>25</v>
      </c>
      <c r="AM26" s="1">
        <v>20</v>
      </c>
      <c r="AN26" s="2" t="s">
        <v>279</v>
      </c>
      <c r="AO26" s="41">
        <v>0.25625000000000003</v>
      </c>
      <c r="AP26" s="41">
        <v>0.73611111111111116</v>
      </c>
      <c r="AQ26" s="26">
        <f t="shared" si="2"/>
        <v>0.47986111111111113</v>
      </c>
      <c r="AR26" s="2">
        <v>4</v>
      </c>
      <c r="AS26" s="45" t="s">
        <v>25</v>
      </c>
    </row>
    <row r="27" spans="1:48" ht="14.5" customHeight="1" x14ac:dyDescent="0.2">
      <c r="N27" s="54"/>
      <c r="AA27" s="1">
        <v>21</v>
      </c>
      <c r="AB27" s="29" t="s">
        <v>45</v>
      </c>
      <c r="AC27" s="30">
        <v>0.24652777777777779</v>
      </c>
      <c r="AD27" s="30">
        <v>0.68888888888888899</v>
      </c>
      <c r="AE27" s="39">
        <f t="shared" si="1"/>
        <v>0.4423611111111112</v>
      </c>
      <c r="AF27" s="29">
        <v>5</v>
      </c>
      <c r="AG27" s="45" t="s">
        <v>25</v>
      </c>
      <c r="AM27" s="1">
        <v>21</v>
      </c>
      <c r="AN27" s="2" t="s">
        <v>234</v>
      </c>
      <c r="AO27" s="41">
        <v>0.22361111111111109</v>
      </c>
      <c r="AP27" s="41">
        <v>0.73611111111111116</v>
      </c>
      <c r="AQ27" s="26">
        <f t="shared" si="2"/>
        <v>0.51250000000000007</v>
      </c>
      <c r="AR27" s="2">
        <v>5</v>
      </c>
      <c r="AS27" s="45" t="s">
        <v>25</v>
      </c>
    </row>
    <row r="28" spans="1:48" x14ac:dyDescent="0.2">
      <c r="N28" s="54"/>
      <c r="AA28" s="1">
        <v>22</v>
      </c>
      <c r="AB28" s="29" t="s">
        <v>78</v>
      </c>
      <c r="AC28" s="30">
        <v>0.26597222222222222</v>
      </c>
      <c r="AD28" s="30">
        <v>0.73611111111111116</v>
      </c>
      <c r="AE28" s="39">
        <f t="shared" si="1"/>
        <v>0.47013888888888894</v>
      </c>
      <c r="AF28" s="29">
        <v>5</v>
      </c>
      <c r="AG28" s="45" t="s">
        <v>25</v>
      </c>
    </row>
    <row r="29" spans="1:48" x14ac:dyDescent="0.2">
      <c r="N29" s="54"/>
      <c r="AA29" s="1">
        <v>23</v>
      </c>
      <c r="AB29" s="29" t="s">
        <v>56</v>
      </c>
      <c r="AC29" s="30">
        <v>0.25763888888888892</v>
      </c>
      <c r="AD29" s="30">
        <v>0.68125000000000002</v>
      </c>
      <c r="AE29" s="39">
        <f t="shared" si="1"/>
        <v>0.4236111111111111</v>
      </c>
      <c r="AF29" s="29">
        <v>5</v>
      </c>
      <c r="AG29" s="45" t="s">
        <v>25</v>
      </c>
      <c r="AR29" s="34"/>
      <c r="AS29" s="35" t="s">
        <v>90</v>
      </c>
    </row>
    <row r="30" spans="1:48" x14ac:dyDescent="0.2">
      <c r="AA30" s="1">
        <v>24</v>
      </c>
      <c r="AB30" s="2" t="s">
        <v>32</v>
      </c>
      <c r="AC30" s="30">
        <v>0.25833333333333336</v>
      </c>
      <c r="AD30" s="30">
        <v>0.72916666666666663</v>
      </c>
      <c r="AE30" s="39">
        <f t="shared" si="1"/>
        <v>0.47083333333333327</v>
      </c>
      <c r="AF30" s="29">
        <v>6</v>
      </c>
      <c r="AG30" s="45" t="s">
        <v>25</v>
      </c>
      <c r="AR30" s="56" t="s">
        <v>209</v>
      </c>
      <c r="AS30" s="35" t="s">
        <v>92</v>
      </c>
    </row>
    <row r="32" spans="1:48" x14ac:dyDescent="0.2">
      <c r="G32" s="34"/>
      <c r="H32" s="35" t="s">
        <v>90</v>
      </c>
      <c r="V32" s="1"/>
    </row>
    <row r="33" spans="1:33" x14ac:dyDescent="0.2">
      <c r="G33" s="56" t="s">
        <v>209</v>
      </c>
      <c r="H33" s="35" t="s">
        <v>92</v>
      </c>
      <c r="V33" s="1"/>
      <c r="AF33" s="34"/>
      <c r="AG33" s="35" t="s">
        <v>90</v>
      </c>
    </row>
    <row r="34" spans="1:33" x14ac:dyDescent="0.2">
      <c r="V34" s="1"/>
      <c r="AF34" s="56" t="s">
        <v>209</v>
      </c>
      <c r="AG34" s="35" t="s">
        <v>92</v>
      </c>
    </row>
    <row r="35" spans="1:33" x14ac:dyDescent="0.2">
      <c r="V35" s="1"/>
    </row>
    <row r="36" spans="1:33" x14ac:dyDescent="0.2">
      <c r="V36" s="1"/>
    </row>
    <row r="37" spans="1:33" x14ac:dyDescent="0.2">
      <c r="V37" s="1"/>
    </row>
    <row r="38" spans="1:33" x14ac:dyDescent="0.2">
      <c r="V38" s="1"/>
    </row>
    <row r="39" spans="1:33" x14ac:dyDescent="0.2">
      <c r="V39" s="1"/>
    </row>
    <row r="40" spans="1:33" x14ac:dyDescent="0.2">
      <c r="V40" s="1"/>
    </row>
    <row r="41" spans="1:33" ht="21" x14ac:dyDescent="0.25">
      <c r="A41" s="46"/>
    </row>
    <row r="53" spans="15:22" x14ac:dyDescent="0.2">
      <c r="O53" s="2" t="s">
        <v>0</v>
      </c>
      <c r="P53" s="2" t="s">
        <v>1</v>
      </c>
      <c r="Q53" s="22" t="s">
        <v>61</v>
      </c>
      <c r="R53" s="22" t="s">
        <v>62</v>
      </c>
      <c r="S53" s="22" t="s">
        <v>63</v>
      </c>
      <c r="T53" s="2" t="s">
        <v>2</v>
      </c>
      <c r="U53" s="2" t="s">
        <v>3</v>
      </c>
    </row>
    <row r="54" spans="15:22" x14ac:dyDescent="0.2">
      <c r="O54" s="27">
        <v>1</v>
      </c>
      <c r="P54" s="2"/>
      <c r="Q54" s="41"/>
      <c r="R54" s="42"/>
      <c r="S54" s="26"/>
      <c r="T54" s="2"/>
      <c r="U54" s="24"/>
    </row>
    <row r="55" spans="15:22" x14ac:dyDescent="0.2">
      <c r="O55" s="15">
        <v>2</v>
      </c>
      <c r="P55" s="29"/>
      <c r="Q55" s="30"/>
      <c r="R55" s="36"/>
      <c r="S55" s="26"/>
      <c r="T55" s="29"/>
      <c r="U55" s="24"/>
    </row>
    <row r="56" spans="15:22" x14ac:dyDescent="0.2">
      <c r="O56" s="15">
        <v>3</v>
      </c>
      <c r="P56" s="29"/>
      <c r="Q56" s="30"/>
      <c r="R56" s="36"/>
      <c r="S56" s="39"/>
      <c r="T56" s="29"/>
      <c r="U56" s="16"/>
    </row>
    <row r="57" spans="15:22" x14ac:dyDescent="0.2">
      <c r="O57" s="27">
        <v>4</v>
      </c>
      <c r="P57" s="29"/>
      <c r="Q57" s="30"/>
      <c r="R57" s="36"/>
      <c r="S57" s="39"/>
      <c r="T57" s="29"/>
      <c r="U57" s="24"/>
    </row>
    <row r="58" spans="15:22" x14ac:dyDescent="0.2">
      <c r="O58" s="15">
        <v>5</v>
      </c>
      <c r="P58" s="29"/>
      <c r="Q58" s="30"/>
      <c r="R58" s="36"/>
      <c r="S58" s="26"/>
      <c r="T58" s="29"/>
      <c r="U58" s="24"/>
    </row>
    <row r="59" spans="15:22" x14ac:dyDescent="0.2">
      <c r="O59" s="15">
        <v>6</v>
      </c>
      <c r="P59" s="29"/>
      <c r="Q59" s="30"/>
      <c r="R59" s="36"/>
      <c r="S59" s="26"/>
      <c r="T59" s="29"/>
      <c r="U59" s="24"/>
    </row>
    <row r="60" spans="15:22" x14ac:dyDescent="0.2">
      <c r="O60" s="27">
        <v>7</v>
      </c>
      <c r="P60" s="29"/>
      <c r="Q60" s="30"/>
      <c r="R60" s="36"/>
      <c r="S60" s="39"/>
      <c r="T60" s="29"/>
      <c r="U60" s="24"/>
    </row>
    <row r="61" spans="15:22" x14ac:dyDescent="0.2">
      <c r="O61" s="15">
        <v>8</v>
      </c>
      <c r="P61" s="29"/>
      <c r="Q61" s="30"/>
      <c r="R61" s="36"/>
      <c r="S61" s="26"/>
      <c r="T61" s="29"/>
      <c r="U61" s="24"/>
    </row>
    <row r="62" spans="15:22" x14ac:dyDescent="0.2">
      <c r="O62" s="15">
        <v>9</v>
      </c>
      <c r="P62" s="29"/>
      <c r="Q62" s="30"/>
      <c r="R62" s="36"/>
      <c r="S62" s="26"/>
      <c r="T62" s="29"/>
      <c r="U62" s="24"/>
    </row>
    <row r="63" spans="15:22" x14ac:dyDescent="0.2">
      <c r="O63" s="27">
        <v>10</v>
      </c>
      <c r="P63" s="29"/>
      <c r="Q63" s="30"/>
      <c r="R63" s="36"/>
      <c r="S63" s="26"/>
      <c r="T63" s="29"/>
      <c r="U63" s="24"/>
      <c r="V63" s="1"/>
    </row>
    <row r="64" spans="15:22" x14ac:dyDescent="0.2">
      <c r="O64" s="15">
        <v>11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">
        <v>12</v>
      </c>
      <c r="P65" s="29"/>
      <c r="Q65" s="30"/>
      <c r="R65" s="36"/>
      <c r="S65" s="39"/>
      <c r="T65" s="29"/>
      <c r="U65" s="25"/>
      <c r="V65" s="1"/>
    </row>
    <row r="66" spans="15:22" x14ac:dyDescent="0.2">
      <c r="O66" s="28">
        <v>13</v>
      </c>
      <c r="P66" s="29"/>
      <c r="Q66" s="30"/>
      <c r="R66" s="36"/>
      <c r="S66" s="26"/>
      <c r="T66" s="29"/>
      <c r="U66" s="25"/>
    </row>
    <row r="67" spans="15:22" x14ac:dyDescent="0.2">
      <c r="O67" s="27">
        <v>14</v>
      </c>
      <c r="P67" s="29"/>
      <c r="Q67" s="30"/>
      <c r="R67" s="36"/>
      <c r="S67" s="26"/>
      <c r="T67" s="29"/>
      <c r="U67" s="24"/>
    </row>
    <row r="68" spans="15:22" x14ac:dyDescent="0.2">
      <c r="O68" s="15">
        <v>15</v>
      </c>
      <c r="P68" s="29"/>
      <c r="Q68" s="30"/>
      <c r="R68" s="36"/>
      <c r="S68" s="26"/>
      <c r="T68" s="29"/>
      <c r="U68" s="24"/>
    </row>
    <row r="69" spans="15:22" x14ac:dyDescent="0.2">
      <c r="O69" s="1">
        <v>16</v>
      </c>
      <c r="P69" s="29"/>
      <c r="Q69" s="30"/>
      <c r="R69" s="36"/>
      <c r="S69" s="26"/>
      <c r="T69" s="29"/>
      <c r="U69" s="25"/>
    </row>
    <row r="70" spans="15:22" x14ac:dyDescent="0.2">
      <c r="O70" s="28">
        <v>17</v>
      </c>
      <c r="P70" s="29"/>
      <c r="Q70" s="30"/>
      <c r="R70" s="36"/>
      <c r="S70" s="26"/>
      <c r="T70" s="29"/>
      <c r="U70" s="25"/>
    </row>
    <row r="71" spans="15:22" x14ac:dyDescent="0.2">
      <c r="O71" s="27">
        <v>18</v>
      </c>
      <c r="P71" s="29"/>
      <c r="Q71" s="30"/>
      <c r="R71" s="36"/>
      <c r="S71" s="26"/>
      <c r="T71" s="29"/>
      <c r="U71" s="24"/>
    </row>
    <row r="72" spans="15:22" x14ac:dyDescent="0.2">
      <c r="O72" s="1">
        <v>19</v>
      </c>
      <c r="P72" s="29"/>
      <c r="Q72" s="30"/>
      <c r="R72" s="36"/>
      <c r="S72" s="39"/>
      <c r="T72" s="29"/>
      <c r="U72" s="25"/>
    </row>
    <row r="73" spans="15:22" x14ac:dyDescent="0.2">
      <c r="O73" s="1">
        <v>20</v>
      </c>
      <c r="P73" s="29"/>
      <c r="Q73" s="30"/>
      <c r="R73" s="36"/>
      <c r="S73" s="39"/>
      <c r="T73" s="29"/>
      <c r="U73" s="25"/>
    </row>
    <row r="74" spans="15:22" x14ac:dyDescent="0.2">
      <c r="O74" s="28">
        <v>21</v>
      </c>
      <c r="P74" s="29"/>
      <c r="Q74" s="30"/>
      <c r="R74" s="36"/>
      <c r="S74" s="26"/>
      <c r="T74" s="29"/>
      <c r="U74" s="25"/>
    </row>
    <row r="75" spans="15:22" x14ac:dyDescent="0.2">
      <c r="O75" s="27">
        <v>22</v>
      </c>
      <c r="P75" s="29"/>
      <c r="Q75" s="30"/>
      <c r="R75" s="36"/>
      <c r="S75" s="26"/>
      <c r="T75" s="29"/>
      <c r="U75" s="25"/>
    </row>
  </sheetData>
  <mergeCells count="19">
    <mergeCell ref="O1:X1"/>
    <mergeCell ref="AA1:AJ1"/>
    <mergeCell ref="AM1:AV1"/>
    <mergeCell ref="B2:K2"/>
    <mergeCell ref="O2:X2"/>
    <mergeCell ref="AA2:AJ2"/>
    <mergeCell ref="AM2:AV2"/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</mergeCells>
  <phoneticPr fontId="18" type="noConversion"/>
  <pageMargins left="0.12" right="0.12" top="0.75" bottom="0.75" header="0.3" footer="0.3"/>
  <pageSetup paperSize="5" scale="82" fitToWidth="0" orientation="landscape" horizontalDpi="360" verticalDpi="360" r:id="rId1"/>
  <rowBreaks count="1" manualBreakCount="1">
    <brk id="40" max="46" man="1"/>
  </rowBreaks>
  <colBreaks count="3" manualBreakCount="3">
    <brk id="12" min="1" max="39" man="1"/>
    <brk id="25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694E-52A9-408A-9D74-C0CA45236227}">
  <sheetPr>
    <tabColor theme="7" tint="0.39997558519241921"/>
  </sheetPr>
  <dimension ref="A1:AV75"/>
  <sheetViews>
    <sheetView showGridLines="0" view="pageBreakPreview" topLeftCell="AS1" zoomScale="70" zoomScaleNormal="55" zoomScaleSheetLayoutView="70" workbookViewId="0">
      <selection activeCell="AN7" sqref="AN7:AS28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2" x14ac:dyDescent="0.25">
      <c r="B1" s="59"/>
      <c r="C1" s="59"/>
      <c r="D1" s="59"/>
      <c r="E1" s="59"/>
      <c r="F1" s="59"/>
      <c r="G1" s="59"/>
      <c r="H1" s="59"/>
      <c r="I1" s="59"/>
      <c r="J1" s="59" t="s">
        <v>625</v>
      </c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COUNTIF(Table13245678910111321252934394449546149141924293336424753919786104110116122127131136141914241930364248546066727782879297102107112[Retase],"&gt;3")</f>
        <v>3</v>
      </c>
      <c r="D3" t="s">
        <v>241</v>
      </c>
      <c r="O3" s="60">
        <f>COUNTIF(Table134567891011172226303540455055625101520253034384348549298871051111171231281321371421015252031374349556167737883889398103108113[Retase],"&gt;3")</f>
        <v>1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COUNTIF(Table134567891011151819232731374247525927121722273228414652909680103109115121126120135140813231828344046525864707580859095100105110115[Retase],"&gt;4")</f>
        <v>12</v>
      </c>
      <c r="AM3" s="60">
        <f>COUNTIF(Table134567891011151819232731374247525927121722273228414652909680103109115121126120135140813231829354147535965717681869196101106111[Retase],"&gt;3")</f>
        <v>16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45434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45434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45434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45434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3" t="s">
        <v>118</v>
      </c>
      <c r="D7" s="21">
        <v>0.27777777777777779</v>
      </c>
      <c r="E7" s="21">
        <v>0.57430555555555551</v>
      </c>
      <c r="F7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0.29652777777777772</v>
      </c>
      <c r="G7" s="20">
        <v>2</v>
      </c>
      <c r="H7" s="65" t="s">
        <v>730</v>
      </c>
      <c r="J7" s="4" t="s">
        <v>10</v>
      </c>
      <c r="K7" s="6">
        <v>23</v>
      </c>
      <c r="L7" s="19"/>
      <c r="N7" s="56"/>
      <c r="O7" s="15">
        <v>1</v>
      </c>
      <c r="P7" s="23" t="s">
        <v>37</v>
      </c>
      <c r="Q7" s="40">
        <v>0.28402777777777777</v>
      </c>
      <c r="R7" s="40">
        <v>0.47291666666666665</v>
      </c>
      <c r="S7" s="37">
        <f t="shared" ref="S7:S12" si="0">R7-Q7</f>
        <v>0.18888888888888888</v>
      </c>
      <c r="T7" s="23">
        <v>2</v>
      </c>
      <c r="U7" s="24" t="s">
        <v>714</v>
      </c>
      <c r="W7" s="4" t="s">
        <v>10</v>
      </c>
      <c r="X7" s="6">
        <v>8</v>
      </c>
      <c r="AA7" s="15">
        <v>1</v>
      </c>
      <c r="AB7" s="23" t="s">
        <v>30</v>
      </c>
      <c r="AC7" s="21">
        <v>0.25555555555555559</v>
      </c>
      <c r="AD7" s="21">
        <v>0.47500000000000003</v>
      </c>
      <c r="AE7" s="37">
        <f t="shared" ref="AE7:AE34" si="1">AD7-AC7</f>
        <v>0.21944444444444444</v>
      </c>
      <c r="AF7" s="20">
        <v>1</v>
      </c>
      <c r="AG7" s="16" t="s">
        <v>718</v>
      </c>
      <c r="AI7" s="4" t="s">
        <v>10</v>
      </c>
      <c r="AJ7" s="6">
        <v>33</v>
      </c>
      <c r="AL7" s="56" t="s">
        <v>209</v>
      </c>
      <c r="AM7" s="50">
        <v>1</v>
      </c>
      <c r="AN7" s="31" t="s">
        <v>698</v>
      </c>
      <c r="AO7" s="32">
        <v>0.4770833333333333</v>
      </c>
      <c r="AP7" s="32">
        <v>0.60069444444444442</v>
      </c>
      <c r="AQ7" s="51">
        <f t="shared" ref="AQ7:AQ28" si="2">AP7-AO7</f>
        <v>0.12361111111111112</v>
      </c>
      <c r="AR7" s="31">
        <v>1</v>
      </c>
      <c r="AS7" s="55" t="s">
        <v>732</v>
      </c>
      <c r="AU7" s="4" t="s">
        <v>10</v>
      </c>
      <c r="AV7" s="6">
        <v>20</v>
      </c>
    </row>
    <row r="8" spans="1:48" s="1" customFormat="1" x14ac:dyDescent="0.2">
      <c r="A8" s="56" t="s">
        <v>209</v>
      </c>
      <c r="B8" s="50">
        <v>2</v>
      </c>
      <c r="C8" s="33" t="s">
        <v>20</v>
      </c>
      <c r="D8" s="32">
        <v>0.33124999999999999</v>
      </c>
      <c r="E8" s="32">
        <v>0.65763888888888888</v>
      </c>
      <c r="F8" s="51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0.3263888888888889</v>
      </c>
      <c r="G8" s="31">
        <v>2</v>
      </c>
      <c r="H8" s="73" t="s">
        <v>704</v>
      </c>
      <c r="J8" s="4" t="s">
        <v>9</v>
      </c>
      <c r="K8" s="7">
        <v>20</v>
      </c>
      <c r="L8" s="19"/>
      <c r="O8" s="15">
        <v>2</v>
      </c>
      <c r="P8" s="23" t="s">
        <v>38</v>
      </c>
      <c r="Q8" s="40">
        <v>0.28958333333333336</v>
      </c>
      <c r="R8" s="40">
        <v>0.63263888888888886</v>
      </c>
      <c r="S8" s="37">
        <f t="shared" si="0"/>
        <v>0.3430555555555555</v>
      </c>
      <c r="T8" s="23">
        <v>2</v>
      </c>
      <c r="U8" s="24" t="s">
        <v>64</v>
      </c>
      <c r="W8" s="4" t="s">
        <v>9</v>
      </c>
      <c r="X8" s="7">
        <v>6</v>
      </c>
      <c r="Z8" s="56" t="s">
        <v>209</v>
      </c>
      <c r="AA8" s="50">
        <v>2</v>
      </c>
      <c r="AB8" s="33" t="s">
        <v>81</v>
      </c>
      <c r="AC8" s="44">
        <v>0.40347222222222223</v>
      </c>
      <c r="AD8" s="44">
        <v>0.67847222222222225</v>
      </c>
      <c r="AE8" s="51">
        <f t="shared" si="1"/>
        <v>0.27500000000000002</v>
      </c>
      <c r="AF8" s="31">
        <v>1</v>
      </c>
      <c r="AG8" s="55" t="s">
        <v>731</v>
      </c>
      <c r="AI8" s="4" t="s">
        <v>9</v>
      </c>
      <c r="AJ8" s="6">
        <v>28</v>
      </c>
      <c r="AM8" s="15">
        <v>2</v>
      </c>
      <c r="AN8" s="20" t="s">
        <v>559</v>
      </c>
      <c r="AO8" s="21">
        <v>0.2638888888888889</v>
      </c>
      <c r="AP8" s="21">
        <v>0.7090277777777777</v>
      </c>
      <c r="AQ8" s="38">
        <f t="shared" si="2"/>
        <v>0.44513888888888881</v>
      </c>
      <c r="AR8" s="20">
        <v>2</v>
      </c>
      <c r="AS8" s="16" t="s">
        <v>699</v>
      </c>
      <c r="AU8" s="4" t="s">
        <v>9</v>
      </c>
      <c r="AV8" s="6">
        <v>22</v>
      </c>
    </row>
    <row r="9" spans="1:48" s="1" customFormat="1" x14ac:dyDescent="0.2">
      <c r="A9" s="56"/>
      <c r="B9" s="15">
        <v>3</v>
      </c>
      <c r="C9" s="23" t="s">
        <v>14</v>
      </c>
      <c r="D9" s="21">
        <v>0.28611111111111115</v>
      </c>
      <c r="E9" s="21">
        <v>0.57986111111111105</v>
      </c>
      <c r="F9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0.2937499999999999</v>
      </c>
      <c r="G9" s="20">
        <v>2</v>
      </c>
      <c r="H9" s="67" t="s">
        <v>705</v>
      </c>
      <c r="J9" s="4" t="s">
        <v>4</v>
      </c>
      <c r="K9" s="7">
        <v>0</v>
      </c>
      <c r="L9" s="19"/>
      <c r="N9" s="56"/>
      <c r="O9" s="15">
        <v>3</v>
      </c>
      <c r="P9" s="23" t="s">
        <v>36</v>
      </c>
      <c r="Q9" s="40">
        <v>0.28472222222222221</v>
      </c>
      <c r="R9" s="40">
        <v>0.61458333333333337</v>
      </c>
      <c r="S9" s="37">
        <f t="shared" si="0"/>
        <v>0.32986111111111116</v>
      </c>
      <c r="T9" s="23">
        <v>3</v>
      </c>
      <c r="U9" s="65" t="s">
        <v>715</v>
      </c>
      <c r="W9" s="4" t="s">
        <v>4</v>
      </c>
      <c r="X9" s="7">
        <v>0</v>
      </c>
      <c r="Z9" s="56"/>
      <c r="AA9" s="15">
        <v>3</v>
      </c>
      <c r="AB9" s="23" t="s">
        <v>32</v>
      </c>
      <c r="AC9" s="40">
        <v>0.28680555555555554</v>
      </c>
      <c r="AD9" s="40">
        <v>0.43263888888888885</v>
      </c>
      <c r="AE9" s="38">
        <f t="shared" si="1"/>
        <v>0.14583333333333331</v>
      </c>
      <c r="AF9" s="20">
        <v>1</v>
      </c>
      <c r="AG9" s="16" t="s">
        <v>719</v>
      </c>
      <c r="AI9" s="4" t="s">
        <v>4</v>
      </c>
      <c r="AJ9" s="7">
        <v>1</v>
      </c>
      <c r="AM9" s="15">
        <v>3</v>
      </c>
      <c r="AN9" s="20" t="s">
        <v>271</v>
      </c>
      <c r="AO9" s="21">
        <v>0.28055555555555556</v>
      </c>
      <c r="AP9" s="21">
        <v>0.55138888888888882</v>
      </c>
      <c r="AQ9" s="38">
        <f t="shared" si="2"/>
        <v>0.27083333333333326</v>
      </c>
      <c r="AR9" s="20">
        <v>2</v>
      </c>
      <c r="AS9" s="16" t="s">
        <v>700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3" t="s">
        <v>70</v>
      </c>
      <c r="D10" s="21">
        <v>0.27847222222222223</v>
      </c>
      <c r="E10" s="21">
        <v>0.56458333333333333</v>
      </c>
      <c r="F10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0.28611111111111109</v>
      </c>
      <c r="G10" s="20">
        <v>2</v>
      </c>
      <c r="H10" s="67" t="s">
        <v>706</v>
      </c>
      <c r="J10" s="4" t="s">
        <v>5</v>
      </c>
      <c r="K10" s="7">
        <v>3</v>
      </c>
      <c r="L10" s="19"/>
      <c r="N10" s="56"/>
      <c r="O10" s="15">
        <v>4</v>
      </c>
      <c r="P10" s="23" t="s">
        <v>201</v>
      </c>
      <c r="Q10" s="40">
        <v>0.27777777777777779</v>
      </c>
      <c r="R10" s="40">
        <v>0.62986111111111109</v>
      </c>
      <c r="S10" s="37">
        <f t="shared" si="0"/>
        <v>0.3520833333333333</v>
      </c>
      <c r="T10" s="23">
        <v>3</v>
      </c>
      <c r="U10" s="16" t="s">
        <v>716</v>
      </c>
      <c r="W10" s="4" t="s">
        <v>5</v>
      </c>
      <c r="X10" s="7">
        <v>2</v>
      </c>
      <c r="Z10" s="56"/>
      <c r="AA10" s="15">
        <v>4</v>
      </c>
      <c r="AB10" s="23" t="s">
        <v>57</v>
      </c>
      <c r="AC10" s="40">
        <v>0.27430555555555552</v>
      </c>
      <c r="AD10" s="40">
        <v>0.55625000000000002</v>
      </c>
      <c r="AE10" s="38">
        <f t="shared" si="1"/>
        <v>0.2819444444444445</v>
      </c>
      <c r="AF10" s="20">
        <v>2</v>
      </c>
      <c r="AG10" s="16" t="s">
        <v>720</v>
      </c>
      <c r="AI10" s="4" t="s">
        <v>5</v>
      </c>
      <c r="AJ10" s="7">
        <v>4</v>
      </c>
      <c r="AL10" s="54"/>
      <c r="AM10" s="15">
        <v>4</v>
      </c>
      <c r="AN10" s="20" t="s">
        <v>235</v>
      </c>
      <c r="AO10" s="21">
        <v>0.26250000000000001</v>
      </c>
      <c r="AP10" s="21" t="s">
        <v>310</v>
      </c>
      <c r="AQ10" s="38" t="e">
        <f t="shared" si="2"/>
        <v>#VALUE!</v>
      </c>
      <c r="AR10" s="20">
        <v>2</v>
      </c>
      <c r="AS10" s="16" t="s">
        <v>702</v>
      </c>
      <c r="AU10" s="4" t="s">
        <v>5</v>
      </c>
      <c r="AV10" s="7">
        <v>0</v>
      </c>
    </row>
    <row r="11" spans="1:48" s="1" customFormat="1" x14ac:dyDescent="0.2">
      <c r="A11" s="56"/>
      <c r="B11" s="15">
        <v>5</v>
      </c>
      <c r="C11" s="23" t="s">
        <v>69</v>
      </c>
      <c r="D11" s="21">
        <v>0.28680555555555554</v>
      </c>
      <c r="E11" s="21">
        <v>0.58402777777777781</v>
      </c>
      <c r="F11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0.29722222222222228</v>
      </c>
      <c r="G11" s="20">
        <v>2</v>
      </c>
      <c r="H11" s="67" t="s">
        <v>707</v>
      </c>
      <c r="J11" s="4" t="s">
        <v>6</v>
      </c>
      <c r="K11" s="7">
        <v>0</v>
      </c>
      <c r="N11" s="56"/>
      <c r="O11" s="50">
        <v>5</v>
      </c>
      <c r="P11" s="33" t="s">
        <v>42</v>
      </c>
      <c r="Q11" s="44">
        <v>0.2986111111111111</v>
      </c>
      <c r="R11" s="44">
        <v>0.6333333333333333</v>
      </c>
      <c r="S11" s="52">
        <f t="shared" si="0"/>
        <v>0.3347222222222222</v>
      </c>
      <c r="T11" s="33">
        <v>3</v>
      </c>
      <c r="U11" s="53" t="s">
        <v>64</v>
      </c>
      <c r="W11" s="4" t="s">
        <v>33</v>
      </c>
      <c r="X11" s="7">
        <v>0</v>
      </c>
      <c r="Z11" s="56"/>
      <c r="AA11" s="15">
        <v>5</v>
      </c>
      <c r="AB11" s="23" t="s">
        <v>40</v>
      </c>
      <c r="AC11" s="40">
        <v>0.28958333333333336</v>
      </c>
      <c r="AD11" s="40">
        <v>0.55277777777777781</v>
      </c>
      <c r="AE11" s="38">
        <f t="shared" si="1"/>
        <v>0.26319444444444445</v>
      </c>
      <c r="AF11" s="20">
        <v>2</v>
      </c>
      <c r="AG11" s="16" t="s">
        <v>721</v>
      </c>
      <c r="AI11" s="4" t="s">
        <v>6</v>
      </c>
      <c r="AJ11" s="7">
        <v>0</v>
      </c>
      <c r="AM11" s="50">
        <v>5</v>
      </c>
      <c r="AN11" s="31" t="s">
        <v>300</v>
      </c>
      <c r="AO11" s="32">
        <v>0.30555555555555552</v>
      </c>
      <c r="AP11" s="32">
        <v>0.63680555555555551</v>
      </c>
      <c r="AQ11" s="51">
        <f t="shared" si="2"/>
        <v>0.33124999999999999</v>
      </c>
      <c r="AR11" s="31">
        <v>3</v>
      </c>
      <c r="AS11" s="55" t="s">
        <v>703</v>
      </c>
      <c r="AU11" s="4" t="s">
        <v>6</v>
      </c>
      <c r="AV11" s="7">
        <v>17</v>
      </c>
    </row>
    <row r="12" spans="1:48" s="1" customFormat="1" x14ac:dyDescent="0.2">
      <c r="A12" s="56"/>
      <c r="B12" s="15">
        <v>6</v>
      </c>
      <c r="C12" s="23" t="s">
        <v>65</v>
      </c>
      <c r="D12" s="21">
        <v>0.26527777777777778</v>
      </c>
      <c r="E12" s="21">
        <v>0.65555555555555556</v>
      </c>
      <c r="F12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0.39027777777777778</v>
      </c>
      <c r="G12" s="20">
        <v>3</v>
      </c>
      <c r="H12" s="67" t="s">
        <v>708</v>
      </c>
      <c r="J12" s="8" t="s">
        <v>8</v>
      </c>
      <c r="K12" s="9">
        <f>SUM(Table13245678910111321252934394449546149141924293336424753919786104110116122127131136141914241930364248546066727782879297102107112[Retase])</f>
        <v>58</v>
      </c>
      <c r="L12" s="19"/>
      <c r="N12" s="54"/>
      <c r="O12" s="1">
        <v>6</v>
      </c>
      <c r="P12" s="29" t="s">
        <v>39</v>
      </c>
      <c r="Q12" s="30">
        <v>0.27569444444444446</v>
      </c>
      <c r="R12" s="30">
        <v>0.64930555555555558</v>
      </c>
      <c r="S12" s="39">
        <f t="shared" si="0"/>
        <v>0.37361111111111112</v>
      </c>
      <c r="T12" s="29">
        <v>4</v>
      </c>
      <c r="U12" s="69" t="s">
        <v>25</v>
      </c>
      <c r="W12" s="8" t="s">
        <v>8</v>
      </c>
      <c r="X12" s="9">
        <f>SUM(Table134567891011172226303540455055625101520253034384348549298871051111171231281321371421015252031374349556167737883889398103108113[Retase])</f>
        <v>17</v>
      </c>
      <c r="AA12" s="15">
        <v>6</v>
      </c>
      <c r="AB12" s="23" t="s">
        <v>77</v>
      </c>
      <c r="AC12" s="40">
        <v>0.26319444444444445</v>
      </c>
      <c r="AD12" s="40">
        <v>0.46736111111111112</v>
      </c>
      <c r="AE12" s="38">
        <f t="shared" si="1"/>
        <v>0.20416666666666666</v>
      </c>
      <c r="AF12" s="20">
        <v>2</v>
      </c>
      <c r="AG12" s="16" t="s">
        <v>722</v>
      </c>
      <c r="AI12" s="8" t="s">
        <v>8</v>
      </c>
      <c r="AJ12" s="9">
        <f>SUM(Table134567891011151819232731374247525927121722273228414652909680103109115121126120135140813231828344046525864707580859095100105110115[Retase])</f>
        <v>106</v>
      </c>
      <c r="AM12" s="15">
        <v>6</v>
      </c>
      <c r="AN12" s="20" t="s">
        <v>232</v>
      </c>
      <c r="AO12" s="21">
        <v>0.28194444444444444</v>
      </c>
      <c r="AP12" s="21">
        <v>0.61527777777777781</v>
      </c>
      <c r="AQ12" s="38">
        <f t="shared" si="2"/>
        <v>0.33333333333333337</v>
      </c>
      <c r="AR12" s="20">
        <v>3</v>
      </c>
      <c r="AS12" s="16" t="s">
        <v>701</v>
      </c>
      <c r="AU12" s="8" t="s">
        <v>8</v>
      </c>
      <c r="AV12" s="9">
        <f>SUM(Table134567891011151819232731374247525927121722273228414652909680103109115121126120135140813231829354147535965717681869196101106111[Retase])</f>
        <v>78</v>
      </c>
    </row>
    <row r="13" spans="1:48" s="1" customFormat="1" x14ac:dyDescent="0.2">
      <c r="A13"/>
      <c r="B13" s="50">
        <v>7</v>
      </c>
      <c r="C13" s="33" t="s">
        <v>119</v>
      </c>
      <c r="D13" s="32">
        <v>0.29236111111111113</v>
      </c>
      <c r="E13" s="32">
        <v>0.68055555555555547</v>
      </c>
      <c r="F13" s="51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0.38819444444444434</v>
      </c>
      <c r="G13" s="31">
        <v>3</v>
      </c>
      <c r="H13" s="68" t="s">
        <v>89</v>
      </c>
      <c r="J13" s="10" t="s">
        <v>7</v>
      </c>
      <c r="K13" s="11">
        <f>K12/K8</f>
        <v>2.9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2.8333333333333335</v>
      </c>
      <c r="Z13" s="56"/>
      <c r="AA13" s="15">
        <v>7</v>
      </c>
      <c r="AB13" s="23" t="s">
        <v>47</v>
      </c>
      <c r="AC13" s="40">
        <v>0.27083333333333331</v>
      </c>
      <c r="AD13" s="40">
        <v>0.64583333333333337</v>
      </c>
      <c r="AE13" s="38">
        <f t="shared" si="1"/>
        <v>0.37500000000000006</v>
      </c>
      <c r="AF13" s="20">
        <v>2</v>
      </c>
      <c r="AG13" s="16" t="s">
        <v>723</v>
      </c>
      <c r="AI13" s="10" t="s">
        <v>7</v>
      </c>
      <c r="AJ13" s="11">
        <f>AJ12/AJ8</f>
        <v>3.7857142857142856</v>
      </c>
      <c r="AM13" s="1">
        <v>7</v>
      </c>
      <c r="AN13" s="2" t="s">
        <v>301</v>
      </c>
      <c r="AO13" s="41">
        <v>0.27916666666666667</v>
      </c>
      <c r="AP13" s="41">
        <v>0.66805555555555562</v>
      </c>
      <c r="AQ13" s="26">
        <f t="shared" si="2"/>
        <v>0.38888888888888895</v>
      </c>
      <c r="AR13" s="2">
        <v>4</v>
      </c>
      <c r="AS13" s="45" t="s">
        <v>25</v>
      </c>
      <c r="AU13" s="10" t="s">
        <v>7</v>
      </c>
      <c r="AV13" s="11">
        <f>AV12/AV8</f>
        <v>3.5454545454545454</v>
      </c>
    </row>
    <row r="14" spans="1:48" s="1" customFormat="1" x14ac:dyDescent="0.2">
      <c r="A14"/>
      <c r="B14" s="50">
        <v>8</v>
      </c>
      <c r="C14" s="33" t="s">
        <v>12</v>
      </c>
      <c r="D14" s="32">
        <v>0.31388888888888888</v>
      </c>
      <c r="E14" s="44">
        <v>0.67708333333333337</v>
      </c>
      <c r="F14" s="51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0.36319444444444449</v>
      </c>
      <c r="G14" s="31">
        <v>3</v>
      </c>
      <c r="H14" s="73" t="s">
        <v>709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50">
        <v>8</v>
      </c>
      <c r="AB14" s="33" t="s">
        <v>58</v>
      </c>
      <c r="AC14" s="44">
        <v>0.3</v>
      </c>
      <c r="AD14" s="44">
        <v>0.67013888888888884</v>
      </c>
      <c r="AE14" s="51">
        <f t="shared" si="1"/>
        <v>0.37013888888888885</v>
      </c>
      <c r="AF14" s="31">
        <v>3</v>
      </c>
      <c r="AG14" s="55" t="s">
        <v>724</v>
      </c>
      <c r="AI14" s="12" t="s">
        <v>11</v>
      </c>
      <c r="AJ14" s="13">
        <v>5</v>
      </c>
      <c r="AM14" s="1">
        <v>8</v>
      </c>
      <c r="AN14" s="2" t="s">
        <v>302</v>
      </c>
      <c r="AO14" s="41">
        <v>0.27986111111111112</v>
      </c>
      <c r="AP14" s="41">
        <v>0.65625</v>
      </c>
      <c r="AQ14" s="26">
        <f t="shared" si="2"/>
        <v>0.37638888888888888</v>
      </c>
      <c r="AR14" s="2">
        <v>4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3" t="s">
        <v>13</v>
      </c>
      <c r="D15" s="21">
        <v>0.25763888888888892</v>
      </c>
      <c r="E15" s="21">
        <v>0.61041666666666672</v>
      </c>
      <c r="F15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0.3527777777777778</v>
      </c>
      <c r="G15" s="20">
        <v>3</v>
      </c>
      <c r="H15" s="67" t="s">
        <v>710</v>
      </c>
      <c r="J15" s="12" t="s">
        <v>88</v>
      </c>
      <c r="K15" s="14">
        <f>B3/K8</f>
        <v>0.15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0.16666666666666666</v>
      </c>
      <c r="Z15" s="56"/>
      <c r="AA15" s="15">
        <v>9</v>
      </c>
      <c r="AB15" s="23" t="s">
        <v>31</v>
      </c>
      <c r="AC15" s="40">
        <v>0.28333333333333333</v>
      </c>
      <c r="AD15" s="40">
        <v>0.58611111111111114</v>
      </c>
      <c r="AE15" s="38">
        <f t="shared" si="1"/>
        <v>0.30277777777777781</v>
      </c>
      <c r="AF15" s="20">
        <v>3</v>
      </c>
      <c r="AG15" s="16" t="s">
        <v>725</v>
      </c>
      <c r="AI15" s="12" t="s">
        <v>88</v>
      </c>
      <c r="AJ15" s="14">
        <f>AA3/AJ8</f>
        <v>0.42857142857142855</v>
      </c>
      <c r="AM15" s="1">
        <v>9</v>
      </c>
      <c r="AN15" s="2" t="s">
        <v>231</v>
      </c>
      <c r="AO15" s="41">
        <v>0.27499999999999997</v>
      </c>
      <c r="AP15" s="41">
        <v>0.72569444444444453</v>
      </c>
      <c r="AQ15" s="26">
        <f t="shared" si="2"/>
        <v>0.45069444444444456</v>
      </c>
      <c r="AR15" s="2">
        <v>4</v>
      </c>
      <c r="AS15" s="45" t="s">
        <v>25</v>
      </c>
      <c r="AU15" s="12" t="s">
        <v>88</v>
      </c>
      <c r="AV15" s="14">
        <f>AM3/AV8</f>
        <v>0.72727272727272729</v>
      </c>
    </row>
    <row r="16" spans="1:48" x14ac:dyDescent="0.2">
      <c r="B16" s="15">
        <v>10</v>
      </c>
      <c r="C16" s="23" t="s">
        <v>72</v>
      </c>
      <c r="D16" s="21">
        <v>0.25138888888888888</v>
      </c>
      <c r="E16" s="21">
        <v>0.58263888888888882</v>
      </c>
      <c r="F16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0.33124999999999993</v>
      </c>
      <c r="G16" s="20">
        <v>3</v>
      </c>
      <c r="H16" s="67" t="s">
        <v>678</v>
      </c>
      <c r="J16" s="12" t="s">
        <v>24</v>
      </c>
      <c r="K16" s="14">
        <f>K8/K7</f>
        <v>0.86956521739130432</v>
      </c>
      <c r="W16" s="12" t="s">
        <v>27</v>
      </c>
      <c r="X16" s="14">
        <f>X8/X7</f>
        <v>0.75</v>
      </c>
      <c r="AA16" s="15">
        <v>10</v>
      </c>
      <c r="AB16" s="23" t="s">
        <v>122</v>
      </c>
      <c r="AC16" s="40">
        <v>0.26666666666666666</v>
      </c>
      <c r="AD16" s="40">
        <v>0.55208333333333337</v>
      </c>
      <c r="AE16" s="38">
        <f t="shared" si="1"/>
        <v>0.28541666666666671</v>
      </c>
      <c r="AF16" s="20">
        <v>3</v>
      </c>
      <c r="AG16" s="16" t="s">
        <v>717</v>
      </c>
      <c r="AI16" s="12" t="s">
        <v>27</v>
      </c>
      <c r="AJ16" s="14">
        <f>AJ8/AJ7</f>
        <v>0.84848484848484851</v>
      </c>
      <c r="AM16" s="1">
        <v>10</v>
      </c>
      <c r="AN16" s="2" t="s">
        <v>234</v>
      </c>
      <c r="AO16" s="41">
        <v>0.25972222222222224</v>
      </c>
      <c r="AP16" s="41">
        <v>0.71180555555555547</v>
      </c>
      <c r="AQ16" s="26">
        <f t="shared" si="2"/>
        <v>0.45208333333333323</v>
      </c>
      <c r="AR16" s="2">
        <v>4</v>
      </c>
      <c r="AS16" s="45" t="s">
        <v>25</v>
      </c>
      <c r="AU16" s="12" t="s">
        <v>27</v>
      </c>
      <c r="AV16" s="14">
        <f>AV8/AV7</f>
        <v>1.1000000000000001</v>
      </c>
    </row>
    <row r="17" spans="1:48" x14ac:dyDescent="0.2">
      <c r="B17" s="15">
        <v>11</v>
      </c>
      <c r="C17" s="23" t="s">
        <v>68</v>
      </c>
      <c r="D17" s="21">
        <v>0.27291666666666664</v>
      </c>
      <c r="E17" s="21">
        <v>0.64583333333333337</v>
      </c>
      <c r="F17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0.37291666666666673</v>
      </c>
      <c r="G17" s="20">
        <v>3</v>
      </c>
      <c r="H17" s="67" t="s">
        <v>89</v>
      </c>
      <c r="J17" s="12" t="s">
        <v>117</v>
      </c>
      <c r="K17" s="48">
        <f>AVERAGE(Table13245678910111321252934394449546149141924293336424753919786104110116122127131136141914241930364248546066727782879297102107112[JAM KELUAR])</f>
        <v>0.27819444444444447</v>
      </c>
      <c r="W17" s="12" t="s">
        <v>117</v>
      </c>
      <c r="X17" s="48">
        <f>AVERAGE(Table134567891011172226303540455055625101520253034384348549298871051111171231281321371421015252031374349556167737883889398103108113[JAM KELUAR])</f>
        <v>0.28506944444444443</v>
      </c>
      <c r="AA17" s="15">
        <v>11</v>
      </c>
      <c r="AB17" s="23" t="s">
        <v>60</v>
      </c>
      <c r="AC17" s="40">
        <v>0.26805555555555555</v>
      </c>
      <c r="AD17" s="40">
        <v>0.63541666666666663</v>
      </c>
      <c r="AE17" s="38">
        <f t="shared" si="1"/>
        <v>0.36736111111111108</v>
      </c>
      <c r="AF17" s="20">
        <v>3</v>
      </c>
      <c r="AG17" s="16" t="s">
        <v>726</v>
      </c>
      <c r="AI17" s="12" t="s">
        <v>117</v>
      </c>
      <c r="AJ17" s="48">
        <f>AVERAGE(Table134567891011151819232731374247525927121722273228414652909680103109115121126120135140813231828344046525864707580859095100105110115[JAM KELUAR])</f>
        <v>0.28142361111111119</v>
      </c>
      <c r="AM17" s="1">
        <v>11</v>
      </c>
      <c r="AN17" s="2" t="s">
        <v>236</v>
      </c>
      <c r="AO17" s="41">
        <v>0.26666666666666666</v>
      </c>
      <c r="AP17" s="41">
        <v>0.72430555555555554</v>
      </c>
      <c r="AQ17" s="26">
        <f t="shared" si="2"/>
        <v>0.45763888888888887</v>
      </c>
      <c r="AR17" s="2">
        <v>4</v>
      </c>
      <c r="AS17" s="45" t="s">
        <v>25</v>
      </c>
      <c r="AU17" s="12" t="s">
        <v>117</v>
      </c>
      <c r="AV17" s="48">
        <f>AVERAGE(Table134567891011151819232731374247525927121722273228414652909680103109115121126120135140813231829354147535965717681869196101106111[JAM KELUAR])</f>
        <v>0.28364898989898985</v>
      </c>
    </row>
    <row r="18" spans="1:48" x14ac:dyDescent="0.2">
      <c r="B18" s="15">
        <v>12</v>
      </c>
      <c r="C18" s="23" t="s">
        <v>74</v>
      </c>
      <c r="D18" s="21">
        <v>0.26874999999999999</v>
      </c>
      <c r="E18" s="21">
        <v>0.61458333333333337</v>
      </c>
      <c r="F18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0.34583333333333338</v>
      </c>
      <c r="G18" s="20">
        <v>3</v>
      </c>
      <c r="H18" s="67" t="s">
        <v>410</v>
      </c>
      <c r="AA18" s="15">
        <v>12</v>
      </c>
      <c r="AB18" s="23" t="s">
        <v>35</v>
      </c>
      <c r="AC18" s="40">
        <v>0.28472222222222221</v>
      </c>
      <c r="AD18" s="40">
        <v>0.6958333333333333</v>
      </c>
      <c r="AE18" s="38">
        <f t="shared" si="1"/>
        <v>0.41111111111111109</v>
      </c>
      <c r="AF18" s="20">
        <v>4</v>
      </c>
      <c r="AG18" s="16" t="s">
        <v>64</v>
      </c>
      <c r="AI18" s="17"/>
      <c r="AM18" s="50">
        <v>12</v>
      </c>
      <c r="AN18" s="31" t="s">
        <v>237</v>
      </c>
      <c r="AO18" s="32">
        <v>0.3034722222222222</v>
      </c>
      <c r="AP18" s="32">
        <v>0.72499999999999998</v>
      </c>
      <c r="AQ18" s="51">
        <f t="shared" si="2"/>
        <v>0.42152777777777778</v>
      </c>
      <c r="AR18" s="31">
        <v>4</v>
      </c>
      <c r="AS18" s="55" t="s">
        <v>25</v>
      </c>
      <c r="AU18" s="17"/>
    </row>
    <row r="19" spans="1:48" ht="15.75" customHeight="1" x14ac:dyDescent="0.2">
      <c r="A19" s="56"/>
      <c r="B19" s="15">
        <v>13</v>
      </c>
      <c r="C19" s="23" t="s">
        <v>76</v>
      </c>
      <c r="D19" s="21">
        <v>0.25833333333333336</v>
      </c>
      <c r="E19" s="21">
        <v>0.62847222222222221</v>
      </c>
      <c r="F19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0.37013888888888885</v>
      </c>
      <c r="G19" s="20">
        <v>3</v>
      </c>
      <c r="H19" s="65" t="s">
        <v>711</v>
      </c>
      <c r="T19" s="34"/>
      <c r="U19" s="35" t="s">
        <v>90</v>
      </c>
      <c r="Z19" s="56" t="s">
        <v>209</v>
      </c>
      <c r="AA19" s="50">
        <v>13</v>
      </c>
      <c r="AB19" s="33" t="s">
        <v>45</v>
      </c>
      <c r="AC19" s="44">
        <v>0.41250000000000003</v>
      </c>
      <c r="AD19" s="44">
        <v>0.71527777777777779</v>
      </c>
      <c r="AE19" s="51">
        <f t="shared" si="1"/>
        <v>0.30277777777777776</v>
      </c>
      <c r="AF19" s="31">
        <v>4</v>
      </c>
      <c r="AG19" s="55" t="s">
        <v>727</v>
      </c>
      <c r="AM19" s="1">
        <v>13</v>
      </c>
      <c r="AN19" s="2" t="s">
        <v>273</v>
      </c>
      <c r="AO19" s="41">
        <v>0.25763888888888892</v>
      </c>
      <c r="AP19" s="41">
        <v>0.63472222222222219</v>
      </c>
      <c r="AQ19" s="26">
        <f t="shared" si="2"/>
        <v>0.37708333333333327</v>
      </c>
      <c r="AR19" s="2">
        <v>4</v>
      </c>
      <c r="AS19" s="45" t="s">
        <v>25</v>
      </c>
    </row>
    <row r="20" spans="1:48" ht="17.25" customHeight="1" x14ac:dyDescent="0.2">
      <c r="B20" s="15">
        <v>14</v>
      </c>
      <c r="C20" s="23" t="s">
        <v>120</v>
      </c>
      <c r="D20" s="21">
        <v>0.26527777777777778</v>
      </c>
      <c r="E20" s="21">
        <v>0.7368055555555556</v>
      </c>
      <c r="F20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0.47152777777777782</v>
      </c>
      <c r="G20" s="20">
        <v>3</v>
      </c>
      <c r="H20" s="67" t="s">
        <v>712</v>
      </c>
      <c r="T20" s="56" t="s">
        <v>209</v>
      </c>
      <c r="U20" s="35" t="s">
        <v>92</v>
      </c>
      <c r="AA20" s="15">
        <v>14</v>
      </c>
      <c r="AB20" s="23" t="s">
        <v>78</v>
      </c>
      <c r="AC20" s="40">
        <v>0.27291666666666664</v>
      </c>
      <c r="AD20" s="21">
        <v>0.6958333333333333</v>
      </c>
      <c r="AE20" s="38">
        <f t="shared" si="1"/>
        <v>0.42291666666666666</v>
      </c>
      <c r="AF20" s="20">
        <v>4</v>
      </c>
      <c r="AG20" s="16" t="s">
        <v>728</v>
      </c>
      <c r="AM20" s="1">
        <v>14</v>
      </c>
      <c r="AN20" s="2" t="s">
        <v>240</v>
      </c>
      <c r="AO20" s="41">
        <v>0.27013888888888887</v>
      </c>
      <c r="AP20" s="41">
        <v>0.71111111111111114</v>
      </c>
      <c r="AQ20" s="26">
        <f t="shared" si="2"/>
        <v>0.44097222222222227</v>
      </c>
      <c r="AR20" s="2">
        <v>4</v>
      </c>
      <c r="AS20" s="45" t="s">
        <v>25</v>
      </c>
    </row>
    <row r="21" spans="1:48" ht="15.75" customHeight="1" x14ac:dyDescent="0.2">
      <c r="A21" s="56" t="s">
        <v>209</v>
      </c>
      <c r="B21" s="50">
        <v>15</v>
      </c>
      <c r="C21" s="33" t="s">
        <v>16</v>
      </c>
      <c r="D21" s="32">
        <v>0.33402777777777781</v>
      </c>
      <c r="E21" s="32">
        <v>0.72569444444444453</v>
      </c>
      <c r="F21" s="51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0.39166666666666672</v>
      </c>
      <c r="G21" s="31">
        <v>3</v>
      </c>
      <c r="H21" s="68" t="s">
        <v>445</v>
      </c>
      <c r="AA21" s="15">
        <v>15</v>
      </c>
      <c r="AB21" s="23" t="s">
        <v>79</v>
      </c>
      <c r="AC21" s="21">
        <v>0.27569444444444446</v>
      </c>
      <c r="AD21" s="40">
        <v>0.64513888888888882</v>
      </c>
      <c r="AE21" s="38">
        <f t="shared" si="1"/>
        <v>0.36944444444444435</v>
      </c>
      <c r="AF21" s="20">
        <v>4</v>
      </c>
      <c r="AG21" s="16" t="s">
        <v>729</v>
      </c>
      <c r="AM21" s="1">
        <v>15</v>
      </c>
      <c r="AN21" s="2" t="s">
        <v>274</v>
      </c>
      <c r="AO21" s="41">
        <v>0.27777777777777779</v>
      </c>
      <c r="AP21" s="41">
        <v>0.7055555555555556</v>
      </c>
      <c r="AQ21" s="26">
        <f t="shared" si="2"/>
        <v>0.42777777777777781</v>
      </c>
      <c r="AR21" s="2">
        <v>4</v>
      </c>
      <c r="AS21" s="45" t="s">
        <v>25</v>
      </c>
    </row>
    <row r="22" spans="1:48" ht="15" customHeight="1" x14ac:dyDescent="0.2">
      <c r="B22" s="15">
        <v>16</v>
      </c>
      <c r="C22" s="23" t="s">
        <v>18</v>
      </c>
      <c r="D22" s="21">
        <v>0.28125</v>
      </c>
      <c r="E22" s="21">
        <v>0.68888888888888899</v>
      </c>
      <c r="F22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0.40763888888888899</v>
      </c>
      <c r="G22" s="20">
        <v>3</v>
      </c>
      <c r="H22" s="65" t="s">
        <v>89</v>
      </c>
      <c r="AA22" s="15">
        <v>16</v>
      </c>
      <c r="AB22" s="23" t="s">
        <v>56</v>
      </c>
      <c r="AC22" s="21">
        <v>0.28958333333333336</v>
      </c>
      <c r="AD22" s="40">
        <v>0.66111111111111109</v>
      </c>
      <c r="AE22" s="38">
        <f t="shared" si="1"/>
        <v>0.37152777777777773</v>
      </c>
      <c r="AF22" s="20">
        <v>4</v>
      </c>
      <c r="AG22" s="16" t="s">
        <v>64</v>
      </c>
      <c r="AM22" s="1">
        <v>16</v>
      </c>
      <c r="AN22" s="2" t="s">
        <v>475</v>
      </c>
      <c r="AO22" s="41">
        <v>0.2722222222222222</v>
      </c>
      <c r="AP22" s="41">
        <v>0.64444444444444449</v>
      </c>
      <c r="AQ22" s="26">
        <f t="shared" si="2"/>
        <v>0.37222222222222229</v>
      </c>
      <c r="AR22" s="2">
        <v>4</v>
      </c>
      <c r="AS22" s="45" t="s">
        <v>25</v>
      </c>
    </row>
    <row r="23" spans="1:48" ht="15" customHeight="1" x14ac:dyDescent="0.2">
      <c r="B23" s="15">
        <v>17</v>
      </c>
      <c r="C23" s="23" t="s">
        <v>19</v>
      </c>
      <c r="D23" s="21">
        <v>0.2638888888888889</v>
      </c>
      <c r="E23" s="21">
        <v>0.67013888888888884</v>
      </c>
      <c r="F23" s="38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0.40624999999999994</v>
      </c>
      <c r="G23" s="20">
        <v>3</v>
      </c>
      <c r="H23" s="65" t="s">
        <v>713</v>
      </c>
      <c r="AA23" s="1">
        <v>17</v>
      </c>
      <c r="AB23" s="29" t="s">
        <v>82</v>
      </c>
      <c r="AC23" s="30">
        <v>0.28541666666666665</v>
      </c>
      <c r="AD23" s="30">
        <v>0.72291666666666676</v>
      </c>
      <c r="AE23" s="39">
        <f t="shared" si="1"/>
        <v>0.43750000000000011</v>
      </c>
      <c r="AF23" s="2">
        <v>5</v>
      </c>
      <c r="AG23" s="45" t="s">
        <v>25</v>
      </c>
      <c r="AM23" s="50">
        <v>17</v>
      </c>
      <c r="AN23" s="31" t="s">
        <v>277</v>
      </c>
      <c r="AO23" s="32">
        <v>0.29444444444444445</v>
      </c>
      <c r="AP23" s="32">
        <v>0.75069444444444444</v>
      </c>
      <c r="AQ23" s="51">
        <f t="shared" si="2"/>
        <v>0.45624999999999999</v>
      </c>
      <c r="AR23" s="31">
        <v>4</v>
      </c>
      <c r="AS23" s="55" t="s">
        <v>25</v>
      </c>
    </row>
    <row r="24" spans="1:48" ht="15" customHeight="1" x14ac:dyDescent="0.2">
      <c r="B24" s="1">
        <v>18</v>
      </c>
      <c r="C24" s="29" t="s">
        <v>71</v>
      </c>
      <c r="D24" s="41">
        <v>0.26180555555555557</v>
      </c>
      <c r="E24" s="41">
        <v>0.71180555555555547</v>
      </c>
      <c r="F24" s="26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0.4499999999999999</v>
      </c>
      <c r="G24" s="2">
        <v>4</v>
      </c>
      <c r="H24" s="69" t="s">
        <v>25</v>
      </c>
      <c r="AA24" s="1">
        <v>18</v>
      </c>
      <c r="AB24" s="29" t="s">
        <v>34</v>
      </c>
      <c r="AC24" s="30">
        <v>0.2722222222222222</v>
      </c>
      <c r="AD24" s="30">
        <v>0.73958333333333337</v>
      </c>
      <c r="AE24" s="39">
        <f t="shared" si="1"/>
        <v>0.46736111111111117</v>
      </c>
      <c r="AF24" s="29">
        <v>5</v>
      </c>
      <c r="AG24" s="45" t="s">
        <v>25</v>
      </c>
      <c r="AM24" s="1">
        <v>18</v>
      </c>
      <c r="AN24" s="2" t="s">
        <v>476</v>
      </c>
      <c r="AO24" s="41">
        <v>0.27152777777777776</v>
      </c>
      <c r="AP24" s="41">
        <v>0.63750000000000007</v>
      </c>
      <c r="AQ24" s="26">
        <f t="shared" si="2"/>
        <v>0.36597222222222231</v>
      </c>
      <c r="AR24" s="2">
        <v>4</v>
      </c>
      <c r="AS24" s="45" t="s">
        <v>25</v>
      </c>
    </row>
    <row r="25" spans="1:48" ht="14.5" customHeight="1" x14ac:dyDescent="0.2">
      <c r="B25" s="1">
        <v>19</v>
      </c>
      <c r="C25" s="29" t="s">
        <v>75</v>
      </c>
      <c r="D25" s="41">
        <v>0.26250000000000001</v>
      </c>
      <c r="E25" s="41">
        <v>0.68263888888888891</v>
      </c>
      <c r="F25" s="26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0.4201388888888889</v>
      </c>
      <c r="G25" s="2">
        <v>4</v>
      </c>
      <c r="H25" s="69" t="s">
        <v>25</v>
      </c>
      <c r="AA25" s="1">
        <v>19</v>
      </c>
      <c r="AB25" s="29" t="s">
        <v>309</v>
      </c>
      <c r="AC25" s="30">
        <v>0.28472222222222221</v>
      </c>
      <c r="AD25" s="30">
        <v>0.72777777777777775</v>
      </c>
      <c r="AE25" s="39">
        <f t="shared" si="1"/>
        <v>0.44305555555555554</v>
      </c>
      <c r="AF25" s="29">
        <v>5</v>
      </c>
      <c r="AG25" s="45" t="s">
        <v>25</v>
      </c>
      <c r="AM25" s="1">
        <v>19</v>
      </c>
      <c r="AN25" s="2" t="s">
        <v>306</v>
      </c>
      <c r="AO25" s="41">
        <v>0.26458333333333334</v>
      </c>
      <c r="AP25" s="41">
        <v>0.72569444444444453</v>
      </c>
      <c r="AQ25" s="26">
        <f t="shared" si="2"/>
        <v>0.46111111111111119</v>
      </c>
      <c r="AR25" s="2">
        <v>4</v>
      </c>
      <c r="AS25" s="45" t="s">
        <v>25</v>
      </c>
    </row>
    <row r="26" spans="1:48" ht="14.5" customHeight="1" x14ac:dyDescent="0.2">
      <c r="B26" s="1">
        <v>20</v>
      </c>
      <c r="C26" s="29" t="s">
        <v>17</v>
      </c>
      <c r="D26" s="41">
        <v>0.25416666666666665</v>
      </c>
      <c r="E26" s="41">
        <v>0.72291666666666676</v>
      </c>
      <c r="F26" s="26">
        <f>Table13245678910111321252934394449546149141924293336424753919786104110116122127131136141914241930364248546066727782879297102107112[[#This Row],[JAM MASUK]]-Table13245678910111321252934394449546149141924293336424753919786104110116122127131136141914241930364248546066727782879297102107112[[#This Row],[JAM KELUAR]]</f>
        <v>0.46875000000000011</v>
      </c>
      <c r="G26" s="2">
        <v>4</v>
      </c>
      <c r="H26" s="69" t="s">
        <v>25</v>
      </c>
      <c r="N26" s="54"/>
      <c r="AA26" s="1">
        <v>20</v>
      </c>
      <c r="AB26" s="29" t="s">
        <v>67</v>
      </c>
      <c r="AC26" s="30">
        <v>0.26111111111111113</v>
      </c>
      <c r="AD26" s="30">
        <v>0.74444444444444446</v>
      </c>
      <c r="AE26" s="39">
        <f t="shared" si="1"/>
        <v>0.48333333333333334</v>
      </c>
      <c r="AF26" s="29">
        <v>5</v>
      </c>
      <c r="AG26" s="45" t="s">
        <v>25</v>
      </c>
      <c r="AM26" s="1">
        <v>20</v>
      </c>
      <c r="AN26" s="2" t="s">
        <v>307</v>
      </c>
      <c r="AO26" s="41">
        <v>0.27013888888888887</v>
      </c>
      <c r="AP26" s="41">
        <v>0.66736111111111107</v>
      </c>
      <c r="AQ26" s="26">
        <f t="shared" si="2"/>
        <v>0.3972222222222222</v>
      </c>
      <c r="AR26" s="2">
        <v>4</v>
      </c>
      <c r="AS26" s="45" t="s">
        <v>25</v>
      </c>
    </row>
    <row r="27" spans="1:48" ht="14.5" customHeight="1" x14ac:dyDescent="0.2">
      <c r="N27" s="54"/>
      <c r="AA27" s="1">
        <v>21</v>
      </c>
      <c r="AB27" s="2" t="s">
        <v>48</v>
      </c>
      <c r="AC27" s="30">
        <v>0.25138888888888888</v>
      </c>
      <c r="AD27" s="30">
        <v>0.70347222222222217</v>
      </c>
      <c r="AE27" s="39">
        <f t="shared" si="1"/>
        <v>0.45208333333333328</v>
      </c>
      <c r="AF27" s="29">
        <v>5</v>
      </c>
      <c r="AG27" s="45" t="s">
        <v>25</v>
      </c>
      <c r="AM27" s="1">
        <v>21</v>
      </c>
      <c r="AN27" s="2" t="s">
        <v>308</v>
      </c>
      <c r="AO27" s="41">
        <v>0.27430555555555552</v>
      </c>
      <c r="AP27" s="41">
        <v>0.71388888888888891</v>
      </c>
      <c r="AQ27" s="26">
        <f t="shared" si="2"/>
        <v>0.43958333333333338</v>
      </c>
      <c r="AR27" s="2">
        <v>4</v>
      </c>
      <c r="AS27" s="45" t="s">
        <v>25</v>
      </c>
    </row>
    <row r="28" spans="1:48" x14ac:dyDescent="0.2">
      <c r="N28" s="54"/>
      <c r="AA28" s="1">
        <v>22</v>
      </c>
      <c r="AB28" s="29" t="s">
        <v>59</v>
      </c>
      <c r="AC28" s="30">
        <v>0.26874999999999999</v>
      </c>
      <c r="AD28" s="30">
        <v>0.68680555555555556</v>
      </c>
      <c r="AE28" s="39">
        <f t="shared" si="1"/>
        <v>0.41805555555555557</v>
      </c>
      <c r="AF28" s="29">
        <v>5</v>
      </c>
      <c r="AG28" s="45" t="s">
        <v>25</v>
      </c>
      <c r="AM28" s="1">
        <v>22</v>
      </c>
      <c r="AN28" s="2" t="s">
        <v>230</v>
      </c>
      <c r="AO28" s="41">
        <v>0.25208333333333333</v>
      </c>
      <c r="AP28" s="41">
        <v>0.70624999999999993</v>
      </c>
      <c r="AQ28" s="26">
        <f t="shared" si="2"/>
        <v>0.45416666666666661</v>
      </c>
      <c r="AR28" s="2">
        <v>5</v>
      </c>
      <c r="AS28" s="45" t="s">
        <v>25</v>
      </c>
    </row>
    <row r="29" spans="1:48" x14ac:dyDescent="0.2">
      <c r="N29" s="54"/>
      <c r="AA29" s="1">
        <v>23</v>
      </c>
      <c r="AB29" s="29" t="s">
        <v>46</v>
      </c>
      <c r="AC29" s="30">
        <v>0.25486111111111109</v>
      </c>
      <c r="AD29" s="30">
        <v>0.70277777777777783</v>
      </c>
      <c r="AE29" s="39">
        <f t="shared" si="1"/>
        <v>0.44791666666666674</v>
      </c>
      <c r="AF29" s="29">
        <v>5</v>
      </c>
      <c r="AG29" s="45" t="s">
        <v>25</v>
      </c>
    </row>
    <row r="30" spans="1:48" x14ac:dyDescent="0.2">
      <c r="AA30" s="1">
        <v>24</v>
      </c>
      <c r="AB30" s="29" t="s">
        <v>50</v>
      </c>
      <c r="AC30" s="30">
        <v>0.25694444444444448</v>
      </c>
      <c r="AD30" s="30">
        <v>0.65972222222222221</v>
      </c>
      <c r="AE30" s="39">
        <f t="shared" si="1"/>
        <v>0.40277777777777773</v>
      </c>
      <c r="AF30" s="29">
        <v>5</v>
      </c>
      <c r="AG30" s="45" t="s">
        <v>25</v>
      </c>
    </row>
    <row r="31" spans="1:48" x14ac:dyDescent="0.2">
      <c r="G31" s="34"/>
      <c r="H31" s="35" t="s">
        <v>90</v>
      </c>
      <c r="AA31" s="1">
        <v>25</v>
      </c>
      <c r="AB31" s="29" t="s">
        <v>697</v>
      </c>
      <c r="AC31" s="30">
        <v>0.27708333333333335</v>
      </c>
      <c r="AD31" s="30">
        <v>0.74097222222222225</v>
      </c>
      <c r="AE31" s="39">
        <f t="shared" si="1"/>
        <v>0.46388888888888891</v>
      </c>
      <c r="AF31" s="29">
        <v>5</v>
      </c>
      <c r="AG31" s="45" t="s">
        <v>25</v>
      </c>
    </row>
    <row r="32" spans="1:48" x14ac:dyDescent="0.2">
      <c r="G32" s="56" t="s">
        <v>209</v>
      </c>
      <c r="H32" s="35" t="s">
        <v>92</v>
      </c>
      <c r="V32" s="1"/>
      <c r="AA32" s="1">
        <v>26</v>
      </c>
      <c r="AB32" s="2" t="s">
        <v>41</v>
      </c>
      <c r="AC32" s="30">
        <v>0.26041666666666669</v>
      </c>
      <c r="AD32" s="30">
        <v>0.75277777777777777</v>
      </c>
      <c r="AE32" s="39">
        <f t="shared" si="1"/>
        <v>0.49236111111111108</v>
      </c>
      <c r="AF32" s="29">
        <v>6</v>
      </c>
      <c r="AG32" s="45" t="s">
        <v>25</v>
      </c>
      <c r="AR32" s="34"/>
      <c r="AS32" s="35" t="s">
        <v>90</v>
      </c>
    </row>
    <row r="33" spans="1:45" x14ac:dyDescent="0.2">
      <c r="V33" s="1"/>
      <c r="AA33" s="1">
        <v>27</v>
      </c>
      <c r="AB33" s="2" t="s">
        <v>49</v>
      </c>
      <c r="AC33" s="30">
        <v>0.25833333333333336</v>
      </c>
      <c r="AD33" s="30">
        <v>0.75208333333333333</v>
      </c>
      <c r="AE33" s="39">
        <f t="shared" si="1"/>
        <v>0.49374999999999997</v>
      </c>
      <c r="AF33" s="29">
        <v>6</v>
      </c>
      <c r="AG33" s="45" t="s">
        <v>25</v>
      </c>
      <c r="AR33" s="56" t="s">
        <v>209</v>
      </c>
      <c r="AS33" s="35" t="s">
        <v>92</v>
      </c>
    </row>
    <row r="34" spans="1:45" x14ac:dyDescent="0.2">
      <c r="V34" s="1"/>
      <c r="AA34" s="1">
        <v>28</v>
      </c>
      <c r="AB34" s="2" t="s">
        <v>80</v>
      </c>
      <c r="AC34" s="30">
        <v>0.25138888888888888</v>
      </c>
      <c r="AD34" s="30">
        <v>0.72430555555555554</v>
      </c>
      <c r="AE34" s="39">
        <f t="shared" si="1"/>
        <v>0.47291666666666665</v>
      </c>
      <c r="AF34" s="29">
        <v>6</v>
      </c>
      <c r="AG34" s="45" t="s">
        <v>25</v>
      </c>
    </row>
    <row r="35" spans="1:45" x14ac:dyDescent="0.2">
      <c r="V35" s="1"/>
    </row>
    <row r="36" spans="1:45" x14ac:dyDescent="0.2">
      <c r="V36" s="1"/>
      <c r="AF36" s="34"/>
      <c r="AG36" s="35" t="s">
        <v>90</v>
      </c>
    </row>
    <row r="37" spans="1:45" x14ac:dyDescent="0.2">
      <c r="V37" s="1"/>
      <c r="AF37" s="56" t="s">
        <v>209</v>
      </c>
      <c r="AG37" s="35" t="s">
        <v>92</v>
      </c>
    </row>
    <row r="38" spans="1:45" x14ac:dyDescent="0.2">
      <c r="V38" s="1"/>
    </row>
    <row r="39" spans="1:45" x14ac:dyDescent="0.2">
      <c r="V39" s="1"/>
    </row>
    <row r="40" spans="1:45" x14ac:dyDescent="0.2">
      <c r="V40" s="1"/>
    </row>
    <row r="41" spans="1:45" ht="21" x14ac:dyDescent="0.25">
      <c r="A41" s="46"/>
    </row>
    <row r="53" spans="15:22" x14ac:dyDescent="0.2">
      <c r="O53" s="2" t="s">
        <v>0</v>
      </c>
      <c r="P53" s="2" t="s">
        <v>1</v>
      </c>
      <c r="Q53" s="22" t="s">
        <v>61</v>
      </c>
      <c r="R53" s="22" t="s">
        <v>62</v>
      </c>
      <c r="S53" s="22" t="s">
        <v>63</v>
      </c>
      <c r="T53" s="2" t="s">
        <v>2</v>
      </c>
      <c r="U53" s="2" t="s">
        <v>3</v>
      </c>
    </row>
    <row r="54" spans="15:22" x14ac:dyDescent="0.2">
      <c r="O54" s="27">
        <v>1</v>
      </c>
      <c r="P54" s="2"/>
      <c r="Q54" s="41"/>
      <c r="R54" s="42"/>
      <c r="S54" s="26"/>
      <c r="T54" s="2"/>
      <c r="U54" s="24"/>
    </row>
    <row r="55" spans="15:22" x14ac:dyDescent="0.2">
      <c r="O55" s="15">
        <v>2</v>
      </c>
      <c r="P55" s="29"/>
      <c r="Q55" s="30"/>
      <c r="R55" s="36"/>
      <c r="S55" s="26"/>
      <c r="T55" s="29"/>
      <c r="U55" s="24"/>
    </row>
    <row r="56" spans="15:22" x14ac:dyDescent="0.2">
      <c r="O56" s="15">
        <v>3</v>
      </c>
      <c r="P56" s="29"/>
      <c r="Q56" s="30"/>
      <c r="R56" s="36"/>
      <c r="S56" s="39"/>
      <c r="T56" s="29"/>
      <c r="U56" s="16"/>
    </row>
    <row r="57" spans="15:22" x14ac:dyDescent="0.2">
      <c r="O57" s="27">
        <v>4</v>
      </c>
      <c r="P57" s="29"/>
      <c r="Q57" s="30"/>
      <c r="R57" s="36"/>
      <c r="S57" s="39"/>
      <c r="T57" s="29"/>
      <c r="U57" s="24"/>
    </row>
    <row r="58" spans="15:22" x14ac:dyDescent="0.2">
      <c r="O58" s="15">
        <v>5</v>
      </c>
      <c r="P58" s="29"/>
      <c r="Q58" s="30"/>
      <c r="R58" s="36"/>
      <c r="S58" s="26"/>
      <c r="T58" s="29"/>
      <c r="U58" s="24"/>
    </row>
    <row r="59" spans="15:22" x14ac:dyDescent="0.2">
      <c r="O59" s="15">
        <v>6</v>
      </c>
      <c r="P59" s="29"/>
      <c r="Q59" s="30"/>
      <c r="R59" s="36"/>
      <c r="S59" s="26"/>
      <c r="T59" s="29"/>
      <c r="U59" s="24"/>
    </row>
    <row r="60" spans="15:22" x14ac:dyDescent="0.2">
      <c r="O60" s="27">
        <v>7</v>
      </c>
      <c r="P60" s="29"/>
      <c r="Q60" s="30"/>
      <c r="R60" s="36"/>
      <c r="S60" s="39"/>
      <c r="T60" s="29"/>
      <c r="U60" s="24"/>
    </row>
    <row r="61" spans="15:22" x14ac:dyDescent="0.2">
      <c r="O61" s="15">
        <v>8</v>
      </c>
      <c r="P61" s="29"/>
      <c r="Q61" s="30"/>
      <c r="R61" s="36"/>
      <c r="S61" s="26"/>
      <c r="T61" s="29"/>
      <c r="U61" s="24"/>
    </row>
    <row r="62" spans="15:22" x14ac:dyDescent="0.2">
      <c r="O62" s="15">
        <v>9</v>
      </c>
      <c r="P62" s="29"/>
      <c r="Q62" s="30"/>
      <c r="R62" s="36"/>
      <c r="S62" s="26"/>
      <c r="T62" s="29"/>
      <c r="U62" s="24"/>
    </row>
    <row r="63" spans="15:22" x14ac:dyDescent="0.2">
      <c r="O63" s="27">
        <v>10</v>
      </c>
      <c r="P63" s="29"/>
      <c r="Q63" s="30"/>
      <c r="R63" s="36"/>
      <c r="S63" s="26"/>
      <c r="T63" s="29"/>
      <c r="U63" s="24"/>
      <c r="V63" s="1"/>
    </row>
    <row r="64" spans="15:22" x14ac:dyDescent="0.2">
      <c r="O64" s="15">
        <v>11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">
        <v>12</v>
      </c>
      <c r="P65" s="29"/>
      <c r="Q65" s="30"/>
      <c r="R65" s="36"/>
      <c r="S65" s="39"/>
      <c r="T65" s="29"/>
      <c r="U65" s="25"/>
      <c r="V65" s="1"/>
    </row>
    <row r="66" spans="15:22" x14ac:dyDescent="0.2">
      <c r="O66" s="28">
        <v>13</v>
      </c>
      <c r="P66" s="29"/>
      <c r="Q66" s="30"/>
      <c r="R66" s="36"/>
      <c r="S66" s="26"/>
      <c r="T66" s="29"/>
      <c r="U66" s="25"/>
    </row>
    <row r="67" spans="15:22" x14ac:dyDescent="0.2">
      <c r="O67" s="27">
        <v>14</v>
      </c>
      <c r="P67" s="29"/>
      <c r="Q67" s="30"/>
      <c r="R67" s="36"/>
      <c r="S67" s="26"/>
      <c r="T67" s="29"/>
      <c r="U67" s="24"/>
    </row>
    <row r="68" spans="15:22" x14ac:dyDescent="0.2">
      <c r="O68" s="15">
        <v>15</v>
      </c>
      <c r="P68" s="29"/>
      <c r="Q68" s="30"/>
      <c r="R68" s="36"/>
      <c r="S68" s="26"/>
      <c r="T68" s="29"/>
      <c r="U68" s="24"/>
    </row>
    <row r="69" spans="15:22" x14ac:dyDescent="0.2">
      <c r="O69" s="1">
        <v>16</v>
      </c>
      <c r="P69" s="29"/>
      <c r="Q69" s="30"/>
      <c r="R69" s="36"/>
      <c r="S69" s="26"/>
      <c r="T69" s="29"/>
      <c r="U69" s="25"/>
    </row>
    <row r="70" spans="15:22" x14ac:dyDescent="0.2">
      <c r="O70" s="28">
        <v>17</v>
      </c>
      <c r="P70" s="29"/>
      <c r="Q70" s="30"/>
      <c r="R70" s="36"/>
      <c r="S70" s="26"/>
      <c r="T70" s="29"/>
      <c r="U70" s="25"/>
    </row>
    <row r="71" spans="15:22" x14ac:dyDescent="0.2">
      <c r="O71" s="27">
        <v>18</v>
      </c>
      <c r="P71" s="29"/>
      <c r="Q71" s="30"/>
      <c r="R71" s="36"/>
      <c r="S71" s="26"/>
      <c r="T71" s="29"/>
      <c r="U71" s="24"/>
    </row>
    <row r="72" spans="15:22" x14ac:dyDescent="0.2">
      <c r="O72" s="1">
        <v>19</v>
      </c>
      <c r="P72" s="29"/>
      <c r="Q72" s="30"/>
      <c r="R72" s="36"/>
      <c r="S72" s="39"/>
      <c r="T72" s="29"/>
      <c r="U72" s="25"/>
    </row>
    <row r="73" spans="15:22" x14ac:dyDescent="0.2">
      <c r="O73" s="1">
        <v>20</v>
      </c>
      <c r="P73" s="29"/>
      <c r="Q73" s="30"/>
      <c r="R73" s="36"/>
      <c r="S73" s="39"/>
      <c r="T73" s="29"/>
      <c r="U73" s="25"/>
    </row>
    <row r="74" spans="15:22" x14ac:dyDescent="0.2">
      <c r="O74" s="28">
        <v>21</v>
      </c>
      <c r="P74" s="29"/>
      <c r="Q74" s="30"/>
      <c r="R74" s="36"/>
      <c r="S74" s="26"/>
      <c r="T74" s="29"/>
      <c r="U74" s="25"/>
    </row>
    <row r="75" spans="15:22" x14ac:dyDescent="0.2">
      <c r="O75" s="27">
        <v>22</v>
      </c>
      <c r="P75" s="29"/>
      <c r="Q75" s="30"/>
      <c r="R75" s="36"/>
      <c r="S75" s="26"/>
      <c r="T75" s="29"/>
      <c r="U75" s="25"/>
    </row>
  </sheetData>
  <mergeCells count="19"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  <mergeCell ref="O1:X1"/>
    <mergeCell ref="AA1:AJ1"/>
    <mergeCell ref="AM1:AV1"/>
    <mergeCell ref="B2:K2"/>
    <mergeCell ref="O2:X2"/>
    <mergeCell ref="AA2:AJ2"/>
    <mergeCell ref="AM2:AV2"/>
  </mergeCells>
  <pageMargins left="0.12" right="0.12" top="0.75" bottom="0.75" header="0.3" footer="0.3"/>
  <pageSetup paperSize="5" scale="82" fitToWidth="0" orientation="landscape" horizontalDpi="360" verticalDpi="360" r:id="rId1"/>
  <rowBreaks count="1" manualBreakCount="1">
    <brk id="40" max="46" man="1"/>
  </rowBreaks>
  <colBreaks count="3" manualBreakCount="3">
    <brk id="12" min="1" max="39" man="1"/>
    <brk id="25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1E81-7F40-4C10-95FA-5E292A9AD5E9}">
  <sheetPr>
    <tabColor theme="7" tint="0.39997558519241921"/>
  </sheetPr>
  <dimension ref="A1:AV73"/>
  <sheetViews>
    <sheetView showGridLines="0" view="pageBreakPreview" topLeftCell="AH1" zoomScale="55" zoomScaleNormal="55" zoomScaleSheetLayoutView="55" workbookViewId="0">
      <selection activeCell="AN7" sqref="AN7:AS27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2" x14ac:dyDescent="0.25">
      <c r="B1" s="59"/>
      <c r="C1" s="59"/>
      <c r="D1" s="59"/>
      <c r="E1" s="59"/>
      <c r="F1" s="59"/>
      <c r="G1" s="59"/>
      <c r="H1" s="59"/>
      <c r="I1" s="59"/>
      <c r="J1" s="59" t="s">
        <v>625</v>
      </c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COUNTIF(Table13245678910111321252934394449546149141924293336424753919786104110116122127131136141914241930364248546066727782879297102107112117[Retase],"&gt;3")</f>
        <v>3</v>
      </c>
      <c r="D3" t="s">
        <v>241</v>
      </c>
      <c r="O3" s="60">
        <f>COUNTIF(Table134567891011172226303540455055625101520253034384348549298871051111171231281321371421015252031374349556167737883889398103108113118[Retase],"&gt;3")</f>
        <v>0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COUNTIF(Table134567891011151819232731374247525927121722273228414652909680103109115121126120135140813231828344046525864707580859095100105110115120[Retase],"&gt;4")</f>
        <v>11</v>
      </c>
      <c r="AM3" s="60">
        <f>COUNTIF(Table134567891011151819232731374247525927121722273228414652909680103109115121126120135140813231829354147535965717681869196101106111116[Retase],"&gt;3")</f>
        <v>7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45435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45435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45435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45435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3" t="s">
        <v>118</v>
      </c>
      <c r="D7" s="21">
        <v>0.29236111111111113</v>
      </c>
      <c r="E7" s="21">
        <v>0.63888888888888895</v>
      </c>
      <c r="F7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0.34652777777777782</v>
      </c>
      <c r="G7" s="20">
        <v>1</v>
      </c>
      <c r="H7" s="65" t="s">
        <v>754</v>
      </c>
      <c r="J7" s="4" t="s">
        <v>10</v>
      </c>
      <c r="K7" s="6">
        <v>23</v>
      </c>
      <c r="L7" s="19"/>
      <c r="N7" s="56"/>
      <c r="O7" s="50">
        <v>1</v>
      </c>
      <c r="P7" s="33" t="s">
        <v>36</v>
      </c>
      <c r="Q7" s="44">
        <v>0.29652777777777778</v>
      </c>
      <c r="R7" s="44">
        <v>0.58819444444444446</v>
      </c>
      <c r="S7" s="52">
        <f>R7-Q7</f>
        <v>0.29166666666666669</v>
      </c>
      <c r="T7" s="33">
        <v>2</v>
      </c>
      <c r="U7" s="53" t="s">
        <v>108</v>
      </c>
      <c r="W7" s="4" t="s">
        <v>10</v>
      </c>
      <c r="X7" s="6">
        <v>8</v>
      </c>
      <c r="AA7" s="50">
        <v>1</v>
      </c>
      <c r="AB7" s="33" t="s">
        <v>58</v>
      </c>
      <c r="AC7" s="32">
        <v>0.30624999999999997</v>
      </c>
      <c r="AD7" s="32">
        <v>0.61458333333333337</v>
      </c>
      <c r="AE7" s="52">
        <f t="shared" ref="AE7:AE34" si="0">AD7-AC7</f>
        <v>0.3083333333333334</v>
      </c>
      <c r="AF7" s="31">
        <v>2</v>
      </c>
      <c r="AG7" s="55" t="s">
        <v>766</v>
      </c>
      <c r="AI7" s="4" t="s">
        <v>10</v>
      </c>
      <c r="AJ7" s="6">
        <v>33</v>
      </c>
      <c r="AL7" s="56"/>
      <c r="AM7" s="15">
        <v>1</v>
      </c>
      <c r="AN7" s="20" t="s">
        <v>280</v>
      </c>
      <c r="AO7" s="21">
        <v>0.22916666666666666</v>
      </c>
      <c r="AP7" s="21">
        <v>0.4694444444444445</v>
      </c>
      <c r="AQ7" s="38">
        <f t="shared" ref="AQ7:AQ27" si="1">AP7-AO7</f>
        <v>0.24027777777777784</v>
      </c>
      <c r="AR7" s="20">
        <v>1</v>
      </c>
      <c r="AS7" s="16" t="s">
        <v>776</v>
      </c>
      <c r="AU7" s="4" t="s">
        <v>10</v>
      </c>
      <c r="AV7" s="6">
        <v>20</v>
      </c>
    </row>
    <row r="8" spans="1:48" s="1" customFormat="1" x14ac:dyDescent="0.2">
      <c r="A8" s="56"/>
      <c r="B8" s="50">
        <v>2</v>
      </c>
      <c r="C8" s="33" t="s">
        <v>14</v>
      </c>
      <c r="D8" s="32">
        <v>0.3263888888888889</v>
      </c>
      <c r="E8" s="32">
        <v>0.49722222222222223</v>
      </c>
      <c r="F8" s="51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0.17083333333333334</v>
      </c>
      <c r="G8" s="31">
        <v>1</v>
      </c>
      <c r="H8" s="73" t="s">
        <v>755</v>
      </c>
      <c r="J8" s="4" t="s">
        <v>9</v>
      </c>
      <c r="K8" s="7">
        <v>21</v>
      </c>
      <c r="L8" s="19"/>
      <c r="O8" s="50">
        <v>2</v>
      </c>
      <c r="P8" s="33" t="s">
        <v>38</v>
      </c>
      <c r="Q8" s="44">
        <v>0.32430555555555557</v>
      </c>
      <c r="R8" s="44">
        <v>0.73333333333333339</v>
      </c>
      <c r="S8" s="52">
        <f>R8-Q8</f>
        <v>0.40902777777777782</v>
      </c>
      <c r="T8" s="33">
        <v>3</v>
      </c>
      <c r="U8" s="53" t="s">
        <v>108</v>
      </c>
      <c r="W8" s="4" t="s">
        <v>9</v>
      </c>
      <c r="X8" s="7">
        <v>4</v>
      </c>
      <c r="Z8" s="56"/>
      <c r="AA8" s="15">
        <v>2</v>
      </c>
      <c r="AB8" s="23" t="s">
        <v>35</v>
      </c>
      <c r="AC8" s="40">
        <v>0.27847222222222223</v>
      </c>
      <c r="AD8" s="40">
        <v>0.72499999999999998</v>
      </c>
      <c r="AE8" s="38">
        <f t="shared" si="0"/>
        <v>0.44652777777777775</v>
      </c>
      <c r="AF8" s="20">
        <v>2</v>
      </c>
      <c r="AG8" s="16" t="s">
        <v>767</v>
      </c>
      <c r="AI8" s="4" t="s">
        <v>9</v>
      </c>
      <c r="AJ8" s="6">
        <v>28</v>
      </c>
      <c r="AM8" s="50">
        <v>2</v>
      </c>
      <c r="AN8" s="31" t="s">
        <v>279</v>
      </c>
      <c r="AO8" s="32">
        <v>0.29375000000000001</v>
      </c>
      <c r="AP8" s="32">
        <v>0.64444444444444449</v>
      </c>
      <c r="AQ8" s="51">
        <f t="shared" si="1"/>
        <v>0.35069444444444448</v>
      </c>
      <c r="AR8" s="31">
        <v>1</v>
      </c>
      <c r="AS8" s="55" t="s">
        <v>777</v>
      </c>
      <c r="AU8" s="4" t="s">
        <v>9</v>
      </c>
      <c r="AV8" s="6">
        <v>21</v>
      </c>
    </row>
    <row r="9" spans="1:48" s="1" customFormat="1" x14ac:dyDescent="0.2">
      <c r="A9" s="56"/>
      <c r="B9" s="15">
        <v>3</v>
      </c>
      <c r="C9" s="23" t="s">
        <v>71</v>
      </c>
      <c r="D9" s="21">
        <v>0.23055555555555554</v>
      </c>
      <c r="E9" s="21">
        <v>0.52708333333333335</v>
      </c>
      <c r="F9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0.29652777777777783</v>
      </c>
      <c r="G9" s="20">
        <v>2</v>
      </c>
      <c r="H9" s="67" t="s">
        <v>756</v>
      </c>
      <c r="J9" s="4" t="s">
        <v>4</v>
      </c>
      <c r="K9" s="7">
        <v>0</v>
      </c>
      <c r="L9" s="19"/>
      <c r="N9" s="56"/>
      <c r="O9" s="50">
        <v>3</v>
      </c>
      <c r="P9" s="33" t="s">
        <v>39</v>
      </c>
      <c r="Q9" s="44">
        <v>0.3034722222222222</v>
      </c>
      <c r="R9" s="44">
        <v>0.6430555555555556</v>
      </c>
      <c r="S9" s="52">
        <f>R9-Q9</f>
        <v>0.3395833333333334</v>
      </c>
      <c r="T9" s="33">
        <v>3</v>
      </c>
      <c r="U9" s="53" t="s">
        <v>108</v>
      </c>
      <c r="W9" s="4" t="s">
        <v>4</v>
      </c>
      <c r="X9" s="7">
        <v>0</v>
      </c>
      <c r="Z9" s="56"/>
      <c r="AA9" s="15">
        <v>3</v>
      </c>
      <c r="AB9" s="23" t="s">
        <v>59</v>
      </c>
      <c r="AC9" s="40">
        <v>0.26041666666666669</v>
      </c>
      <c r="AD9" s="40">
        <v>0.47013888888888888</v>
      </c>
      <c r="AE9" s="38">
        <f t="shared" si="0"/>
        <v>0.2097222222222222</v>
      </c>
      <c r="AF9" s="20">
        <v>2</v>
      </c>
      <c r="AG9" s="16" t="s">
        <v>768</v>
      </c>
      <c r="AI9" s="4" t="s">
        <v>4</v>
      </c>
      <c r="AJ9" s="7">
        <v>1</v>
      </c>
      <c r="AM9" s="15">
        <v>3</v>
      </c>
      <c r="AN9" s="20" t="s">
        <v>302</v>
      </c>
      <c r="AO9" s="21">
        <v>0.28680555555555554</v>
      </c>
      <c r="AP9" s="21">
        <v>0.52708333333333335</v>
      </c>
      <c r="AQ9" s="38">
        <f t="shared" si="1"/>
        <v>0.24027777777777781</v>
      </c>
      <c r="AR9" s="20">
        <v>1</v>
      </c>
      <c r="AS9" s="16" t="s">
        <v>779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3" t="s">
        <v>75</v>
      </c>
      <c r="D10" s="21">
        <v>0.22291666666666665</v>
      </c>
      <c r="E10" s="21">
        <v>0.54722222222222217</v>
      </c>
      <c r="F10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0.32430555555555551</v>
      </c>
      <c r="G10" s="20">
        <v>2</v>
      </c>
      <c r="H10" s="67" t="s">
        <v>757</v>
      </c>
      <c r="J10" s="4" t="s">
        <v>5</v>
      </c>
      <c r="K10" s="7">
        <v>2</v>
      </c>
      <c r="L10" s="19"/>
      <c r="N10" s="56"/>
      <c r="O10" s="15">
        <v>4</v>
      </c>
      <c r="P10" s="23" t="s">
        <v>42</v>
      </c>
      <c r="Q10" s="40">
        <v>0.28472222222222221</v>
      </c>
      <c r="R10" s="40">
        <v>0.59513888888888888</v>
      </c>
      <c r="S10" s="37">
        <f>R10-Q10</f>
        <v>0.31041666666666667</v>
      </c>
      <c r="T10" s="23">
        <v>3</v>
      </c>
      <c r="U10" s="16" t="s">
        <v>765</v>
      </c>
      <c r="W10" s="4" t="s">
        <v>5</v>
      </c>
      <c r="X10" s="7">
        <v>4</v>
      </c>
      <c r="Z10" s="56" t="s">
        <v>209</v>
      </c>
      <c r="AA10" s="50">
        <v>4</v>
      </c>
      <c r="AB10" s="33" t="s">
        <v>40</v>
      </c>
      <c r="AC10" s="44">
        <v>0.39652777777777781</v>
      </c>
      <c r="AD10" s="44">
        <v>0.67013888888888884</v>
      </c>
      <c r="AE10" s="51">
        <f t="shared" si="0"/>
        <v>0.27361111111111103</v>
      </c>
      <c r="AF10" s="31">
        <v>3</v>
      </c>
      <c r="AG10" s="55" t="s">
        <v>64</v>
      </c>
      <c r="AI10" s="4" t="s">
        <v>5</v>
      </c>
      <c r="AJ10" s="7">
        <v>4</v>
      </c>
      <c r="AL10" s="54"/>
      <c r="AM10" s="15">
        <v>4</v>
      </c>
      <c r="AN10" s="20" t="s">
        <v>230</v>
      </c>
      <c r="AO10" s="21">
        <v>0.20902777777777778</v>
      </c>
      <c r="AP10" s="21">
        <v>0.4826388888888889</v>
      </c>
      <c r="AQ10" s="38">
        <f t="shared" si="1"/>
        <v>0.27361111111111114</v>
      </c>
      <c r="AR10" s="20">
        <v>2</v>
      </c>
      <c r="AS10" s="16" t="s">
        <v>778</v>
      </c>
      <c r="AU10" s="4" t="s">
        <v>5</v>
      </c>
      <c r="AV10" s="7">
        <v>0</v>
      </c>
    </row>
    <row r="11" spans="1:48" s="1" customFormat="1" x14ac:dyDescent="0.2">
      <c r="A11" s="56"/>
      <c r="B11" s="15">
        <v>5</v>
      </c>
      <c r="C11" s="23" t="s">
        <v>121</v>
      </c>
      <c r="D11" s="21">
        <v>0.27013888888888887</v>
      </c>
      <c r="E11" s="21">
        <v>0.6020833333333333</v>
      </c>
      <c r="F11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0.33194444444444443</v>
      </c>
      <c r="G11" s="20">
        <v>2</v>
      </c>
      <c r="H11" s="67" t="s">
        <v>763</v>
      </c>
      <c r="J11" s="4" t="s">
        <v>6</v>
      </c>
      <c r="K11" s="7">
        <v>0</v>
      </c>
      <c r="N11" s="56"/>
      <c r="O11"/>
      <c r="P11"/>
      <c r="Q11"/>
      <c r="R11"/>
      <c r="S11"/>
      <c r="T11"/>
      <c r="U11"/>
      <c r="W11" s="4" t="s">
        <v>33</v>
      </c>
      <c r="X11" s="7">
        <v>0</v>
      </c>
      <c r="Z11" s="56"/>
      <c r="AA11" s="15">
        <v>5</v>
      </c>
      <c r="AB11" s="23" t="s">
        <v>77</v>
      </c>
      <c r="AC11" s="40">
        <v>0.29652777777777778</v>
      </c>
      <c r="AD11" s="40">
        <v>0.61458333333333337</v>
      </c>
      <c r="AE11" s="38">
        <f t="shared" si="0"/>
        <v>0.31805555555555559</v>
      </c>
      <c r="AF11" s="20">
        <v>3</v>
      </c>
      <c r="AG11" s="16" t="s">
        <v>769</v>
      </c>
      <c r="AI11" s="4" t="s">
        <v>6</v>
      </c>
      <c r="AJ11" s="7">
        <v>0</v>
      </c>
      <c r="AM11" s="50">
        <v>5</v>
      </c>
      <c r="AN11" s="31" t="s">
        <v>300</v>
      </c>
      <c r="AO11" s="32">
        <v>0.29791666666666666</v>
      </c>
      <c r="AP11" s="32">
        <v>0.57986111111111105</v>
      </c>
      <c r="AQ11" s="51">
        <f t="shared" si="1"/>
        <v>0.28194444444444439</v>
      </c>
      <c r="AR11" s="31">
        <v>2</v>
      </c>
      <c r="AS11" s="55" t="s">
        <v>780</v>
      </c>
      <c r="AU11" s="4" t="s">
        <v>6</v>
      </c>
      <c r="AV11" s="7">
        <v>18</v>
      </c>
    </row>
    <row r="12" spans="1:48" s="1" customFormat="1" x14ac:dyDescent="0.2">
      <c r="A12" s="56"/>
      <c r="B12" s="15">
        <v>6</v>
      </c>
      <c r="C12" s="23" t="s">
        <v>17</v>
      </c>
      <c r="D12" s="21">
        <v>0.25833333333333336</v>
      </c>
      <c r="E12" s="21">
        <v>0.63541666666666663</v>
      </c>
      <c r="F12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0.37708333333333327</v>
      </c>
      <c r="G12" s="20">
        <v>2</v>
      </c>
      <c r="H12" s="67" t="s">
        <v>758</v>
      </c>
      <c r="J12" s="8" t="s">
        <v>8</v>
      </c>
      <c r="K12" s="9">
        <f>SUM(Table13245678910111321252934394449546149141924293336424753919786104110116122127131136141914241930364248546066727782879297102107112117[Retase])</f>
        <v>58</v>
      </c>
      <c r="L12" s="19"/>
      <c r="N12" s="54"/>
      <c r="O12"/>
      <c r="P12"/>
      <c r="Q12"/>
      <c r="R12"/>
      <c r="S12"/>
      <c r="T12"/>
      <c r="U12"/>
      <c r="W12" s="8" t="s">
        <v>8</v>
      </c>
      <c r="X12" s="9">
        <f>SUM(Table134567891011172226303540455055625101520253034384348549298871051111171231281321371421015252031374349556167737883889398103108113118[Retase])</f>
        <v>11</v>
      </c>
      <c r="AA12" s="15">
        <v>6</v>
      </c>
      <c r="AB12" s="23" t="s">
        <v>78</v>
      </c>
      <c r="AC12" s="40">
        <v>0.27569444444444446</v>
      </c>
      <c r="AD12" s="40">
        <v>0.59652777777777777</v>
      </c>
      <c r="AE12" s="38">
        <f t="shared" si="0"/>
        <v>0.3208333333333333</v>
      </c>
      <c r="AF12" s="20">
        <v>3</v>
      </c>
      <c r="AG12" s="16" t="s">
        <v>770</v>
      </c>
      <c r="AI12" s="8" t="s">
        <v>8</v>
      </c>
      <c r="AJ12" s="9">
        <f>SUM(Table134567891011151819232731374247525927121722273228414652909680103109115121126120135140813231828344046525864707580859095100105110115120[Retase])</f>
        <v>114</v>
      </c>
      <c r="AM12" s="15">
        <v>6</v>
      </c>
      <c r="AN12" s="20" t="s">
        <v>775</v>
      </c>
      <c r="AO12" s="21">
        <v>0.27291666666666664</v>
      </c>
      <c r="AP12" s="21">
        <v>0.56944444444444442</v>
      </c>
      <c r="AQ12" s="38">
        <f t="shared" si="1"/>
        <v>0.29652777777777778</v>
      </c>
      <c r="AR12" s="20">
        <v>2</v>
      </c>
      <c r="AS12" s="16" t="s">
        <v>781</v>
      </c>
      <c r="AU12" s="8" t="s">
        <v>8</v>
      </c>
      <c r="AV12" s="9">
        <f>SUM(Table134567891011151819232731374247525927121722273228414652909680103109115121126120135140813231829354147535965717681869196101106111116[Retase])</f>
        <v>62</v>
      </c>
    </row>
    <row r="13" spans="1:48" s="1" customFormat="1" x14ac:dyDescent="0.2">
      <c r="A13"/>
      <c r="B13" s="50">
        <v>7</v>
      </c>
      <c r="C13" s="33" t="s">
        <v>12</v>
      </c>
      <c r="D13" s="32">
        <v>0.29305555555555557</v>
      </c>
      <c r="E13" s="32">
        <v>0.69791666666666663</v>
      </c>
      <c r="F13" s="51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0.40486111111111106</v>
      </c>
      <c r="G13" s="31">
        <v>3</v>
      </c>
      <c r="H13" s="68" t="s">
        <v>759</v>
      </c>
      <c r="J13" s="10" t="s">
        <v>7</v>
      </c>
      <c r="K13" s="11">
        <f>K12/K8</f>
        <v>2.7619047619047619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2.75</v>
      </c>
      <c r="Z13" s="56"/>
      <c r="AA13" s="15">
        <v>7</v>
      </c>
      <c r="AB13" s="23" t="s">
        <v>50</v>
      </c>
      <c r="AC13" s="40">
        <v>0.26874999999999999</v>
      </c>
      <c r="AD13" s="40">
        <v>0.55833333333333335</v>
      </c>
      <c r="AE13" s="38">
        <f t="shared" si="0"/>
        <v>0.28958333333333336</v>
      </c>
      <c r="AF13" s="20">
        <v>3</v>
      </c>
      <c r="AG13" s="16" t="s">
        <v>771</v>
      </c>
      <c r="AI13" s="10" t="s">
        <v>7</v>
      </c>
      <c r="AJ13" s="11">
        <f>AJ12/AJ8</f>
        <v>4.0714285714285712</v>
      </c>
      <c r="AM13" s="15">
        <v>7</v>
      </c>
      <c r="AN13" s="20" t="s">
        <v>476</v>
      </c>
      <c r="AO13" s="21">
        <v>0.27777777777777779</v>
      </c>
      <c r="AP13" s="21">
        <v>0.68402777777777779</v>
      </c>
      <c r="AQ13" s="38">
        <f t="shared" si="1"/>
        <v>0.40625</v>
      </c>
      <c r="AR13" s="20">
        <v>3</v>
      </c>
      <c r="AS13" s="16" t="s">
        <v>785</v>
      </c>
      <c r="AU13" s="10" t="s">
        <v>7</v>
      </c>
      <c r="AV13" s="11">
        <f>AV12/AV8</f>
        <v>2.9523809523809526</v>
      </c>
    </row>
    <row r="14" spans="1:48" s="1" customFormat="1" x14ac:dyDescent="0.2">
      <c r="A14"/>
      <c r="B14" s="15">
        <v>8</v>
      </c>
      <c r="C14" s="23" t="s">
        <v>13</v>
      </c>
      <c r="D14" s="21">
        <v>0.26527777777777778</v>
      </c>
      <c r="E14" s="40">
        <v>0.6777777777777777</v>
      </c>
      <c r="F14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0.41249999999999992</v>
      </c>
      <c r="G14" s="20">
        <v>3</v>
      </c>
      <c r="H14" s="67" t="s">
        <v>764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50">
        <v>8</v>
      </c>
      <c r="AB14" s="33" t="s">
        <v>123</v>
      </c>
      <c r="AC14" s="44">
        <v>0.2986111111111111</v>
      </c>
      <c r="AD14" s="44">
        <v>0.67708333333333337</v>
      </c>
      <c r="AE14" s="51">
        <f t="shared" si="0"/>
        <v>0.37847222222222227</v>
      </c>
      <c r="AF14" s="31">
        <v>4</v>
      </c>
      <c r="AG14" s="55" t="s">
        <v>538</v>
      </c>
      <c r="AI14" s="12" t="s">
        <v>11</v>
      </c>
      <c r="AJ14" s="13">
        <v>5</v>
      </c>
      <c r="AM14" s="15">
        <v>8</v>
      </c>
      <c r="AN14" s="20" t="s">
        <v>475</v>
      </c>
      <c r="AO14" s="21">
        <v>0.28611111111111115</v>
      </c>
      <c r="AP14" s="21">
        <v>0.67013888888888884</v>
      </c>
      <c r="AQ14" s="38">
        <f t="shared" si="1"/>
        <v>0.38402777777777769</v>
      </c>
      <c r="AR14" s="20">
        <v>3</v>
      </c>
      <c r="AS14" s="16" t="s">
        <v>785</v>
      </c>
      <c r="AU14" s="12" t="s">
        <v>11</v>
      </c>
      <c r="AV14" s="13">
        <v>4</v>
      </c>
    </row>
    <row r="15" spans="1:48" s="1" customFormat="1" x14ac:dyDescent="0.2">
      <c r="A15"/>
      <c r="B15" s="50">
        <v>9</v>
      </c>
      <c r="C15" s="33" t="s">
        <v>70</v>
      </c>
      <c r="D15" s="32">
        <v>0.29444444444444445</v>
      </c>
      <c r="E15" s="32">
        <v>0.70624999999999993</v>
      </c>
      <c r="F15" s="51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0.41180555555555548</v>
      </c>
      <c r="G15" s="31">
        <v>3</v>
      </c>
      <c r="H15" s="73" t="s">
        <v>760</v>
      </c>
      <c r="J15" s="12" t="s">
        <v>88</v>
      </c>
      <c r="K15" s="14">
        <f>B3/K8</f>
        <v>0.14285714285714285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</v>
      </c>
      <c r="Z15" s="56"/>
      <c r="AA15" s="15">
        <v>9</v>
      </c>
      <c r="AB15" s="23" t="s">
        <v>57</v>
      </c>
      <c r="AC15" s="40">
        <v>0.28819444444444448</v>
      </c>
      <c r="AD15" s="40">
        <v>0.72569444444444453</v>
      </c>
      <c r="AE15" s="38">
        <f t="shared" si="0"/>
        <v>0.43750000000000006</v>
      </c>
      <c r="AF15" s="20">
        <v>4</v>
      </c>
      <c r="AG15" s="16" t="s">
        <v>64</v>
      </c>
      <c r="AI15" s="12" t="s">
        <v>88</v>
      </c>
      <c r="AJ15" s="14">
        <f>AA3/AJ8</f>
        <v>0.39285714285714285</v>
      </c>
      <c r="AM15" s="15">
        <v>9</v>
      </c>
      <c r="AN15" s="20" t="s">
        <v>304</v>
      </c>
      <c r="AO15" s="21">
        <v>0.27569444444444446</v>
      </c>
      <c r="AP15" s="21">
        <v>0.64374999999999993</v>
      </c>
      <c r="AQ15" s="38">
        <f t="shared" si="1"/>
        <v>0.36805555555555547</v>
      </c>
      <c r="AR15" s="20">
        <v>3</v>
      </c>
      <c r="AS15" s="16" t="s">
        <v>785</v>
      </c>
      <c r="AU15" s="12" t="s">
        <v>88</v>
      </c>
      <c r="AV15" s="14">
        <f>AM3/AV8</f>
        <v>0.33333333333333331</v>
      </c>
    </row>
    <row r="16" spans="1:48" x14ac:dyDescent="0.2">
      <c r="B16" s="15">
        <v>10</v>
      </c>
      <c r="C16" s="23" t="s">
        <v>68</v>
      </c>
      <c r="D16" s="21">
        <v>0.28819444444444448</v>
      </c>
      <c r="E16" s="21">
        <v>0.67499999999999993</v>
      </c>
      <c r="F16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0.38680555555555546</v>
      </c>
      <c r="G16" s="20">
        <v>3</v>
      </c>
      <c r="H16" s="67" t="s">
        <v>764</v>
      </c>
      <c r="J16" s="12" t="s">
        <v>24</v>
      </c>
      <c r="K16" s="14">
        <f>K8/K7</f>
        <v>0.91304347826086951</v>
      </c>
      <c r="W16" s="12" t="s">
        <v>27</v>
      </c>
      <c r="X16" s="14">
        <f>X8/X7</f>
        <v>0.5</v>
      </c>
      <c r="AA16" s="15">
        <v>10</v>
      </c>
      <c r="AB16" s="23" t="s">
        <v>32</v>
      </c>
      <c r="AC16" s="40">
        <v>0.27361111111111108</v>
      </c>
      <c r="AD16" s="40">
        <v>0.68680555555555556</v>
      </c>
      <c r="AE16" s="38">
        <f t="shared" si="0"/>
        <v>0.41319444444444448</v>
      </c>
      <c r="AF16" s="20">
        <v>4</v>
      </c>
      <c r="AG16" s="16" t="s">
        <v>64</v>
      </c>
      <c r="AI16" s="12" t="s">
        <v>27</v>
      </c>
      <c r="AJ16" s="14">
        <f>AJ8/AJ7</f>
        <v>0.84848484848484851</v>
      </c>
      <c r="AM16" s="15">
        <v>10</v>
      </c>
      <c r="AN16" s="20" t="s">
        <v>303</v>
      </c>
      <c r="AO16" s="21">
        <v>0.27430555555555552</v>
      </c>
      <c r="AP16" s="21">
        <v>0.64444444444444449</v>
      </c>
      <c r="AQ16" s="38">
        <f t="shared" si="1"/>
        <v>0.37013888888888896</v>
      </c>
      <c r="AR16" s="20">
        <v>3</v>
      </c>
      <c r="AS16" s="16" t="s">
        <v>785</v>
      </c>
      <c r="AU16" s="12" t="s">
        <v>27</v>
      </c>
      <c r="AV16" s="14">
        <f>AV8/AV7</f>
        <v>1.05</v>
      </c>
    </row>
    <row r="17" spans="1:48" x14ac:dyDescent="0.2">
      <c r="B17" s="15">
        <v>11</v>
      </c>
      <c r="C17" s="23" t="s">
        <v>69</v>
      </c>
      <c r="D17" s="21">
        <v>0.28611111111111115</v>
      </c>
      <c r="E17" s="21">
        <v>0.68125000000000002</v>
      </c>
      <c r="F17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0.39513888888888887</v>
      </c>
      <c r="G17" s="20">
        <v>3</v>
      </c>
      <c r="H17" s="67" t="s">
        <v>764</v>
      </c>
      <c r="J17" s="12" t="s">
        <v>117</v>
      </c>
      <c r="K17" s="48">
        <f>AVERAGE(Table13245678910111321252934394449546149141924293336424753919786104110116122127131136141914241930364248546066727782879297102107112117[JAM KELUAR])</f>
        <v>0.25558862433862434</v>
      </c>
      <c r="T17" s="34"/>
      <c r="U17" s="35" t="s">
        <v>90</v>
      </c>
      <c r="W17" s="12" t="s">
        <v>117</v>
      </c>
      <c r="X17" s="48">
        <f>AVERAGE(Table134567891011172226303540455055625101520253034384348549298871051111171231281321371421015252031374349556167737883889398103108113118[JAM KELUAR])</f>
        <v>0.3022569444444444</v>
      </c>
      <c r="Z17" s="56" t="s">
        <v>209</v>
      </c>
      <c r="AA17" s="50">
        <v>11</v>
      </c>
      <c r="AB17" s="33" t="s">
        <v>41</v>
      </c>
      <c r="AC17" s="44">
        <v>0.37777777777777777</v>
      </c>
      <c r="AD17" s="44">
        <v>0.75208333333333333</v>
      </c>
      <c r="AE17" s="51">
        <f t="shared" si="0"/>
        <v>0.37430555555555556</v>
      </c>
      <c r="AF17" s="31">
        <v>4</v>
      </c>
      <c r="AG17" s="55" t="s">
        <v>772</v>
      </c>
      <c r="AI17" s="12" t="s">
        <v>117</v>
      </c>
      <c r="AJ17" s="48">
        <f>AVERAGE(Table134567891011151819232731374247525927121722273228414652909680103109115121126120135140813231828344046525864707580859095100105110115120[JAM KELUAR])</f>
        <v>0.27864583333333331</v>
      </c>
      <c r="AM17" s="15">
        <v>11</v>
      </c>
      <c r="AN17" s="20" t="s">
        <v>277</v>
      </c>
      <c r="AO17" s="21">
        <v>0.27291666666666664</v>
      </c>
      <c r="AP17" s="21">
        <v>0.69444444444444453</v>
      </c>
      <c r="AQ17" s="38">
        <f t="shared" si="1"/>
        <v>0.42152777777777789</v>
      </c>
      <c r="AR17" s="20">
        <v>3</v>
      </c>
      <c r="AS17" s="16" t="s">
        <v>782</v>
      </c>
      <c r="AU17" s="12" t="s">
        <v>117</v>
      </c>
      <c r="AV17" s="48">
        <f>AVERAGE(Table134567891011151819232731374247525927121722273228414652909680103109115121126120135140813231829354147535965717681869196101106111116[JAM KELUAR])</f>
        <v>0.26970899470899473</v>
      </c>
    </row>
    <row r="18" spans="1:48" x14ac:dyDescent="0.2">
      <c r="B18" s="15">
        <v>12</v>
      </c>
      <c r="C18" s="23" t="s">
        <v>74</v>
      </c>
      <c r="D18" s="21">
        <v>0.25138888888888888</v>
      </c>
      <c r="E18" s="21">
        <v>0.64166666666666672</v>
      </c>
      <c r="F18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0.39027777777777783</v>
      </c>
      <c r="G18" s="20">
        <v>3</v>
      </c>
      <c r="H18" s="67" t="s">
        <v>764</v>
      </c>
      <c r="T18" s="56" t="s">
        <v>209</v>
      </c>
      <c r="U18" s="35" t="s">
        <v>92</v>
      </c>
      <c r="AA18" s="15">
        <v>12</v>
      </c>
      <c r="AB18" s="23" t="s">
        <v>45</v>
      </c>
      <c r="AC18" s="40">
        <v>0.23958333333333334</v>
      </c>
      <c r="AD18" s="40">
        <v>0.61597222222222225</v>
      </c>
      <c r="AE18" s="38">
        <f t="shared" si="0"/>
        <v>0.37638888888888888</v>
      </c>
      <c r="AF18" s="20">
        <v>4</v>
      </c>
      <c r="AG18" s="16" t="s">
        <v>64</v>
      </c>
      <c r="AI18" s="17"/>
      <c r="AM18" s="15">
        <v>12</v>
      </c>
      <c r="AN18" s="20" t="s">
        <v>274</v>
      </c>
      <c r="AO18" s="21">
        <v>0.3833333333333333</v>
      </c>
      <c r="AP18" s="21">
        <v>0.69652777777777775</v>
      </c>
      <c r="AQ18" s="38">
        <f t="shared" si="1"/>
        <v>0.31319444444444444</v>
      </c>
      <c r="AR18" s="20">
        <v>3</v>
      </c>
      <c r="AS18" s="16" t="s">
        <v>783</v>
      </c>
      <c r="AU18" s="17"/>
    </row>
    <row r="19" spans="1:48" ht="15.75" customHeight="1" x14ac:dyDescent="0.2">
      <c r="A19" s="56"/>
      <c r="B19" s="15">
        <v>13</v>
      </c>
      <c r="C19" s="23" t="s">
        <v>15</v>
      </c>
      <c r="D19" s="21">
        <v>0.20486111111111113</v>
      </c>
      <c r="E19" s="21">
        <v>0.66736111111111107</v>
      </c>
      <c r="F19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0.46249999999999991</v>
      </c>
      <c r="G19" s="20">
        <v>3</v>
      </c>
      <c r="H19" s="65" t="s">
        <v>761</v>
      </c>
      <c r="Z19" s="56"/>
      <c r="AA19" s="15">
        <v>13</v>
      </c>
      <c r="AB19" s="23" t="s">
        <v>122</v>
      </c>
      <c r="AC19" s="40">
        <v>0.28125</v>
      </c>
      <c r="AD19" s="40">
        <v>0.6479166666666667</v>
      </c>
      <c r="AE19" s="38">
        <f t="shared" si="0"/>
        <v>0.3666666666666667</v>
      </c>
      <c r="AF19" s="20">
        <v>4</v>
      </c>
      <c r="AG19" s="16" t="s">
        <v>773</v>
      </c>
      <c r="AM19" s="15">
        <v>13</v>
      </c>
      <c r="AN19" s="20" t="s">
        <v>301</v>
      </c>
      <c r="AO19" s="21">
        <v>0.26180555555555557</v>
      </c>
      <c r="AP19" s="21">
        <v>0.75624999999999998</v>
      </c>
      <c r="AQ19" s="38">
        <f t="shared" si="1"/>
        <v>0.49444444444444441</v>
      </c>
      <c r="AR19" s="20">
        <v>3</v>
      </c>
      <c r="AS19" s="16" t="s">
        <v>784</v>
      </c>
    </row>
    <row r="20" spans="1:48" ht="17.25" customHeight="1" x14ac:dyDescent="0.2">
      <c r="B20" s="15">
        <v>14</v>
      </c>
      <c r="C20" s="23" t="s">
        <v>76</v>
      </c>
      <c r="D20" s="21">
        <v>0.20555555555555557</v>
      </c>
      <c r="E20" s="21">
        <v>0.6645833333333333</v>
      </c>
      <c r="F20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0.4590277777777777</v>
      </c>
      <c r="G20" s="20">
        <v>3</v>
      </c>
      <c r="H20" s="67" t="s">
        <v>762</v>
      </c>
      <c r="AA20" s="15">
        <v>14</v>
      </c>
      <c r="AB20" s="23" t="s">
        <v>79</v>
      </c>
      <c r="AC20" s="40">
        <v>0.27083333333333331</v>
      </c>
      <c r="AD20" s="40">
        <v>0.65972222222222221</v>
      </c>
      <c r="AE20" s="38">
        <f t="shared" si="0"/>
        <v>0.3888888888888889</v>
      </c>
      <c r="AF20" s="20">
        <v>4</v>
      </c>
      <c r="AG20" s="16" t="s">
        <v>64</v>
      </c>
      <c r="AM20" s="15">
        <v>14</v>
      </c>
      <c r="AN20" s="20" t="s">
        <v>308</v>
      </c>
      <c r="AO20" s="21">
        <v>0.27569444444444446</v>
      </c>
      <c r="AP20" s="21">
        <v>0.64722222222222225</v>
      </c>
      <c r="AQ20" s="38">
        <f t="shared" si="1"/>
        <v>0.37152777777777779</v>
      </c>
      <c r="AR20" s="20">
        <v>3</v>
      </c>
      <c r="AS20" s="16" t="s">
        <v>785</v>
      </c>
    </row>
    <row r="21" spans="1:48" ht="15.75" customHeight="1" x14ac:dyDescent="0.2">
      <c r="A21" s="56"/>
      <c r="B21" s="15">
        <v>15</v>
      </c>
      <c r="C21" s="23" t="s">
        <v>120</v>
      </c>
      <c r="D21" s="21">
        <v>0.24444444444444446</v>
      </c>
      <c r="E21" s="21">
        <v>0.69097222222222221</v>
      </c>
      <c r="F21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0.44652777777777775</v>
      </c>
      <c r="G21" s="20">
        <v>3</v>
      </c>
      <c r="H21" s="67" t="s">
        <v>764</v>
      </c>
      <c r="AA21" s="15">
        <v>15</v>
      </c>
      <c r="AB21" s="23" t="s">
        <v>47</v>
      </c>
      <c r="AC21" s="21">
        <v>0.28680555555555554</v>
      </c>
      <c r="AD21" s="21">
        <v>0.71388888888888891</v>
      </c>
      <c r="AE21" s="38">
        <f t="shared" si="0"/>
        <v>0.42708333333333337</v>
      </c>
      <c r="AF21" s="20">
        <v>4</v>
      </c>
      <c r="AG21" s="16" t="s">
        <v>64</v>
      </c>
      <c r="AM21" s="1">
        <v>15</v>
      </c>
      <c r="AN21" s="2" t="s">
        <v>307</v>
      </c>
      <c r="AO21" s="41">
        <v>0.25277777777777777</v>
      </c>
      <c r="AP21" s="41">
        <v>0.6777777777777777</v>
      </c>
      <c r="AQ21" s="26">
        <f t="shared" si="1"/>
        <v>0.42499999999999993</v>
      </c>
      <c r="AR21" s="2">
        <v>4</v>
      </c>
      <c r="AS21" s="45" t="s">
        <v>25</v>
      </c>
    </row>
    <row r="22" spans="1:48" ht="15" customHeight="1" x14ac:dyDescent="0.2">
      <c r="B22" s="15">
        <v>16</v>
      </c>
      <c r="C22" s="23" t="s">
        <v>16</v>
      </c>
      <c r="D22" s="21">
        <v>0.24583333333333335</v>
      </c>
      <c r="E22" s="21">
        <v>0.67499999999999993</v>
      </c>
      <c r="F22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0.42916666666666659</v>
      </c>
      <c r="G22" s="20">
        <v>3</v>
      </c>
      <c r="H22" s="67" t="s">
        <v>764</v>
      </c>
      <c r="AA22" s="15">
        <v>16</v>
      </c>
      <c r="AB22" s="23" t="s">
        <v>51</v>
      </c>
      <c r="AC22" s="21">
        <v>0.27916666666666667</v>
      </c>
      <c r="AD22" s="40">
        <v>0.68680555555555556</v>
      </c>
      <c r="AE22" s="38">
        <f t="shared" si="0"/>
        <v>0.40763888888888888</v>
      </c>
      <c r="AF22" s="20">
        <v>4</v>
      </c>
      <c r="AG22" s="16" t="s">
        <v>64</v>
      </c>
      <c r="AM22" s="1">
        <v>16</v>
      </c>
      <c r="AN22" s="2" t="s">
        <v>306</v>
      </c>
      <c r="AO22" s="41">
        <v>0.24374999999999999</v>
      </c>
      <c r="AP22" s="41">
        <v>0.71666666666666667</v>
      </c>
      <c r="AQ22" s="26">
        <f t="shared" si="1"/>
        <v>0.47291666666666665</v>
      </c>
      <c r="AR22" s="2">
        <v>4</v>
      </c>
      <c r="AS22" s="45" t="s">
        <v>25</v>
      </c>
    </row>
    <row r="23" spans="1:48" ht="15" customHeight="1" x14ac:dyDescent="0.2">
      <c r="B23" s="15">
        <v>17</v>
      </c>
      <c r="C23" s="23" t="s">
        <v>18</v>
      </c>
      <c r="D23" s="21">
        <v>0.24097222222222223</v>
      </c>
      <c r="E23" s="21">
        <v>0.67708333333333337</v>
      </c>
      <c r="F23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0.43611111111111112</v>
      </c>
      <c r="G23" s="20">
        <v>3</v>
      </c>
      <c r="H23" s="67" t="s">
        <v>764</v>
      </c>
      <c r="AA23" s="15">
        <v>17</v>
      </c>
      <c r="AB23" s="23" t="s">
        <v>60</v>
      </c>
      <c r="AC23" s="40">
        <v>0.2722222222222222</v>
      </c>
      <c r="AD23" s="40">
        <v>0.72499999999999998</v>
      </c>
      <c r="AE23" s="37">
        <f t="shared" si="0"/>
        <v>0.45277777777777778</v>
      </c>
      <c r="AF23" s="20">
        <v>4</v>
      </c>
      <c r="AG23" s="16" t="s">
        <v>774</v>
      </c>
      <c r="AM23" s="1">
        <v>17</v>
      </c>
      <c r="AN23" s="2" t="s">
        <v>275</v>
      </c>
      <c r="AO23" s="41">
        <v>0.24374999999999999</v>
      </c>
      <c r="AP23" s="41">
        <v>0.66111111111111109</v>
      </c>
      <c r="AQ23" s="26">
        <f t="shared" si="1"/>
        <v>0.41736111111111107</v>
      </c>
      <c r="AR23" s="2">
        <v>4</v>
      </c>
      <c r="AS23" s="45" t="s">
        <v>25</v>
      </c>
    </row>
    <row r="24" spans="1:48" ht="15" customHeight="1" x14ac:dyDescent="0.2">
      <c r="B24" s="15">
        <v>18</v>
      </c>
      <c r="C24" s="23" t="s">
        <v>19</v>
      </c>
      <c r="D24" s="21">
        <v>0.27152777777777776</v>
      </c>
      <c r="E24" s="21">
        <v>0.71944444444444444</v>
      </c>
      <c r="F24" s="38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0.44791666666666669</v>
      </c>
      <c r="G24" s="20">
        <v>3</v>
      </c>
      <c r="H24" s="67" t="s">
        <v>764</v>
      </c>
      <c r="AA24" s="1">
        <v>18</v>
      </c>
      <c r="AB24" s="29" t="s">
        <v>82</v>
      </c>
      <c r="AC24" s="30">
        <v>0.28611111111111115</v>
      </c>
      <c r="AD24" s="30">
        <v>0.7416666666666667</v>
      </c>
      <c r="AE24" s="39">
        <f t="shared" si="0"/>
        <v>0.45555555555555555</v>
      </c>
      <c r="AF24" s="29">
        <v>5</v>
      </c>
      <c r="AG24" s="45" t="s">
        <v>25</v>
      </c>
      <c r="AM24" s="50">
        <v>18</v>
      </c>
      <c r="AN24" s="31" t="s">
        <v>239</v>
      </c>
      <c r="AO24" s="32">
        <v>0.31597222222222221</v>
      </c>
      <c r="AP24" s="32">
        <v>0.70347222222222217</v>
      </c>
      <c r="AQ24" s="51">
        <f t="shared" si="1"/>
        <v>0.38749999999999996</v>
      </c>
      <c r="AR24" s="31">
        <v>4</v>
      </c>
      <c r="AS24" s="55" t="s">
        <v>25</v>
      </c>
    </row>
    <row r="25" spans="1:48" ht="14.5" customHeight="1" x14ac:dyDescent="0.2">
      <c r="B25" s="1">
        <v>19</v>
      </c>
      <c r="C25" s="29" t="s">
        <v>20</v>
      </c>
      <c r="D25" s="41">
        <v>0.23680555555555557</v>
      </c>
      <c r="E25" s="41">
        <v>0.71250000000000002</v>
      </c>
      <c r="F25" s="26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0.47569444444444442</v>
      </c>
      <c r="G25" s="2">
        <v>4</v>
      </c>
      <c r="H25" s="69" t="s">
        <v>25</v>
      </c>
      <c r="AA25" s="1">
        <v>19</v>
      </c>
      <c r="AB25" s="29" t="s">
        <v>30</v>
      </c>
      <c r="AC25" s="30">
        <v>0.22847222222222222</v>
      </c>
      <c r="AD25" s="30">
        <v>0.72986111111111107</v>
      </c>
      <c r="AE25" s="39">
        <f t="shared" si="0"/>
        <v>0.50138888888888888</v>
      </c>
      <c r="AF25" s="29">
        <v>5</v>
      </c>
      <c r="AG25" s="45" t="s">
        <v>25</v>
      </c>
      <c r="AM25" s="1">
        <v>19</v>
      </c>
      <c r="AN25" s="2" t="s">
        <v>233</v>
      </c>
      <c r="AO25" s="41">
        <v>0.24444444444444446</v>
      </c>
      <c r="AP25" s="41">
        <v>0.62361111111111112</v>
      </c>
      <c r="AQ25" s="26">
        <f t="shared" si="1"/>
        <v>0.37916666666666665</v>
      </c>
      <c r="AR25" s="2">
        <v>4</v>
      </c>
      <c r="AS25" s="45" t="s">
        <v>25</v>
      </c>
    </row>
    <row r="26" spans="1:48" ht="14.5" customHeight="1" x14ac:dyDescent="0.2">
      <c r="B26" s="1">
        <v>20</v>
      </c>
      <c r="C26" s="29" t="s">
        <v>72</v>
      </c>
      <c r="D26" s="41">
        <v>0.22430555555555556</v>
      </c>
      <c r="E26" s="41">
        <v>0.71180555555555547</v>
      </c>
      <c r="F26" s="26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0.48749999999999993</v>
      </c>
      <c r="G26" s="2">
        <v>4</v>
      </c>
      <c r="H26" s="69" t="s">
        <v>25</v>
      </c>
      <c r="N26" s="54"/>
      <c r="AA26" s="1">
        <v>20</v>
      </c>
      <c r="AB26" s="29" t="s">
        <v>34</v>
      </c>
      <c r="AC26" s="30">
        <v>0.2298611111111111</v>
      </c>
      <c r="AD26" s="30">
        <v>0.76388888888888884</v>
      </c>
      <c r="AE26" s="39">
        <f t="shared" si="0"/>
        <v>0.53402777777777777</v>
      </c>
      <c r="AF26" s="29">
        <v>5</v>
      </c>
      <c r="AG26" s="45" t="s">
        <v>25</v>
      </c>
      <c r="AM26" s="1">
        <v>20</v>
      </c>
      <c r="AN26" s="2" t="s">
        <v>232</v>
      </c>
      <c r="AO26" s="41">
        <v>0.25972222222222224</v>
      </c>
      <c r="AP26" s="41">
        <v>0.67222222222222217</v>
      </c>
      <c r="AQ26" s="26">
        <f t="shared" si="1"/>
        <v>0.41249999999999992</v>
      </c>
      <c r="AR26" s="2">
        <v>4</v>
      </c>
      <c r="AS26" s="45" t="s">
        <v>25</v>
      </c>
    </row>
    <row r="27" spans="1:48" ht="14.5" customHeight="1" x14ac:dyDescent="0.2">
      <c r="B27" s="1">
        <v>21</v>
      </c>
      <c r="C27" s="2" t="s">
        <v>73</v>
      </c>
      <c r="D27" s="41">
        <v>0.21388888888888891</v>
      </c>
      <c r="E27" s="41">
        <v>0.70138888888888884</v>
      </c>
      <c r="F27" s="26">
        <f>Table13245678910111321252934394449546149141924293336424753919786104110116122127131136141914241930364248546066727782879297102107112117[[#This Row],[JAM MASUK]]-Table13245678910111321252934394449546149141924293336424753919786104110116122127131136141914241930364248546066727782879297102107112117[[#This Row],[JAM KELUAR]]</f>
        <v>0.48749999999999993</v>
      </c>
      <c r="G27" s="2">
        <v>4</v>
      </c>
      <c r="H27" s="69" t="s">
        <v>25</v>
      </c>
      <c r="N27" s="54"/>
      <c r="Z27" s="56" t="s">
        <v>209</v>
      </c>
      <c r="AA27" s="50">
        <v>21</v>
      </c>
      <c r="AB27" s="31" t="s">
        <v>309</v>
      </c>
      <c r="AC27" s="44">
        <v>0.32777777777777778</v>
      </c>
      <c r="AD27" s="44">
        <v>0.7583333333333333</v>
      </c>
      <c r="AE27" s="52">
        <f t="shared" si="0"/>
        <v>0.43055555555555552</v>
      </c>
      <c r="AF27" s="33">
        <v>5</v>
      </c>
      <c r="AG27" s="55" t="s">
        <v>25</v>
      </c>
      <c r="AM27" s="1">
        <v>21</v>
      </c>
      <c r="AN27" s="2" t="s">
        <v>240</v>
      </c>
      <c r="AO27" s="41">
        <v>0.20625000000000002</v>
      </c>
      <c r="AP27" s="41">
        <v>0.71180555555555547</v>
      </c>
      <c r="AQ27" s="26">
        <f t="shared" si="1"/>
        <v>0.50555555555555542</v>
      </c>
      <c r="AR27" s="2">
        <v>5</v>
      </c>
      <c r="AS27" s="45" t="s">
        <v>25</v>
      </c>
    </row>
    <row r="28" spans="1:48" x14ac:dyDescent="0.2">
      <c r="N28" s="54"/>
      <c r="AA28" s="1">
        <v>22</v>
      </c>
      <c r="AB28" s="29" t="s">
        <v>67</v>
      </c>
      <c r="AC28" s="30">
        <v>0.23472222222222219</v>
      </c>
      <c r="AD28" s="30">
        <v>0.75138888888888899</v>
      </c>
      <c r="AE28" s="39">
        <f t="shared" si="0"/>
        <v>0.51666666666666683</v>
      </c>
      <c r="AF28" s="29">
        <v>5</v>
      </c>
      <c r="AG28" s="45" t="s">
        <v>25</v>
      </c>
    </row>
    <row r="29" spans="1:48" x14ac:dyDescent="0.2">
      <c r="N29" s="54"/>
      <c r="AA29" s="1">
        <v>23</v>
      </c>
      <c r="AB29" s="29" t="s">
        <v>48</v>
      </c>
      <c r="AC29" s="30">
        <v>0.26458333333333334</v>
      </c>
      <c r="AD29" s="30">
        <v>0.68611111111111101</v>
      </c>
      <c r="AE29" s="39">
        <f t="shared" si="0"/>
        <v>0.42152777777777767</v>
      </c>
      <c r="AF29" s="29">
        <v>5</v>
      </c>
      <c r="AG29" s="45" t="s">
        <v>25</v>
      </c>
    </row>
    <row r="30" spans="1:48" x14ac:dyDescent="0.2">
      <c r="AA30" s="1">
        <v>24</v>
      </c>
      <c r="AB30" s="29" t="s">
        <v>56</v>
      </c>
      <c r="AC30" s="30">
        <v>0.26180555555555557</v>
      </c>
      <c r="AD30" s="30">
        <v>0.69652777777777775</v>
      </c>
      <c r="AE30" s="39">
        <f t="shared" si="0"/>
        <v>0.43472222222222218</v>
      </c>
      <c r="AF30" s="29">
        <v>5</v>
      </c>
      <c r="AG30" s="45" t="s">
        <v>25</v>
      </c>
    </row>
    <row r="31" spans="1:48" x14ac:dyDescent="0.2">
      <c r="G31" s="34"/>
      <c r="H31" s="35" t="s">
        <v>90</v>
      </c>
      <c r="AA31" s="1">
        <v>25</v>
      </c>
      <c r="AB31" s="29" t="s">
        <v>46</v>
      </c>
      <c r="AC31" s="30">
        <v>0.25069444444444444</v>
      </c>
      <c r="AD31" s="30">
        <v>0.70208333333333339</v>
      </c>
      <c r="AE31" s="39">
        <f t="shared" si="0"/>
        <v>0.45138888888888895</v>
      </c>
      <c r="AF31" s="29">
        <v>5</v>
      </c>
      <c r="AG31" s="45" t="s">
        <v>25</v>
      </c>
      <c r="AR31" s="34"/>
      <c r="AS31" s="35" t="s">
        <v>90</v>
      </c>
    </row>
    <row r="32" spans="1:48" x14ac:dyDescent="0.2">
      <c r="G32" s="56" t="s">
        <v>209</v>
      </c>
      <c r="H32" s="35" t="s">
        <v>92</v>
      </c>
      <c r="V32" s="1"/>
      <c r="AA32" s="50">
        <v>26</v>
      </c>
      <c r="AB32" s="31" t="s">
        <v>49</v>
      </c>
      <c r="AC32" s="44">
        <v>0.2986111111111111</v>
      </c>
      <c r="AD32" s="44">
        <v>0.73611111111111116</v>
      </c>
      <c r="AE32" s="52">
        <f t="shared" si="0"/>
        <v>0.43750000000000006</v>
      </c>
      <c r="AF32" s="33">
        <v>5</v>
      </c>
      <c r="AG32" s="55" t="s">
        <v>25</v>
      </c>
      <c r="AR32" s="56" t="s">
        <v>209</v>
      </c>
      <c r="AS32" s="35" t="s">
        <v>92</v>
      </c>
    </row>
    <row r="33" spans="1:33" x14ac:dyDescent="0.2">
      <c r="V33" s="1"/>
      <c r="AA33" s="1">
        <v>27</v>
      </c>
      <c r="AB33" s="2" t="s">
        <v>80</v>
      </c>
      <c r="AC33" s="30">
        <v>0.20416666666666669</v>
      </c>
      <c r="AD33" s="30">
        <v>0.68402777777777779</v>
      </c>
      <c r="AE33" s="39">
        <f t="shared" si="0"/>
        <v>0.47986111111111107</v>
      </c>
      <c r="AF33" s="29">
        <v>5</v>
      </c>
      <c r="AG33" s="45" t="s">
        <v>25</v>
      </c>
    </row>
    <row r="34" spans="1:33" x14ac:dyDescent="0.2">
      <c r="V34" s="1"/>
      <c r="AA34" s="1">
        <v>28</v>
      </c>
      <c r="AB34" s="2" t="s">
        <v>81</v>
      </c>
      <c r="AC34" s="30">
        <v>0.26458333333333334</v>
      </c>
      <c r="AD34" s="30">
        <v>0.75069444444444444</v>
      </c>
      <c r="AE34" s="39">
        <f t="shared" si="0"/>
        <v>0.4861111111111111</v>
      </c>
      <c r="AF34" s="29">
        <v>6</v>
      </c>
      <c r="AG34" s="45" t="s">
        <v>25</v>
      </c>
    </row>
    <row r="35" spans="1:33" x14ac:dyDescent="0.2">
      <c r="V35" s="1"/>
    </row>
    <row r="36" spans="1:33" x14ac:dyDescent="0.2">
      <c r="V36" s="1"/>
      <c r="AF36" s="34"/>
      <c r="AG36" s="35" t="s">
        <v>90</v>
      </c>
    </row>
    <row r="37" spans="1:33" x14ac:dyDescent="0.2">
      <c r="V37" s="1"/>
      <c r="AF37" s="56" t="s">
        <v>209</v>
      </c>
      <c r="AG37" s="35" t="s">
        <v>92</v>
      </c>
    </row>
    <row r="38" spans="1:33" x14ac:dyDescent="0.2">
      <c r="V38" s="1"/>
    </row>
    <row r="39" spans="1:33" x14ac:dyDescent="0.2">
      <c r="V39" s="1"/>
    </row>
    <row r="40" spans="1:33" x14ac:dyDescent="0.2">
      <c r="V40" s="1"/>
    </row>
    <row r="41" spans="1:33" ht="21" x14ac:dyDescent="0.25">
      <c r="A41" s="46"/>
    </row>
    <row r="51" spans="15:22" x14ac:dyDescent="0.2">
      <c r="O51" s="2" t="s">
        <v>0</v>
      </c>
      <c r="P51" s="2" t="s">
        <v>1</v>
      </c>
      <c r="Q51" s="22" t="s">
        <v>61</v>
      </c>
      <c r="R51" s="22" t="s">
        <v>62</v>
      </c>
      <c r="S51" s="22" t="s">
        <v>63</v>
      </c>
      <c r="T51" s="2" t="s">
        <v>2</v>
      </c>
      <c r="U51" s="2" t="s">
        <v>3</v>
      </c>
    </row>
    <row r="52" spans="15:22" x14ac:dyDescent="0.2">
      <c r="O52" s="27">
        <v>1</v>
      </c>
      <c r="P52" s="2"/>
      <c r="Q52" s="41"/>
      <c r="R52" s="42"/>
      <c r="S52" s="26"/>
      <c r="T52" s="2"/>
      <c r="U52" s="24"/>
    </row>
    <row r="53" spans="15:22" x14ac:dyDescent="0.2">
      <c r="O53" s="15">
        <v>2</v>
      </c>
      <c r="P53" s="29"/>
      <c r="Q53" s="30"/>
      <c r="R53" s="36"/>
      <c r="S53" s="26"/>
      <c r="T53" s="29"/>
      <c r="U53" s="24"/>
    </row>
    <row r="54" spans="15:22" x14ac:dyDescent="0.2">
      <c r="O54" s="15">
        <v>3</v>
      </c>
      <c r="P54" s="29"/>
      <c r="Q54" s="30"/>
      <c r="R54" s="36"/>
      <c r="S54" s="39"/>
      <c r="T54" s="29"/>
      <c r="U54" s="16"/>
    </row>
    <row r="55" spans="15:22" x14ac:dyDescent="0.2">
      <c r="O55" s="27">
        <v>4</v>
      </c>
      <c r="P55" s="29"/>
      <c r="Q55" s="30"/>
      <c r="R55" s="36"/>
      <c r="S55" s="39"/>
      <c r="T55" s="29"/>
      <c r="U55" s="24"/>
    </row>
    <row r="56" spans="15:22" x14ac:dyDescent="0.2">
      <c r="O56" s="15">
        <v>5</v>
      </c>
      <c r="P56" s="29"/>
      <c r="Q56" s="30"/>
      <c r="R56" s="36"/>
      <c r="S56" s="26"/>
      <c r="T56" s="29"/>
      <c r="U56" s="24"/>
    </row>
    <row r="57" spans="15:22" x14ac:dyDescent="0.2">
      <c r="O57" s="15">
        <v>6</v>
      </c>
      <c r="P57" s="29"/>
      <c r="Q57" s="30"/>
      <c r="R57" s="36"/>
      <c r="S57" s="26"/>
      <c r="T57" s="29"/>
      <c r="U57" s="24"/>
    </row>
    <row r="58" spans="15:22" x14ac:dyDescent="0.2">
      <c r="O58" s="27">
        <v>7</v>
      </c>
      <c r="P58" s="29"/>
      <c r="Q58" s="30"/>
      <c r="R58" s="36"/>
      <c r="S58" s="39"/>
      <c r="T58" s="29"/>
      <c r="U58" s="24"/>
    </row>
    <row r="59" spans="15:22" x14ac:dyDescent="0.2">
      <c r="O59" s="15">
        <v>8</v>
      </c>
      <c r="P59" s="29"/>
      <c r="Q59" s="30"/>
      <c r="R59" s="36"/>
      <c r="S59" s="26"/>
      <c r="T59" s="29"/>
      <c r="U59" s="24"/>
    </row>
    <row r="60" spans="15:22" x14ac:dyDescent="0.2">
      <c r="O60" s="15">
        <v>9</v>
      </c>
      <c r="P60" s="29"/>
      <c r="Q60" s="30"/>
      <c r="R60" s="36"/>
      <c r="S60" s="26"/>
      <c r="T60" s="29"/>
      <c r="U60" s="24"/>
    </row>
    <row r="61" spans="15:22" x14ac:dyDescent="0.2">
      <c r="O61" s="27">
        <v>10</v>
      </c>
      <c r="P61" s="29"/>
      <c r="Q61" s="30"/>
      <c r="R61" s="36"/>
      <c r="S61" s="26"/>
      <c r="T61" s="29"/>
      <c r="U61" s="24"/>
    </row>
    <row r="62" spans="15:22" x14ac:dyDescent="0.2">
      <c r="O62" s="15">
        <v>11</v>
      </c>
      <c r="P62" s="29"/>
      <c r="Q62" s="30"/>
      <c r="R62" s="36"/>
      <c r="S62" s="26"/>
      <c r="T62" s="29"/>
      <c r="U62" s="24"/>
    </row>
    <row r="63" spans="15:22" x14ac:dyDescent="0.2">
      <c r="O63" s="1">
        <v>12</v>
      </c>
      <c r="P63" s="29"/>
      <c r="Q63" s="30"/>
      <c r="R63" s="36"/>
      <c r="S63" s="39"/>
      <c r="T63" s="29"/>
      <c r="U63" s="25"/>
      <c r="V63" s="1"/>
    </row>
    <row r="64" spans="15:22" x14ac:dyDescent="0.2">
      <c r="O64" s="28">
        <v>13</v>
      </c>
      <c r="P64" s="29"/>
      <c r="Q64" s="30"/>
      <c r="R64" s="36"/>
      <c r="S64" s="26"/>
      <c r="T64" s="29"/>
      <c r="U64" s="25"/>
      <c r="V64" s="1"/>
    </row>
    <row r="65" spans="15:22" x14ac:dyDescent="0.2">
      <c r="O65" s="27">
        <v>14</v>
      </c>
      <c r="P65" s="29"/>
      <c r="Q65" s="30"/>
      <c r="R65" s="36"/>
      <c r="S65" s="26"/>
      <c r="T65" s="29"/>
      <c r="U65" s="24"/>
      <c r="V65" s="1"/>
    </row>
    <row r="66" spans="15:22" x14ac:dyDescent="0.2">
      <c r="O66" s="15">
        <v>15</v>
      </c>
      <c r="P66" s="29"/>
      <c r="Q66" s="30"/>
      <c r="R66" s="36"/>
      <c r="S66" s="26"/>
      <c r="T66" s="29"/>
      <c r="U66" s="24"/>
    </row>
    <row r="67" spans="15:22" x14ac:dyDescent="0.2">
      <c r="O67" s="1">
        <v>16</v>
      </c>
      <c r="P67" s="29"/>
      <c r="Q67" s="30"/>
      <c r="R67" s="36"/>
      <c r="S67" s="26"/>
      <c r="T67" s="29"/>
      <c r="U67" s="25"/>
    </row>
    <row r="68" spans="15:22" x14ac:dyDescent="0.2">
      <c r="O68" s="28">
        <v>17</v>
      </c>
      <c r="P68" s="29"/>
      <c r="Q68" s="30"/>
      <c r="R68" s="36"/>
      <c r="S68" s="26"/>
      <c r="T68" s="29"/>
      <c r="U68" s="25"/>
    </row>
    <row r="69" spans="15:22" x14ac:dyDescent="0.2">
      <c r="O69" s="27">
        <v>18</v>
      </c>
      <c r="P69" s="29"/>
      <c r="Q69" s="30"/>
      <c r="R69" s="36"/>
      <c r="S69" s="26"/>
      <c r="T69" s="29"/>
      <c r="U69" s="24"/>
    </row>
    <row r="70" spans="15:22" x14ac:dyDescent="0.2">
      <c r="O70" s="1">
        <v>19</v>
      </c>
      <c r="P70" s="29"/>
      <c r="Q70" s="30"/>
      <c r="R70" s="36"/>
      <c r="S70" s="39"/>
      <c r="T70" s="29"/>
      <c r="U70" s="25"/>
    </row>
    <row r="71" spans="15:22" x14ac:dyDescent="0.2">
      <c r="O71" s="1">
        <v>20</v>
      </c>
      <c r="P71" s="29"/>
      <c r="Q71" s="30"/>
      <c r="R71" s="36"/>
      <c r="S71" s="39"/>
      <c r="T71" s="29"/>
      <c r="U71" s="25"/>
    </row>
    <row r="72" spans="15:22" x14ac:dyDescent="0.2">
      <c r="O72" s="28">
        <v>21</v>
      </c>
      <c r="P72" s="29"/>
      <c r="Q72" s="30"/>
      <c r="R72" s="36"/>
      <c r="S72" s="26"/>
      <c r="T72" s="29"/>
      <c r="U72" s="25"/>
    </row>
    <row r="73" spans="15:22" x14ac:dyDescent="0.2">
      <c r="O73" s="27">
        <v>22</v>
      </c>
      <c r="P73" s="29"/>
      <c r="Q73" s="30"/>
      <c r="R73" s="36"/>
      <c r="S73" s="26"/>
      <c r="T73" s="29"/>
      <c r="U73" s="25"/>
    </row>
  </sheetData>
  <mergeCells count="19"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  <mergeCell ref="O1:X1"/>
    <mergeCell ref="AA1:AJ1"/>
    <mergeCell ref="AM1:AV1"/>
    <mergeCell ref="B2:K2"/>
    <mergeCell ref="O2:X2"/>
    <mergeCell ref="AA2:AJ2"/>
    <mergeCell ref="AM2:AV2"/>
  </mergeCells>
  <pageMargins left="0.12" right="0.12" top="0.75" bottom="0.75" header="0.3" footer="0.3"/>
  <pageSetup paperSize="5" scale="69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4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9A27-C18E-4ABB-9C0F-DD17BCEEE0B5}">
  <sheetPr>
    <tabColor theme="7" tint="0.39997558519241921"/>
  </sheetPr>
  <dimension ref="A1:AV73"/>
  <sheetViews>
    <sheetView showGridLines="0" view="pageBreakPreview" topLeftCell="AS1" zoomScale="70" zoomScaleNormal="55" zoomScaleSheetLayoutView="70" workbookViewId="0">
      <selection activeCell="AN7" sqref="AN7:AS26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2" x14ac:dyDescent="0.25">
      <c r="B1" s="59"/>
      <c r="C1" s="59"/>
      <c r="D1" s="59"/>
      <c r="E1" s="59"/>
      <c r="F1" s="59"/>
      <c r="G1" s="59"/>
      <c r="H1" s="59"/>
      <c r="I1" s="59"/>
      <c r="J1" s="59" t="s">
        <v>625</v>
      </c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COUNTIF(Table13245678910111321252934394449546149141924293336424753919786104110116122127131136141914241930364248546066727782879297102107112117122[Retase],"&gt;3")</f>
        <v>4</v>
      </c>
      <c r="D3" t="s">
        <v>241</v>
      </c>
      <c r="O3" s="60">
        <f>COUNTIF(Table134567891011172226303540455055625101520253034384348549298871051111171231281321371421015252031374349556167737883889398103108113118123[Retase],"&gt;3")</f>
        <v>0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COUNTIF(Table134567891011151819232731374247525927121722273228414652909680103109115121126120135140813231828344046525864707580859095100105110115120125[Retase],"&gt;4")</f>
        <v>4</v>
      </c>
      <c r="AM3" s="60">
        <f>COUNTIF(Table134567891011151819232731374247525927121722273228414652909680103109115121126120135140813231829354147535965717681869196101106111116121[Retase],"&gt;3")</f>
        <v>5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45436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45436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45436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45436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3" t="s">
        <v>118</v>
      </c>
      <c r="D7" s="21">
        <v>0.27638888888888885</v>
      </c>
      <c r="E7" s="21">
        <v>0.41875000000000001</v>
      </c>
      <c r="F7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0.14236111111111116</v>
      </c>
      <c r="G7" s="20">
        <v>1</v>
      </c>
      <c r="H7" s="65" t="s">
        <v>832</v>
      </c>
      <c r="J7" s="4" t="s">
        <v>10</v>
      </c>
      <c r="K7" s="6">
        <v>23</v>
      </c>
      <c r="L7" s="19"/>
      <c r="N7" s="56"/>
      <c r="O7" s="15">
        <v>1</v>
      </c>
      <c r="P7" s="23" t="s">
        <v>38</v>
      </c>
      <c r="Q7" s="40">
        <v>0.28819444444444448</v>
      </c>
      <c r="R7" s="40">
        <v>0.47916666666666669</v>
      </c>
      <c r="S7" s="38">
        <f>Table134567891011172226303540455055625101520253034384348549298871051111171231281321371421015252031374349556167737883889398103108113118123[[#This Row],[JAM MASUK]]-Table134567891011172226303540455055625101520253034384348549298871051111171231281321371421015252031374349556167737883889398103108113118123[[#This Row],[JAM KELUAR]]</f>
        <v>0.19097222222222221</v>
      </c>
      <c r="T7" s="23">
        <v>1</v>
      </c>
      <c r="U7" s="24" t="s">
        <v>821</v>
      </c>
      <c r="W7" s="4" t="s">
        <v>10</v>
      </c>
      <c r="X7" s="6">
        <v>8</v>
      </c>
      <c r="AA7" s="15">
        <v>1</v>
      </c>
      <c r="AB7" s="23" t="s">
        <v>34</v>
      </c>
      <c r="AC7" s="21">
        <v>0.25972222222222224</v>
      </c>
      <c r="AD7" s="21">
        <v>0.4069444444444445</v>
      </c>
      <c r="AE7" s="37">
        <f t="shared" ref="AE7:AE29" si="0">AD7-AC7</f>
        <v>0.14722222222222225</v>
      </c>
      <c r="AF7" s="20">
        <v>1</v>
      </c>
      <c r="AG7" s="16" t="s">
        <v>810</v>
      </c>
      <c r="AI7" s="4" t="s">
        <v>10</v>
      </c>
      <c r="AJ7" s="6">
        <v>33</v>
      </c>
      <c r="AL7" s="56"/>
      <c r="AM7" s="15">
        <v>1</v>
      </c>
      <c r="AN7" s="20" t="s">
        <v>237</v>
      </c>
      <c r="AO7" s="21">
        <v>0.3</v>
      </c>
      <c r="AP7" s="21">
        <v>0.43472222222222223</v>
      </c>
      <c r="AQ7" s="38">
        <f t="shared" ref="AQ7:AQ26" si="1">AP7-AO7</f>
        <v>0.13472222222222224</v>
      </c>
      <c r="AR7" s="20">
        <v>1</v>
      </c>
      <c r="AS7" s="16" t="s">
        <v>801</v>
      </c>
      <c r="AU7" s="4" t="s">
        <v>10</v>
      </c>
      <c r="AV7" s="6">
        <v>20</v>
      </c>
    </row>
    <row r="8" spans="1:48" s="1" customFormat="1" x14ac:dyDescent="0.2">
      <c r="A8" s="56"/>
      <c r="B8" s="50">
        <v>2</v>
      </c>
      <c r="C8" s="33" t="s">
        <v>12</v>
      </c>
      <c r="D8" s="32">
        <v>0.34166666666666662</v>
      </c>
      <c r="E8" s="32">
        <v>0.7090277777777777</v>
      </c>
      <c r="F8" s="51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0.36736111111111108</v>
      </c>
      <c r="G8" s="31">
        <v>1</v>
      </c>
      <c r="H8" s="73" t="s">
        <v>836</v>
      </c>
      <c r="J8" s="4" t="s">
        <v>9</v>
      </c>
      <c r="K8" s="7">
        <v>22</v>
      </c>
      <c r="L8" s="19"/>
      <c r="O8" s="15">
        <v>2</v>
      </c>
      <c r="P8" s="23" t="s">
        <v>39</v>
      </c>
      <c r="Q8" s="40">
        <v>0.28888888888888892</v>
      </c>
      <c r="R8" s="40">
        <v>0.54513888888888895</v>
      </c>
      <c r="S8" s="38">
        <f>Table134567891011172226303540455055625101520253034384348549298871051111171231281321371421015252031374349556167737883889398103108113118123[[#This Row],[JAM MASUK]]-Table134567891011172226303540455055625101520253034384348549298871051111171231281321371421015252031374349556167737883889398103108113118123[[#This Row],[JAM KELUAR]]</f>
        <v>0.25625000000000003</v>
      </c>
      <c r="T8" s="23">
        <v>1</v>
      </c>
      <c r="U8" s="24" t="s">
        <v>822</v>
      </c>
      <c r="W8" s="4" t="s">
        <v>9</v>
      </c>
      <c r="X8" s="7">
        <v>6</v>
      </c>
      <c r="Z8" s="56"/>
      <c r="AA8" s="15">
        <v>2</v>
      </c>
      <c r="AB8" s="23" t="s">
        <v>32</v>
      </c>
      <c r="AC8" s="40">
        <v>0.27430555555555552</v>
      </c>
      <c r="AD8" s="40">
        <v>0.64652777777777781</v>
      </c>
      <c r="AE8" s="38">
        <f t="shared" si="0"/>
        <v>0.37222222222222229</v>
      </c>
      <c r="AF8" s="20">
        <v>2</v>
      </c>
      <c r="AG8" s="16" t="s">
        <v>811</v>
      </c>
      <c r="AI8" s="4" t="s">
        <v>9</v>
      </c>
      <c r="AJ8" s="6">
        <v>23</v>
      </c>
      <c r="AM8" s="50">
        <v>2</v>
      </c>
      <c r="AN8" s="31" t="s">
        <v>698</v>
      </c>
      <c r="AO8" s="32">
        <v>0.35972222222222222</v>
      </c>
      <c r="AP8" s="32">
        <v>0.4861111111111111</v>
      </c>
      <c r="AQ8" s="51">
        <f t="shared" si="1"/>
        <v>0.12638888888888888</v>
      </c>
      <c r="AR8" s="31">
        <v>1</v>
      </c>
      <c r="AS8" s="55" t="s">
        <v>802</v>
      </c>
      <c r="AU8" s="4" t="s">
        <v>9</v>
      </c>
      <c r="AV8" s="6">
        <v>20</v>
      </c>
    </row>
    <row r="9" spans="1:48" s="1" customFormat="1" x14ac:dyDescent="0.2">
      <c r="A9" s="56"/>
      <c r="B9" s="15">
        <v>3</v>
      </c>
      <c r="C9" s="23" t="s">
        <v>13</v>
      </c>
      <c r="D9" s="21">
        <v>0.27083333333333331</v>
      </c>
      <c r="E9" s="21">
        <v>0.41180555555555554</v>
      </c>
      <c r="F9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0.14097222222222222</v>
      </c>
      <c r="G9" s="20">
        <v>1</v>
      </c>
      <c r="H9" s="67" t="s">
        <v>825</v>
      </c>
      <c r="J9" s="4" t="s">
        <v>4</v>
      </c>
      <c r="K9" s="7">
        <v>0</v>
      </c>
      <c r="L9" s="19"/>
      <c r="N9" s="56"/>
      <c r="O9" s="15">
        <v>3</v>
      </c>
      <c r="P9" s="23" t="s">
        <v>36</v>
      </c>
      <c r="Q9" s="40">
        <v>0.28819444444444448</v>
      </c>
      <c r="R9" s="40">
        <v>0.62083333333333335</v>
      </c>
      <c r="S9" s="38">
        <f>Table134567891011172226303540455055625101520253034384348549298871051111171231281321371421015252031374349556167737883889398103108113118123[[#This Row],[JAM MASUK]]-Table134567891011172226303540455055625101520253034384348549298871051111171231281321371421015252031374349556167737883889398103108113118123[[#This Row],[JAM KELUAR]]</f>
        <v>0.33263888888888887</v>
      </c>
      <c r="T9" s="23">
        <v>2</v>
      </c>
      <c r="U9" s="24" t="s">
        <v>823</v>
      </c>
      <c r="W9" s="4" t="s">
        <v>4</v>
      </c>
      <c r="X9" s="7">
        <v>0</v>
      </c>
      <c r="Z9" s="56"/>
      <c r="AA9" s="15">
        <v>3</v>
      </c>
      <c r="AB9" s="23" t="s">
        <v>67</v>
      </c>
      <c r="AC9" s="40">
        <v>0.23958333333333334</v>
      </c>
      <c r="AD9" s="40">
        <v>0.44166666666666665</v>
      </c>
      <c r="AE9" s="38">
        <f t="shared" si="0"/>
        <v>0.20208333333333331</v>
      </c>
      <c r="AF9" s="20">
        <v>2</v>
      </c>
      <c r="AG9" s="16" t="s">
        <v>812</v>
      </c>
      <c r="AI9" s="4" t="s">
        <v>4</v>
      </c>
      <c r="AJ9" s="7">
        <v>1</v>
      </c>
      <c r="AM9" s="15">
        <v>3</v>
      </c>
      <c r="AN9" s="20" t="s">
        <v>476</v>
      </c>
      <c r="AO9" s="21">
        <v>0.26458333333333334</v>
      </c>
      <c r="AP9" s="21">
        <v>0.68055555555555547</v>
      </c>
      <c r="AQ9" s="38">
        <f t="shared" si="1"/>
        <v>0.41597222222222213</v>
      </c>
      <c r="AR9" s="20">
        <v>1</v>
      </c>
      <c r="AS9" s="16" t="s">
        <v>803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3" t="s">
        <v>120</v>
      </c>
      <c r="D10" s="21">
        <v>0.23680555555555557</v>
      </c>
      <c r="E10" s="21">
        <v>0.3576388888888889</v>
      </c>
      <c r="F10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0.12083333333333332</v>
      </c>
      <c r="G10" s="20">
        <v>1</v>
      </c>
      <c r="H10" s="67" t="s">
        <v>826</v>
      </c>
      <c r="J10" s="4" t="s">
        <v>5</v>
      </c>
      <c r="K10" s="7">
        <v>1</v>
      </c>
      <c r="L10" s="19"/>
      <c r="N10" s="56"/>
      <c r="O10" s="15">
        <v>4</v>
      </c>
      <c r="P10" s="23" t="s">
        <v>37</v>
      </c>
      <c r="Q10" s="40">
        <v>0.26458333333333334</v>
      </c>
      <c r="R10" s="40">
        <v>0.6694444444444444</v>
      </c>
      <c r="S10" s="38">
        <f>Table134567891011172226303540455055625101520253034384348549298871051111171231281321371421015252031374349556167737883889398103108113118123[[#This Row],[JAM MASUK]]-Table134567891011172226303540455055625101520253034384348549298871051111171231281321371421015252031374349556167737883889398103108113118123[[#This Row],[JAM KELUAR]]</f>
        <v>0.40486111111111106</v>
      </c>
      <c r="T10" s="23">
        <v>2</v>
      </c>
      <c r="U10" s="16" t="s">
        <v>824</v>
      </c>
      <c r="W10" s="4" t="s">
        <v>5</v>
      </c>
      <c r="X10" s="7">
        <v>2</v>
      </c>
      <c r="Z10" s="56"/>
      <c r="AA10" s="15">
        <v>4</v>
      </c>
      <c r="AB10" s="23" t="s">
        <v>47</v>
      </c>
      <c r="AC10" s="40">
        <v>0.26041666666666669</v>
      </c>
      <c r="AD10" s="40">
        <v>0.53333333333333333</v>
      </c>
      <c r="AE10" s="38">
        <f t="shared" si="0"/>
        <v>0.27291666666666664</v>
      </c>
      <c r="AF10" s="20">
        <v>2</v>
      </c>
      <c r="AG10" s="16" t="s">
        <v>813</v>
      </c>
      <c r="AI10" s="4" t="s">
        <v>5</v>
      </c>
      <c r="AJ10" s="7">
        <v>9</v>
      </c>
      <c r="AL10" s="54"/>
      <c r="AM10" s="15">
        <v>4</v>
      </c>
      <c r="AN10" s="20" t="s">
        <v>233</v>
      </c>
      <c r="AO10" s="21">
        <v>0.23055555555555554</v>
      </c>
      <c r="AP10" s="21">
        <v>0.66666666666666663</v>
      </c>
      <c r="AQ10" s="38">
        <f t="shared" si="1"/>
        <v>0.43611111111111112</v>
      </c>
      <c r="AR10" s="20">
        <v>2</v>
      </c>
      <c r="AS10" s="16" t="s">
        <v>804</v>
      </c>
      <c r="AU10" s="4" t="s">
        <v>5</v>
      </c>
      <c r="AV10" s="7">
        <v>0</v>
      </c>
    </row>
    <row r="11" spans="1:48" s="1" customFormat="1" x14ac:dyDescent="0.2">
      <c r="A11" s="56"/>
      <c r="B11" s="15">
        <v>5</v>
      </c>
      <c r="C11" s="23" t="s">
        <v>20</v>
      </c>
      <c r="D11" s="21">
        <v>0.24374999999999999</v>
      </c>
      <c r="E11" s="21">
        <v>0.64444444444444449</v>
      </c>
      <c r="F11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0.40069444444444446</v>
      </c>
      <c r="G11" s="20">
        <v>2</v>
      </c>
      <c r="H11" s="67" t="s">
        <v>827</v>
      </c>
      <c r="J11" s="4" t="s">
        <v>6</v>
      </c>
      <c r="K11" s="7">
        <v>0</v>
      </c>
      <c r="N11" s="56"/>
      <c r="O11" s="15">
        <v>5</v>
      </c>
      <c r="P11" s="23" t="s">
        <v>201</v>
      </c>
      <c r="Q11" s="40">
        <v>0.2902777777777778</v>
      </c>
      <c r="R11" s="40">
        <v>0.67013888888888884</v>
      </c>
      <c r="S11" s="38">
        <f>Table134567891011172226303540455055625101520253034384348549298871051111171231281321371421015252031374349556167737883889398103108113118123[[#This Row],[JAM MASUK]]-Table134567891011172226303540455055625101520253034384348549298871051111171231281321371421015252031374349556167737883889398103108113118123[[#This Row],[JAM KELUAR]]</f>
        <v>0.37986111111111104</v>
      </c>
      <c r="T11" s="23">
        <v>2</v>
      </c>
      <c r="U11" s="24" t="s">
        <v>373</v>
      </c>
      <c r="W11" s="4" t="s">
        <v>33</v>
      </c>
      <c r="X11" s="7">
        <v>0</v>
      </c>
      <c r="Z11" s="56"/>
      <c r="AA11" s="15">
        <v>5</v>
      </c>
      <c r="AB11" s="23" t="s">
        <v>60</v>
      </c>
      <c r="AC11" s="40">
        <v>0.23124999999999998</v>
      </c>
      <c r="AD11" s="40">
        <v>0.5444444444444444</v>
      </c>
      <c r="AE11" s="38">
        <f t="shared" si="0"/>
        <v>0.31319444444444444</v>
      </c>
      <c r="AF11" s="20">
        <v>2</v>
      </c>
      <c r="AG11" s="16" t="s">
        <v>814</v>
      </c>
      <c r="AI11" s="4" t="s">
        <v>6</v>
      </c>
      <c r="AJ11" s="7">
        <v>0</v>
      </c>
      <c r="AM11" s="15">
        <v>5</v>
      </c>
      <c r="AN11" s="20" t="s">
        <v>274</v>
      </c>
      <c r="AO11" s="21">
        <v>0.22638888888888889</v>
      </c>
      <c r="AP11" s="21">
        <v>0.59166666666666667</v>
      </c>
      <c r="AQ11" s="38">
        <f t="shared" si="1"/>
        <v>0.36527777777777781</v>
      </c>
      <c r="AR11" s="20">
        <v>2</v>
      </c>
      <c r="AS11" s="16" t="s">
        <v>805</v>
      </c>
      <c r="AU11" s="4" t="s">
        <v>6</v>
      </c>
      <c r="AV11" s="7">
        <v>19</v>
      </c>
    </row>
    <row r="12" spans="1:48" s="1" customFormat="1" x14ac:dyDescent="0.2">
      <c r="A12" s="56"/>
      <c r="B12" s="15">
        <v>6</v>
      </c>
      <c r="C12" s="23" t="s">
        <v>68</v>
      </c>
      <c r="D12" s="21">
        <v>0.24722222222222223</v>
      </c>
      <c r="E12" s="21">
        <v>0.56527777777777777</v>
      </c>
      <c r="F12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0.31805555555555554</v>
      </c>
      <c r="G12" s="20">
        <v>2</v>
      </c>
      <c r="H12" s="67" t="s">
        <v>828</v>
      </c>
      <c r="J12" s="8" t="s">
        <v>8</v>
      </c>
      <c r="K12" s="9">
        <f>SUM(Table13245678910111321252934394449546149141924293336424753919786104110116122127131136141914241930364248546066727782879297102107112117122[Retase])</f>
        <v>58</v>
      </c>
      <c r="L12" s="19"/>
      <c r="N12" s="54"/>
      <c r="O12" s="15">
        <v>6</v>
      </c>
      <c r="P12" s="23" t="s">
        <v>83</v>
      </c>
      <c r="Q12" s="40">
        <v>0.28194444444444444</v>
      </c>
      <c r="R12" s="40">
        <v>0.68263888888888891</v>
      </c>
      <c r="S12" s="38">
        <f>Table134567891011172226303540455055625101520253034384348549298871051111171231281321371421015252031374349556167737883889398103108113118123[[#This Row],[JAM MASUK]]-Table134567891011172226303540455055625101520253034384348549298871051111171231281321371421015252031374349556167737883889398103108113118123[[#This Row],[JAM KELUAR]]</f>
        <v>0.40069444444444446</v>
      </c>
      <c r="T12" s="23">
        <v>3</v>
      </c>
      <c r="U12" s="24" t="s">
        <v>373</v>
      </c>
      <c r="W12" s="8" t="s">
        <v>8</v>
      </c>
      <c r="X12" s="9">
        <f>SUM(Table134567891011172226303540455055625101520253034384348549298871051111171231281321371421015252031374349556167737883889398103108113118123[Retase])</f>
        <v>11</v>
      </c>
      <c r="AA12" s="15">
        <v>6</v>
      </c>
      <c r="AB12" s="23" t="s">
        <v>77</v>
      </c>
      <c r="AC12" s="40">
        <v>0.28472222222222221</v>
      </c>
      <c r="AD12" s="40">
        <v>0.71875</v>
      </c>
      <c r="AE12" s="38">
        <f t="shared" si="0"/>
        <v>0.43402777777777779</v>
      </c>
      <c r="AF12" s="20">
        <v>3</v>
      </c>
      <c r="AG12" s="16" t="s">
        <v>815</v>
      </c>
      <c r="AI12" s="8" t="s">
        <v>8</v>
      </c>
      <c r="AJ12" s="9">
        <f>SUM(Table134567891011151819232731374247525927121722273228414652909680103109115121126120135140813231828344046525864707580859095100105110115120125[Retase])</f>
        <v>81</v>
      </c>
      <c r="AM12" s="15">
        <v>6</v>
      </c>
      <c r="AN12" s="20" t="s">
        <v>280</v>
      </c>
      <c r="AO12" s="21">
        <v>0.24374999999999999</v>
      </c>
      <c r="AP12" s="21">
        <v>0.6479166666666667</v>
      </c>
      <c r="AQ12" s="38">
        <f t="shared" si="1"/>
        <v>0.40416666666666667</v>
      </c>
      <c r="AR12" s="20">
        <v>2</v>
      </c>
      <c r="AS12" s="16" t="s">
        <v>831</v>
      </c>
      <c r="AU12" s="8" t="s">
        <v>8</v>
      </c>
      <c r="AV12" s="9">
        <f>SUM(Table134567891011151819232731374247525927121722273228414652909680103109115121126120135140813231829354147535965717681869196101106111116121[Retase])</f>
        <v>53</v>
      </c>
    </row>
    <row r="13" spans="1:48" s="1" customFormat="1" x14ac:dyDescent="0.2">
      <c r="A13"/>
      <c r="B13" s="15">
        <v>7</v>
      </c>
      <c r="C13" s="23" t="s">
        <v>16</v>
      </c>
      <c r="D13" s="21">
        <v>0.25347222222222221</v>
      </c>
      <c r="E13" s="21">
        <v>0.62291666666666667</v>
      </c>
      <c r="F13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0.36944444444444446</v>
      </c>
      <c r="G13" s="20">
        <v>2</v>
      </c>
      <c r="H13" s="65" t="s">
        <v>829</v>
      </c>
      <c r="J13" s="10" t="s">
        <v>7</v>
      </c>
      <c r="K13" s="11">
        <f>K12/K8</f>
        <v>2.6363636363636362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1.8333333333333333</v>
      </c>
      <c r="Z13" s="56"/>
      <c r="AA13" s="15">
        <v>7</v>
      </c>
      <c r="AB13" s="23" t="s">
        <v>122</v>
      </c>
      <c r="AC13" s="40">
        <v>0.26527777777777778</v>
      </c>
      <c r="AD13" s="40">
        <v>0.68194444444444446</v>
      </c>
      <c r="AE13" s="38">
        <f t="shared" si="0"/>
        <v>0.41666666666666669</v>
      </c>
      <c r="AF13" s="20">
        <v>3</v>
      </c>
      <c r="AG13" s="16" t="s">
        <v>373</v>
      </c>
      <c r="AI13" s="10" t="s">
        <v>7</v>
      </c>
      <c r="AJ13" s="11">
        <f>AJ12/AJ8</f>
        <v>3.5217391304347827</v>
      </c>
      <c r="AM13" s="15">
        <v>7</v>
      </c>
      <c r="AN13" s="20" t="s">
        <v>303</v>
      </c>
      <c r="AO13" s="21">
        <v>0.26111111111111113</v>
      </c>
      <c r="AP13" s="21">
        <v>0.5444444444444444</v>
      </c>
      <c r="AQ13" s="38">
        <f t="shared" si="1"/>
        <v>0.28333333333333327</v>
      </c>
      <c r="AR13" s="20">
        <v>2</v>
      </c>
      <c r="AS13" s="16" t="s">
        <v>445</v>
      </c>
      <c r="AU13" s="10" t="s">
        <v>7</v>
      </c>
      <c r="AV13" s="11">
        <f>AV12/AV8</f>
        <v>2.65</v>
      </c>
    </row>
    <row r="14" spans="1:48" s="1" customFormat="1" x14ac:dyDescent="0.2">
      <c r="A14"/>
      <c r="B14" s="50">
        <v>8</v>
      </c>
      <c r="C14" s="33" t="s">
        <v>121</v>
      </c>
      <c r="D14" s="32">
        <v>0.33680555555555558</v>
      </c>
      <c r="E14" s="32">
        <v>0.66249999999999998</v>
      </c>
      <c r="F14" s="51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0.3256944444444444</v>
      </c>
      <c r="G14" s="31">
        <v>2</v>
      </c>
      <c r="H14" s="73" t="s">
        <v>830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50">
        <v>8</v>
      </c>
      <c r="AB14" s="33" t="s">
        <v>56</v>
      </c>
      <c r="AC14" s="44">
        <v>0.30833333333333335</v>
      </c>
      <c r="AD14" s="44">
        <v>0.62569444444444444</v>
      </c>
      <c r="AE14" s="51">
        <f t="shared" si="0"/>
        <v>0.31736111111111109</v>
      </c>
      <c r="AF14" s="31">
        <v>3</v>
      </c>
      <c r="AG14" s="55" t="s">
        <v>373</v>
      </c>
      <c r="AI14" s="12" t="s">
        <v>11</v>
      </c>
      <c r="AJ14" s="13">
        <v>5</v>
      </c>
      <c r="AM14" s="15">
        <v>8</v>
      </c>
      <c r="AN14" s="20" t="s">
        <v>304</v>
      </c>
      <c r="AO14" s="21">
        <v>0.2722222222222222</v>
      </c>
      <c r="AP14" s="21">
        <v>0.68541666666666667</v>
      </c>
      <c r="AQ14" s="38">
        <f t="shared" si="1"/>
        <v>0.41319444444444448</v>
      </c>
      <c r="AR14" s="20">
        <v>2</v>
      </c>
      <c r="AS14" s="16" t="s">
        <v>195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3" t="s">
        <v>65</v>
      </c>
      <c r="D15" s="21">
        <v>0.27916666666666667</v>
      </c>
      <c r="E15" s="21">
        <v>0.69236111111111109</v>
      </c>
      <c r="F15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0.41319444444444442</v>
      </c>
      <c r="G15" s="20">
        <v>3</v>
      </c>
      <c r="H15" s="16" t="s">
        <v>594</v>
      </c>
      <c r="J15" s="12" t="s">
        <v>88</v>
      </c>
      <c r="K15" s="14">
        <f>B3/K8</f>
        <v>0.18181818181818182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</v>
      </c>
      <c r="Z15" s="56"/>
      <c r="AA15" s="15">
        <v>9</v>
      </c>
      <c r="AB15" s="23" t="s">
        <v>51</v>
      </c>
      <c r="AC15" s="40">
        <v>0.27013888888888887</v>
      </c>
      <c r="AD15" s="40">
        <v>0.67499999999999993</v>
      </c>
      <c r="AE15" s="38">
        <f t="shared" si="0"/>
        <v>0.40486111111111106</v>
      </c>
      <c r="AF15" s="20">
        <v>3</v>
      </c>
      <c r="AG15" s="16" t="s">
        <v>816</v>
      </c>
      <c r="AI15" s="12" t="s">
        <v>88</v>
      </c>
      <c r="AJ15" s="14">
        <f>AA3/AJ8</f>
        <v>0.17391304347826086</v>
      </c>
      <c r="AM15" s="15">
        <v>9</v>
      </c>
      <c r="AN15" s="20" t="s">
        <v>475</v>
      </c>
      <c r="AO15" s="21">
        <v>0.22708333333333333</v>
      </c>
      <c r="AP15" s="21">
        <v>0.53333333333333333</v>
      </c>
      <c r="AQ15" s="38">
        <f t="shared" si="1"/>
        <v>0.30625000000000002</v>
      </c>
      <c r="AR15" s="20">
        <v>2</v>
      </c>
      <c r="AS15" s="16" t="s">
        <v>806</v>
      </c>
      <c r="AU15" s="12" t="s">
        <v>88</v>
      </c>
      <c r="AV15" s="14">
        <f>AM3/AV8</f>
        <v>0.25</v>
      </c>
    </row>
    <row r="16" spans="1:48" x14ac:dyDescent="0.2">
      <c r="B16" s="15">
        <v>10</v>
      </c>
      <c r="C16" s="23" t="s">
        <v>119</v>
      </c>
      <c r="D16" s="21">
        <v>0.26874999999999999</v>
      </c>
      <c r="E16" s="21">
        <v>0.64166666666666672</v>
      </c>
      <c r="F16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0.37291666666666673</v>
      </c>
      <c r="G16" s="20">
        <v>3</v>
      </c>
      <c r="H16" s="67" t="s">
        <v>833</v>
      </c>
      <c r="J16" s="12" t="s">
        <v>24</v>
      </c>
      <c r="K16" s="14">
        <f>K8/K7</f>
        <v>0.95652173913043481</v>
      </c>
      <c r="W16" s="12" t="s">
        <v>27</v>
      </c>
      <c r="X16" s="14">
        <f>X8/X7</f>
        <v>0.75</v>
      </c>
      <c r="AA16" s="15">
        <v>10</v>
      </c>
      <c r="AB16" s="23" t="s">
        <v>57</v>
      </c>
      <c r="AC16" s="40">
        <v>0.28333333333333333</v>
      </c>
      <c r="AD16" s="40">
        <v>0.70347222222222217</v>
      </c>
      <c r="AE16" s="38">
        <f t="shared" si="0"/>
        <v>0.42013888888888884</v>
      </c>
      <c r="AF16" s="20">
        <v>4</v>
      </c>
      <c r="AG16" s="16" t="s">
        <v>373</v>
      </c>
      <c r="AI16" s="12" t="s">
        <v>27</v>
      </c>
      <c r="AJ16" s="14">
        <f>AJ8/AJ7</f>
        <v>0.69696969696969702</v>
      </c>
      <c r="AM16" s="15">
        <v>10</v>
      </c>
      <c r="AN16" s="20" t="s">
        <v>278</v>
      </c>
      <c r="AO16" s="21">
        <v>0.26874999999999999</v>
      </c>
      <c r="AP16" s="21">
        <v>0.66041666666666665</v>
      </c>
      <c r="AQ16" s="38">
        <f t="shared" si="1"/>
        <v>0.39166666666666666</v>
      </c>
      <c r="AR16" s="20">
        <v>3</v>
      </c>
      <c r="AS16" s="16" t="s">
        <v>831</v>
      </c>
      <c r="AU16" s="12" t="s">
        <v>27</v>
      </c>
      <c r="AV16" s="14">
        <f>AV8/AV7</f>
        <v>1</v>
      </c>
    </row>
    <row r="17" spans="1:48" x14ac:dyDescent="0.2">
      <c r="B17" s="15">
        <v>11</v>
      </c>
      <c r="C17" s="23" t="s">
        <v>14</v>
      </c>
      <c r="D17" s="21">
        <v>0.26874999999999999</v>
      </c>
      <c r="E17" s="21">
        <v>0.66111111111111109</v>
      </c>
      <c r="F17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0.3923611111111111</v>
      </c>
      <c r="G17" s="20">
        <v>3</v>
      </c>
      <c r="H17" s="67" t="s">
        <v>373</v>
      </c>
      <c r="J17" s="12" t="s">
        <v>117</v>
      </c>
      <c r="K17" s="48">
        <f>AVERAGE(Table13245678910111321252934394449546149141924293336424753919786104110116122127131136141914241930364248546066727782879297102107112117122[JAM KELUAR])</f>
        <v>0.25779671717171715</v>
      </c>
      <c r="T17" s="34"/>
      <c r="U17" s="35" t="s">
        <v>90</v>
      </c>
      <c r="W17" s="12" t="s">
        <v>117</v>
      </c>
      <c r="X17" s="48">
        <f>AVERAGE(Table134567891011172226303540455055625101520253034384348549298871051111171231281321371421015252031374349556167737883889398103108113118123[JAM KELUAR])</f>
        <v>0.28368055555555555</v>
      </c>
      <c r="Z17" s="56"/>
      <c r="AA17" s="15">
        <v>11</v>
      </c>
      <c r="AB17" s="23" t="s">
        <v>58</v>
      </c>
      <c r="AC17" s="40">
        <v>0.26805555555555555</v>
      </c>
      <c r="AD17" s="40">
        <v>0.70138888888888884</v>
      </c>
      <c r="AE17" s="38">
        <f t="shared" si="0"/>
        <v>0.43333333333333329</v>
      </c>
      <c r="AF17" s="20">
        <v>4</v>
      </c>
      <c r="AG17" s="16" t="s">
        <v>373</v>
      </c>
      <c r="AI17" s="12" t="s">
        <v>117</v>
      </c>
      <c r="AJ17" s="48">
        <f>AVERAGE(Table134567891011151819232731374247525927121722273228414652909680103109115121126120135140813231828344046525864707580859095100105110115120125[JAM KELUAR])</f>
        <v>0.26141304347826094</v>
      </c>
      <c r="AM17" s="15">
        <v>11</v>
      </c>
      <c r="AN17" s="20" t="s">
        <v>235</v>
      </c>
      <c r="AO17" s="21">
        <v>0.26666666666666666</v>
      </c>
      <c r="AP17" s="21">
        <v>0.74652777777777779</v>
      </c>
      <c r="AQ17" s="38">
        <f t="shared" si="1"/>
        <v>0.47986111111111113</v>
      </c>
      <c r="AR17" s="20">
        <v>3</v>
      </c>
      <c r="AS17" s="16" t="s">
        <v>831</v>
      </c>
      <c r="AU17" s="12" t="s">
        <v>117</v>
      </c>
      <c r="AV17" s="48">
        <f>AVERAGE(Table134567891011151819232731374247525927121722273228414652909680103109115121126120135140813231829354147535965717681869196101106111116121[JAM KELUAR])</f>
        <v>0.25749999999999995</v>
      </c>
    </row>
    <row r="18" spans="1:48" x14ac:dyDescent="0.2">
      <c r="B18" s="15">
        <v>12</v>
      </c>
      <c r="C18" s="23" t="s">
        <v>70</v>
      </c>
      <c r="D18" s="21">
        <v>0.24791666666666667</v>
      </c>
      <c r="E18" s="21">
        <v>0.62708333333333333</v>
      </c>
      <c r="F18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0.37916666666666665</v>
      </c>
      <c r="G18" s="20">
        <v>3</v>
      </c>
      <c r="H18" s="67" t="s">
        <v>834</v>
      </c>
      <c r="T18" s="56" t="s">
        <v>209</v>
      </c>
      <c r="U18" s="35" t="s">
        <v>92</v>
      </c>
      <c r="AA18" s="15">
        <v>12</v>
      </c>
      <c r="AB18" s="23" t="s">
        <v>40</v>
      </c>
      <c r="AC18" s="40">
        <v>0.23124999999999998</v>
      </c>
      <c r="AD18" s="40">
        <v>0.66736111111111107</v>
      </c>
      <c r="AE18" s="38">
        <f t="shared" si="0"/>
        <v>0.43611111111111112</v>
      </c>
      <c r="AF18" s="20">
        <v>4</v>
      </c>
      <c r="AG18" s="16" t="s">
        <v>373</v>
      </c>
      <c r="AI18" s="17"/>
      <c r="AM18" s="15">
        <v>12</v>
      </c>
      <c r="AN18" s="20" t="s">
        <v>271</v>
      </c>
      <c r="AO18" s="21">
        <v>0.26180555555555557</v>
      </c>
      <c r="AP18" s="21">
        <v>0.72569444444444453</v>
      </c>
      <c r="AQ18" s="38">
        <f t="shared" si="1"/>
        <v>0.46388888888888896</v>
      </c>
      <c r="AR18" s="20">
        <v>3</v>
      </c>
      <c r="AS18" s="16" t="s">
        <v>373</v>
      </c>
      <c r="AU18" s="17"/>
    </row>
    <row r="19" spans="1:48" ht="15.75" customHeight="1" x14ac:dyDescent="0.2">
      <c r="A19" s="56"/>
      <c r="B19" s="15">
        <v>13</v>
      </c>
      <c r="C19" s="23" t="s">
        <v>73</v>
      </c>
      <c r="D19" s="21">
        <v>0.23402777777777781</v>
      </c>
      <c r="E19" s="21">
        <v>0.69097222222222221</v>
      </c>
      <c r="F19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0.45694444444444438</v>
      </c>
      <c r="G19" s="20">
        <v>3</v>
      </c>
      <c r="H19" s="65" t="s">
        <v>835</v>
      </c>
      <c r="Z19" s="56"/>
      <c r="AA19" s="15">
        <v>13</v>
      </c>
      <c r="AB19" s="23" t="s">
        <v>35</v>
      </c>
      <c r="AC19" s="40">
        <v>0.24652777777777779</v>
      </c>
      <c r="AD19" s="40">
        <v>0.72638888888888886</v>
      </c>
      <c r="AE19" s="38">
        <f t="shared" si="0"/>
        <v>0.47986111111111107</v>
      </c>
      <c r="AF19" s="20">
        <v>4</v>
      </c>
      <c r="AG19" s="16" t="s">
        <v>609</v>
      </c>
      <c r="AM19" s="15">
        <v>13</v>
      </c>
      <c r="AN19" s="20" t="s">
        <v>273</v>
      </c>
      <c r="AO19" s="21">
        <v>0.25347222222222221</v>
      </c>
      <c r="AP19" s="21">
        <v>0.64236111111111105</v>
      </c>
      <c r="AQ19" s="38">
        <f t="shared" si="1"/>
        <v>0.38888888888888884</v>
      </c>
      <c r="AR19" s="20">
        <v>3</v>
      </c>
      <c r="AS19" s="16" t="s">
        <v>807</v>
      </c>
    </row>
    <row r="20" spans="1:48" ht="17.25" customHeight="1" x14ac:dyDescent="0.2">
      <c r="B20" s="15">
        <v>14</v>
      </c>
      <c r="C20" s="23" t="s">
        <v>69</v>
      </c>
      <c r="D20" s="21">
        <v>0.26805555555555555</v>
      </c>
      <c r="E20" s="21">
        <v>0.61875000000000002</v>
      </c>
      <c r="F20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0.35069444444444448</v>
      </c>
      <c r="G20" s="20">
        <v>3</v>
      </c>
      <c r="H20" s="67" t="s">
        <v>373</v>
      </c>
      <c r="AA20" s="50">
        <v>14</v>
      </c>
      <c r="AB20" s="33" t="s">
        <v>45</v>
      </c>
      <c r="AC20" s="44">
        <v>0.30902777777777779</v>
      </c>
      <c r="AD20" s="44">
        <v>0.72499999999999998</v>
      </c>
      <c r="AE20" s="51">
        <f t="shared" si="0"/>
        <v>0.41597222222222219</v>
      </c>
      <c r="AF20" s="31">
        <v>4</v>
      </c>
      <c r="AG20" s="55" t="s">
        <v>817</v>
      </c>
      <c r="AM20" s="15">
        <v>14</v>
      </c>
      <c r="AN20" s="20" t="s">
        <v>240</v>
      </c>
      <c r="AO20" s="21">
        <v>0.22708333333333333</v>
      </c>
      <c r="AP20" s="21">
        <v>0.66388888888888886</v>
      </c>
      <c r="AQ20" s="38">
        <f t="shared" si="1"/>
        <v>0.43680555555555556</v>
      </c>
      <c r="AR20" s="20">
        <v>3</v>
      </c>
      <c r="AS20" s="16" t="s">
        <v>808</v>
      </c>
    </row>
    <row r="21" spans="1:48" ht="15.75" customHeight="1" x14ac:dyDescent="0.2">
      <c r="A21" s="56"/>
      <c r="B21" s="15">
        <v>15</v>
      </c>
      <c r="C21" s="23" t="s">
        <v>74</v>
      </c>
      <c r="D21" s="21">
        <v>0.2590277777777778</v>
      </c>
      <c r="E21" s="21">
        <v>0.63958333333333328</v>
      </c>
      <c r="F21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0.38055555555555548</v>
      </c>
      <c r="G21" s="20">
        <v>3</v>
      </c>
      <c r="H21" s="67" t="s">
        <v>373</v>
      </c>
      <c r="AA21" s="15">
        <v>15</v>
      </c>
      <c r="AB21" s="23" t="s">
        <v>78</v>
      </c>
      <c r="AC21" s="21">
        <v>0.26944444444444443</v>
      </c>
      <c r="AD21" s="21">
        <v>0.70138888888888884</v>
      </c>
      <c r="AE21" s="38">
        <f t="shared" si="0"/>
        <v>0.43194444444444441</v>
      </c>
      <c r="AF21" s="20">
        <v>4</v>
      </c>
      <c r="AG21" s="16" t="s">
        <v>373</v>
      </c>
      <c r="AM21" s="15">
        <v>15</v>
      </c>
      <c r="AN21" s="20" t="s">
        <v>306</v>
      </c>
      <c r="AO21" s="21">
        <v>0.25416666666666665</v>
      </c>
      <c r="AP21" s="21">
        <v>0.72291666666666676</v>
      </c>
      <c r="AQ21" s="38">
        <f t="shared" si="1"/>
        <v>0.46875000000000011</v>
      </c>
      <c r="AR21" s="20">
        <v>3</v>
      </c>
      <c r="AS21" s="16" t="s">
        <v>809</v>
      </c>
    </row>
    <row r="22" spans="1:48" ht="15" customHeight="1" x14ac:dyDescent="0.2">
      <c r="B22" s="15">
        <v>16</v>
      </c>
      <c r="C22" s="23" t="s">
        <v>75</v>
      </c>
      <c r="D22" s="21">
        <v>0.2298611111111111</v>
      </c>
      <c r="E22" s="21">
        <v>0.61597222222222225</v>
      </c>
      <c r="F22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0.38611111111111118</v>
      </c>
      <c r="G22" s="20">
        <v>3</v>
      </c>
      <c r="H22" s="67" t="s">
        <v>373</v>
      </c>
      <c r="AA22" s="15">
        <v>16</v>
      </c>
      <c r="AB22" s="23" t="s">
        <v>46</v>
      </c>
      <c r="AC22" s="21">
        <v>0.26597222222222222</v>
      </c>
      <c r="AD22" s="40">
        <v>0.69930555555555562</v>
      </c>
      <c r="AE22" s="38">
        <f t="shared" si="0"/>
        <v>0.4333333333333334</v>
      </c>
      <c r="AF22" s="20">
        <v>4</v>
      </c>
      <c r="AG22" s="16" t="s">
        <v>818</v>
      </c>
      <c r="AM22" s="1">
        <v>16</v>
      </c>
      <c r="AN22" s="2" t="s">
        <v>234</v>
      </c>
      <c r="AO22" s="41">
        <v>0.26180555555555557</v>
      </c>
      <c r="AP22" s="41">
        <v>0.74444444444444446</v>
      </c>
      <c r="AQ22" s="26">
        <f t="shared" si="1"/>
        <v>0.4826388888888889</v>
      </c>
      <c r="AR22" s="2">
        <v>4</v>
      </c>
      <c r="AS22" s="45" t="s">
        <v>25</v>
      </c>
    </row>
    <row r="23" spans="1:48" ht="15" customHeight="1" x14ac:dyDescent="0.2">
      <c r="B23" s="15">
        <v>17</v>
      </c>
      <c r="C23" s="23" t="s">
        <v>18</v>
      </c>
      <c r="D23" s="21">
        <v>0.25833333333333336</v>
      </c>
      <c r="E23" s="21">
        <v>0.69930555555555562</v>
      </c>
      <c r="F23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0.44097222222222227</v>
      </c>
      <c r="G23" s="20">
        <v>3</v>
      </c>
      <c r="H23" s="67" t="s">
        <v>373</v>
      </c>
      <c r="AA23" s="15">
        <v>17</v>
      </c>
      <c r="AB23" s="23" t="s">
        <v>49</v>
      </c>
      <c r="AC23" s="40">
        <v>0.2638888888888889</v>
      </c>
      <c r="AD23" s="40">
        <v>0.70972222222222225</v>
      </c>
      <c r="AE23" s="37">
        <f t="shared" si="0"/>
        <v>0.44583333333333336</v>
      </c>
      <c r="AF23" s="20">
        <v>4</v>
      </c>
      <c r="AG23" s="16" t="s">
        <v>819</v>
      </c>
      <c r="AM23" s="1">
        <v>17</v>
      </c>
      <c r="AN23" s="2" t="s">
        <v>236</v>
      </c>
      <c r="AO23" s="41">
        <v>0.25277777777777777</v>
      </c>
      <c r="AP23" s="41">
        <v>0.74652777777777779</v>
      </c>
      <c r="AQ23" s="26">
        <f t="shared" si="1"/>
        <v>0.49375000000000002</v>
      </c>
      <c r="AR23" s="2">
        <v>4</v>
      </c>
      <c r="AS23" s="45" t="s">
        <v>25</v>
      </c>
    </row>
    <row r="24" spans="1:48" ht="15" customHeight="1" x14ac:dyDescent="0.2">
      <c r="B24" s="15">
        <v>18</v>
      </c>
      <c r="C24" s="23" t="s">
        <v>19</v>
      </c>
      <c r="D24" s="21">
        <v>0.27847222222222223</v>
      </c>
      <c r="E24" s="21">
        <v>0.68194444444444446</v>
      </c>
      <c r="F24" s="38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0.40347222222222223</v>
      </c>
      <c r="G24" s="20">
        <v>3</v>
      </c>
      <c r="H24" s="16" t="s">
        <v>373</v>
      </c>
      <c r="AA24" s="15">
        <v>18</v>
      </c>
      <c r="AB24" s="23" t="s">
        <v>80</v>
      </c>
      <c r="AC24" s="40">
        <v>0.23402777777777781</v>
      </c>
      <c r="AD24" s="40">
        <v>0.66249999999999998</v>
      </c>
      <c r="AE24" s="37">
        <f t="shared" si="0"/>
        <v>0.42847222222222214</v>
      </c>
      <c r="AF24" s="23">
        <v>4</v>
      </c>
      <c r="AG24" s="16" t="s">
        <v>820</v>
      </c>
      <c r="AM24" s="1">
        <v>18</v>
      </c>
      <c r="AN24" s="2" t="s">
        <v>275</v>
      </c>
      <c r="AO24" s="41">
        <v>0.25069444444444444</v>
      </c>
      <c r="AP24" s="41">
        <v>0.7368055555555556</v>
      </c>
      <c r="AQ24" s="26">
        <f t="shared" si="1"/>
        <v>0.48611111111111116</v>
      </c>
      <c r="AR24" s="2">
        <v>4</v>
      </c>
      <c r="AS24" s="45" t="s">
        <v>25</v>
      </c>
    </row>
    <row r="25" spans="1:48" ht="14.5" customHeight="1" x14ac:dyDescent="0.2">
      <c r="B25" s="1">
        <v>19</v>
      </c>
      <c r="C25" s="29" t="s">
        <v>71</v>
      </c>
      <c r="D25" s="41">
        <v>0.22638888888888889</v>
      </c>
      <c r="E25" s="41">
        <v>0.66736111111111107</v>
      </c>
      <c r="F25" s="26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0.44097222222222221</v>
      </c>
      <c r="G25" s="2">
        <v>4</v>
      </c>
      <c r="H25" s="69" t="s">
        <v>25</v>
      </c>
      <c r="AA25" s="15">
        <v>19</v>
      </c>
      <c r="AB25" s="23" t="s">
        <v>50</v>
      </c>
      <c r="AC25" s="40">
        <v>0.27083333333333331</v>
      </c>
      <c r="AD25" s="40">
        <v>0.6875</v>
      </c>
      <c r="AE25" s="37">
        <f t="shared" si="0"/>
        <v>0.41666666666666669</v>
      </c>
      <c r="AF25" s="23">
        <v>4</v>
      </c>
      <c r="AG25" s="16" t="s">
        <v>373</v>
      </c>
      <c r="AM25" s="1">
        <v>19</v>
      </c>
      <c r="AN25" s="2" t="s">
        <v>277</v>
      </c>
      <c r="AO25" s="41">
        <v>0.21597222222222223</v>
      </c>
      <c r="AP25" s="41">
        <v>0.73472222222222217</v>
      </c>
      <c r="AQ25" s="26">
        <f t="shared" si="1"/>
        <v>0.51874999999999993</v>
      </c>
      <c r="AR25" s="2">
        <v>4</v>
      </c>
      <c r="AS25" s="45" t="s">
        <v>25</v>
      </c>
    </row>
    <row r="26" spans="1:48" ht="14.5" customHeight="1" x14ac:dyDescent="0.2">
      <c r="B26" s="1">
        <v>20</v>
      </c>
      <c r="C26" s="29" t="s">
        <v>72</v>
      </c>
      <c r="D26" s="41">
        <v>0.23402777777777781</v>
      </c>
      <c r="E26" s="41">
        <v>0.66180555555555554</v>
      </c>
      <c r="F26" s="26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0.4277777777777777</v>
      </c>
      <c r="G26" s="2">
        <v>4</v>
      </c>
      <c r="H26" s="69" t="s">
        <v>25</v>
      </c>
      <c r="N26" s="54"/>
      <c r="AA26" s="1">
        <v>20</v>
      </c>
      <c r="AB26" s="29" t="s">
        <v>30</v>
      </c>
      <c r="AC26" s="30">
        <v>0.2298611111111111</v>
      </c>
      <c r="AD26" s="30">
        <v>0.6972222222222223</v>
      </c>
      <c r="AE26" s="39">
        <f t="shared" si="0"/>
        <v>0.46736111111111123</v>
      </c>
      <c r="AF26" s="29">
        <v>5</v>
      </c>
      <c r="AG26" s="45" t="s">
        <v>25</v>
      </c>
      <c r="AM26" s="1">
        <v>20</v>
      </c>
      <c r="AN26" s="2" t="s">
        <v>279</v>
      </c>
      <c r="AO26" s="41">
        <v>0.25138888888888888</v>
      </c>
      <c r="AP26" s="41">
        <v>0.72569444444444453</v>
      </c>
      <c r="AQ26" s="26">
        <f t="shared" si="1"/>
        <v>0.47430555555555565</v>
      </c>
      <c r="AR26" s="2">
        <v>4</v>
      </c>
      <c r="AS26" s="45" t="s">
        <v>25</v>
      </c>
    </row>
    <row r="27" spans="1:48" ht="14.5" customHeight="1" x14ac:dyDescent="0.2">
      <c r="B27" s="1">
        <v>21</v>
      </c>
      <c r="C27" s="2" t="s">
        <v>15</v>
      </c>
      <c r="D27" s="41">
        <v>0.20555555555555557</v>
      </c>
      <c r="E27" s="41">
        <v>0.65625</v>
      </c>
      <c r="F27" s="26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0.4506944444444444</v>
      </c>
      <c r="G27" s="2">
        <v>4</v>
      </c>
      <c r="H27" s="69" t="s">
        <v>25</v>
      </c>
      <c r="N27" s="54"/>
      <c r="Z27" s="56"/>
      <c r="AA27" s="1">
        <v>21</v>
      </c>
      <c r="AB27" s="2" t="s">
        <v>48</v>
      </c>
      <c r="AC27" s="30">
        <v>0.25694444444444448</v>
      </c>
      <c r="AD27" s="30">
        <v>0.68819444444444444</v>
      </c>
      <c r="AE27" s="39">
        <f t="shared" si="0"/>
        <v>0.43124999999999997</v>
      </c>
      <c r="AF27" s="29">
        <v>5</v>
      </c>
      <c r="AG27" s="45" t="s">
        <v>25</v>
      </c>
    </row>
    <row r="28" spans="1:48" x14ac:dyDescent="0.2">
      <c r="B28" s="1">
        <v>22</v>
      </c>
      <c r="C28" s="2" t="s">
        <v>76</v>
      </c>
      <c r="D28" s="41">
        <v>0.20625000000000002</v>
      </c>
      <c r="E28" s="41">
        <v>0.68125000000000002</v>
      </c>
      <c r="F28" s="26">
        <f>Table13245678910111321252934394449546149141924293336424753919786104110116122127131136141914241930364248546066727782879297102107112117122[[#This Row],[JAM MASUK]]-Table13245678910111321252934394449546149141924293336424753919786104110116122127131136141914241930364248546066727782879297102107112117122[[#This Row],[JAM KELUAR]]</f>
        <v>0.47499999999999998</v>
      </c>
      <c r="G28" s="2">
        <v>4</v>
      </c>
      <c r="H28" s="69" t="s">
        <v>25</v>
      </c>
      <c r="N28" s="54"/>
      <c r="AA28" s="1">
        <v>22</v>
      </c>
      <c r="AB28" s="29" t="s">
        <v>59</v>
      </c>
      <c r="AC28" s="30">
        <v>0.26041666666666669</v>
      </c>
      <c r="AD28" s="30">
        <v>0.69930555555555562</v>
      </c>
      <c r="AE28" s="39">
        <f t="shared" si="0"/>
        <v>0.43888888888888894</v>
      </c>
      <c r="AF28" s="29">
        <v>5</v>
      </c>
      <c r="AG28" s="45" t="s">
        <v>25</v>
      </c>
    </row>
    <row r="29" spans="1:48" x14ac:dyDescent="0.2">
      <c r="N29" s="54"/>
      <c r="AA29" s="1">
        <v>23</v>
      </c>
      <c r="AB29" s="29" t="s">
        <v>81</v>
      </c>
      <c r="AC29" s="30">
        <v>0.22916666666666666</v>
      </c>
      <c r="AD29" s="30">
        <v>0.71875</v>
      </c>
      <c r="AE29" s="39">
        <f t="shared" si="0"/>
        <v>0.48958333333333337</v>
      </c>
      <c r="AF29" s="29">
        <v>5</v>
      </c>
      <c r="AG29" s="45" t="s">
        <v>25</v>
      </c>
    </row>
    <row r="30" spans="1:48" x14ac:dyDescent="0.2">
      <c r="AR30" s="34"/>
      <c r="AS30" s="35" t="s">
        <v>90</v>
      </c>
    </row>
    <row r="31" spans="1:48" x14ac:dyDescent="0.2">
      <c r="G31" s="34"/>
      <c r="H31" s="35" t="s">
        <v>90</v>
      </c>
      <c r="AF31" s="34"/>
      <c r="AG31" s="35" t="s">
        <v>90</v>
      </c>
      <c r="AR31" s="56" t="s">
        <v>209</v>
      </c>
      <c r="AS31" s="35" t="s">
        <v>92</v>
      </c>
    </row>
    <row r="32" spans="1:48" x14ac:dyDescent="0.2">
      <c r="G32" s="56" t="s">
        <v>209</v>
      </c>
      <c r="H32" s="35" t="s">
        <v>92</v>
      </c>
      <c r="V32" s="1"/>
      <c r="AF32" s="56" t="s">
        <v>209</v>
      </c>
      <c r="AG32" s="35" t="s">
        <v>92</v>
      </c>
    </row>
    <row r="33" spans="1:22" x14ac:dyDescent="0.2">
      <c r="V33" s="1"/>
    </row>
    <row r="34" spans="1:22" x14ac:dyDescent="0.2">
      <c r="V34" s="1"/>
    </row>
    <row r="35" spans="1:22" x14ac:dyDescent="0.2">
      <c r="V35" s="1"/>
    </row>
    <row r="36" spans="1:22" x14ac:dyDescent="0.2">
      <c r="V36" s="1"/>
    </row>
    <row r="37" spans="1:22" x14ac:dyDescent="0.2">
      <c r="V37" s="1"/>
    </row>
    <row r="38" spans="1:22" x14ac:dyDescent="0.2">
      <c r="V38" s="1"/>
    </row>
    <row r="39" spans="1:22" x14ac:dyDescent="0.2">
      <c r="V39" s="1"/>
    </row>
    <row r="40" spans="1:22" x14ac:dyDescent="0.2">
      <c r="V40" s="1"/>
    </row>
    <row r="41" spans="1:22" ht="21" x14ac:dyDescent="0.25">
      <c r="A41" s="46"/>
    </row>
    <row r="51" spans="15:22" x14ac:dyDescent="0.2">
      <c r="O51" s="2" t="s">
        <v>0</v>
      </c>
      <c r="P51" s="2" t="s">
        <v>1</v>
      </c>
      <c r="Q51" s="22" t="s">
        <v>61</v>
      </c>
      <c r="R51" s="22" t="s">
        <v>62</v>
      </c>
      <c r="S51" s="22" t="s">
        <v>63</v>
      </c>
      <c r="T51" s="2" t="s">
        <v>2</v>
      </c>
      <c r="U51" s="2" t="s">
        <v>3</v>
      </c>
    </row>
    <row r="52" spans="15:22" x14ac:dyDescent="0.2">
      <c r="O52" s="27">
        <v>1</v>
      </c>
      <c r="P52" s="2"/>
      <c r="Q52" s="41"/>
      <c r="R52" s="42"/>
      <c r="S52" s="26"/>
      <c r="T52" s="2"/>
      <c r="U52" s="24"/>
    </row>
    <row r="53" spans="15:22" x14ac:dyDescent="0.2">
      <c r="O53" s="15">
        <v>2</v>
      </c>
      <c r="P53" s="29"/>
      <c r="Q53" s="30"/>
      <c r="R53" s="36"/>
      <c r="S53" s="26"/>
      <c r="T53" s="29"/>
      <c r="U53" s="24"/>
    </row>
    <row r="54" spans="15:22" x14ac:dyDescent="0.2">
      <c r="O54" s="15">
        <v>3</v>
      </c>
      <c r="P54" s="29"/>
      <c r="Q54" s="30"/>
      <c r="R54" s="36"/>
      <c r="S54" s="39"/>
      <c r="T54" s="29"/>
      <c r="U54" s="16"/>
    </row>
    <row r="55" spans="15:22" x14ac:dyDescent="0.2">
      <c r="O55" s="27">
        <v>4</v>
      </c>
      <c r="P55" s="29"/>
      <c r="Q55" s="30"/>
      <c r="R55" s="36"/>
      <c r="S55" s="39"/>
      <c r="T55" s="29"/>
      <c r="U55" s="24"/>
    </row>
    <row r="56" spans="15:22" x14ac:dyDescent="0.2">
      <c r="O56" s="15">
        <v>5</v>
      </c>
      <c r="P56" s="29"/>
      <c r="Q56" s="30"/>
      <c r="R56" s="36"/>
      <c r="S56" s="26"/>
      <c r="T56" s="29"/>
      <c r="U56" s="24"/>
    </row>
    <row r="57" spans="15:22" x14ac:dyDescent="0.2">
      <c r="O57" s="15">
        <v>6</v>
      </c>
      <c r="P57" s="29"/>
      <c r="Q57" s="30"/>
      <c r="R57" s="36"/>
      <c r="S57" s="26"/>
      <c r="T57" s="29"/>
      <c r="U57" s="24"/>
    </row>
    <row r="58" spans="15:22" x14ac:dyDescent="0.2">
      <c r="O58" s="27">
        <v>7</v>
      </c>
      <c r="P58" s="29"/>
      <c r="Q58" s="30"/>
      <c r="R58" s="36"/>
      <c r="S58" s="39"/>
      <c r="T58" s="29"/>
      <c r="U58" s="24"/>
    </row>
    <row r="59" spans="15:22" x14ac:dyDescent="0.2">
      <c r="O59" s="15">
        <v>8</v>
      </c>
      <c r="P59" s="29"/>
      <c r="Q59" s="30"/>
      <c r="R59" s="36"/>
      <c r="S59" s="26"/>
      <c r="T59" s="29"/>
      <c r="U59" s="24"/>
    </row>
    <row r="60" spans="15:22" x14ac:dyDescent="0.2">
      <c r="O60" s="15">
        <v>9</v>
      </c>
      <c r="P60" s="29"/>
      <c r="Q60" s="30"/>
      <c r="R60" s="36"/>
      <c r="S60" s="26"/>
      <c r="T60" s="29"/>
      <c r="U60" s="24"/>
    </row>
    <row r="61" spans="15:22" x14ac:dyDescent="0.2">
      <c r="O61" s="27">
        <v>10</v>
      </c>
      <c r="P61" s="29"/>
      <c r="Q61" s="30"/>
      <c r="R61" s="36"/>
      <c r="S61" s="26"/>
      <c r="T61" s="29"/>
      <c r="U61" s="24"/>
    </row>
    <row r="62" spans="15:22" x14ac:dyDescent="0.2">
      <c r="O62" s="15">
        <v>11</v>
      </c>
      <c r="P62" s="29"/>
      <c r="Q62" s="30"/>
      <c r="R62" s="36"/>
      <c r="S62" s="26"/>
      <c r="T62" s="29"/>
      <c r="U62" s="24"/>
    </row>
    <row r="63" spans="15:22" x14ac:dyDescent="0.2">
      <c r="O63" s="1">
        <v>12</v>
      </c>
      <c r="P63" s="29"/>
      <c r="Q63" s="30"/>
      <c r="R63" s="36"/>
      <c r="S63" s="39"/>
      <c r="T63" s="29"/>
      <c r="U63" s="25"/>
      <c r="V63" s="1"/>
    </row>
    <row r="64" spans="15:22" x14ac:dyDescent="0.2">
      <c r="O64" s="28">
        <v>13</v>
      </c>
      <c r="P64" s="29"/>
      <c r="Q64" s="30"/>
      <c r="R64" s="36"/>
      <c r="S64" s="26"/>
      <c r="T64" s="29"/>
      <c r="U64" s="25"/>
      <c r="V64" s="1"/>
    </row>
    <row r="65" spans="15:22" x14ac:dyDescent="0.2">
      <c r="O65" s="27">
        <v>14</v>
      </c>
      <c r="P65" s="29"/>
      <c r="Q65" s="30"/>
      <c r="R65" s="36"/>
      <c r="S65" s="26"/>
      <c r="T65" s="29"/>
      <c r="U65" s="24"/>
      <c r="V65" s="1"/>
    </row>
    <row r="66" spans="15:22" x14ac:dyDescent="0.2">
      <c r="O66" s="15">
        <v>15</v>
      </c>
      <c r="P66" s="29"/>
      <c r="Q66" s="30"/>
      <c r="R66" s="36"/>
      <c r="S66" s="26"/>
      <c r="T66" s="29"/>
      <c r="U66" s="24"/>
    </row>
    <row r="67" spans="15:22" x14ac:dyDescent="0.2">
      <c r="O67" s="1">
        <v>16</v>
      </c>
      <c r="P67" s="29"/>
      <c r="Q67" s="30"/>
      <c r="R67" s="36"/>
      <c r="S67" s="26"/>
      <c r="T67" s="29"/>
      <c r="U67" s="25"/>
    </row>
    <row r="68" spans="15:22" x14ac:dyDescent="0.2">
      <c r="O68" s="28">
        <v>17</v>
      </c>
      <c r="P68" s="29"/>
      <c r="Q68" s="30"/>
      <c r="R68" s="36"/>
      <c r="S68" s="26"/>
      <c r="T68" s="29"/>
      <c r="U68" s="25"/>
    </row>
    <row r="69" spans="15:22" x14ac:dyDescent="0.2">
      <c r="O69" s="27">
        <v>18</v>
      </c>
      <c r="P69" s="29"/>
      <c r="Q69" s="30"/>
      <c r="R69" s="36"/>
      <c r="S69" s="26"/>
      <c r="T69" s="29"/>
      <c r="U69" s="24"/>
    </row>
    <row r="70" spans="15:22" x14ac:dyDescent="0.2">
      <c r="O70" s="1">
        <v>19</v>
      </c>
      <c r="P70" s="29"/>
      <c r="Q70" s="30"/>
      <c r="R70" s="36"/>
      <c r="S70" s="39"/>
      <c r="T70" s="29"/>
      <c r="U70" s="25"/>
    </row>
    <row r="71" spans="15:22" x14ac:dyDescent="0.2">
      <c r="O71" s="1">
        <v>20</v>
      </c>
      <c r="P71" s="29"/>
      <c r="Q71" s="30"/>
      <c r="R71" s="36"/>
      <c r="S71" s="39"/>
      <c r="T71" s="29"/>
      <c r="U71" s="25"/>
    </row>
    <row r="72" spans="15:22" x14ac:dyDescent="0.2">
      <c r="O72" s="28">
        <v>21</v>
      </c>
      <c r="P72" s="29"/>
      <c r="Q72" s="30"/>
      <c r="R72" s="36"/>
      <c r="S72" s="26"/>
      <c r="T72" s="29"/>
      <c r="U72" s="25"/>
    </row>
    <row r="73" spans="15:22" x14ac:dyDescent="0.2">
      <c r="O73" s="27">
        <v>22</v>
      </c>
      <c r="P73" s="29"/>
      <c r="Q73" s="30"/>
      <c r="R73" s="36"/>
      <c r="S73" s="26"/>
      <c r="T73" s="29"/>
      <c r="U73" s="25"/>
    </row>
  </sheetData>
  <mergeCells count="19">
    <mergeCell ref="O1:X1"/>
    <mergeCell ref="AA1:AJ1"/>
    <mergeCell ref="AM1:AV1"/>
    <mergeCell ref="B2:K2"/>
    <mergeCell ref="O2:X2"/>
    <mergeCell ref="AA2:AJ2"/>
    <mergeCell ref="AM2:AV2"/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</mergeCells>
  <pageMargins left="0.12" right="0.12" top="0.75" bottom="0.75" header="0.3" footer="0.3"/>
  <pageSetup paperSize="5" scale="69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4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6A7B-D0B5-495F-BE8C-6E790B9C5B43}">
  <sheetPr>
    <tabColor theme="7" tint="0.39997558519241921"/>
  </sheetPr>
  <dimension ref="A1:AV70"/>
  <sheetViews>
    <sheetView showGridLines="0" view="pageBreakPreview" zoomScale="70" zoomScaleNormal="55" zoomScaleSheetLayoutView="70" zoomScalePageLayoutView="55" workbookViewId="0">
      <selection activeCell="AN7" sqref="AN7:AS26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2" x14ac:dyDescent="0.25">
      <c r="B1" s="59"/>
      <c r="C1" s="59"/>
      <c r="D1" s="59"/>
      <c r="E1" s="59"/>
      <c r="F1" s="59"/>
      <c r="G1" s="59"/>
      <c r="H1" s="59"/>
      <c r="I1" s="59"/>
      <c r="J1" s="59" t="s">
        <v>625</v>
      </c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COUNTIF(Table13245678910111321252934394449546149141924293336424753919786104110116122127131136141914241930364248546066727782879297102107112117122132[Retase],"&gt;3")</f>
        <v>8</v>
      </c>
      <c r="D3" t="s">
        <v>241</v>
      </c>
      <c r="O3" s="60">
        <f>COUNTIF(Table134567891011172226303540455055625101520253034384348549298871051111171231281321371421015252031374349556167737883889398103108113118123133[Retase],"&gt;3")</f>
        <v>0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COUNTIF(Table134567891011151819232731374247525927121722273228414652909680103109115121126120135140813231828344046525864707580859095100105110115120125135[Retase],"&gt;4")</f>
        <v>14</v>
      </c>
      <c r="AM3" s="60">
        <f>COUNTIF(Table134567891011151819232731374247525927121722273228414652909680103109115121126120135140813231829354147535965717681869196101106111116121131[Retase],"&gt;3")</f>
        <v>15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45437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45437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45437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45437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3" t="s">
        <v>118</v>
      </c>
      <c r="D7" s="21">
        <v>0.28819444444444448</v>
      </c>
      <c r="E7" s="21">
        <v>0.64722222222222225</v>
      </c>
      <c r="F7" s="38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0.35902777777777778</v>
      </c>
      <c r="G7" s="20">
        <v>2</v>
      </c>
      <c r="H7" s="65" t="s">
        <v>851</v>
      </c>
      <c r="J7" s="4" t="s">
        <v>10</v>
      </c>
      <c r="K7" s="6">
        <v>23</v>
      </c>
      <c r="L7" s="19"/>
      <c r="N7" s="56"/>
      <c r="O7" s="50">
        <v>1</v>
      </c>
      <c r="P7" s="33" t="s">
        <v>36</v>
      </c>
      <c r="Q7" s="44">
        <v>0.30902777777777779</v>
      </c>
      <c r="R7" s="44">
        <v>0.46666666666666662</v>
      </c>
      <c r="S7" s="51">
        <f>Table134567891011172226303540455055625101520253034384348549298871051111171231281321371421015252031374349556167737883889398103108113118123133[[#This Row],[JAM MASUK]]-Table134567891011172226303540455055625101520253034384348549298871051111171231281321371421015252031374349556167737883889398103108113118123133[[#This Row],[JAM KELUAR]]</f>
        <v>0.15763888888888883</v>
      </c>
      <c r="T7" s="33">
        <v>1</v>
      </c>
      <c r="U7" s="55" t="s">
        <v>89</v>
      </c>
      <c r="W7" s="4" t="s">
        <v>10</v>
      </c>
      <c r="X7" s="6">
        <v>8</v>
      </c>
      <c r="AA7" s="15">
        <v>1</v>
      </c>
      <c r="AB7" s="23" t="s">
        <v>30</v>
      </c>
      <c r="AC7" s="21">
        <v>0.22500000000000001</v>
      </c>
      <c r="AD7" s="21">
        <v>0.37916666666666665</v>
      </c>
      <c r="AE7" s="37">
        <f t="shared" ref="AE7:AE34" si="0">AD7-AC7</f>
        <v>0.15416666666666665</v>
      </c>
      <c r="AF7" s="20">
        <v>1</v>
      </c>
      <c r="AG7" s="16" t="s">
        <v>843</v>
      </c>
      <c r="AI7" s="4" t="s">
        <v>10</v>
      </c>
      <c r="AJ7" s="6">
        <v>33</v>
      </c>
      <c r="AL7" s="56"/>
      <c r="AM7" s="50">
        <v>1</v>
      </c>
      <c r="AN7" s="31" t="s">
        <v>275</v>
      </c>
      <c r="AO7" s="32">
        <v>0.29305555555555557</v>
      </c>
      <c r="AP7" s="32">
        <v>0.56597222222222221</v>
      </c>
      <c r="AQ7" s="51">
        <f t="shared" ref="AQ7:AQ26" si="1">AP7-AO7</f>
        <v>0.27291666666666664</v>
      </c>
      <c r="AR7" s="31">
        <v>1</v>
      </c>
      <c r="AS7" s="55" t="s">
        <v>838</v>
      </c>
      <c r="AU7" s="4" t="s">
        <v>10</v>
      </c>
      <c r="AV7" s="6">
        <v>20</v>
      </c>
    </row>
    <row r="8" spans="1:48" s="1" customFormat="1" x14ac:dyDescent="0.2">
      <c r="A8" s="56"/>
      <c r="B8" s="15">
        <v>2</v>
      </c>
      <c r="C8" s="23" t="s">
        <v>121</v>
      </c>
      <c r="D8" s="21">
        <v>0.27847222222222223</v>
      </c>
      <c r="E8" s="21">
        <v>0.56666666666666665</v>
      </c>
      <c r="F8" s="38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0.28819444444444442</v>
      </c>
      <c r="G8" s="20">
        <v>2</v>
      </c>
      <c r="H8" s="16" t="s">
        <v>852</v>
      </c>
      <c r="J8" s="4" t="s">
        <v>9</v>
      </c>
      <c r="K8" s="7">
        <v>19</v>
      </c>
      <c r="L8" s="19"/>
      <c r="O8" s="15">
        <v>2</v>
      </c>
      <c r="P8" s="23" t="s">
        <v>83</v>
      </c>
      <c r="Q8" s="40">
        <v>0.27916666666666667</v>
      </c>
      <c r="R8" s="40">
        <v>0.5</v>
      </c>
      <c r="S8" s="38">
        <f>Table134567891011172226303540455055625101520253034384348549298871051111171231281321371421015252031374349556167737883889398103108113118123133[[#This Row],[JAM MASUK]]-Table134567891011172226303540455055625101520253034384348549298871051111171231281321371421015252031374349556167737883889398103108113118123133[[#This Row],[JAM KELUAR]]</f>
        <v>0.22083333333333333</v>
      </c>
      <c r="T8" s="23">
        <v>2</v>
      </c>
      <c r="U8" s="16" t="s">
        <v>89</v>
      </c>
      <c r="W8" s="4" t="s">
        <v>9</v>
      </c>
      <c r="X8" s="7">
        <v>3</v>
      </c>
      <c r="Z8" s="56"/>
      <c r="AA8" s="50">
        <v>2</v>
      </c>
      <c r="AB8" s="33" t="s">
        <v>309</v>
      </c>
      <c r="AC8" s="44">
        <v>0.29652777777777778</v>
      </c>
      <c r="AD8" s="44">
        <v>0.54722222222222217</v>
      </c>
      <c r="AE8" s="51">
        <f t="shared" si="0"/>
        <v>0.25069444444444439</v>
      </c>
      <c r="AF8" s="31">
        <v>2</v>
      </c>
      <c r="AG8" s="55" t="s">
        <v>844</v>
      </c>
      <c r="AI8" s="4" t="s">
        <v>9</v>
      </c>
      <c r="AJ8" s="6">
        <v>28</v>
      </c>
      <c r="AM8" s="15">
        <v>2</v>
      </c>
      <c r="AN8" s="20" t="s">
        <v>475</v>
      </c>
      <c r="AO8" s="21">
        <v>0.28819444444444448</v>
      </c>
      <c r="AP8" s="21" t="s">
        <v>837</v>
      </c>
      <c r="AQ8" s="38" t="e">
        <f t="shared" si="1"/>
        <v>#VALUE!</v>
      </c>
      <c r="AR8" s="20">
        <v>1</v>
      </c>
      <c r="AS8" s="16" t="s">
        <v>839</v>
      </c>
      <c r="AU8" s="4" t="s">
        <v>9</v>
      </c>
      <c r="AV8" s="6">
        <v>20</v>
      </c>
    </row>
    <row r="9" spans="1:48" s="1" customFormat="1" x14ac:dyDescent="0.2">
      <c r="A9" s="56"/>
      <c r="B9" s="15">
        <v>3</v>
      </c>
      <c r="C9" s="23" t="s">
        <v>17</v>
      </c>
      <c r="D9" s="21">
        <v>0.20694444444444446</v>
      </c>
      <c r="E9" s="21">
        <v>0.69513888888888886</v>
      </c>
      <c r="F9" s="38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0.48819444444444438</v>
      </c>
      <c r="G9" s="20">
        <v>2</v>
      </c>
      <c r="H9" s="67" t="s">
        <v>853</v>
      </c>
      <c r="J9" s="4" t="s">
        <v>4</v>
      </c>
      <c r="K9" s="7">
        <v>0</v>
      </c>
      <c r="L9" s="19"/>
      <c r="N9" s="56"/>
      <c r="O9" s="15">
        <v>3</v>
      </c>
      <c r="P9" s="23" t="s">
        <v>201</v>
      </c>
      <c r="Q9" s="40">
        <v>0.26666666666666666</v>
      </c>
      <c r="R9" s="40">
        <v>0.50069444444444444</v>
      </c>
      <c r="S9" s="38">
        <f>Table134567891011172226303540455055625101520253034384348549298871051111171231281321371421015252031374349556167737883889398103108113118123133[[#This Row],[JAM MASUK]]-Table134567891011172226303540455055625101520253034384348549298871051111171231281321371421015252031374349556167737883889398103108113118123133[[#This Row],[JAM KELUAR]]</f>
        <v>0.23402777777777778</v>
      </c>
      <c r="T9" s="23">
        <v>2</v>
      </c>
      <c r="U9" s="16" t="s">
        <v>89</v>
      </c>
      <c r="W9" s="4" t="s">
        <v>4</v>
      </c>
      <c r="X9" s="7">
        <v>0</v>
      </c>
      <c r="Z9" s="56"/>
      <c r="AA9" s="15">
        <v>3</v>
      </c>
      <c r="AB9" s="23" t="s">
        <v>59</v>
      </c>
      <c r="AC9" s="40">
        <v>0.26250000000000001</v>
      </c>
      <c r="AD9" s="40">
        <v>0.5444444444444444</v>
      </c>
      <c r="AE9" s="38">
        <f t="shared" si="0"/>
        <v>0.28194444444444439</v>
      </c>
      <c r="AF9" s="20">
        <v>2</v>
      </c>
      <c r="AG9" s="16" t="s">
        <v>845</v>
      </c>
      <c r="AI9" s="4" t="s">
        <v>4</v>
      </c>
      <c r="AJ9" s="7">
        <v>1</v>
      </c>
      <c r="AM9" s="50">
        <v>3</v>
      </c>
      <c r="AN9" s="31" t="s">
        <v>302</v>
      </c>
      <c r="AO9" s="32">
        <v>0.29444444444444445</v>
      </c>
      <c r="AP9" s="32">
        <v>0.54652777777777783</v>
      </c>
      <c r="AQ9" s="51">
        <f t="shared" si="1"/>
        <v>0.25208333333333338</v>
      </c>
      <c r="AR9" s="31">
        <v>2</v>
      </c>
      <c r="AS9" s="55" t="s">
        <v>840</v>
      </c>
      <c r="AU9" s="4" t="s">
        <v>4</v>
      </c>
      <c r="AV9" s="7">
        <v>0</v>
      </c>
    </row>
    <row r="10" spans="1:48" s="1" customFormat="1" x14ac:dyDescent="0.2">
      <c r="A10"/>
      <c r="B10" s="15">
        <v>4</v>
      </c>
      <c r="C10" s="23" t="s">
        <v>65</v>
      </c>
      <c r="D10" s="21">
        <v>0.26597222222222222</v>
      </c>
      <c r="E10" s="21">
        <v>0.64652777777777781</v>
      </c>
      <c r="F10" s="38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0.38055555555555559</v>
      </c>
      <c r="G10" s="20">
        <v>3</v>
      </c>
      <c r="H10" s="67" t="s">
        <v>55</v>
      </c>
      <c r="J10" s="4" t="s">
        <v>5</v>
      </c>
      <c r="K10" s="7">
        <v>4</v>
      </c>
      <c r="L10" s="19"/>
      <c r="N10" s="56"/>
      <c r="O10"/>
      <c r="P10"/>
      <c r="Q10"/>
      <c r="R10"/>
      <c r="S10"/>
      <c r="T10"/>
      <c r="U10"/>
      <c r="W10" s="4" t="s">
        <v>5</v>
      </c>
      <c r="X10" s="7">
        <v>5</v>
      </c>
      <c r="Z10" s="56"/>
      <c r="AA10" s="50">
        <v>4</v>
      </c>
      <c r="AB10" s="33" t="s">
        <v>40</v>
      </c>
      <c r="AC10" s="44">
        <v>0.29930555555555555</v>
      </c>
      <c r="AD10" s="44">
        <v>0.5756944444444444</v>
      </c>
      <c r="AE10" s="51">
        <f t="shared" si="0"/>
        <v>0.27638888888888885</v>
      </c>
      <c r="AF10" s="31">
        <v>3</v>
      </c>
      <c r="AG10" s="55" t="s">
        <v>846</v>
      </c>
      <c r="AI10" s="4" t="s">
        <v>5</v>
      </c>
      <c r="AJ10" s="7">
        <v>4</v>
      </c>
      <c r="AL10" s="54"/>
      <c r="AM10" s="15">
        <v>4</v>
      </c>
      <c r="AN10" s="20" t="s">
        <v>231</v>
      </c>
      <c r="AO10" s="21">
        <v>0.28541666666666665</v>
      </c>
      <c r="AP10" s="21">
        <v>0.59236111111111112</v>
      </c>
      <c r="AQ10" s="38">
        <f t="shared" si="1"/>
        <v>0.30694444444444446</v>
      </c>
      <c r="AR10" s="20">
        <v>2</v>
      </c>
      <c r="AS10" s="16" t="s">
        <v>841</v>
      </c>
      <c r="AU10" s="4" t="s">
        <v>5</v>
      </c>
      <c r="AV10" s="7">
        <v>0</v>
      </c>
    </row>
    <row r="11" spans="1:48" s="1" customFormat="1" x14ac:dyDescent="0.2">
      <c r="A11" s="56" t="s">
        <v>209</v>
      </c>
      <c r="B11" s="50">
        <v>5</v>
      </c>
      <c r="C11" s="33" t="s">
        <v>119</v>
      </c>
      <c r="D11" s="32">
        <v>0.37847222222222227</v>
      </c>
      <c r="E11" s="32">
        <v>0.7090277777777777</v>
      </c>
      <c r="F11" s="51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0.33055555555555544</v>
      </c>
      <c r="G11" s="31">
        <v>3</v>
      </c>
      <c r="H11" s="73" t="s">
        <v>858</v>
      </c>
      <c r="J11" s="4" t="s">
        <v>6</v>
      </c>
      <c r="K11" s="7">
        <v>0</v>
      </c>
      <c r="N11" s="56"/>
      <c r="O11"/>
      <c r="P11"/>
      <c r="Q11"/>
      <c r="R11"/>
      <c r="S11"/>
      <c r="T11"/>
      <c r="U11"/>
      <c r="W11" s="4" t="s">
        <v>33</v>
      </c>
      <c r="X11" s="7">
        <v>0</v>
      </c>
      <c r="Z11" s="56"/>
      <c r="AA11" s="15">
        <v>5</v>
      </c>
      <c r="AB11" s="23" t="s">
        <v>67</v>
      </c>
      <c r="AC11" s="40">
        <v>0.24444444444444446</v>
      </c>
      <c r="AD11" s="40">
        <v>0.5708333333333333</v>
      </c>
      <c r="AE11" s="38">
        <f t="shared" si="0"/>
        <v>0.32638888888888884</v>
      </c>
      <c r="AF11" s="20">
        <v>3</v>
      </c>
      <c r="AG11" s="16" t="s">
        <v>847</v>
      </c>
      <c r="AI11" s="4" t="s">
        <v>6</v>
      </c>
      <c r="AJ11" s="7">
        <v>0</v>
      </c>
      <c r="AM11" s="15">
        <v>5</v>
      </c>
      <c r="AN11" s="20" t="s">
        <v>308</v>
      </c>
      <c r="AO11" s="21">
        <v>0.25694444444444448</v>
      </c>
      <c r="AP11" s="21">
        <v>0.59236111111111112</v>
      </c>
      <c r="AQ11" s="38">
        <f t="shared" si="1"/>
        <v>0.33541666666666664</v>
      </c>
      <c r="AR11" s="20">
        <v>3</v>
      </c>
      <c r="AS11" s="16" t="s">
        <v>842</v>
      </c>
      <c r="AU11" s="4" t="s">
        <v>6</v>
      </c>
      <c r="AV11" s="7">
        <v>19</v>
      </c>
    </row>
    <row r="12" spans="1:48" s="1" customFormat="1" x14ac:dyDescent="0.2">
      <c r="A12" s="56"/>
      <c r="B12" s="50">
        <v>6</v>
      </c>
      <c r="C12" s="33" t="s">
        <v>12</v>
      </c>
      <c r="D12" s="32">
        <v>0.29236111111111113</v>
      </c>
      <c r="E12" s="32">
        <v>0.66736111111111107</v>
      </c>
      <c r="F12" s="51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0.37499999999999994</v>
      </c>
      <c r="G12" s="31">
        <v>3</v>
      </c>
      <c r="H12" s="68" t="s">
        <v>854</v>
      </c>
      <c r="J12" s="8" t="s">
        <v>8</v>
      </c>
      <c r="K12" s="9">
        <f>SUM(Table13245678910111321252934394449546149141924293336424753919786104110116122127131136141914241930364248546066727782879297102107112117122132[Retase])</f>
        <v>62</v>
      </c>
      <c r="L12" s="19"/>
      <c r="N12" s="54"/>
      <c r="O12"/>
      <c r="P12"/>
      <c r="Q12"/>
      <c r="R12"/>
      <c r="S12"/>
      <c r="T12"/>
      <c r="U12"/>
      <c r="W12" s="8" t="s">
        <v>8</v>
      </c>
      <c r="X12" s="9">
        <f>SUM(Table134567891011172226303540455055625101520253034384348549298871051111171231281321371421015252031374349556167737883889398103108113118123133[Retase])</f>
        <v>5</v>
      </c>
      <c r="AA12" s="50">
        <v>6</v>
      </c>
      <c r="AB12" s="33" t="s">
        <v>48</v>
      </c>
      <c r="AC12" s="44">
        <v>0.2951388888888889</v>
      </c>
      <c r="AD12" s="44">
        <v>0.57638888888888895</v>
      </c>
      <c r="AE12" s="51">
        <f t="shared" si="0"/>
        <v>0.28125000000000006</v>
      </c>
      <c r="AF12" s="31">
        <v>3</v>
      </c>
      <c r="AG12" s="55" t="s">
        <v>175</v>
      </c>
      <c r="AI12" s="8" t="s">
        <v>8</v>
      </c>
      <c r="AJ12" s="9">
        <f>SUM(Table134567891011151819232731374247525927121722273228414652909680103109115121126120135140813231828344046525864707580859095100105110115120125135[Retase])</f>
        <v>118</v>
      </c>
      <c r="AM12" s="1">
        <v>6</v>
      </c>
      <c r="AN12" s="2" t="s">
        <v>301</v>
      </c>
      <c r="AO12" s="41">
        <v>0.23750000000000002</v>
      </c>
      <c r="AP12" s="41">
        <v>0.70277777777777783</v>
      </c>
      <c r="AQ12" s="26">
        <f t="shared" si="1"/>
        <v>0.46527777777777779</v>
      </c>
      <c r="AR12" s="2">
        <v>4</v>
      </c>
      <c r="AS12" s="45" t="s">
        <v>25</v>
      </c>
      <c r="AU12" s="8" t="s">
        <v>8</v>
      </c>
      <c r="AV12" s="9">
        <f>SUM(Table134567891011151819232731374247525927121722273228414652909680103109115121126120135140813231829354147535965717681869196101106111116121131[Retase])</f>
        <v>70</v>
      </c>
    </row>
    <row r="13" spans="1:48" s="1" customFormat="1" x14ac:dyDescent="0.2">
      <c r="A13"/>
      <c r="B13" s="15">
        <v>7</v>
      </c>
      <c r="C13" s="23" t="s">
        <v>72</v>
      </c>
      <c r="D13" s="21">
        <v>0.22847222222222222</v>
      </c>
      <c r="E13" s="21">
        <v>0.63680555555555551</v>
      </c>
      <c r="F13" s="38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0.40833333333333333</v>
      </c>
      <c r="G13" s="20">
        <v>3</v>
      </c>
      <c r="H13" s="16" t="s">
        <v>89</v>
      </c>
      <c r="J13" s="10" t="s">
        <v>7</v>
      </c>
      <c r="K13" s="11">
        <f>K12/K8</f>
        <v>3.263157894736842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1.6666666666666667</v>
      </c>
      <c r="Z13" s="56"/>
      <c r="AA13" s="15">
        <v>7</v>
      </c>
      <c r="AB13" s="23" t="s">
        <v>57</v>
      </c>
      <c r="AC13" s="40">
        <v>0.27708333333333335</v>
      </c>
      <c r="AD13" s="40">
        <v>0.64722222222222225</v>
      </c>
      <c r="AE13" s="38">
        <f t="shared" si="0"/>
        <v>0.37013888888888891</v>
      </c>
      <c r="AF13" s="20">
        <v>4</v>
      </c>
      <c r="AG13" s="16" t="s">
        <v>64</v>
      </c>
      <c r="AI13" s="10" t="s">
        <v>7</v>
      </c>
      <c r="AJ13" s="11">
        <f>AJ12/AJ8</f>
        <v>4.2142857142857144</v>
      </c>
      <c r="AM13" s="1">
        <v>7</v>
      </c>
      <c r="AN13" s="2" t="s">
        <v>230</v>
      </c>
      <c r="AO13" s="41">
        <v>0.20486111111111113</v>
      </c>
      <c r="AP13" s="41">
        <v>0.67013888888888884</v>
      </c>
      <c r="AQ13" s="26">
        <f t="shared" si="1"/>
        <v>0.46527777777777768</v>
      </c>
      <c r="AR13" s="2">
        <v>4</v>
      </c>
      <c r="AS13" s="45" t="s">
        <v>25</v>
      </c>
      <c r="AU13" s="10" t="s">
        <v>7</v>
      </c>
      <c r="AV13" s="11">
        <f>AV12/AV8</f>
        <v>3.5</v>
      </c>
    </row>
    <row r="14" spans="1:48" s="1" customFormat="1" x14ac:dyDescent="0.2">
      <c r="A14"/>
      <c r="B14" s="15">
        <v>8</v>
      </c>
      <c r="C14" s="23" t="s">
        <v>76</v>
      </c>
      <c r="D14" s="21">
        <v>0.20625000000000002</v>
      </c>
      <c r="E14" s="21">
        <v>0.60347222222222219</v>
      </c>
      <c r="F14" s="38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0.39722222222222214</v>
      </c>
      <c r="G14" s="20">
        <v>3</v>
      </c>
      <c r="H14" s="67" t="s">
        <v>855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 s="34"/>
      <c r="U14" s="35" t="s">
        <v>90</v>
      </c>
      <c r="W14" s="12" t="s">
        <v>11</v>
      </c>
      <c r="X14" s="13">
        <v>4</v>
      </c>
      <c r="AA14" s="15">
        <v>8</v>
      </c>
      <c r="AB14" s="23" t="s">
        <v>58</v>
      </c>
      <c r="AC14" s="40">
        <v>0.28541666666666665</v>
      </c>
      <c r="AD14" s="40">
        <v>0.62638888888888888</v>
      </c>
      <c r="AE14" s="38">
        <f t="shared" si="0"/>
        <v>0.34097222222222223</v>
      </c>
      <c r="AF14" s="20">
        <v>4</v>
      </c>
      <c r="AG14" s="16" t="s">
        <v>848</v>
      </c>
      <c r="AI14" s="12" t="s">
        <v>11</v>
      </c>
      <c r="AJ14" s="13">
        <v>5</v>
      </c>
      <c r="AM14" s="1">
        <v>8</v>
      </c>
      <c r="AN14" s="2" t="s">
        <v>232</v>
      </c>
      <c r="AO14" s="41">
        <v>0.27569444444444446</v>
      </c>
      <c r="AP14" s="41">
        <v>0.72569444444444453</v>
      </c>
      <c r="AQ14" s="26">
        <f t="shared" si="1"/>
        <v>0.45000000000000007</v>
      </c>
      <c r="AR14" s="2">
        <v>4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3" t="s">
        <v>120</v>
      </c>
      <c r="D15" s="21">
        <v>0.28194444444444444</v>
      </c>
      <c r="E15" s="21">
        <v>0.68819444444444444</v>
      </c>
      <c r="F15" s="38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0.40625</v>
      </c>
      <c r="G15" s="20">
        <v>3</v>
      </c>
      <c r="H15" s="16" t="s">
        <v>89</v>
      </c>
      <c r="J15" s="12" t="s">
        <v>88</v>
      </c>
      <c r="K15" s="14">
        <f>B3/K8</f>
        <v>0.42105263157894735</v>
      </c>
      <c r="L15" s="19"/>
      <c r="O15"/>
      <c r="P15"/>
      <c r="Q15"/>
      <c r="R15"/>
      <c r="S15"/>
      <c r="T15" s="56" t="s">
        <v>209</v>
      </c>
      <c r="U15" s="35" t="s">
        <v>92</v>
      </c>
      <c r="W15" s="12" t="s">
        <v>88</v>
      </c>
      <c r="X15" s="14">
        <f>O3/X8</f>
        <v>0</v>
      </c>
      <c r="Z15" s="56"/>
      <c r="AA15" s="50">
        <v>9</v>
      </c>
      <c r="AB15" s="33" t="s">
        <v>31</v>
      </c>
      <c r="AC15" s="44">
        <v>0.31944444444444448</v>
      </c>
      <c r="AD15" s="44">
        <v>0.66736111111111107</v>
      </c>
      <c r="AE15" s="51">
        <f t="shared" si="0"/>
        <v>0.3479166666666666</v>
      </c>
      <c r="AF15" s="31">
        <v>4</v>
      </c>
      <c r="AG15" s="55" t="s">
        <v>64</v>
      </c>
      <c r="AI15" s="12" t="s">
        <v>88</v>
      </c>
      <c r="AJ15" s="14">
        <f>AA3/AJ8</f>
        <v>0.5</v>
      </c>
      <c r="AM15" s="1">
        <v>9</v>
      </c>
      <c r="AN15" s="2" t="s">
        <v>559</v>
      </c>
      <c r="AO15" s="41">
        <v>0.25972222222222224</v>
      </c>
      <c r="AP15" s="41">
        <v>0.65763888888888888</v>
      </c>
      <c r="AQ15" s="26">
        <f t="shared" si="1"/>
        <v>0.39791666666666664</v>
      </c>
      <c r="AR15" s="2">
        <v>4</v>
      </c>
      <c r="AS15" s="45" t="s">
        <v>25</v>
      </c>
      <c r="AU15" s="12" t="s">
        <v>88</v>
      </c>
      <c r="AV15" s="14">
        <f>AM3/AV8</f>
        <v>0.75</v>
      </c>
    </row>
    <row r="16" spans="1:48" x14ac:dyDescent="0.2">
      <c r="B16" s="15">
        <v>10</v>
      </c>
      <c r="C16" s="23" t="s">
        <v>16</v>
      </c>
      <c r="D16" s="21">
        <v>0.25486111111111109</v>
      </c>
      <c r="E16" s="21">
        <v>0.61597222222222225</v>
      </c>
      <c r="F16" s="38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0.36111111111111116</v>
      </c>
      <c r="G16" s="20">
        <v>3</v>
      </c>
      <c r="H16" s="67" t="s">
        <v>856</v>
      </c>
      <c r="J16" s="12" t="s">
        <v>24</v>
      </c>
      <c r="K16" s="14">
        <f>K8/K7</f>
        <v>0.82608695652173914</v>
      </c>
      <c r="W16" s="12" t="s">
        <v>27</v>
      </c>
      <c r="X16" s="14">
        <f>X8/X7</f>
        <v>0.375</v>
      </c>
      <c r="AA16" s="50">
        <v>10</v>
      </c>
      <c r="AB16" s="33" t="s">
        <v>34</v>
      </c>
      <c r="AC16" s="44">
        <v>0.33611111111111108</v>
      </c>
      <c r="AD16" s="44">
        <v>0.69652777777777775</v>
      </c>
      <c r="AE16" s="51">
        <f t="shared" si="0"/>
        <v>0.36041666666666666</v>
      </c>
      <c r="AF16" s="31">
        <v>4</v>
      </c>
      <c r="AG16" s="55" t="s">
        <v>64</v>
      </c>
      <c r="AI16" s="12" t="s">
        <v>27</v>
      </c>
      <c r="AJ16" s="14">
        <f>AJ8/AJ7</f>
        <v>0.84848484848484851</v>
      </c>
      <c r="AM16" s="1">
        <v>10</v>
      </c>
      <c r="AN16" s="2" t="s">
        <v>234</v>
      </c>
      <c r="AO16" s="41">
        <v>0.23750000000000002</v>
      </c>
      <c r="AP16" s="41">
        <v>0.63194444444444442</v>
      </c>
      <c r="AQ16" s="26">
        <f t="shared" si="1"/>
        <v>0.39444444444444438</v>
      </c>
      <c r="AR16" s="2">
        <v>4</v>
      </c>
      <c r="AS16" s="45" t="s">
        <v>25</v>
      </c>
      <c r="AU16" s="12" t="s">
        <v>27</v>
      </c>
      <c r="AV16" s="14">
        <f>AV8/AV7</f>
        <v>1</v>
      </c>
    </row>
    <row r="17" spans="1:48" x14ac:dyDescent="0.2">
      <c r="B17" s="15">
        <v>11</v>
      </c>
      <c r="C17" s="23" t="s">
        <v>19</v>
      </c>
      <c r="D17" s="21">
        <v>0.25069444444444444</v>
      </c>
      <c r="E17" s="21">
        <v>0.68333333333333324</v>
      </c>
      <c r="F17" s="38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0.4326388888888888</v>
      </c>
      <c r="G17" s="20">
        <v>3</v>
      </c>
      <c r="H17" s="67" t="s">
        <v>857</v>
      </c>
      <c r="J17" s="12" t="s">
        <v>117</v>
      </c>
      <c r="K17" s="48">
        <f>AVERAGE(Table13245678910111321252934394449546149141924293336424753919786104110116122127131136141914241930364248546066727782879297102107112117122132[JAM KELUAR])</f>
        <v>0.25983187134502922</v>
      </c>
      <c r="W17" s="12" t="s">
        <v>117</v>
      </c>
      <c r="X17" s="48">
        <f>AVERAGE(Table134567891011172226303540455055625101520253034384348549298871051111171231281321371421015252031374349556167737883889398103108113118123133[JAM KELUAR])</f>
        <v>0.28495370370370371</v>
      </c>
      <c r="Z17" s="56"/>
      <c r="AA17" s="15">
        <v>11</v>
      </c>
      <c r="AB17" s="23" t="s">
        <v>45</v>
      </c>
      <c r="AC17" s="40">
        <v>0.23680555555555557</v>
      </c>
      <c r="AD17" s="40">
        <v>0.66041666666666665</v>
      </c>
      <c r="AE17" s="38">
        <f t="shared" si="0"/>
        <v>0.42361111111111105</v>
      </c>
      <c r="AF17" s="20">
        <v>4</v>
      </c>
      <c r="AG17" s="16" t="s">
        <v>849</v>
      </c>
      <c r="AI17" s="12" t="s">
        <v>117</v>
      </c>
      <c r="AJ17" s="48">
        <f>AVERAGE(Table134567891011151819232731374247525927121722273228414652909680103109115121126120135140813231828344046525864707580859095100105110115120125135[JAM KELUAR])</f>
        <v>0.27631448412698412</v>
      </c>
      <c r="AM17" s="1">
        <v>11</v>
      </c>
      <c r="AN17" s="2" t="s">
        <v>235</v>
      </c>
      <c r="AO17" s="41">
        <v>0.23263888888888887</v>
      </c>
      <c r="AP17" s="41">
        <v>0.67083333333333339</v>
      </c>
      <c r="AQ17" s="26">
        <f t="shared" si="1"/>
        <v>0.43819444444444455</v>
      </c>
      <c r="AR17" s="2">
        <v>4</v>
      </c>
      <c r="AS17" s="45" t="s">
        <v>25</v>
      </c>
      <c r="AU17" s="12" t="s">
        <v>117</v>
      </c>
      <c r="AV17" s="48">
        <f>AVERAGE(Table134567891011151819232731374247525927121722273228414652909680103109115121126120135140813231829354147535965717681869196101106111116121131[JAM KELUAR])</f>
        <v>0.25871527777777781</v>
      </c>
    </row>
    <row r="18" spans="1:48" x14ac:dyDescent="0.2">
      <c r="B18" s="1">
        <v>12</v>
      </c>
      <c r="C18" s="29" t="s">
        <v>13</v>
      </c>
      <c r="D18" s="41">
        <v>0.25138888888888888</v>
      </c>
      <c r="E18" s="41">
        <v>0.66041666666666665</v>
      </c>
      <c r="F18" s="26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0.40902777777777777</v>
      </c>
      <c r="G18" s="2">
        <v>4</v>
      </c>
      <c r="H18" s="69" t="s">
        <v>25</v>
      </c>
      <c r="AA18" s="15">
        <v>12</v>
      </c>
      <c r="AB18" s="23" t="s">
        <v>77</v>
      </c>
      <c r="AC18" s="40">
        <v>0.2673611111111111</v>
      </c>
      <c r="AD18" s="40">
        <v>0.70833333333333337</v>
      </c>
      <c r="AE18" s="38">
        <f t="shared" si="0"/>
        <v>0.44097222222222227</v>
      </c>
      <c r="AF18" s="20">
        <v>4</v>
      </c>
      <c r="AG18" s="16" t="s">
        <v>850</v>
      </c>
      <c r="AI18" s="17"/>
      <c r="AM18" s="1">
        <v>12</v>
      </c>
      <c r="AN18" s="2" t="s">
        <v>236</v>
      </c>
      <c r="AO18" s="41">
        <v>0.25347222222222221</v>
      </c>
      <c r="AP18" s="41">
        <v>0.6972222222222223</v>
      </c>
      <c r="AQ18" s="26">
        <f t="shared" si="1"/>
        <v>0.44375000000000009</v>
      </c>
      <c r="AR18" s="2">
        <v>4</v>
      </c>
      <c r="AS18" s="45" t="s">
        <v>25</v>
      </c>
      <c r="AU18" s="17"/>
    </row>
    <row r="19" spans="1:48" ht="15.75" customHeight="1" x14ac:dyDescent="0.2">
      <c r="A19" s="56"/>
      <c r="B19" s="1">
        <v>13</v>
      </c>
      <c r="C19" s="29" t="s">
        <v>70</v>
      </c>
      <c r="D19" s="41">
        <v>0.28541666666666665</v>
      </c>
      <c r="E19" s="41">
        <v>0.72638888888888886</v>
      </c>
      <c r="F19" s="26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0.44097222222222221</v>
      </c>
      <c r="G19" s="2">
        <v>4</v>
      </c>
      <c r="H19" s="69" t="s">
        <v>25</v>
      </c>
      <c r="Z19" s="56"/>
      <c r="AA19" s="15">
        <v>13</v>
      </c>
      <c r="AB19" s="23" t="s">
        <v>79</v>
      </c>
      <c r="AC19" s="40">
        <v>0.25694444444444448</v>
      </c>
      <c r="AD19" s="40">
        <v>0.66805555555555562</v>
      </c>
      <c r="AE19" s="38">
        <f t="shared" si="0"/>
        <v>0.41111111111111115</v>
      </c>
      <c r="AF19" s="20">
        <v>4</v>
      </c>
      <c r="AG19" s="16" t="s">
        <v>64</v>
      </c>
      <c r="AM19" s="1">
        <v>13</v>
      </c>
      <c r="AN19" s="2" t="s">
        <v>271</v>
      </c>
      <c r="AO19" s="41">
        <v>0.27777777777777779</v>
      </c>
      <c r="AP19" s="41">
        <v>0.68333333333333324</v>
      </c>
      <c r="AQ19" s="26">
        <f t="shared" si="1"/>
        <v>0.40555555555555545</v>
      </c>
      <c r="AR19" s="2">
        <v>4</v>
      </c>
      <c r="AS19" s="45" t="s">
        <v>25</v>
      </c>
    </row>
    <row r="20" spans="1:48" ht="17.25" customHeight="1" x14ac:dyDescent="0.2">
      <c r="B20" s="1">
        <v>14</v>
      </c>
      <c r="C20" s="29" t="s">
        <v>71</v>
      </c>
      <c r="D20" s="41">
        <v>0.22500000000000001</v>
      </c>
      <c r="E20" s="41">
        <v>0.65763888888888888</v>
      </c>
      <c r="F20" s="26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0.43263888888888891</v>
      </c>
      <c r="G20" s="2">
        <v>4</v>
      </c>
      <c r="H20" s="69" t="s">
        <v>25</v>
      </c>
      <c r="AA20" s="50">
        <v>14</v>
      </c>
      <c r="AB20" s="33" t="s">
        <v>56</v>
      </c>
      <c r="AC20" s="44">
        <v>0.29444444444444445</v>
      </c>
      <c r="AD20" s="44">
        <v>0.61388888888888882</v>
      </c>
      <c r="AE20" s="51">
        <f t="shared" si="0"/>
        <v>0.31944444444444436</v>
      </c>
      <c r="AF20" s="31">
        <v>4</v>
      </c>
      <c r="AG20" s="55" t="s">
        <v>64</v>
      </c>
      <c r="AM20" s="1">
        <v>14</v>
      </c>
      <c r="AN20" s="2" t="s">
        <v>238</v>
      </c>
      <c r="AO20" s="41">
        <v>0.24513888888888888</v>
      </c>
      <c r="AP20" s="41">
        <v>0.68125000000000002</v>
      </c>
      <c r="AQ20" s="26">
        <f t="shared" si="1"/>
        <v>0.43611111111111112</v>
      </c>
      <c r="AR20" s="2">
        <v>4</v>
      </c>
      <c r="AS20" s="45" t="s">
        <v>25</v>
      </c>
    </row>
    <row r="21" spans="1:48" ht="15.75" customHeight="1" x14ac:dyDescent="0.2">
      <c r="A21" s="56"/>
      <c r="B21" s="1">
        <v>15</v>
      </c>
      <c r="C21" s="29" t="s">
        <v>68</v>
      </c>
      <c r="D21" s="41">
        <v>0.27152777777777776</v>
      </c>
      <c r="E21" s="41">
        <v>0.68402777777777779</v>
      </c>
      <c r="F21" s="26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0.41250000000000003</v>
      </c>
      <c r="G21" s="2">
        <v>4</v>
      </c>
      <c r="H21" s="69" t="s">
        <v>25</v>
      </c>
      <c r="AA21" s="1">
        <v>15</v>
      </c>
      <c r="AB21" s="29" t="s">
        <v>32</v>
      </c>
      <c r="AC21" s="41">
        <v>0.28472222222222221</v>
      </c>
      <c r="AD21" s="41">
        <v>0.7104166666666667</v>
      </c>
      <c r="AE21" s="26">
        <f t="shared" si="0"/>
        <v>0.42569444444444449</v>
      </c>
      <c r="AF21" s="2">
        <v>5</v>
      </c>
      <c r="AG21" s="45" t="s">
        <v>25</v>
      </c>
      <c r="AM21" s="1">
        <v>15</v>
      </c>
      <c r="AN21" s="2" t="s">
        <v>273</v>
      </c>
      <c r="AO21" s="41">
        <v>0.28055555555555556</v>
      </c>
      <c r="AP21" s="41">
        <v>0.72222222222222221</v>
      </c>
      <c r="AQ21" s="26">
        <f t="shared" si="1"/>
        <v>0.44166666666666665</v>
      </c>
      <c r="AR21" s="2">
        <v>4</v>
      </c>
      <c r="AS21" s="45" t="s">
        <v>25</v>
      </c>
    </row>
    <row r="22" spans="1:48" ht="15" customHeight="1" x14ac:dyDescent="0.2">
      <c r="B22" s="1">
        <v>16</v>
      </c>
      <c r="C22" s="29" t="s">
        <v>69</v>
      </c>
      <c r="D22" s="41">
        <v>0.2722222222222222</v>
      </c>
      <c r="E22" s="41">
        <v>0.70972222222222225</v>
      </c>
      <c r="F22" s="26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0.43750000000000006</v>
      </c>
      <c r="G22" s="2">
        <v>4</v>
      </c>
      <c r="H22" s="69" t="s">
        <v>25</v>
      </c>
      <c r="AA22" s="1">
        <v>16</v>
      </c>
      <c r="AB22" s="29" t="s">
        <v>35</v>
      </c>
      <c r="AC22" s="41">
        <v>0.27638888888888885</v>
      </c>
      <c r="AD22" s="30">
        <v>0.69791666666666663</v>
      </c>
      <c r="AE22" s="26">
        <f t="shared" si="0"/>
        <v>0.42152777777777778</v>
      </c>
      <c r="AF22" s="2">
        <v>5</v>
      </c>
      <c r="AG22" s="45" t="s">
        <v>25</v>
      </c>
      <c r="AM22" s="1">
        <v>16</v>
      </c>
      <c r="AN22" s="2" t="s">
        <v>240</v>
      </c>
      <c r="AO22" s="41">
        <v>0.21875</v>
      </c>
      <c r="AP22" s="41">
        <v>0.68194444444444446</v>
      </c>
      <c r="AQ22" s="26">
        <f t="shared" si="1"/>
        <v>0.46319444444444446</v>
      </c>
      <c r="AR22" s="2">
        <v>4</v>
      </c>
      <c r="AS22" s="45" t="s">
        <v>25</v>
      </c>
    </row>
    <row r="23" spans="1:48" ht="15" customHeight="1" x14ac:dyDescent="0.2">
      <c r="B23" s="1">
        <v>17</v>
      </c>
      <c r="C23" s="29" t="s">
        <v>74</v>
      </c>
      <c r="D23" s="41">
        <v>0.25208333333333333</v>
      </c>
      <c r="E23" s="41">
        <v>0.69513888888888886</v>
      </c>
      <c r="F23" s="26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0.44305555555555554</v>
      </c>
      <c r="G23" s="2">
        <v>4</v>
      </c>
      <c r="H23" s="69" t="s">
        <v>25</v>
      </c>
      <c r="AA23" s="1">
        <v>17</v>
      </c>
      <c r="AB23" s="29" t="s">
        <v>41</v>
      </c>
      <c r="AC23" s="30">
        <v>0.2902777777777778</v>
      </c>
      <c r="AD23" s="30">
        <v>0.69930555555555562</v>
      </c>
      <c r="AE23" s="39">
        <f t="shared" si="0"/>
        <v>0.40902777777777782</v>
      </c>
      <c r="AF23" s="2">
        <v>5</v>
      </c>
      <c r="AG23" s="45" t="s">
        <v>25</v>
      </c>
      <c r="AM23" s="1">
        <v>17</v>
      </c>
      <c r="AN23" s="2" t="s">
        <v>274</v>
      </c>
      <c r="AO23" s="41">
        <v>0.22569444444444445</v>
      </c>
      <c r="AP23" s="41">
        <v>0.69097222222222221</v>
      </c>
      <c r="AQ23" s="26">
        <f t="shared" si="1"/>
        <v>0.46527777777777779</v>
      </c>
      <c r="AR23" s="2">
        <v>4</v>
      </c>
      <c r="AS23" s="45" t="s">
        <v>25</v>
      </c>
    </row>
    <row r="24" spans="1:48" ht="15" customHeight="1" x14ac:dyDescent="0.2">
      <c r="B24" s="1">
        <v>18</v>
      </c>
      <c r="C24" s="29" t="s">
        <v>75</v>
      </c>
      <c r="D24" s="41">
        <v>0.22569444444444445</v>
      </c>
      <c r="E24" s="41">
        <v>0.64583333333333337</v>
      </c>
      <c r="F24" s="26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0.42013888888888895</v>
      </c>
      <c r="G24" s="2">
        <v>4</v>
      </c>
      <c r="H24" s="69" t="s">
        <v>25</v>
      </c>
      <c r="AA24" s="1">
        <v>18</v>
      </c>
      <c r="AB24" s="29" t="s">
        <v>122</v>
      </c>
      <c r="AC24" s="30">
        <v>0.30902777777777779</v>
      </c>
      <c r="AD24" s="30">
        <v>0.70416666666666661</v>
      </c>
      <c r="AE24" s="39">
        <f t="shared" si="0"/>
        <v>0.39513888888888882</v>
      </c>
      <c r="AF24" s="29">
        <v>5</v>
      </c>
      <c r="AG24" s="45" t="s">
        <v>25</v>
      </c>
      <c r="AM24" s="50">
        <v>18</v>
      </c>
      <c r="AN24" s="31" t="s">
        <v>476</v>
      </c>
      <c r="AO24" s="32">
        <v>0.3125</v>
      </c>
      <c r="AP24" s="32">
        <v>0.61458333333333337</v>
      </c>
      <c r="AQ24" s="51">
        <f t="shared" si="1"/>
        <v>0.30208333333333337</v>
      </c>
      <c r="AR24" s="31">
        <v>4</v>
      </c>
      <c r="AS24" s="55" t="s">
        <v>25</v>
      </c>
    </row>
    <row r="25" spans="1:48" ht="14.5" customHeight="1" x14ac:dyDescent="0.2">
      <c r="B25" s="1">
        <v>19</v>
      </c>
      <c r="C25" s="29" t="s">
        <v>15</v>
      </c>
      <c r="D25" s="41">
        <v>0.22083333333333333</v>
      </c>
      <c r="E25" s="41">
        <v>0.6020833333333333</v>
      </c>
      <c r="F25" s="26">
        <f>Table13245678910111321252934394449546149141924293336424753919786104110116122127131136141914241930364248546066727782879297102107112117122132[[#This Row],[JAM MASUK]]-Table13245678910111321252934394449546149141924293336424753919786104110116122127131136141914241930364248546066727782879297102107112117122132[[#This Row],[JAM KELUAR]]</f>
        <v>0.38124999999999998</v>
      </c>
      <c r="G25" s="2">
        <v>4</v>
      </c>
      <c r="H25" s="69" t="s">
        <v>25</v>
      </c>
      <c r="AA25" s="1">
        <v>19</v>
      </c>
      <c r="AB25" s="29" t="s">
        <v>78</v>
      </c>
      <c r="AC25" s="30">
        <v>0.26527777777777778</v>
      </c>
      <c r="AD25" s="30">
        <v>0.66180555555555554</v>
      </c>
      <c r="AE25" s="39">
        <f t="shared" si="0"/>
        <v>0.39652777777777776</v>
      </c>
      <c r="AF25" s="29">
        <v>5</v>
      </c>
      <c r="AG25" s="45" t="s">
        <v>25</v>
      </c>
      <c r="AM25" s="1">
        <v>19</v>
      </c>
      <c r="AN25" s="2" t="s">
        <v>307</v>
      </c>
      <c r="AO25" s="41">
        <v>0.24374999999999999</v>
      </c>
      <c r="AP25" s="41">
        <v>0.61388888888888882</v>
      </c>
      <c r="AQ25" s="26">
        <f t="shared" si="1"/>
        <v>0.3701388888888888</v>
      </c>
      <c r="AR25" s="2">
        <v>4</v>
      </c>
      <c r="AS25" s="45" t="s">
        <v>25</v>
      </c>
    </row>
    <row r="26" spans="1:48" ht="14.5" customHeight="1" x14ac:dyDescent="0.2">
      <c r="N26" s="54"/>
      <c r="AA26" s="1">
        <v>20</v>
      </c>
      <c r="AB26" s="29" t="s">
        <v>46</v>
      </c>
      <c r="AC26" s="30">
        <v>0.25833333333333336</v>
      </c>
      <c r="AD26" s="30">
        <v>0.67013888888888884</v>
      </c>
      <c r="AE26" s="39">
        <f t="shared" si="0"/>
        <v>0.41180555555555548</v>
      </c>
      <c r="AF26" s="29">
        <v>5</v>
      </c>
      <c r="AG26" s="45" t="s">
        <v>25</v>
      </c>
      <c r="AM26" s="1">
        <v>20</v>
      </c>
      <c r="AN26" s="2" t="s">
        <v>237</v>
      </c>
      <c r="AO26" s="41">
        <v>0.25069444444444444</v>
      </c>
      <c r="AP26" s="41">
        <v>0.67361111111111116</v>
      </c>
      <c r="AQ26" s="26">
        <f t="shared" si="1"/>
        <v>0.42291666666666672</v>
      </c>
      <c r="AR26" s="2">
        <v>5</v>
      </c>
      <c r="AS26" s="45" t="s">
        <v>25</v>
      </c>
    </row>
    <row r="27" spans="1:48" ht="14.5" customHeight="1" x14ac:dyDescent="0.2">
      <c r="N27" s="54"/>
      <c r="Z27" s="56"/>
      <c r="AA27" s="1">
        <v>21</v>
      </c>
      <c r="AB27" s="29" t="s">
        <v>49</v>
      </c>
      <c r="AC27" s="30">
        <v>0.26874999999999999</v>
      </c>
      <c r="AD27" s="30">
        <v>0.68472222222222223</v>
      </c>
      <c r="AE27" s="39">
        <f t="shared" si="0"/>
        <v>0.41597222222222224</v>
      </c>
      <c r="AF27" s="29">
        <v>5</v>
      </c>
      <c r="AG27" s="45" t="s">
        <v>25</v>
      </c>
    </row>
    <row r="28" spans="1:48" x14ac:dyDescent="0.2">
      <c r="G28" s="34"/>
      <c r="H28" s="35" t="s">
        <v>90</v>
      </c>
      <c r="N28" s="54"/>
      <c r="AA28" s="1">
        <v>22</v>
      </c>
      <c r="AB28" s="2" t="s">
        <v>80</v>
      </c>
      <c r="AC28" s="30">
        <v>0.24652777777777779</v>
      </c>
      <c r="AD28" s="30">
        <v>0.6645833333333333</v>
      </c>
      <c r="AE28" s="39">
        <f t="shared" si="0"/>
        <v>0.41805555555555551</v>
      </c>
      <c r="AF28" s="29">
        <v>5</v>
      </c>
      <c r="AG28" s="45" t="s">
        <v>25</v>
      </c>
    </row>
    <row r="29" spans="1:48" x14ac:dyDescent="0.2">
      <c r="G29" s="56" t="s">
        <v>209</v>
      </c>
      <c r="H29" s="35" t="s">
        <v>92</v>
      </c>
      <c r="N29" s="54"/>
      <c r="AA29" s="1">
        <v>23</v>
      </c>
      <c r="AB29" s="29" t="s">
        <v>50</v>
      </c>
      <c r="AC29" s="30">
        <v>0.27569444444444446</v>
      </c>
      <c r="AD29" s="30">
        <v>0.70416666666666661</v>
      </c>
      <c r="AE29" s="39">
        <f t="shared" si="0"/>
        <v>0.42847222222222214</v>
      </c>
      <c r="AF29" s="29">
        <v>5</v>
      </c>
      <c r="AG29" s="45" t="s">
        <v>25</v>
      </c>
      <c r="AR29" s="34"/>
      <c r="AS29" s="35" t="s">
        <v>90</v>
      </c>
    </row>
    <row r="30" spans="1:48" x14ac:dyDescent="0.2">
      <c r="AA30" s="1">
        <v>24</v>
      </c>
      <c r="AB30" s="29" t="s">
        <v>81</v>
      </c>
      <c r="AC30" s="30">
        <v>0.22361111111111109</v>
      </c>
      <c r="AD30" s="30">
        <v>0.69513888888888886</v>
      </c>
      <c r="AE30" s="39">
        <f t="shared" si="0"/>
        <v>0.47152777777777777</v>
      </c>
      <c r="AF30" s="29">
        <v>5</v>
      </c>
      <c r="AG30" s="45" t="s">
        <v>25</v>
      </c>
      <c r="AR30" s="56" t="s">
        <v>209</v>
      </c>
      <c r="AS30" s="35" t="s">
        <v>92</v>
      </c>
    </row>
    <row r="31" spans="1:48" x14ac:dyDescent="0.2">
      <c r="AA31" s="1">
        <v>25</v>
      </c>
      <c r="AB31" s="29" t="s">
        <v>51</v>
      </c>
      <c r="AC31" s="30">
        <v>0.28819444444444448</v>
      </c>
      <c r="AD31" s="30">
        <v>0.70347222222222217</v>
      </c>
      <c r="AE31" s="39">
        <f t="shared" si="0"/>
        <v>0.41527777777777769</v>
      </c>
      <c r="AF31" s="29">
        <v>5</v>
      </c>
      <c r="AG31" s="45" t="s">
        <v>25</v>
      </c>
    </row>
    <row r="32" spans="1:48" x14ac:dyDescent="0.2">
      <c r="V32" s="1"/>
      <c r="AA32" s="1">
        <v>26</v>
      </c>
      <c r="AB32" s="29" t="s">
        <v>60</v>
      </c>
      <c r="AC32" s="30">
        <v>0.25277777777777777</v>
      </c>
      <c r="AD32" s="30">
        <v>0.68263888888888891</v>
      </c>
      <c r="AE32" s="39">
        <f t="shared" si="0"/>
        <v>0.42986111111111114</v>
      </c>
      <c r="AF32" s="29">
        <v>5</v>
      </c>
      <c r="AG32" s="45" t="s">
        <v>25</v>
      </c>
    </row>
    <row r="33" spans="1:33" x14ac:dyDescent="0.2">
      <c r="V33" s="1"/>
      <c r="AA33" s="1">
        <v>27</v>
      </c>
      <c r="AB33" s="29" t="s">
        <v>82</v>
      </c>
      <c r="AC33" s="30">
        <v>0.26180555555555557</v>
      </c>
      <c r="AD33" s="30">
        <v>0.70208333333333339</v>
      </c>
      <c r="AE33" s="39">
        <f t="shared" si="0"/>
        <v>0.44027777777777782</v>
      </c>
      <c r="AF33" s="29">
        <v>6</v>
      </c>
      <c r="AG33" s="45" t="s">
        <v>25</v>
      </c>
    </row>
    <row r="34" spans="1:33" x14ac:dyDescent="0.2">
      <c r="V34" s="1"/>
      <c r="AA34" s="50">
        <v>28</v>
      </c>
      <c r="AB34" s="33" t="s">
        <v>123</v>
      </c>
      <c r="AC34" s="44">
        <v>0.33888888888888885</v>
      </c>
      <c r="AD34" s="44">
        <v>0.7104166666666667</v>
      </c>
      <c r="AE34" s="52">
        <f t="shared" si="0"/>
        <v>0.37152777777777785</v>
      </c>
      <c r="AF34" s="33">
        <v>6</v>
      </c>
      <c r="AG34" s="55" t="s">
        <v>25</v>
      </c>
    </row>
    <row r="35" spans="1:33" x14ac:dyDescent="0.2">
      <c r="V35" s="1"/>
    </row>
    <row r="36" spans="1:33" x14ac:dyDescent="0.2">
      <c r="V36" s="1"/>
      <c r="AF36" s="34"/>
      <c r="AG36" s="35" t="s">
        <v>90</v>
      </c>
    </row>
    <row r="37" spans="1:33" x14ac:dyDescent="0.2">
      <c r="V37" s="1"/>
      <c r="AF37" s="56" t="s">
        <v>209</v>
      </c>
      <c r="AG37" s="35" t="s">
        <v>92</v>
      </c>
    </row>
    <row r="38" spans="1:33" x14ac:dyDescent="0.2">
      <c r="V38" s="1"/>
    </row>
    <row r="39" spans="1:33" x14ac:dyDescent="0.2">
      <c r="V39" s="1"/>
    </row>
    <row r="40" spans="1:33" x14ac:dyDescent="0.2">
      <c r="V40" s="1"/>
    </row>
    <row r="41" spans="1:33" ht="21" x14ac:dyDescent="0.25">
      <c r="A41" s="46"/>
    </row>
    <row r="48" spans="1:33" x14ac:dyDescent="0.2">
      <c r="O48" s="2" t="s">
        <v>0</v>
      </c>
      <c r="P48" s="2" t="s">
        <v>1</v>
      </c>
      <c r="Q48" s="22" t="s">
        <v>61</v>
      </c>
      <c r="R48" s="22" t="s">
        <v>62</v>
      </c>
      <c r="S48" s="22" t="s">
        <v>63</v>
      </c>
      <c r="T48" s="2" t="s">
        <v>2</v>
      </c>
      <c r="U48" s="2" t="s">
        <v>3</v>
      </c>
    </row>
    <row r="49" spans="15:22" x14ac:dyDescent="0.2">
      <c r="O49" s="27">
        <v>1</v>
      </c>
      <c r="P49" s="2"/>
      <c r="Q49" s="41"/>
      <c r="R49" s="42"/>
      <c r="S49" s="26"/>
      <c r="T49" s="2"/>
      <c r="U49" s="24"/>
    </row>
    <row r="50" spans="15:22" x14ac:dyDescent="0.2">
      <c r="O50" s="15">
        <v>2</v>
      </c>
      <c r="P50" s="29"/>
      <c r="Q50" s="30"/>
      <c r="R50" s="36"/>
      <c r="S50" s="26"/>
      <c r="T50" s="29"/>
      <c r="U50" s="24"/>
    </row>
    <row r="51" spans="15:22" x14ac:dyDescent="0.2">
      <c r="O51" s="15">
        <v>3</v>
      </c>
      <c r="P51" s="29"/>
      <c r="Q51" s="30"/>
      <c r="R51" s="36"/>
      <c r="S51" s="39"/>
      <c r="T51" s="29"/>
      <c r="U51" s="16"/>
    </row>
    <row r="52" spans="15:22" x14ac:dyDescent="0.2">
      <c r="O52" s="27">
        <v>4</v>
      </c>
      <c r="P52" s="29"/>
      <c r="Q52" s="30"/>
      <c r="R52" s="36"/>
      <c r="S52" s="39"/>
      <c r="T52" s="29"/>
      <c r="U52" s="24"/>
    </row>
    <row r="53" spans="15:22" x14ac:dyDescent="0.2">
      <c r="O53" s="15">
        <v>5</v>
      </c>
      <c r="P53" s="29"/>
      <c r="Q53" s="30"/>
      <c r="R53" s="36"/>
      <c r="S53" s="26"/>
      <c r="T53" s="29"/>
      <c r="U53" s="24"/>
    </row>
    <row r="54" spans="15:22" x14ac:dyDescent="0.2">
      <c r="O54" s="15">
        <v>6</v>
      </c>
      <c r="P54" s="29"/>
      <c r="Q54" s="30"/>
      <c r="R54" s="36"/>
      <c r="S54" s="26"/>
      <c r="T54" s="29"/>
      <c r="U54" s="24"/>
    </row>
    <row r="55" spans="15:22" x14ac:dyDescent="0.2">
      <c r="O55" s="27">
        <v>7</v>
      </c>
      <c r="P55" s="29"/>
      <c r="Q55" s="30"/>
      <c r="R55" s="36"/>
      <c r="S55" s="39"/>
      <c r="T55" s="29"/>
      <c r="U55" s="24"/>
    </row>
    <row r="56" spans="15:22" x14ac:dyDescent="0.2">
      <c r="O56" s="15">
        <v>8</v>
      </c>
      <c r="P56" s="29"/>
      <c r="Q56" s="30"/>
      <c r="R56" s="36"/>
      <c r="S56" s="26"/>
      <c r="T56" s="29"/>
      <c r="U56" s="24"/>
    </row>
    <row r="57" spans="15:22" x14ac:dyDescent="0.2">
      <c r="O57" s="15">
        <v>9</v>
      </c>
      <c r="P57" s="29"/>
      <c r="Q57" s="30"/>
      <c r="R57" s="36"/>
      <c r="S57" s="26"/>
      <c r="T57" s="29"/>
      <c r="U57" s="24"/>
    </row>
    <row r="58" spans="15:22" x14ac:dyDescent="0.2">
      <c r="O58" s="27">
        <v>10</v>
      </c>
      <c r="P58" s="29"/>
      <c r="Q58" s="30"/>
      <c r="R58" s="36"/>
      <c r="S58" s="26"/>
      <c r="T58" s="29"/>
      <c r="U58" s="24"/>
    </row>
    <row r="59" spans="15:22" x14ac:dyDescent="0.2">
      <c r="O59" s="15">
        <v>11</v>
      </c>
      <c r="P59" s="29"/>
      <c r="Q59" s="30"/>
      <c r="R59" s="36"/>
      <c r="S59" s="26"/>
      <c r="T59" s="29"/>
      <c r="U59" s="24"/>
    </row>
    <row r="60" spans="15:22" x14ac:dyDescent="0.2">
      <c r="O60" s="1">
        <v>12</v>
      </c>
      <c r="P60" s="29"/>
      <c r="Q60" s="30"/>
      <c r="R60" s="36"/>
      <c r="S60" s="39"/>
      <c r="T60" s="29"/>
      <c r="U60" s="25"/>
    </row>
    <row r="61" spans="15:22" x14ac:dyDescent="0.2">
      <c r="O61" s="28">
        <v>13</v>
      </c>
      <c r="P61" s="29"/>
      <c r="Q61" s="30"/>
      <c r="R61" s="36"/>
      <c r="S61" s="26"/>
      <c r="T61" s="29"/>
      <c r="U61" s="25"/>
    </row>
    <row r="62" spans="15:22" x14ac:dyDescent="0.2">
      <c r="O62" s="27">
        <v>14</v>
      </c>
      <c r="P62" s="29"/>
      <c r="Q62" s="30"/>
      <c r="R62" s="36"/>
      <c r="S62" s="26"/>
      <c r="T62" s="29"/>
      <c r="U62" s="24"/>
    </row>
    <row r="63" spans="15:22" x14ac:dyDescent="0.2">
      <c r="O63" s="15">
        <v>15</v>
      </c>
      <c r="P63" s="29"/>
      <c r="Q63" s="30"/>
      <c r="R63" s="36"/>
      <c r="S63" s="26"/>
      <c r="T63" s="29"/>
      <c r="U63" s="24"/>
      <c r="V63" s="1"/>
    </row>
    <row r="64" spans="15:22" x14ac:dyDescent="0.2">
      <c r="O64" s="1">
        <v>16</v>
      </c>
      <c r="P64" s="29"/>
      <c r="Q64" s="30"/>
      <c r="R64" s="36"/>
      <c r="S64" s="26"/>
      <c r="T64" s="29"/>
      <c r="U64" s="25"/>
      <c r="V64" s="1"/>
    </row>
    <row r="65" spans="15:22" x14ac:dyDescent="0.2">
      <c r="O65" s="28">
        <v>17</v>
      </c>
      <c r="P65" s="29"/>
      <c r="Q65" s="30"/>
      <c r="R65" s="36"/>
      <c r="S65" s="26"/>
      <c r="T65" s="29"/>
      <c r="U65" s="25"/>
      <c r="V65" s="1"/>
    </row>
    <row r="66" spans="15:22" x14ac:dyDescent="0.2">
      <c r="O66" s="27">
        <v>18</v>
      </c>
      <c r="P66" s="29"/>
      <c r="Q66" s="30"/>
      <c r="R66" s="36"/>
      <c r="S66" s="26"/>
      <c r="T66" s="29"/>
      <c r="U66" s="24"/>
    </row>
    <row r="67" spans="15:22" x14ac:dyDescent="0.2">
      <c r="O67" s="1">
        <v>19</v>
      </c>
      <c r="P67" s="29"/>
      <c r="Q67" s="30"/>
      <c r="R67" s="36"/>
      <c r="S67" s="39"/>
      <c r="T67" s="29"/>
      <c r="U67" s="25"/>
    </row>
    <row r="68" spans="15:22" x14ac:dyDescent="0.2">
      <c r="O68" s="1">
        <v>20</v>
      </c>
      <c r="P68" s="29"/>
      <c r="Q68" s="30"/>
      <c r="R68" s="36"/>
      <c r="S68" s="39"/>
      <c r="T68" s="29"/>
      <c r="U68" s="25"/>
    </row>
    <row r="69" spans="15:22" x14ac:dyDescent="0.2">
      <c r="O69" s="28">
        <v>21</v>
      </c>
      <c r="P69" s="29"/>
      <c r="Q69" s="30"/>
      <c r="R69" s="36"/>
      <c r="S69" s="26"/>
      <c r="T69" s="29"/>
      <c r="U69" s="25"/>
    </row>
    <row r="70" spans="15:22" x14ac:dyDescent="0.2">
      <c r="O70" s="27">
        <v>22</v>
      </c>
      <c r="P70" s="29"/>
      <c r="Q70" s="30"/>
      <c r="R70" s="36"/>
      <c r="S70" s="26"/>
      <c r="T70" s="29"/>
      <c r="U70" s="25"/>
    </row>
  </sheetData>
  <mergeCells count="19">
    <mergeCell ref="O1:X1"/>
    <mergeCell ref="AA1:AJ1"/>
    <mergeCell ref="AM1:AV1"/>
    <mergeCell ref="B2:K2"/>
    <mergeCell ref="O2:X2"/>
    <mergeCell ref="AA2:AJ2"/>
    <mergeCell ref="AM2:AV2"/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</mergeCells>
  <pageMargins left="0.12" right="0.12" top="0.75" bottom="0.75" header="0.3" footer="0.3"/>
  <pageSetup paperSize="5" scale="69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4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4E9D-3085-44FD-96D1-3C0C8736F12F}">
  <sheetPr>
    <tabColor theme="7" tint="0.39997558519241921"/>
  </sheetPr>
  <dimension ref="A1:AV72"/>
  <sheetViews>
    <sheetView showGridLines="0" view="pageBreakPreview" zoomScale="55" zoomScaleNormal="55" zoomScaleSheetLayoutView="55" zoomScalePageLayoutView="55" workbookViewId="0">
      <selection activeCell="AN7" sqref="AN7:AS31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2" x14ac:dyDescent="0.25">
      <c r="B1" s="59"/>
      <c r="C1" s="59"/>
      <c r="D1" s="59"/>
      <c r="E1" s="59"/>
      <c r="F1" s="59"/>
      <c r="G1" s="59"/>
      <c r="H1" s="59"/>
      <c r="I1" s="59"/>
      <c r="J1" s="59" t="s">
        <v>625</v>
      </c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COUNTIF(Table13245678910111321252934394449546149141924293336424753919786104110116122127131136141914241930364248546066727782879297102107112117122132137[Retase],"&gt;3")</f>
        <v>3</v>
      </c>
      <c r="D3" t="s">
        <v>241</v>
      </c>
      <c r="O3" s="60">
        <f>COUNTIF(Table134567891011172226303540455055625101520253034384348549298871051111171231281321371421015252031374349556167737883889398103108113118123133138[Retase],"&gt;3")</f>
        <v>1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COUNTIF(Table134567891011151819232731374247525927121722273228414652909680103109115121126120135140813231828344046525864707580859095100105110115120125135145[Retase],"&gt;4")</f>
        <v>14</v>
      </c>
      <c r="AM3" s="60">
        <f>COUNTIF(Table134567891011151819232731374247525927121722273228414652909680103109115121126120135140813231829354147535965717681869196101106111116121131136[Retase],"&gt;3")</f>
        <v>12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45438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45438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45438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45438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 t="s">
        <v>209</v>
      </c>
      <c r="B7" s="50">
        <v>1</v>
      </c>
      <c r="C7" s="33" t="s">
        <v>74</v>
      </c>
      <c r="D7" s="32">
        <v>0.39583333333333331</v>
      </c>
      <c r="E7" s="32">
        <v>0.60555555555555551</v>
      </c>
      <c r="F7" s="51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0.2097222222222222</v>
      </c>
      <c r="G7" s="31">
        <v>1</v>
      </c>
      <c r="H7" s="68" t="s">
        <v>195</v>
      </c>
      <c r="J7" s="4" t="s">
        <v>10</v>
      </c>
      <c r="K7" s="6">
        <v>23</v>
      </c>
      <c r="L7" s="19"/>
      <c r="N7" s="56"/>
      <c r="O7" s="15">
        <v>1</v>
      </c>
      <c r="P7" s="23" t="s">
        <v>201</v>
      </c>
      <c r="Q7" s="40">
        <v>0.28541666666666665</v>
      </c>
      <c r="R7" s="40">
        <v>0.41111111111111115</v>
      </c>
      <c r="S7" s="38">
        <f>Table134567891011172226303540455055625101520253034384348549298871051111171231281321371421015252031374349556167737883889398103108113118123133138[[#This Row],[JAM MASUK]]-Table134567891011172226303540455055625101520253034384348549298871051111171231281321371421015252031374349556167737883889398103108113118123133138[[#This Row],[JAM KELUAR]]</f>
        <v>0.1256944444444445</v>
      </c>
      <c r="T7" s="23">
        <v>1</v>
      </c>
      <c r="U7" s="16" t="s">
        <v>875</v>
      </c>
      <c r="W7" s="4" t="s">
        <v>10</v>
      </c>
      <c r="X7" s="6">
        <v>8</v>
      </c>
      <c r="AA7" s="15">
        <v>1</v>
      </c>
      <c r="AB7" s="23" t="s">
        <v>40</v>
      </c>
      <c r="AC7" s="21">
        <v>0.27430555555555552</v>
      </c>
      <c r="AD7" s="21">
        <v>0.64722222222222225</v>
      </c>
      <c r="AE7" s="37">
        <f t="shared" ref="AE7:AE31" si="0">AD7-AC7</f>
        <v>0.37291666666666673</v>
      </c>
      <c r="AF7" s="20">
        <v>2</v>
      </c>
      <c r="AG7" s="16" t="s">
        <v>865</v>
      </c>
      <c r="AI7" s="4" t="s">
        <v>10</v>
      </c>
      <c r="AJ7" s="6">
        <v>33</v>
      </c>
      <c r="AL7" s="56"/>
      <c r="AM7" s="15">
        <v>1</v>
      </c>
      <c r="AN7" s="20" t="s">
        <v>235</v>
      </c>
      <c r="AO7" s="21">
        <v>0.27777777777777779</v>
      </c>
      <c r="AP7" s="21">
        <v>0.3840277777777778</v>
      </c>
      <c r="AQ7" s="38">
        <f t="shared" ref="AQ7:AQ31" si="1">AP7-AO7</f>
        <v>0.10625000000000001</v>
      </c>
      <c r="AR7" s="20">
        <v>1</v>
      </c>
      <c r="AS7" s="16" t="s">
        <v>859</v>
      </c>
      <c r="AU7" s="4" t="s">
        <v>10</v>
      </c>
      <c r="AV7" s="6">
        <v>25</v>
      </c>
    </row>
    <row r="8" spans="1:48" s="1" customFormat="1" x14ac:dyDescent="0.2">
      <c r="A8" s="56"/>
      <c r="B8" s="15">
        <v>2</v>
      </c>
      <c r="C8" s="23" t="s">
        <v>17</v>
      </c>
      <c r="D8" s="21">
        <v>0.26180555555555557</v>
      </c>
      <c r="E8" s="21">
        <v>0.40347222222222223</v>
      </c>
      <c r="F8" s="38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0.14166666666666666</v>
      </c>
      <c r="G8" s="20">
        <v>1</v>
      </c>
      <c r="H8" s="67" t="s">
        <v>879</v>
      </c>
      <c r="J8" s="4" t="s">
        <v>9</v>
      </c>
      <c r="K8" s="7">
        <v>17</v>
      </c>
      <c r="L8" s="19"/>
      <c r="O8" s="50">
        <v>2</v>
      </c>
      <c r="P8" s="33" t="s">
        <v>42</v>
      </c>
      <c r="Q8" s="44">
        <v>0.36874999999999997</v>
      </c>
      <c r="R8" s="44">
        <v>0.48402777777777778</v>
      </c>
      <c r="S8" s="51">
        <f>Table134567891011172226303540455055625101520253034384348549298871051111171231281321371421015252031374349556167737883889398103108113118123133138[[#This Row],[JAM MASUK]]-Table134567891011172226303540455055625101520253034384348549298871051111171231281321371421015252031374349556167737883889398103108113118123133138[[#This Row],[JAM KELUAR]]</f>
        <v>0.11527777777777781</v>
      </c>
      <c r="T8" s="33">
        <v>1</v>
      </c>
      <c r="U8" s="55" t="s">
        <v>876</v>
      </c>
      <c r="W8" s="4" t="s">
        <v>9</v>
      </c>
      <c r="X8" s="7">
        <v>5</v>
      </c>
      <c r="Z8" s="56"/>
      <c r="AA8" s="15">
        <v>2</v>
      </c>
      <c r="AB8" s="23" t="s">
        <v>79</v>
      </c>
      <c r="AC8" s="40">
        <v>0.25833333333333336</v>
      </c>
      <c r="AD8" s="40">
        <v>0.64583333333333337</v>
      </c>
      <c r="AE8" s="38">
        <f t="shared" si="0"/>
        <v>0.38750000000000001</v>
      </c>
      <c r="AF8" s="20">
        <v>2</v>
      </c>
      <c r="AG8" s="16" t="s">
        <v>866</v>
      </c>
      <c r="AI8" s="4" t="s">
        <v>9</v>
      </c>
      <c r="AJ8" s="6">
        <v>25</v>
      </c>
      <c r="AM8" s="15">
        <v>2</v>
      </c>
      <c r="AN8" s="20" t="s">
        <v>307</v>
      </c>
      <c r="AO8" s="21">
        <v>0.24374999999999999</v>
      </c>
      <c r="AP8" s="21">
        <v>0.37083333333333335</v>
      </c>
      <c r="AQ8" s="38">
        <f t="shared" si="1"/>
        <v>0.12708333333333335</v>
      </c>
      <c r="AR8" s="20">
        <v>1</v>
      </c>
      <c r="AS8" s="16" t="s">
        <v>860</v>
      </c>
      <c r="AU8" s="4" t="s">
        <v>9</v>
      </c>
      <c r="AV8" s="6">
        <v>25</v>
      </c>
    </row>
    <row r="9" spans="1:48" s="1" customFormat="1" x14ac:dyDescent="0.2">
      <c r="A9" s="56"/>
      <c r="B9" s="15">
        <v>3</v>
      </c>
      <c r="C9" s="23" t="s">
        <v>70</v>
      </c>
      <c r="D9" s="21">
        <v>0.28055555555555556</v>
      </c>
      <c r="E9" s="21" t="s">
        <v>310</v>
      </c>
      <c r="F9" s="38" t="e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#VALUE!</v>
      </c>
      <c r="G9" s="20">
        <v>1</v>
      </c>
      <c r="H9" s="67" t="s">
        <v>880</v>
      </c>
      <c r="J9" s="4" t="s">
        <v>4</v>
      </c>
      <c r="K9" s="7">
        <v>0</v>
      </c>
      <c r="L9" s="19"/>
      <c r="N9" s="56"/>
      <c r="O9" s="15">
        <v>3</v>
      </c>
      <c r="P9" s="23" t="s">
        <v>36</v>
      </c>
      <c r="Q9" s="40">
        <v>0.27569444444444446</v>
      </c>
      <c r="R9" s="40">
        <v>0.56388888888888888</v>
      </c>
      <c r="S9" s="38">
        <f>Table134567891011172226303540455055625101520253034384348549298871051111171231281321371421015252031374349556167737883889398103108113118123133138[[#This Row],[JAM MASUK]]-Table134567891011172226303540455055625101520253034384348549298871051111171231281321371421015252031374349556167737883889398103108113118123133138[[#This Row],[JAM KELUAR]]</f>
        <v>0.28819444444444442</v>
      </c>
      <c r="T9" s="23">
        <v>2</v>
      </c>
      <c r="U9" s="16" t="s">
        <v>877</v>
      </c>
      <c r="W9" s="4" t="s">
        <v>4</v>
      </c>
      <c r="X9" s="7">
        <v>0</v>
      </c>
      <c r="Z9" s="56"/>
      <c r="AA9" s="50">
        <v>3</v>
      </c>
      <c r="AB9" s="33" t="s">
        <v>123</v>
      </c>
      <c r="AC9" s="44">
        <v>0.29583333333333334</v>
      </c>
      <c r="AD9" s="44">
        <v>0.56319444444444444</v>
      </c>
      <c r="AE9" s="51">
        <f t="shared" si="0"/>
        <v>0.2673611111111111</v>
      </c>
      <c r="AF9" s="31">
        <v>3</v>
      </c>
      <c r="AG9" s="55" t="s">
        <v>867</v>
      </c>
      <c r="AI9" s="4" t="s">
        <v>4</v>
      </c>
      <c r="AJ9" s="7">
        <v>1</v>
      </c>
      <c r="AM9" s="15">
        <v>3</v>
      </c>
      <c r="AN9" s="20" t="s">
        <v>301</v>
      </c>
      <c r="AO9" s="21">
        <v>0.24444444444444446</v>
      </c>
      <c r="AP9" s="21">
        <v>0.57152777777777775</v>
      </c>
      <c r="AQ9" s="38">
        <f t="shared" si="1"/>
        <v>0.32708333333333328</v>
      </c>
      <c r="AR9" s="20">
        <v>2</v>
      </c>
      <c r="AS9" s="16" t="s">
        <v>861</v>
      </c>
      <c r="AU9" s="4" t="s">
        <v>4</v>
      </c>
      <c r="AV9" s="7">
        <v>0</v>
      </c>
    </row>
    <row r="10" spans="1:48" s="1" customFormat="1" x14ac:dyDescent="0.2">
      <c r="A10" s="56" t="s">
        <v>209</v>
      </c>
      <c r="B10" s="50">
        <v>4</v>
      </c>
      <c r="C10" s="33" t="s">
        <v>12</v>
      </c>
      <c r="D10" s="32">
        <v>0.4513888888888889</v>
      </c>
      <c r="E10" s="32">
        <v>0.66388888888888886</v>
      </c>
      <c r="F10" s="51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0.21249999999999997</v>
      </c>
      <c r="G10" s="31">
        <v>2</v>
      </c>
      <c r="H10" s="55" t="s">
        <v>888</v>
      </c>
      <c r="J10" s="4" t="s">
        <v>5</v>
      </c>
      <c r="K10" s="7">
        <v>6</v>
      </c>
      <c r="L10" s="19"/>
      <c r="N10" s="56"/>
      <c r="O10" s="15">
        <v>4</v>
      </c>
      <c r="P10" s="23" t="s">
        <v>39</v>
      </c>
      <c r="Q10" s="40">
        <v>0.30208333333333331</v>
      </c>
      <c r="R10" s="40">
        <v>0.59513888888888888</v>
      </c>
      <c r="S10" s="38">
        <f>Table134567891011172226303540455055625101520253034384348549298871051111171231281321371421015252031374349556167737883889398103108113118123133138[[#This Row],[JAM MASUK]]-Table134567891011172226303540455055625101520253034384348549298871051111171231281321371421015252031374349556167737883889398103108113118123133138[[#This Row],[JAM KELUAR]]</f>
        <v>0.29305555555555557</v>
      </c>
      <c r="T10" s="23">
        <v>2</v>
      </c>
      <c r="U10" s="16" t="s">
        <v>878</v>
      </c>
      <c r="W10" s="4" t="s">
        <v>5</v>
      </c>
      <c r="X10" s="7">
        <v>3</v>
      </c>
      <c r="Z10" s="56"/>
      <c r="AA10" s="15">
        <v>4</v>
      </c>
      <c r="AB10" s="23" t="s">
        <v>58</v>
      </c>
      <c r="AC10" s="40">
        <v>0.27569444444444446</v>
      </c>
      <c r="AD10" s="40">
        <v>0.56666666666666665</v>
      </c>
      <c r="AE10" s="38">
        <f t="shared" si="0"/>
        <v>0.29097222222222219</v>
      </c>
      <c r="AF10" s="20">
        <v>3</v>
      </c>
      <c r="AG10" s="16" t="s">
        <v>868</v>
      </c>
      <c r="AI10" s="4" t="s">
        <v>5</v>
      </c>
      <c r="AJ10" s="7">
        <v>7</v>
      </c>
      <c r="AL10" s="54"/>
      <c r="AM10" s="15">
        <v>4</v>
      </c>
      <c r="AN10" s="20" t="s">
        <v>230</v>
      </c>
      <c r="AO10" s="21">
        <v>0.20555555555555557</v>
      </c>
      <c r="AP10" s="21">
        <v>0.53263888888888888</v>
      </c>
      <c r="AQ10" s="38">
        <f t="shared" si="1"/>
        <v>0.32708333333333328</v>
      </c>
      <c r="AR10" s="20">
        <v>2</v>
      </c>
      <c r="AS10" s="16" t="s">
        <v>862</v>
      </c>
      <c r="AU10" s="4" t="s">
        <v>5</v>
      </c>
      <c r="AV10" s="7">
        <v>0</v>
      </c>
    </row>
    <row r="11" spans="1:48" s="1" customFormat="1" x14ac:dyDescent="0.2">
      <c r="A11" s="56" t="s">
        <v>209</v>
      </c>
      <c r="B11" s="50">
        <v>5</v>
      </c>
      <c r="C11" s="33" t="s">
        <v>15</v>
      </c>
      <c r="D11" s="32">
        <v>0.43402777777777773</v>
      </c>
      <c r="E11" s="32">
        <v>0.66319444444444442</v>
      </c>
      <c r="F11" s="51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0.22916666666666669</v>
      </c>
      <c r="G11" s="31">
        <v>2</v>
      </c>
      <c r="H11" s="73" t="s">
        <v>881</v>
      </c>
      <c r="J11" s="4" t="s">
        <v>6</v>
      </c>
      <c r="K11" s="7">
        <v>0</v>
      </c>
      <c r="N11" s="56"/>
      <c r="O11" s="1">
        <v>5</v>
      </c>
      <c r="P11" s="29" t="s">
        <v>83</v>
      </c>
      <c r="Q11" s="30">
        <v>0.2722222222222222</v>
      </c>
      <c r="R11" s="30">
        <v>0.7090277777777777</v>
      </c>
      <c r="S11" s="26">
        <f>Table134567891011172226303540455055625101520253034384348549298871051111171231281321371421015252031374349556167737883889398103108113118123133138[[#This Row],[JAM MASUK]]-Table134567891011172226303540455055625101520253034384348549298871051111171231281321371421015252031374349556167737883889398103108113118123133138[[#This Row],[JAM KELUAR]]</f>
        <v>0.4368055555555555</v>
      </c>
      <c r="T11" s="29">
        <v>4</v>
      </c>
      <c r="U11" s="45" t="s">
        <v>25</v>
      </c>
      <c r="W11" s="4" t="s">
        <v>33</v>
      </c>
      <c r="X11" s="7">
        <v>0</v>
      </c>
      <c r="Z11" s="56"/>
      <c r="AA11" s="50">
        <v>5</v>
      </c>
      <c r="AB11" s="33" t="s">
        <v>34</v>
      </c>
      <c r="AC11" s="44">
        <v>0.29722222222222222</v>
      </c>
      <c r="AD11" s="44">
        <v>0.60625000000000007</v>
      </c>
      <c r="AE11" s="51">
        <f t="shared" si="0"/>
        <v>0.30902777777777785</v>
      </c>
      <c r="AF11" s="31">
        <v>3</v>
      </c>
      <c r="AG11" s="55" t="s">
        <v>869</v>
      </c>
      <c r="AI11" s="4" t="s">
        <v>6</v>
      </c>
      <c r="AJ11" s="7">
        <v>0</v>
      </c>
      <c r="AM11" s="15">
        <v>5</v>
      </c>
      <c r="AN11" s="20" t="s">
        <v>275</v>
      </c>
      <c r="AO11" s="21">
        <v>0.25277777777777777</v>
      </c>
      <c r="AP11" s="21">
        <v>0.53402777777777777</v>
      </c>
      <c r="AQ11" s="38">
        <f t="shared" si="1"/>
        <v>0.28125</v>
      </c>
      <c r="AR11" s="20">
        <v>2</v>
      </c>
      <c r="AS11" s="16" t="s">
        <v>863</v>
      </c>
      <c r="AU11" s="4" t="s">
        <v>6</v>
      </c>
      <c r="AV11" s="7">
        <v>14</v>
      </c>
    </row>
    <row r="12" spans="1:48" s="1" customFormat="1" x14ac:dyDescent="0.2">
      <c r="A12" s="56"/>
      <c r="B12" s="15">
        <v>6</v>
      </c>
      <c r="C12" s="23" t="s">
        <v>19</v>
      </c>
      <c r="D12" s="21">
        <v>0.28194444444444444</v>
      </c>
      <c r="E12" s="21" t="s">
        <v>310</v>
      </c>
      <c r="F12" s="38" t="e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#VALUE!</v>
      </c>
      <c r="G12" s="20">
        <v>2</v>
      </c>
      <c r="H12" s="65" t="s">
        <v>882</v>
      </c>
      <c r="J12" s="8" t="s">
        <v>8</v>
      </c>
      <c r="K12" s="9">
        <f>SUM(Table13245678910111321252934394449546149141924293336424753919786104110116122127131136141914241930364248546066727782879297102107112117122132137[Retase])</f>
        <v>45</v>
      </c>
      <c r="L12" s="19"/>
      <c r="N12" s="54"/>
      <c r="O12"/>
      <c r="P12"/>
      <c r="Q12"/>
      <c r="R12"/>
      <c r="S12"/>
      <c r="T12"/>
      <c r="U12"/>
      <c r="W12" s="8" t="s">
        <v>8</v>
      </c>
      <c r="X12" s="9">
        <f>SUM(Table134567891011172226303540455055625101520253034384348549298871051111171231281321371421015252031374349556167737883889398103108113118123133138[Retase])</f>
        <v>10</v>
      </c>
      <c r="AA12" s="15">
        <v>6</v>
      </c>
      <c r="AB12" s="23" t="s">
        <v>41</v>
      </c>
      <c r="AC12" s="40">
        <v>0.28125</v>
      </c>
      <c r="AD12" s="40">
        <v>0.56111111111111112</v>
      </c>
      <c r="AE12" s="38">
        <f t="shared" si="0"/>
        <v>0.27986111111111112</v>
      </c>
      <c r="AF12" s="20">
        <v>3</v>
      </c>
      <c r="AG12" s="16" t="s">
        <v>870</v>
      </c>
      <c r="AI12" s="8" t="s">
        <v>8</v>
      </c>
      <c r="AJ12" s="9">
        <f>SUM(Table134567891011151819232731374247525927121722273228414652909680103109115121126120135140813231828344046525864707580859095100105110115120125135145[Retase])</f>
        <v>112</v>
      </c>
      <c r="AM12" s="15">
        <v>6</v>
      </c>
      <c r="AN12" s="20" t="s">
        <v>302</v>
      </c>
      <c r="AO12" s="21">
        <v>0.27777777777777779</v>
      </c>
      <c r="AP12" s="21">
        <v>0.63958333333333328</v>
      </c>
      <c r="AQ12" s="38">
        <f t="shared" si="1"/>
        <v>0.36180555555555549</v>
      </c>
      <c r="AR12" s="20">
        <v>3</v>
      </c>
      <c r="AS12" s="16" t="s">
        <v>89</v>
      </c>
      <c r="AU12" s="8" t="s">
        <v>8</v>
      </c>
      <c r="AV12" s="9">
        <f>SUM(Table134567891011151819232731374247525927121722273228414652909680103109115121126120135140813231829354147535965717681869196101106111116121131136[Retase])</f>
        <v>82</v>
      </c>
    </row>
    <row r="13" spans="1:48" s="1" customFormat="1" x14ac:dyDescent="0.2">
      <c r="A13" s="56" t="s">
        <v>209</v>
      </c>
      <c r="B13" s="50">
        <v>7</v>
      </c>
      <c r="C13" s="33" t="s">
        <v>65</v>
      </c>
      <c r="D13" s="32">
        <v>0.35902777777777778</v>
      </c>
      <c r="E13" s="32">
        <v>0.68819444444444444</v>
      </c>
      <c r="F13" s="51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0.32916666666666666</v>
      </c>
      <c r="G13" s="31">
        <v>3</v>
      </c>
      <c r="H13" s="73" t="s">
        <v>883</v>
      </c>
      <c r="J13" s="10" t="s">
        <v>7</v>
      </c>
      <c r="K13" s="11">
        <f>K12/K8</f>
        <v>2.6470588235294117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2</v>
      </c>
      <c r="Z13" s="56"/>
      <c r="AA13" s="15">
        <v>7</v>
      </c>
      <c r="AB13" s="23" t="s">
        <v>46</v>
      </c>
      <c r="AC13" s="40">
        <v>0.26041666666666669</v>
      </c>
      <c r="AD13" s="40" t="s">
        <v>310</v>
      </c>
      <c r="AE13" s="38" t="e">
        <f t="shared" si="0"/>
        <v>#VALUE!</v>
      </c>
      <c r="AF13" s="20">
        <v>3</v>
      </c>
      <c r="AG13" s="16" t="s">
        <v>871</v>
      </c>
      <c r="AI13" s="10" t="s">
        <v>7</v>
      </c>
      <c r="AJ13" s="11">
        <f>AJ12/AJ8</f>
        <v>4.4800000000000004</v>
      </c>
      <c r="AM13" s="50">
        <v>7</v>
      </c>
      <c r="AN13" s="31" t="s">
        <v>231</v>
      </c>
      <c r="AO13" s="32">
        <v>0.30624999999999997</v>
      </c>
      <c r="AP13" s="32">
        <v>0.69861111111111107</v>
      </c>
      <c r="AQ13" s="51">
        <f t="shared" si="1"/>
        <v>0.3923611111111111</v>
      </c>
      <c r="AR13" s="31">
        <v>3</v>
      </c>
      <c r="AS13" s="55" t="s">
        <v>864</v>
      </c>
      <c r="AU13" s="10" t="s">
        <v>7</v>
      </c>
      <c r="AV13" s="11">
        <f>AV12/AV8</f>
        <v>3.28</v>
      </c>
    </row>
    <row r="14" spans="1:48" s="1" customFormat="1" x14ac:dyDescent="0.2">
      <c r="A14"/>
      <c r="B14" s="15">
        <v>8</v>
      </c>
      <c r="C14" s="23" t="s">
        <v>13</v>
      </c>
      <c r="D14" s="21">
        <v>0.25416666666666665</v>
      </c>
      <c r="E14" s="21">
        <v>0.55208333333333337</v>
      </c>
      <c r="F14" s="38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0.29791666666666672</v>
      </c>
      <c r="G14" s="20">
        <v>3</v>
      </c>
      <c r="H14" s="67" t="s">
        <v>884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15">
        <v>8</v>
      </c>
      <c r="AB14" s="23" t="s">
        <v>31</v>
      </c>
      <c r="AC14" s="40">
        <v>0.28819444444444448</v>
      </c>
      <c r="AD14" s="40">
        <v>0.6479166666666667</v>
      </c>
      <c r="AE14" s="38">
        <f t="shared" si="0"/>
        <v>0.35972222222222222</v>
      </c>
      <c r="AF14" s="20">
        <v>4</v>
      </c>
      <c r="AG14" s="16" t="s">
        <v>872</v>
      </c>
      <c r="AI14" s="12" t="s">
        <v>11</v>
      </c>
      <c r="AJ14" s="13">
        <v>5</v>
      </c>
      <c r="AM14" s="50">
        <v>8</v>
      </c>
      <c r="AN14" s="31" t="s">
        <v>239</v>
      </c>
      <c r="AO14" s="32">
        <v>0.37638888888888888</v>
      </c>
      <c r="AP14" s="32">
        <v>0.69791666666666663</v>
      </c>
      <c r="AQ14" s="51">
        <f t="shared" si="1"/>
        <v>0.32152777777777775</v>
      </c>
      <c r="AR14" s="31">
        <v>3</v>
      </c>
      <c r="AS14" s="55" t="s">
        <v>889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3" t="s">
        <v>20</v>
      </c>
      <c r="D15" s="21">
        <v>0.25763888888888892</v>
      </c>
      <c r="E15" s="21">
        <v>0.65555555555555556</v>
      </c>
      <c r="F15" s="38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0.39791666666666664</v>
      </c>
      <c r="G15" s="20">
        <v>3</v>
      </c>
      <c r="H15" s="67" t="s">
        <v>885</v>
      </c>
      <c r="J15" s="12" t="s">
        <v>88</v>
      </c>
      <c r="K15" s="14">
        <f>B3/K8</f>
        <v>0.17647058823529413</v>
      </c>
      <c r="L15" s="19"/>
      <c r="O15"/>
      <c r="P15"/>
      <c r="Q15"/>
      <c r="R15"/>
      <c r="S15"/>
      <c r="T15"/>
      <c r="U15"/>
      <c r="W15" s="12" t="s">
        <v>88</v>
      </c>
      <c r="X15" s="14">
        <f>O3/X8</f>
        <v>0.2</v>
      </c>
      <c r="Z15" s="56" t="s">
        <v>209</v>
      </c>
      <c r="AA15" s="50">
        <v>9</v>
      </c>
      <c r="AB15" s="33" t="s">
        <v>309</v>
      </c>
      <c r="AC15" s="44">
        <v>0.41319444444444442</v>
      </c>
      <c r="AD15" s="44">
        <v>0.75694444444444453</v>
      </c>
      <c r="AE15" s="51">
        <f t="shared" si="0"/>
        <v>0.34375000000000011</v>
      </c>
      <c r="AF15" s="31">
        <v>4</v>
      </c>
      <c r="AG15" s="55" t="s">
        <v>873</v>
      </c>
      <c r="AI15" s="12" t="s">
        <v>88</v>
      </c>
      <c r="AJ15" s="14">
        <f>AA3/AJ8</f>
        <v>0.56000000000000005</v>
      </c>
      <c r="AM15" s="15">
        <v>9</v>
      </c>
      <c r="AN15" s="20" t="s">
        <v>273</v>
      </c>
      <c r="AO15" s="21">
        <v>0.28958333333333336</v>
      </c>
      <c r="AP15" s="21">
        <v>0.66319444444444442</v>
      </c>
      <c r="AQ15" s="38">
        <f t="shared" si="1"/>
        <v>0.37361111111111106</v>
      </c>
      <c r="AR15" s="20">
        <v>3</v>
      </c>
      <c r="AS15" s="16" t="s">
        <v>89</v>
      </c>
      <c r="AU15" s="12" t="s">
        <v>88</v>
      </c>
      <c r="AV15" s="14">
        <f>AM3/AV8</f>
        <v>0.48</v>
      </c>
    </row>
    <row r="16" spans="1:48" x14ac:dyDescent="0.2">
      <c r="B16" s="15">
        <v>10</v>
      </c>
      <c r="C16" s="23" t="s">
        <v>14</v>
      </c>
      <c r="D16" s="21">
        <v>0.27430555555555552</v>
      </c>
      <c r="E16" s="21">
        <v>0.63958333333333328</v>
      </c>
      <c r="F16" s="38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0.36527777777777776</v>
      </c>
      <c r="G16" s="20">
        <v>3</v>
      </c>
      <c r="H16" s="16" t="s">
        <v>89</v>
      </c>
      <c r="J16" s="12" t="s">
        <v>24</v>
      </c>
      <c r="K16" s="14">
        <f>K8/K7</f>
        <v>0.73913043478260865</v>
      </c>
      <c r="T16" s="34"/>
      <c r="U16" s="35" t="s">
        <v>90</v>
      </c>
      <c r="W16" s="12" t="s">
        <v>27</v>
      </c>
      <c r="X16" s="14">
        <f>X8/X7</f>
        <v>0.625</v>
      </c>
      <c r="AA16" s="15">
        <v>10</v>
      </c>
      <c r="AB16" s="23" t="s">
        <v>56</v>
      </c>
      <c r="AC16" s="40">
        <v>0.25694444444444448</v>
      </c>
      <c r="AD16" s="40">
        <v>0.5805555555555556</v>
      </c>
      <c r="AE16" s="38">
        <f t="shared" si="0"/>
        <v>0.32361111111111113</v>
      </c>
      <c r="AF16" s="20">
        <v>4</v>
      </c>
      <c r="AG16" s="16" t="s">
        <v>874</v>
      </c>
      <c r="AI16" s="12" t="s">
        <v>27</v>
      </c>
      <c r="AJ16" s="14">
        <f>AJ8/AJ7</f>
        <v>0.75757575757575757</v>
      </c>
      <c r="AM16" s="15">
        <v>10</v>
      </c>
      <c r="AN16" s="20" t="s">
        <v>240</v>
      </c>
      <c r="AO16" s="21">
        <v>0.25208333333333333</v>
      </c>
      <c r="AP16" s="21">
        <v>0.69305555555555554</v>
      </c>
      <c r="AQ16" s="38">
        <f t="shared" si="1"/>
        <v>0.44097222222222221</v>
      </c>
      <c r="AR16" s="20">
        <v>3</v>
      </c>
      <c r="AS16" s="16" t="s">
        <v>89</v>
      </c>
      <c r="AU16" s="12" t="s">
        <v>27</v>
      </c>
      <c r="AV16" s="14">
        <f>AV8/AV7</f>
        <v>1</v>
      </c>
    </row>
    <row r="17" spans="1:48" x14ac:dyDescent="0.2">
      <c r="B17" s="15">
        <v>11</v>
      </c>
      <c r="C17" s="23" t="s">
        <v>72</v>
      </c>
      <c r="D17" s="21">
        <v>0.23333333333333331</v>
      </c>
      <c r="E17" s="21">
        <v>0.57152777777777775</v>
      </c>
      <c r="F17" s="38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0.33819444444444446</v>
      </c>
      <c r="G17" s="20">
        <v>3</v>
      </c>
      <c r="H17" s="67" t="s">
        <v>886</v>
      </c>
      <c r="J17" s="12" t="s">
        <v>117</v>
      </c>
      <c r="K17" s="48">
        <f>AVERAGE(Table13245678910111321252934394449546149141924293336424753919786104110116122127131136141914241930364248546066727782879297102107112117122132137[JAM KELUAR])</f>
        <v>0.28897058823529409</v>
      </c>
      <c r="T17" s="56" t="s">
        <v>209</v>
      </c>
      <c r="U17" s="35" t="s">
        <v>92</v>
      </c>
      <c r="W17" s="12" t="s">
        <v>117</v>
      </c>
      <c r="X17" s="48">
        <f>AVERAGE(Table134567891011172226303540455055625101520253034384348549298871051111171231281321371421015252031374349556167737883889398103108113118123133138[JAM KELUAR])</f>
        <v>0.30083333333333329</v>
      </c>
      <c r="Z17" s="56"/>
      <c r="AA17" s="15">
        <v>11</v>
      </c>
      <c r="AB17" s="23" t="s">
        <v>51</v>
      </c>
      <c r="AC17" s="40">
        <v>0.28263888888888888</v>
      </c>
      <c r="AD17" s="40">
        <v>0.65625</v>
      </c>
      <c r="AE17" s="38">
        <f t="shared" si="0"/>
        <v>0.37361111111111112</v>
      </c>
      <c r="AF17" s="20">
        <v>4</v>
      </c>
      <c r="AG17" s="16" t="s">
        <v>867</v>
      </c>
      <c r="AI17" s="12" t="s">
        <v>117</v>
      </c>
      <c r="AJ17" s="48">
        <f>AVERAGE(Table134567891011151819232731374247525927121722273228414652909680103109115121126120135140813231828344046525864707580859095100105110115120125135145[JAM KELUAR])</f>
        <v>0.2702222222222222</v>
      </c>
      <c r="AM17" s="15">
        <v>11</v>
      </c>
      <c r="AN17" s="20" t="s">
        <v>278</v>
      </c>
      <c r="AO17" s="21">
        <v>0.28194444444444444</v>
      </c>
      <c r="AP17" s="21">
        <v>0.67569444444444438</v>
      </c>
      <c r="AQ17" s="38">
        <f t="shared" si="1"/>
        <v>0.39374999999999993</v>
      </c>
      <c r="AR17" s="20">
        <v>3</v>
      </c>
      <c r="AS17" s="16" t="s">
        <v>89</v>
      </c>
      <c r="AU17" s="12" t="s">
        <v>117</v>
      </c>
      <c r="AV17" s="48">
        <f>AVERAGE(Table134567891011151819232731374247525927121722273228414652909680103109115121126120135140813231829354147535965717681869196101106111116121131136[JAM KELUAR])</f>
        <v>0.26541666666666663</v>
      </c>
    </row>
    <row r="18" spans="1:48" x14ac:dyDescent="0.2">
      <c r="B18" s="15">
        <v>12</v>
      </c>
      <c r="C18" s="23" t="s">
        <v>75</v>
      </c>
      <c r="D18" s="21">
        <v>0.22500000000000001</v>
      </c>
      <c r="E18" s="21">
        <v>0.64097222222222217</v>
      </c>
      <c r="F18" s="38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0.41597222222222219</v>
      </c>
      <c r="G18" s="20">
        <v>3</v>
      </c>
      <c r="H18" s="65" t="s">
        <v>887</v>
      </c>
      <c r="AA18" s="1">
        <v>12</v>
      </c>
      <c r="AB18" s="29" t="s">
        <v>30</v>
      </c>
      <c r="AC18" s="30">
        <v>0.21736111111111112</v>
      </c>
      <c r="AD18" s="30">
        <v>0.67013888888888884</v>
      </c>
      <c r="AE18" s="26">
        <f t="shared" si="0"/>
        <v>0.45277777777777772</v>
      </c>
      <c r="AF18" s="2">
        <v>5</v>
      </c>
      <c r="AG18" s="45" t="s">
        <v>25</v>
      </c>
      <c r="AI18" s="17"/>
      <c r="AM18" s="15">
        <v>12</v>
      </c>
      <c r="AN18" s="20" t="s">
        <v>280</v>
      </c>
      <c r="AO18" s="21">
        <v>0.21597222222222223</v>
      </c>
      <c r="AP18" s="21">
        <v>0.58124999999999993</v>
      </c>
      <c r="AQ18" s="38">
        <f t="shared" si="1"/>
        <v>0.3652777777777777</v>
      </c>
      <c r="AR18" s="20">
        <v>3</v>
      </c>
      <c r="AS18" s="16" t="s">
        <v>89</v>
      </c>
      <c r="AU18" s="17"/>
    </row>
    <row r="19" spans="1:48" ht="15.75" customHeight="1" x14ac:dyDescent="0.2">
      <c r="A19" s="56"/>
      <c r="B19" s="15">
        <v>13</v>
      </c>
      <c r="C19" s="23" t="s">
        <v>120</v>
      </c>
      <c r="D19" s="21">
        <v>0.25486111111111109</v>
      </c>
      <c r="E19" s="21">
        <v>0.66805555555555562</v>
      </c>
      <c r="F19" s="38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0.41319444444444453</v>
      </c>
      <c r="G19" s="20">
        <v>3</v>
      </c>
      <c r="H19" s="16" t="s">
        <v>89</v>
      </c>
      <c r="Z19" s="56"/>
      <c r="AA19" s="1">
        <v>13</v>
      </c>
      <c r="AB19" s="29" t="s">
        <v>32</v>
      </c>
      <c r="AC19" s="30">
        <v>0.26458333333333334</v>
      </c>
      <c r="AD19" s="30">
        <v>0.6743055555555556</v>
      </c>
      <c r="AE19" s="26">
        <f t="shared" si="0"/>
        <v>0.40972222222222227</v>
      </c>
      <c r="AF19" s="2">
        <v>5</v>
      </c>
      <c r="AG19" s="45" t="s">
        <v>25</v>
      </c>
      <c r="AM19" s="15">
        <v>13</v>
      </c>
      <c r="AN19" s="20" t="s">
        <v>475</v>
      </c>
      <c r="AO19" s="21">
        <v>0.25625000000000003</v>
      </c>
      <c r="AP19" s="21">
        <v>0.6743055555555556</v>
      </c>
      <c r="AQ19" s="38">
        <f t="shared" si="1"/>
        <v>0.41805555555555557</v>
      </c>
      <c r="AR19" s="20">
        <v>3</v>
      </c>
      <c r="AS19" s="16" t="s">
        <v>89</v>
      </c>
    </row>
    <row r="20" spans="1:48" ht="17.25" customHeight="1" x14ac:dyDescent="0.2">
      <c r="B20" s="15">
        <v>14</v>
      </c>
      <c r="C20" s="23" t="s">
        <v>16</v>
      </c>
      <c r="D20" s="21">
        <v>0.25555555555555559</v>
      </c>
      <c r="E20" s="21">
        <v>0.60069444444444442</v>
      </c>
      <c r="F20" s="38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0.34513888888888883</v>
      </c>
      <c r="G20" s="20">
        <v>3</v>
      </c>
      <c r="H20" s="16" t="s">
        <v>89</v>
      </c>
      <c r="AA20" s="1">
        <v>14</v>
      </c>
      <c r="AB20" s="29" t="s">
        <v>35</v>
      </c>
      <c r="AC20" s="30">
        <v>0.27708333333333335</v>
      </c>
      <c r="AD20" s="30">
        <v>0.66805555555555562</v>
      </c>
      <c r="AE20" s="26">
        <f t="shared" si="0"/>
        <v>0.39097222222222228</v>
      </c>
      <c r="AF20" s="2">
        <v>5</v>
      </c>
      <c r="AG20" s="45" t="s">
        <v>25</v>
      </c>
      <c r="AM20" s="50">
        <v>14</v>
      </c>
      <c r="AN20" s="31" t="s">
        <v>300</v>
      </c>
      <c r="AO20" s="32">
        <v>0.29236111111111113</v>
      </c>
      <c r="AP20" s="32">
        <v>0.72152777777777777</v>
      </c>
      <c r="AQ20" s="51">
        <f t="shared" si="1"/>
        <v>0.42916666666666664</v>
      </c>
      <c r="AR20" s="31">
        <v>4</v>
      </c>
      <c r="AS20" s="55" t="s">
        <v>25</v>
      </c>
    </row>
    <row r="21" spans="1:48" ht="15.75" customHeight="1" x14ac:dyDescent="0.2">
      <c r="A21" s="56"/>
      <c r="B21" s="1">
        <v>15</v>
      </c>
      <c r="C21" s="29" t="s">
        <v>71</v>
      </c>
      <c r="D21" s="41">
        <v>0.23541666666666669</v>
      </c>
      <c r="E21" s="41">
        <v>0.70624999999999993</v>
      </c>
      <c r="F21" s="26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0.47083333333333321</v>
      </c>
      <c r="G21" s="2">
        <v>4</v>
      </c>
      <c r="H21" s="25" t="s">
        <v>25</v>
      </c>
      <c r="AA21" s="1">
        <v>15</v>
      </c>
      <c r="AB21" s="29" t="s">
        <v>48</v>
      </c>
      <c r="AC21" s="41">
        <v>0.26111111111111113</v>
      </c>
      <c r="AD21" s="30">
        <v>0.64097222222222217</v>
      </c>
      <c r="AE21" s="26">
        <f t="shared" si="0"/>
        <v>0.37986111111111104</v>
      </c>
      <c r="AF21" s="2">
        <v>5</v>
      </c>
      <c r="AG21" s="45" t="s">
        <v>25</v>
      </c>
      <c r="AM21" s="1">
        <v>15</v>
      </c>
      <c r="AN21" s="2" t="s">
        <v>234</v>
      </c>
      <c r="AO21" s="41">
        <v>0.25069444444444444</v>
      </c>
      <c r="AP21" s="41">
        <v>0.72222222222222221</v>
      </c>
      <c r="AQ21" s="26">
        <f t="shared" si="1"/>
        <v>0.47152777777777777</v>
      </c>
      <c r="AR21" s="2">
        <v>4</v>
      </c>
      <c r="AS21" s="45" t="s">
        <v>25</v>
      </c>
    </row>
    <row r="22" spans="1:48" ht="15" customHeight="1" x14ac:dyDescent="0.2">
      <c r="B22" s="1">
        <v>16</v>
      </c>
      <c r="C22" s="29" t="s">
        <v>68</v>
      </c>
      <c r="D22" s="41">
        <v>0.25555555555555559</v>
      </c>
      <c r="E22" s="41">
        <v>0.68055555555555547</v>
      </c>
      <c r="F22" s="26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0.42499999999999988</v>
      </c>
      <c r="G22" s="2">
        <v>4</v>
      </c>
      <c r="H22" s="25" t="s">
        <v>25</v>
      </c>
      <c r="AA22" s="1">
        <v>16</v>
      </c>
      <c r="AB22" s="29" t="s">
        <v>45</v>
      </c>
      <c r="AC22" s="41">
        <v>0.23958333333333334</v>
      </c>
      <c r="AD22" s="41">
        <v>0.65902777777777777</v>
      </c>
      <c r="AE22" s="26">
        <f t="shared" si="0"/>
        <v>0.4194444444444444</v>
      </c>
      <c r="AF22" s="2">
        <v>5</v>
      </c>
      <c r="AG22" s="45" t="s">
        <v>25</v>
      </c>
      <c r="AM22" s="1">
        <v>16</v>
      </c>
      <c r="AN22" s="2" t="s">
        <v>236</v>
      </c>
      <c r="AO22" s="41">
        <v>0.25833333333333336</v>
      </c>
      <c r="AP22" s="41">
        <v>0.66666666666666663</v>
      </c>
      <c r="AQ22" s="26">
        <f t="shared" si="1"/>
        <v>0.40833333333333327</v>
      </c>
      <c r="AR22" s="2">
        <v>4</v>
      </c>
      <c r="AS22" s="45" t="s">
        <v>25</v>
      </c>
    </row>
    <row r="23" spans="1:48" ht="15" customHeight="1" x14ac:dyDescent="0.2">
      <c r="B23" s="1">
        <v>17</v>
      </c>
      <c r="C23" s="29" t="s">
        <v>76</v>
      </c>
      <c r="D23" s="41">
        <v>0.20208333333333331</v>
      </c>
      <c r="E23" s="41">
        <v>0.70277777777777783</v>
      </c>
      <c r="F23" s="26">
        <f>Table13245678910111321252934394449546149141924293336424753919786104110116122127131136141914241930364248546066727782879297102107112117122132137[[#This Row],[JAM MASUK]]-Table13245678910111321252934394449546149141924293336424753919786104110116122127131136141914241930364248546066727782879297102107112117122132137[[#This Row],[JAM KELUAR]]</f>
        <v>0.50069444444444455</v>
      </c>
      <c r="G23" s="2">
        <v>4</v>
      </c>
      <c r="H23" s="25" t="s">
        <v>25</v>
      </c>
      <c r="AA23" s="1">
        <v>17</v>
      </c>
      <c r="AB23" s="29" t="s">
        <v>49</v>
      </c>
      <c r="AC23" s="41">
        <v>0.25486111111111109</v>
      </c>
      <c r="AD23" s="30">
        <v>0.67569444444444438</v>
      </c>
      <c r="AE23" s="39">
        <f t="shared" si="0"/>
        <v>0.42083333333333328</v>
      </c>
      <c r="AF23" s="2">
        <v>5</v>
      </c>
      <c r="AG23" s="45" t="s">
        <v>25</v>
      </c>
      <c r="AM23" s="1">
        <v>17</v>
      </c>
      <c r="AN23" s="2" t="s">
        <v>271</v>
      </c>
      <c r="AO23" s="41">
        <v>0.29236111111111113</v>
      </c>
      <c r="AP23" s="41">
        <v>0.73263888888888884</v>
      </c>
      <c r="AQ23" s="26">
        <f t="shared" si="1"/>
        <v>0.44027777777777771</v>
      </c>
      <c r="AR23" s="2">
        <v>4</v>
      </c>
      <c r="AS23" s="45" t="s">
        <v>25</v>
      </c>
    </row>
    <row r="24" spans="1:48" ht="15" customHeight="1" x14ac:dyDescent="0.2">
      <c r="AA24" s="1">
        <v>18</v>
      </c>
      <c r="AB24" s="29" t="s">
        <v>47</v>
      </c>
      <c r="AC24" s="30">
        <v>0.27083333333333331</v>
      </c>
      <c r="AD24" s="30">
        <v>0.68541666666666667</v>
      </c>
      <c r="AE24" s="39">
        <f t="shared" si="0"/>
        <v>0.41458333333333336</v>
      </c>
      <c r="AF24" s="29">
        <v>5</v>
      </c>
      <c r="AG24" s="45" t="s">
        <v>25</v>
      </c>
      <c r="AM24" s="1">
        <v>18</v>
      </c>
      <c r="AN24" s="2" t="s">
        <v>238</v>
      </c>
      <c r="AO24" s="41">
        <v>0.25625000000000003</v>
      </c>
      <c r="AP24" s="41">
        <v>0.53402777777777777</v>
      </c>
      <c r="AQ24" s="26">
        <f t="shared" si="1"/>
        <v>0.27777777777777773</v>
      </c>
      <c r="AR24" s="2">
        <v>4</v>
      </c>
      <c r="AS24" s="45" t="s">
        <v>25</v>
      </c>
    </row>
    <row r="25" spans="1:48" ht="14.5" customHeight="1" x14ac:dyDescent="0.2">
      <c r="AA25" s="1">
        <v>19</v>
      </c>
      <c r="AB25" s="29" t="s">
        <v>60</v>
      </c>
      <c r="AC25" s="30">
        <v>0.24374999999999999</v>
      </c>
      <c r="AD25" s="30">
        <v>0.70624999999999993</v>
      </c>
      <c r="AE25" s="39">
        <f t="shared" si="0"/>
        <v>0.46249999999999991</v>
      </c>
      <c r="AF25" s="29">
        <v>5</v>
      </c>
      <c r="AG25" s="45" t="s">
        <v>25</v>
      </c>
      <c r="AM25" s="1">
        <v>19</v>
      </c>
      <c r="AN25" s="2" t="s">
        <v>274</v>
      </c>
      <c r="AO25" s="41">
        <v>0.28541666666666665</v>
      </c>
      <c r="AP25" s="41">
        <v>0.72638888888888886</v>
      </c>
      <c r="AQ25" s="26">
        <f t="shared" si="1"/>
        <v>0.44097222222222221</v>
      </c>
      <c r="AR25" s="2">
        <v>4</v>
      </c>
      <c r="AS25" s="45" t="s">
        <v>25</v>
      </c>
    </row>
    <row r="26" spans="1:48" ht="14.5" customHeight="1" x14ac:dyDescent="0.2">
      <c r="G26" s="34"/>
      <c r="H26" s="35" t="s">
        <v>90</v>
      </c>
      <c r="N26" s="54"/>
      <c r="AA26" s="1">
        <v>20</v>
      </c>
      <c r="AB26" s="29" t="s">
        <v>67</v>
      </c>
      <c r="AC26" s="30">
        <v>0.24652777777777779</v>
      </c>
      <c r="AD26" s="30">
        <v>0.75624999999999998</v>
      </c>
      <c r="AE26" s="39">
        <f t="shared" si="0"/>
        <v>0.50972222222222219</v>
      </c>
      <c r="AF26" s="29">
        <v>6</v>
      </c>
      <c r="AG26" s="45" t="s">
        <v>25</v>
      </c>
      <c r="AM26" s="1">
        <v>20</v>
      </c>
      <c r="AN26" s="2" t="s">
        <v>279</v>
      </c>
      <c r="AO26" s="41">
        <v>0.26111111111111113</v>
      </c>
      <c r="AP26" s="41">
        <v>0.74722222222222223</v>
      </c>
      <c r="AQ26" s="26">
        <f t="shared" si="1"/>
        <v>0.4861111111111111</v>
      </c>
      <c r="AR26" s="2">
        <v>4</v>
      </c>
      <c r="AS26" s="45" t="s">
        <v>25</v>
      </c>
    </row>
    <row r="27" spans="1:48" ht="14.5" customHeight="1" x14ac:dyDescent="0.2">
      <c r="G27" s="56" t="s">
        <v>209</v>
      </c>
      <c r="H27" s="35" t="s">
        <v>92</v>
      </c>
      <c r="N27" s="54"/>
      <c r="Z27" s="56"/>
      <c r="AA27" s="1">
        <v>21</v>
      </c>
      <c r="AB27" s="29" t="s">
        <v>77</v>
      </c>
      <c r="AC27" s="30">
        <v>0.23611111111111113</v>
      </c>
      <c r="AD27" s="30">
        <v>0.72291666666666676</v>
      </c>
      <c r="AE27" s="39">
        <f t="shared" si="0"/>
        <v>0.4868055555555556</v>
      </c>
      <c r="AF27" s="29">
        <v>6</v>
      </c>
      <c r="AG27" s="45" t="s">
        <v>25</v>
      </c>
      <c r="AM27" s="1">
        <v>21</v>
      </c>
      <c r="AN27" s="2" t="s">
        <v>303</v>
      </c>
      <c r="AO27" s="41">
        <v>0.25416666666666665</v>
      </c>
      <c r="AP27" s="41">
        <v>0.71597222222222223</v>
      </c>
      <c r="AQ27" s="26">
        <f t="shared" si="1"/>
        <v>0.46180555555555558</v>
      </c>
      <c r="AR27" s="2">
        <v>4</v>
      </c>
      <c r="AS27" s="45" t="s">
        <v>25</v>
      </c>
    </row>
    <row r="28" spans="1:48" x14ac:dyDescent="0.2">
      <c r="N28" s="54"/>
      <c r="AA28" s="1">
        <v>22</v>
      </c>
      <c r="AB28" s="2" t="s">
        <v>78</v>
      </c>
      <c r="AC28" s="30">
        <v>0.25833333333333336</v>
      </c>
      <c r="AD28" s="30">
        <v>0.65069444444444446</v>
      </c>
      <c r="AE28" s="39">
        <f t="shared" si="0"/>
        <v>0.3923611111111111</v>
      </c>
      <c r="AF28" s="29">
        <v>6</v>
      </c>
      <c r="AG28" s="45" t="s">
        <v>25</v>
      </c>
      <c r="AM28" s="1">
        <v>22</v>
      </c>
      <c r="AN28" s="2" t="s">
        <v>476</v>
      </c>
      <c r="AO28" s="41">
        <v>0.26597222222222222</v>
      </c>
      <c r="AP28" s="41">
        <v>0.69097222222222221</v>
      </c>
      <c r="AQ28" s="26">
        <f t="shared" si="1"/>
        <v>0.42499999999999999</v>
      </c>
      <c r="AR28" s="2">
        <v>4</v>
      </c>
      <c r="AS28" s="45" t="s">
        <v>25</v>
      </c>
    </row>
    <row r="29" spans="1:48" x14ac:dyDescent="0.2">
      <c r="N29" s="54"/>
      <c r="AA29" s="1">
        <v>23</v>
      </c>
      <c r="AB29" s="29" t="s">
        <v>80</v>
      </c>
      <c r="AC29" s="30">
        <v>0.2673611111111111</v>
      </c>
      <c r="AD29" s="30">
        <v>0.69097222222222221</v>
      </c>
      <c r="AE29" s="39">
        <f t="shared" si="0"/>
        <v>0.4236111111111111</v>
      </c>
      <c r="AF29" s="29">
        <v>6</v>
      </c>
      <c r="AG29" s="45" t="s">
        <v>25</v>
      </c>
      <c r="AM29" s="1">
        <v>23</v>
      </c>
      <c r="AN29" s="2" t="s">
        <v>306</v>
      </c>
      <c r="AO29" s="41">
        <v>0.23680555555555557</v>
      </c>
      <c r="AP29" s="41">
        <v>0.69930555555555562</v>
      </c>
      <c r="AQ29" s="26">
        <f t="shared" si="1"/>
        <v>0.46250000000000002</v>
      </c>
      <c r="AR29" s="2">
        <v>4</v>
      </c>
      <c r="AS29" s="45" t="s">
        <v>25</v>
      </c>
    </row>
    <row r="30" spans="1:48" x14ac:dyDescent="0.2">
      <c r="AA30" s="1">
        <v>24</v>
      </c>
      <c r="AB30" s="29" t="s">
        <v>81</v>
      </c>
      <c r="AC30" s="30">
        <v>0.28333333333333333</v>
      </c>
      <c r="AD30" s="30">
        <v>0.75069444444444444</v>
      </c>
      <c r="AE30" s="39">
        <f t="shared" si="0"/>
        <v>0.46736111111111112</v>
      </c>
      <c r="AF30" s="29">
        <v>6</v>
      </c>
      <c r="AG30" s="45" t="s">
        <v>25</v>
      </c>
      <c r="AM30" s="1">
        <v>24</v>
      </c>
      <c r="AN30" s="2" t="s">
        <v>233</v>
      </c>
      <c r="AO30" s="41">
        <v>0.24652777777777779</v>
      </c>
      <c r="AP30" s="41">
        <v>0.69097222222222221</v>
      </c>
      <c r="AQ30" s="26">
        <f t="shared" si="1"/>
        <v>0.44444444444444442</v>
      </c>
      <c r="AR30" s="2">
        <v>5</v>
      </c>
      <c r="AS30" s="45" t="s">
        <v>25</v>
      </c>
    </row>
    <row r="31" spans="1:48" x14ac:dyDescent="0.2">
      <c r="AA31" s="1">
        <v>25</v>
      </c>
      <c r="AB31" s="29" t="s">
        <v>82</v>
      </c>
      <c r="AC31" s="30">
        <v>0.25069444444444444</v>
      </c>
      <c r="AD31" s="30">
        <v>0.71875</v>
      </c>
      <c r="AE31" s="39">
        <f t="shared" si="0"/>
        <v>0.46805555555555556</v>
      </c>
      <c r="AF31" s="29">
        <v>7</v>
      </c>
      <c r="AG31" s="45" t="s">
        <v>25</v>
      </c>
      <c r="AM31" s="1">
        <v>25</v>
      </c>
      <c r="AN31" s="2" t="s">
        <v>237</v>
      </c>
      <c r="AO31" s="41">
        <v>0.25486111111111109</v>
      </c>
      <c r="AP31" s="41">
        <v>0.75138888888888899</v>
      </c>
      <c r="AQ31" s="26">
        <f t="shared" si="1"/>
        <v>0.4965277777777779</v>
      </c>
      <c r="AR31" s="2">
        <v>5</v>
      </c>
      <c r="AS31" s="45" t="s">
        <v>25</v>
      </c>
    </row>
    <row r="32" spans="1:48" x14ac:dyDescent="0.2">
      <c r="V32" s="1"/>
    </row>
    <row r="33" spans="1:45" x14ac:dyDescent="0.2">
      <c r="V33" s="1"/>
      <c r="AF33" s="34"/>
      <c r="AG33" s="35" t="s">
        <v>90</v>
      </c>
    </row>
    <row r="34" spans="1:45" x14ac:dyDescent="0.2">
      <c r="V34" s="1"/>
      <c r="AF34" s="56" t="s">
        <v>209</v>
      </c>
      <c r="AG34" s="35" t="s">
        <v>92</v>
      </c>
      <c r="AR34" s="34"/>
      <c r="AS34" s="35" t="s">
        <v>90</v>
      </c>
    </row>
    <row r="35" spans="1:45" x14ac:dyDescent="0.2">
      <c r="V35" s="1"/>
      <c r="AR35" s="56" t="s">
        <v>209</v>
      </c>
      <c r="AS35" s="35" t="s">
        <v>92</v>
      </c>
    </row>
    <row r="36" spans="1:45" x14ac:dyDescent="0.2">
      <c r="V36" s="1"/>
    </row>
    <row r="37" spans="1:45" x14ac:dyDescent="0.2">
      <c r="V37" s="1"/>
    </row>
    <row r="38" spans="1:45" x14ac:dyDescent="0.2">
      <c r="V38" s="1"/>
    </row>
    <row r="39" spans="1:45" x14ac:dyDescent="0.2">
      <c r="V39" s="1"/>
    </row>
    <row r="40" spans="1:45" x14ac:dyDescent="0.2">
      <c r="V40" s="1"/>
    </row>
    <row r="41" spans="1:45" ht="21" x14ac:dyDescent="0.25">
      <c r="A41" s="46"/>
    </row>
    <row r="50" spans="15:22" x14ac:dyDescent="0.2">
      <c r="O50" s="2" t="s">
        <v>0</v>
      </c>
      <c r="P50" s="2" t="s">
        <v>1</v>
      </c>
      <c r="Q50" s="22" t="s">
        <v>61</v>
      </c>
      <c r="R50" s="22" t="s">
        <v>62</v>
      </c>
      <c r="S50" s="22" t="s">
        <v>63</v>
      </c>
      <c r="T50" s="2" t="s">
        <v>2</v>
      </c>
      <c r="U50" s="2" t="s">
        <v>3</v>
      </c>
    </row>
    <row r="51" spans="15:22" x14ac:dyDescent="0.2">
      <c r="O51" s="27">
        <v>1</v>
      </c>
      <c r="P51" s="2"/>
      <c r="Q51" s="41"/>
      <c r="R51" s="42"/>
      <c r="S51" s="26"/>
      <c r="T51" s="2"/>
      <c r="U51" s="24"/>
    </row>
    <row r="52" spans="15:22" x14ac:dyDescent="0.2">
      <c r="O52" s="15">
        <v>2</v>
      </c>
      <c r="P52" s="29"/>
      <c r="Q52" s="30"/>
      <c r="R52" s="36"/>
      <c r="S52" s="26"/>
      <c r="T52" s="29"/>
      <c r="U52" s="24"/>
    </row>
    <row r="53" spans="15:22" x14ac:dyDescent="0.2">
      <c r="O53" s="15">
        <v>3</v>
      </c>
      <c r="P53" s="29"/>
      <c r="Q53" s="30"/>
      <c r="R53" s="36"/>
      <c r="S53" s="39"/>
      <c r="T53" s="29"/>
      <c r="U53" s="16"/>
    </row>
    <row r="54" spans="15:22" x14ac:dyDescent="0.2">
      <c r="O54" s="27">
        <v>4</v>
      </c>
      <c r="P54" s="29"/>
      <c r="Q54" s="30"/>
      <c r="R54" s="36"/>
      <c r="S54" s="39"/>
      <c r="T54" s="29"/>
      <c r="U54" s="24"/>
    </row>
    <row r="55" spans="15:22" x14ac:dyDescent="0.2">
      <c r="O55" s="15">
        <v>5</v>
      </c>
      <c r="P55" s="29"/>
      <c r="Q55" s="30"/>
      <c r="R55" s="36"/>
      <c r="S55" s="26"/>
      <c r="T55" s="29"/>
      <c r="U55" s="24"/>
    </row>
    <row r="56" spans="15:22" x14ac:dyDescent="0.2">
      <c r="O56" s="15">
        <v>6</v>
      </c>
      <c r="P56" s="29"/>
      <c r="Q56" s="30"/>
      <c r="R56" s="36"/>
      <c r="S56" s="26"/>
      <c r="T56" s="29"/>
      <c r="U56" s="24"/>
    </row>
    <row r="57" spans="15:22" x14ac:dyDescent="0.2">
      <c r="O57" s="27">
        <v>7</v>
      </c>
      <c r="P57" s="29"/>
      <c r="Q57" s="30"/>
      <c r="R57" s="36"/>
      <c r="S57" s="39"/>
      <c r="T57" s="29"/>
      <c r="U57" s="24"/>
    </row>
    <row r="58" spans="15:22" x14ac:dyDescent="0.2">
      <c r="O58" s="15">
        <v>8</v>
      </c>
      <c r="P58" s="29"/>
      <c r="Q58" s="30"/>
      <c r="R58" s="36"/>
      <c r="S58" s="26"/>
      <c r="T58" s="29"/>
      <c r="U58" s="24"/>
    </row>
    <row r="59" spans="15:22" x14ac:dyDescent="0.2">
      <c r="O59" s="15">
        <v>9</v>
      </c>
      <c r="P59" s="29"/>
      <c r="Q59" s="30"/>
      <c r="R59" s="36"/>
      <c r="S59" s="26"/>
      <c r="T59" s="29"/>
      <c r="U59" s="24"/>
    </row>
    <row r="60" spans="15:22" x14ac:dyDescent="0.2">
      <c r="O60" s="27">
        <v>10</v>
      </c>
      <c r="P60" s="29"/>
      <c r="Q60" s="30"/>
      <c r="R60" s="36"/>
      <c r="S60" s="26"/>
      <c r="T60" s="29"/>
      <c r="U60" s="24"/>
    </row>
    <row r="61" spans="15:22" x14ac:dyDescent="0.2">
      <c r="O61" s="15">
        <v>11</v>
      </c>
      <c r="P61" s="29"/>
      <c r="Q61" s="30"/>
      <c r="R61" s="36"/>
      <c r="S61" s="26"/>
      <c r="T61" s="29"/>
      <c r="U61" s="24"/>
    </row>
    <row r="62" spans="15:22" x14ac:dyDescent="0.2">
      <c r="O62" s="1">
        <v>12</v>
      </c>
      <c r="P62" s="29"/>
      <c r="Q62" s="30"/>
      <c r="R62" s="36"/>
      <c r="S62" s="39"/>
      <c r="T62" s="29"/>
      <c r="U62" s="25"/>
    </row>
    <row r="63" spans="15:22" x14ac:dyDescent="0.2">
      <c r="O63" s="28">
        <v>13</v>
      </c>
      <c r="P63" s="29"/>
      <c r="Q63" s="30"/>
      <c r="R63" s="36"/>
      <c r="S63" s="26"/>
      <c r="T63" s="29"/>
      <c r="U63" s="25"/>
      <c r="V63" s="1"/>
    </row>
    <row r="64" spans="15:22" x14ac:dyDescent="0.2">
      <c r="O64" s="27">
        <v>14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5">
        <v>15</v>
      </c>
      <c r="P65" s="29"/>
      <c r="Q65" s="30"/>
      <c r="R65" s="36"/>
      <c r="S65" s="26"/>
      <c r="T65" s="29"/>
      <c r="U65" s="24"/>
      <c r="V65" s="1"/>
    </row>
    <row r="66" spans="15:22" x14ac:dyDescent="0.2">
      <c r="O66" s="1">
        <v>16</v>
      </c>
      <c r="P66" s="29"/>
      <c r="Q66" s="30"/>
      <c r="R66" s="36"/>
      <c r="S66" s="26"/>
      <c r="T66" s="29"/>
      <c r="U66" s="25"/>
    </row>
    <row r="67" spans="15:22" x14ac:dyDescent="0.2">
      <c r="O67" s="28">
        <v>17</v>
      </c>
      <c r="P67" s="29"/>
      <c r="Q67" s="30"/>
      <c r="R67" s="36"/>
      <c r="S67" s="26"/>
      <c r="T67" s="29"/>
      <c r="U67" s="25"/>
    </row>
    <row r="68" spans="15:22" x14ac:dyDescent="0.2">
      <c r="O68" s="27">
        <v>18</v>
      </c>
      <c r="P68" s="29"/>
      <c r="Q68" s="30"/>
      <c r="R68" s="36"/>
      <c r="S68" s="26"/>
      <c r="T68" s="29"/>
      <c r="U68" s="24"/>
    </row>
    <row r="69" spans="15:22" x14ac:dyDescent="0.2">
      <c r="O69" s="1">
        <v>19</v>
      </c>
      <c r="P69" s="29"/>
      <c r="Q69" s="30"/>
      <c r="R69" s="36"/>
      <c r="S69" s="39"/>
      <c r="T69" s="29"/>
      <c r="U69" s="25"/>
    </row>
    <row r="70" spans="15:22" x14ac:dyDescent="0.2">
      <c r="O70" s="1">
        <v>20</v>
      </c>
      <c r="P70" s="29"/>
      <c r="Q70" s="30"/>
      <c r="R70" s="36"/>
      <c r="S70" s="39"/>
      <c r="T70" s="29"/>
      <c r="U70" s="25"/>
    </row>
    <row r="71" spans="15:22" x14ac:dyDescent="0.2">
      <c r="O71" s="28">
        <v>21</v>
      </c>
      <c r="P71" s="29"/>
      <c r="Q71" s="30"/>
      <c r="R71" s="36"/>
      <c r="S71" s="26"/>
      <c r="T71" s="29"/>
      <c r="U71" s="25"/>
    </row>
    <row r="72" spans="15:22" x14ac:dyDescent="0.2">
      <c r="O72" s="27">
        <v>22</v>
      </c>
      <c r="P72" s="29"/>
      <c r="Q72" s="30"/>
      <c r="R72" s="36"/>
      <c r="S72" s="26"/>
      <c r="T72" s="29"/>
      <c r="U72" s="25"/>
    </row>
  </sheetData>
  <mergeCells count="19">
    <mergeCell ref="O1:X1"/>
    <mergeCell ref="AA1:AJ1"/>
    <mergeCell ref="AM1:AV1"/>
    <mergeCell ref="B2:K2"/>
    <mergeCell ref="O2:X2"/>
    <mergeCell ref="AA2:AJ2"/>
    <mergeCell ref="AM2:AV2"/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</mergeCells>
  <pageMargins left="0.12" right="0.12" top="0.75" bottom="0.75" header="0.3" footer="0.3"/>
  <pageSetup paperSize="5" scale="69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4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E134-B9A4-4582-A499-2EFEC3B168C9}">
  <sheetPr>
    <tabColor theme="7" tint="0.39997558519241921"/>
  </sheetPr>
  <dimension ref="A1:AV71"/>
  <sheetViews>
    <sheetView showGridLines="0" view="pageBreakPreview" topLeftCell="AS1" zoomScale="70" zoomScaleNormal="55" zoomScaleSheetLayoutView="70" zoomScalePageLayoutView="55" workbookViewId="0">
      <selection activeCell="AN7" sqref="AN7:AS31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2" x14ac:dyDescent="0.25">
      <c r="B1" s="59"/>
      <c r="C1" s="59"/>
      <c r="D1" s="59"/>
      <c r="E1" s="59"/>
      <c r="F1" s="59"/>
      <c r="G1" s="59"/>
      <c r="H1" s="59"/>
      <c r="I1" s="59"/>
      <c r="J1" s="59" t="s">
        <v>625</v>
      </c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COUNTIF(Table13245678910111321252934394449546149141924293336424753919786104110116122127131136141914241930364248546066727782879297102107112117122132137147[Retase],"&gt;3")</f>
        <v>5</v>
      </c>
      <c r="D3" t="s">
        <v>241</v>
      </c>
      <c r="O3" s="60">
        <f>COUNTIF(Table134567891011172226303540455055625101520253034384348549298871051111171231281321371421015252031374349556167737883889398103108113118123133138148[Retase],"&gt;3")</f>
        <v>0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COUNTIF(Table134567891011151819232731374247525927121722273228414652909680103109115121126120135140813231828344046525864707580859095100105110115120125135145150[Retase],"&gt;4")</f>
        <v>15</v>
      </c>
      <c r="AM3" s="60">
        <f>COUNTIF(Table134567891011151819232731374247525927121722273228414652909680103109115121126120135140813231829354147535965717681869196101106111116121131136146[Retase],"&gt;3")</f>
        <v>15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45439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45439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45439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45439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 t="s">
        <v>209</v>
      </c>
      <c r="B7" s="50">
        <v>1</v>
      </c>
      <c r="C7" s="33" t="s">
        <v>13</v>
      </c>
      <c r="D7" s="32">
        <v>0.38680555555555557</v>
      </c>
      <c r="E7" s="32">
        <v>0.68263888888888891</v>
      </c>
      <c r="F7" s="51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0.29583333333333334</v>
      </c>
      <c r="G7" s="31">
        <v>1</v>
      </c>
      <c r="H7" s="68" t="s">
        <v>910</v>
      </c>
      <c r="J7" s="4" t="s">
        <v>10</v>
      </c>
      <c r="K7" s="6">
        <v>23</v>
      </c>
      <c r="L7" s="19"/>
      <c r="N7" s="56"/>
      <c r="O7" s="50">
        <v>1</v>
      </c>
      <c r="P7" s="33" t="s">
        <v>83</v>
      </c>
      <c r="Q7" s="44">
        <v>0.30555555555555552</v>
      </c>
      <c r="R7" s="44">
        <v>0.47361111111111115</v>
      </c>
      <c r="S7" s="51">
        <f>Table134567891011172226303540455055625101520253034384348549298871051111171231281321371421015252031374349556167737883889398103108113118123133138148[[#This Row],[JAM MASUK]]-Table134567891011172226303540455055625101520253034384348549298871051111171231281321371421015252031374349556167737883889398103108113118123133138148[[#This Row],[JAM KELUAR]]</f>
        <v>0.16805555555555562</v>
      </c>
      <c r="T7" s="33">
        <v>1</v>
      </c>
      <c r="U7" s="55" t="s">
        <v>908</v>
      </c>
      <c r="W7" s="4" t="s">
        <v>10</v>
      </c>
      <c r="X7" s="6">
        <v>8</v>
      </c>
      <c r="AA7" s="15">
        <v>1</v>
      </c>
      <c r="AB7" s="23" t="s">
        <v>31</v>
      </c>
      <c r="AC7" s="21">
        <v>0.27708333333333335</v>
      </c>
      <c r="AD7" s="21">
        <v>0.41666666666666669</v>
      </c>
      <c r="AE7" s="37">
        <f t="shared" ref="AE7:AE33" si="0">AD7-AC7</f>
        <v>0.13958333333333334</v>
      </c>
      <c r="AF7" s="20">
        <v>1</v>
      </c>
      <c r="AG7" s="16" t="s">
        <v>897</v>
      </c>
      <c r="AI7" s="4" t="s">
        <v>10</v>
      </c>
      <c r="AJ7" s="6">
        <v>33</v>
      </c>
      <c r="AL7" s="56"/>
      <c r="AM7" s="15">
        <v>1</v>
      </c>
      <c r="AN7" s="20" t="s">
        <v>698</v>
      </c>
      <c r="AO7" s="21">
        <v>0.34930555555555554</v>
      </c>
      <c r="AP7" s="21" t="s">
        <v>890</v>
      </c>
      <c r="AQ7" s="38" t="e">
        <f t="shared" ref="AQ7:AQ31" si="1">AP7-AO7</f>
        <v>#VALUE!</v>
      </c>
      <c r="AR7" s="20">
        <v>0</v>
      </c>
      <c r="AS7" s="16" t="s">
        <v>891</v>
      </c>
      <c r="AU7" s="4" t="s">
        <v>10</v>
      </c>
      <c r="AV7" s="6">
        <v>25</v>
      </c>
    </row>
    <row r="8" spans="1:48" s="1" customFormat="1" x14ac:dyDescent="0.2">
      <c r="A8" s="56"/>
      <c r="B8" s="15">
        <v>2</v>
      </c>
      <c r="C8" s="23" t="s">
        <v>14</v>
      </c>
      <c r="D8" s="21">
        <v>0.28472222222222221</v>
      </c>
      <c r="E8" s="21">
        <v>0.41944444444444445</v>
      </c>
      <c r="F8" s="38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0.13472222222222224</v>
      </c>
      <c r="G8" s="20">
        <v>1</v>
      </c>
      <c r="H8" s="67" t="s">
        <v>911</v>
      </c>
      <c r="J8" s="4" t="s">
        <v>9</v>
      </c>
      <c r="K8" s="7">
        <v>18</v>
      </c>
      <c r="L8" s="19"/>
      <c r="O8" s="50">
        <v>2</v>
      </c>
      <c r="P8" s="33" t="s">
        <v>38</v>
      </c>
      <c r="Q8" s="44">
        <v>0.40347222222222223</v>
      </c>
      <c r="R8" s="44">
        <v>0.69513888888888886</v>
      </c>
      <c r="S8" s="51">
        <f>Table134567891011172226303540455055625101520253034384348549298871051111171231281321371421015252031374349556167737883889398103108113118123133138148[[#This Row],[JAM MASUK]]-Table134567891011172226303540455055625101520253034384348549298871051111171231281321371421015252031374349556167737883889398103108113118123133138148[[#This Row],[JAM KELUAR]]</f>
        <v>0.29166666666666663</v>
      </c>
      <c r="T8" s="33">
        <v>2</v>
      </c>
      <c r="U8" s="55" t="s">
        <v>909</v>
      </c>
      <c r="W8" s="4" t="s">
        <v>9</v>
      </c>
      <c r="X8" s="7">
        <v>5</v>
      </c>
      <c r="Z8" s="56"/>
      <c r="AA8" s="50">
        <v>2</v>
      </c>
      <c r="AB8" s="33" t="s">
        <v>46</v>
      </c>
      <c r="AC8" s="44">
        <v>0.29444444444444445</v>
      </c>
      <c r="AD8" s="44">
        <v>0.3611111111111111</v>
      </c>
      <c r="AE8" s="51">
        <f t="shared" si="0"/>
        <v>6.6666666666666652E-2</v>
      </c>
      <c r="AF8" s="31">
        <v>1</v>
      </c>
      <c r="AG8" s="55" t="s">
        <v>898</v>
      </c>
      <c r="AI8" s="4" t="s">
        <v>9</v>
      </c>
      <c r="AJ8" s="6">
        <v>27</v>
      </c>
      <c r="AM8" s="15">
        <v>2</v>
      </c>
      <c r="AN8" s="20" t="s">
        <v>271</v>
      </c>
      <c r="AO8" s="21">
        <v>0.28263888888888888</v>
      </c>
      <c r="AP8" s="21">
        <v>0.69166666666666676</v>
      </c>
      <c r="AQ8" s="38">
        <f t="shared" si="1"/>
        <v>0.40902777777777788</v>
      </c>
      <c r="AR8" s="20">
        <v>1</v>
      </c>
      <c r="AS8" s="16" t="s">
        <v>892</v>
      </c>
      <c r="AU8" s="4" t="s">
        <v>9</v>
      </c>
      <c r="AV8" s="6">
        <v>25</v>
      </c>
    </row>
    <row r="9" spans="1:48" s="1" customFormat="1" x14ac:dyDescent="0.2">
      <c r="A9" s="56"/>
      <c r="B9" s="15">
        <v>3</v>
      </c>
      <c r="C9" s="23" t="s">
        <v>70</v>
      </c>
      <c r="D9" s="21">
        <v>0.23680555555555557</v>
      </c>
      <c r="E9" s="21">
        <v>0.59166666666666667</v>
      </c>
      <c r="F9" s="38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0.35486111111111107</v>
      </c>
      <c r="G9" s="20">
        <v>2</v>
      </c>
      <c r="H9" s="67" t="s">
        <v>912</v>
      </c>
      <c r="J9" s="4" t="s">
        <v>4</v>
      </c>
      <c r="K9" s="7">
        <v>0</v>
      </c>
      <c r="L9" s="19"/>
      <c r="N9" s="56"/>
      <c r="O9" s="50">
        <v>3</v>
      </c>
      <c r="P9" s="33" t="s">
        <v>39</v>
      </c>
      <c r="Q9" s="44">
        <v>0.31736111111111115</v>
      </c>
      <c r="R9" s="44">
        <v>0.62291666666666667</v>
      </c>
      <c r="S9" s="51">
        <f>Table134567891011172226303540455055625101520253034384348549298871051111171231281321371421015252031374349556167737883889398103108113118123133138148[[#This Row],[JAM MASUK]]-Table134567891011172226303540455055625101520253034384348549298871051111171231281321371421015252031374349556167737883889398103108113118123133138148[[#This Row],[JAM KELUAR]]</f>
        <v>0.30555555555555552</v>
      </c>
      <c r="T9" s="33">
        <v>2</v>
      </c>
      <c r="U9" s="55" t="s">
        <v>442</v>
      </c>
      <c r="W9" s="4" t="s">
        <v>4</v>
      </c>
      <c r="X9" s="7">
        <v>0</v>
      </c>
      <c r="Z9" s="56"/>
      <c r="AA9" s="50">
        <v>3</v>
      </c>
      <c r="AB9" s="33" t="s">
        <v>51</v>
      </c>
      <c r="AC9" s="44">
        <v>0.29305555555555557</v>
      </c>
      <c r="AD9" s="44">
        <v>0.43333333333333335</v>
      </c>
      <c r="AE9" s="51">
        <f t="shared" si="0"/>
        <v>0.14027777777777778</v>
      </c>
      <c r="AF9" s="31">
        <v>1</v>
      </c>
      <c r="AG9" s="55" t="s">
        <v>899</v>
      </c>
      <c r="AI9" s="4" t="s">
        <v>4</v>
      </c>
      <c r="AJ9" s="7">
        <v>1</v>
      </c>
      <c r="AM9" s="15">
        <v>5</v>
      </c>
      <c r="AN9" s="20" t="s">
        <v>240</v>
      </c>
      <c r="AO9" s="21">
        <v>0.20902777777777778</v>
      </c>
      <c r="AP9" s="21">
        <v>0.69861111111111107</v>
      </c>
      <c r="AQ9" s="38">
        <f t="shared" si="1"/>
        <v>0.48958333333333326</v>
      </c>
      <c r="AR9" s="20">
        <v>2</v>
      </c>
      <c r="AS9" s="16" t="s">
        <v>895</v>
      </c>
      <c r="AU9" s="4" t="s">
        <v>4</v>
      </c>
      <c r="AV9" s="7">
        <v>0</v>
      </c>
    </row>
    <row r="10" spans="1:48" s="1" customFormat="1" x14ac:dyDescent="0.2">
      <c r="A10" s="56" t="s">
        <v>209</v>
      </c>
      <c r="B10" s="50">
        <v>4</v>
      </c>
      <c r="C10" s="33" t="s">
        <v>69</v>
      </c>
      <c r="D10" s="32">
        <v>0.4284722222222222</v>
      </c>
      <c r="E10" s="32">
        <v>0.66319444444444442</v>
      </c>
      <c r="F10" s="51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0.23472222222222222</v>
      </c>
      <c r="G10" s="31">
        <v>2</v>
      </c>
      <c r="H10" s="73" t="s">
        <v>914</v>
      </c>
      <c r="J10" s="4" t="s">
        <v>5</v>
      </c>
      <c r="K10" s="7">
        <v>5</v>
      </c>
      <c r="L10" s="19"/>
      <c r="N10" s="56"/>
      <c r="O10" s="50">
        <v>4</v>
      </c>
      <c r="P10" s="33" t="s">
        <v>42</v>
      </c>
      <c r="Q10" s="44">
        <v>0.31180555555555556</v>
      </c>
      <c r="R10" s="44">
        <v>0.72916666666666663</v>
      </c>
      <c r="S10" s="51">
        <f>Table134567891011172226303540455055625101520253034384348549298871051111171231281321371421015252031374349556167737883889398103108113118123133138148[[#This Row],[JAM MASUK]]-Table134567891011172226303540455055625101520253034384348549298871051111171231281321371421015252031374349556167737883889398103108113118123133138148[[#This Row],[JAM KELUAR]]</f>
        <v>0.41736111111111107</v>
      </c>
      <c r="T10" s="33">
        <v>3</v>
      </c>
      <c r="U10" s="55" t="s">
        <v>442</v>
      </c>
      <c r="W10" s="4" t="s">
        <v>5</v>
      </c>
      <c r="X10" s="7">
        <v>3</v>
      </c>
      <c r="Z10" s="56"/>
      <c r="AA10" s="15">
        <v>4</v>
      </c>
      <c r="AB10" s="23" t="s">
        <v>78</v>
      </c>
      <c r="AC10" s="40">
        <v>0.26874999999999999</v>
      </c>
      <c r="AD10" s="40">
        <v>0.54236111111111118</v>
      </c>
      <c r="AE10" s="38">
        <f t="shared" si="0"/>
        <v>0.27361111111111119</v>
      </c>
      <c r="AF10" s="20">
        <v>3</v>
      </c>
      <c r="AG10" s="16" t="s">
        <v>900</v>
      </c>
      <c r="AI10" s="4" t="s">
        <v>5</v>
      </c>
      <c r="AJ10" s="7">
        <v>5</v>
      </c>
      <c r="AL10" s="54"/>
      <c r="AM10" s="15">
        <v>4</v>
      </c>
      <c r="AN10" s="20" t="s">
        <v>234</v>
      </c>
      <c r="AO10" s="21">
        <v>0.27777777777777779</v>
      </c>
      <c r="AP10" s="21">
        <v>0.70277777777777783</v>
      </c>
      <c r="AQ10" s="38">
        <f t="shared" si="1"/>
        <v>0.42500000000000004</v>
      </c>
      <c r="AR10" s="20">
        <v>2</v>
      </c>
      <c r="AS10" s="16" t="s">
        <v>894</v>
      </c>
      <c r="AU10" s="4" t="s">
        <v>5</v>
      </c>
      <c r="AV10" s="7">
        <v>0</v>
      </c>
    </row>
    <row r="11" spans="1:48" s="1" customFormat="1" x14ac:dyDescent="0.2">
      <c r="A11" s="56"/>
      <c r="B11" s="15">
        <v>5</v>
      </c>
      <c r="C11" s="23" t="s">
        <v>17</v>
      </c>
      <c r="D11" s="21">
        <v>0.26041666666666669</v>
      </c>
      <c r="E11" s="21">
        <v>0.55208333333333337</v>
      </c>
      <c r="F11" s="38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0.29166666666666669</v>
      </c>
      <c r="G11" s="20">
        <v>2</v>
      </c>
      <c r="H11" s="16" t="s">
        <v>913</v>
      </c>
      <c r="J11" s="4" t="s">
        <v>6</v>
      </c>
      <c r="K11" s="7">
        <v>0</v>
      </c>
      <c r="N11" s="56"/>
      <c r="O11"/>
      <c r="P11"/>
      <c r="Q11"/>
      <c r="R11"/>
      <c r="S11"/>
      <c r="T11"/>
      <c r="U11"/>
      <c r="W11" s="4" t="s">
        <v>33</v>
      </c>
      <c r="X11" s="7">
        <v>0</v>
      </c>
      <c r="Z11" s="56"/>
      <c r="AA11" s="15">
        <v>5</v>
      </c>
      <c r="AB11" s="23" t="s">
        <v>50</v>
      </c>
      <c r="AC11" s="40">
        <v>0.27083333333333331</v>
      </c>
      <c r="AD11" s="40">
        <v>0.55277777777777781</v>
      </c>
      <c r="AE11" s="38">
        <f t="shared" si="0"/>
        <v>0.2819444444444445</v>
      </c>
      <c r="AF11" s="20">
        <v>3</v>
      </c>
      <c r="AG11" s="16" t="s">
        <v>901</v>
      </c>
      <c r="AI11" s="4" t="s">
        <v>6</v>
      </c>
      <c r="AJ11" s="7">
        <v>0</v>
      </c>
      <c r="AM11" s="50">
        <v>3</v>
      </c>
      <c r="AN11" s="31" t="s">
        <v>302</v>
      </c>
      <c r="AO11" s="32">
        <v>0.3298611111111111</v>
      </c>
      <c r="AP11" s="32">
        <v>0.62986111111111109</v>
      </c>
      <c r="AQ11" s="51">
        <f t="shared" si="1"/>
        <v>0.3</v>
      </c>
      <c r="AR11" s="31">
        <v>2</v>
      </c>
      <c r="AS11" s="55" t="s">
        <v>893</v>
      </c>
      <c r="AU11" s="4" t="s">
        <v>6</v>
      </c>
      <c r="AV11" s="7">
        <v>14</v>
      </c>
    </row>
    <row r="12" spans="1:48" s="1" customFormat="1" x14ac:dyDescent="0.2">
      <c r="A12" s="56"/>
      <c r="B12" s="50">
        <v>6</v>
      </c>
      <c r="C12" s="33" t="s">
        <v>118</v>
      </c>
      <c r="D12" s="32">
        <v>0.30555555555555552</v>
      </c>
      <c r="E12" s="32">
        <v>0.67013888888888884</v>
      </c>
      <c r="F12" s="51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0.36458333333333331</v>
      </c>
      <c r="G12" s="31">
        <v>3</v>
      </c>
      <c r="H12" s="68" t="s">
        <v>919</v>
      </c>
      <c r="J12" s="8" t="s">
        <v>8</v>
      </c>
      <c r="K12" s="9">
        <f>SUM(Table13245678910111321252934394449546149141924293336424753919786104110116122127131136141914241930364248546066727782879297102107112117122132137147[Retase])</f>
        <v>52</v>
      </c>
      <c r="L12" s="19"/>
      <c r="N12" s="54"/>
      <c r="O12"/>
      <c r="P12"/>
      <c r="Q12"/>
      <c r="R12"/>
      <c r="S12"/>
      <c r="T12"/>
      <c r="U12"/>
      <c r="W12" s="8" t="s">
        <v>8</v>
      </c>
      <c r="X12" s="9">
        <f>SUM(Table134567891011172226303540455055625101520253034384348549298871051111171231281321371421015252031374349556167737883889398103108113118123133138148[Retase])</f>
        <v>8</v>
      </c>
      <c r="AA12" s="50">
        <v>6</v>
      </c>
      <c r="AB12" s="33" t="s">
        <v>58</v>
      </c>
      <c r="AC12" s="44">
        <v>0.29236111111111113</v>
      </c>
      <c r="AD12" s="44">
        <v>0.61458333333333337</v>
      </c>
      <c r="AE12" s="51">
        <f t="shared" si="0"/>
        <v>0.32222222222222224</v>
      </c>
      <c r="AF12" s="31">
        <v>4</v>
      </c>
      <c r="AG12" s="55" t="s">
        <v>902</v>
      </c>
      <c r="AI12" s="8" t="s">
        <v>8</v>
      </c>
      <c r="AJ12" s="9">
        <f>SUM(Table134567891011151819232731374247525927121722273228414652909680103109115121126120135140813231828344046525864707580859095100105110115120125135145150[Retase])</f>
        <v>116</v>
      </c>
      <c r="AM12" s="15">
        <v>6</v>
      </c>
      <c r="AN12" s="20" t="s">
        <v>301</v>
      </c>
      <c r="AO12" s="21">
        <v>0.23402777777777781</v>
      </c>
      <c r="AP12" s="21">
        <v>0.72222222222222221</v>
      </c>
      <c r="AQ12" s="38">
        <f t="shared" si="1"/>
        <v>0.48819444444444438</v>
      </c>
      <c r="AR12" s="20">
        <v>3</v>
      </c>
      <c r="AS12" s="16" t="s">
        <v>89</v>
      </c>
      <c r="AU12" s="8" t="s">
        <v>8</v>
      </c>
      <c r="AV12" s="9">
        <f>SUM(Table134567891011151819232731374247525927121722273228414652909680103109115121126120135140813231829354147535965717681869196101106111116121131136146[Retase])</f>
        <v>83</v>
      </c>
    </row>
    <row r="13" spans="1:48" s="1" customFormat="1" x14ac:dyDescent="0.2">
      <c r="A13" s="56"/>
      <c r="B13" s="50">
        <v>7</v>
      </c>
      <c r="C13" s="33" t="s">
        <v>12</v>
      </c>
      <c r="D13" s="32">
        <v>0.31597222222222221</v>
      </c>
      <c r="E13" s="32">
        <v>0.66736111111111107</v>
      </c>
      <c r="F13" s="51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0.35138888888888886</v>
      </c>
      <c r="G13" s="31">
        <v>3</v>
      </c>
      <c r="H13" s="68" t="s">
        <v>919</v>
      </c>
      <c r="J13" s="10" t="s">
        <v>7</v>
      </c>
      <c r="K13" s="11">
        <f>K12/K8</f>
        <v>2.8888888888888888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1.6</v>
      </c>
      <c r="Z13" s="56"/>
      <c r="AA13" s="50">
        <v>7</v>
      </c>
      <c r="AB13" s="33" t="s">
        <v>32</v>
      </c>
      <c r="AC13" s="44">
        <v>0.3576388888888889</v>
      </c>
      <c r="AD13" s="44">
        <v>0.67499999999999993</v>
      </c>
      <c r="AE13" s="51">
        <f t="shared" si="0"/>
        <v>0.31736111111111104</v>
      </c>
      <c r="AF13" s="31">
        <v>4</v>
      </c>
      <c r="AG13" s="55" t="s">
        <v>906</v>
      </c>
      <c r="AI13" s="10" t="s">
        <v>7</v>
      </c>
      <c r="AJ13" s="11">
        <f>AJ12/AJ8</f>
        <v>4.2962962962962967</v>
      </c>
      <c r="AM13" s="15">
        <v>7</v>
      </c>
      <c r="AN13" s="20" t="s">
        <v>231</v>
      </c>
      <c r="AO13" s="21">
        <v>0.27569444444444446</v>
      </c>
      <c r="AP13" s="21">
        <v>0.69513888888888886</v>
      </c>
      <c r="AQ13" s="38">
        <f t="shared" si="1"/>
        <v>0.4194444444444444</v>
      </c>
      <c r="AR13" s="20">
        <v>3</v>
      </c>
      <c r="AS13" s="16" t="s">
        <v>89</v>
      </c>
      <c r="AU13" s="10" t="s">
        <v>7</v>
      </c>
      <c r="AV13" s="11">
        <f>AV12/AV8</f>
        <v>3.32</v>
      </c>
    </row>
    <row r="14" spans="1:48" s="1" customFormat="1" x14ac:dyDescent="0.2">
      <c r="A14"/>
      <c r="B14" s="50">
        <v>8</v>
      </c>
      <c r="C14" s="33" t="s">
        <v>20</v>
      </c>
      <c r="D14" s="32">
        <v>0.29444444444444445</v>
      </c>
      <c r="E14" s="32">
        <v>0.69097222222222221</v>
      </c>
      <c r="F14" s="51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0.39652777777777776</v>
      </c>
      <c r="G14" s="31">
        <v>3</v>
      </c>
      <c r="H14" s="55" t="s">
        <v>915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15">
        <v>8</v>
      </c>
      <c r="AB14" s="23" t="s">
        <v>35</v>
      </c>
      <c r="AC14" s="40">
        <v>0.2673611111111111</v>
      </c>
      <c r="AD14" s="40">
        <v>0.63263888888888886</v>
      </c>
      <c r="AE14" s="38">
        <f t="shared" si="0"/>
        <v>0.36527777777777776</v>
      </c>
      <c r="AF14" s="20">
        <v>4</v>
      </c>
      <c r="AG14" s="16" t="s">
        <v>903</v>
      </c>
      <c r="AI14" s="12" t="s">
        <v>11</v>
      </c>
      <c r="AJ14" s="13">
        <v>5</v>
      </c>
      <c r="AM14" s="50">
        <v>9</v>
      </c>
      <c r="AN14" s="31" t="s">
        <v>275</v>
      </c>
      <c r="AO14" s="32">
        <v>0.29791666666666666</v>
      </c>
      <c r="AP14" s="32">
        <v>0.66736111111111107</v>
      </c>
      <c r="AQ14" s="51">
        <f t="shared" si="1"/>
        <v>0.36944444444444441</v>
      </c>
      <c r="AR14" s="31">
        <v>3</v>
      </c>
      <c r="AS14" s="55" t="s">
        <v>89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3" t="s">
        <v>68</v>
      </c>
      <c r="D15" s="21">
        <v>0.27916666666666667</v>
      </c>
      <c r="E15" s="21">
        <v>0.62152777777777779</v>
      </c>
      <c r="F15" s="38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0.34236111111111112</v>
      </c>
      <c r="G15" s="20">
        <v>3</v>
      </c>
      <c r="H15" s="67" t="s">
        <v>919</v>
      </c>
      <c r="J15" s="12" t="s">
        <v>88</v>
      </c>
      <c r="K15" s="14">
        <f>B3/K8</f>
        <v>0.27777777777777779</v>
      </c>
      <c r="L15" s="19"/>
      <c r="O15"/>
      <c r="P15"/>
      <c r="Q15"/>
      <c r="R15"/>
      <c r="S15"/>
      <c r="T15" s="34"/>
      <c r="U15" s="35" t="s">
        <v>90</v>
      </c>
      <c r="W15" s="12" t="s">
        <v>88</v>
      </c>
      <c r="X15" s="14">
        <f>O3/X8</f>
        <v>0</v>
      </c>
      <c r="Z15" s="56"/>
      <c r="AA15" s="15">
        <v>9</v>
      </c>
      <c r="AB15" s="23" t="s">
        <v>309</v>
      </c>
      <c r="AC15" s="40">
        <v>0.28680555555555554</v>
      </c>
      <c r="AD15" s="40">
        <v>0.6645833333333333</v>
      </c>
      <c r="AE15" s="38">
        <f t="shared" si="0"/>
        <v>0.37777777777777777</v>
      </c>
      <c r="AF15" s="20">
        <v>4</v>
      </c>
      <c r="AG15" s="16" t="s">
        <v>904</v>
      </c>
      <c r="AI15" s="12" t="s">
        <v>88</v>
      </c>
      <c r="AJ15" s="14">
        <f>AA3/AJ8</f>
        <v>0.55555555555555558</v>
      </c>
      <c r="AM15" s="50">
        <v>10</v>
      </c>
      <c r="AN15" s="31" t="s">
        <v>277</v>
      </c>
      <c r="AO15" s="32">
        <v>0.30277777777777776</v>
      </c>
      <c r="AP15" s="32">
        <v>0.66875000000000007</v>
      </c>
      <c r="AQ15" s="51">
        <f t="shared" si="1"/>
        <v>0.36597222222222231</v>
      </c>
      <c r="AR15" s="31">
        <v>3</v>
      </c>
      <c r="AS15" s="55" t="s">
        <v>89</v>
      </c>
      <c r="AU15" s="12" t="s">
        <v>88</v>
      </c>
      <c r="AV15" s="14">
        <f>AM3/AV8</f>
        <v>0.6</v>
      </c>
    </row>
    <row r="16" spans="1:48" x14ac:dyDescent="0.2">
      <c r="B16" s="15">
        <v>10</v>
      </c>
      <c r="C16" s="23" t="s">
        <v>120</v>
      </c>
      <c r="D16" s="21">
        <v>0.22916666666666666</v>
      </c>
      <c r="E16" s="21">
        <v>0.71736111111111101</v>
      </c>
      <c r="F16" s="38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0.48819444444444438</v>
      </c>
      <c r="G16" s="20">
        <v>3</v>
      </c>
      <c r="H16" s="16" t="s">
        <v>916</v>
      </c>
      <c r="J16" s="12" t="s">
        <v>24</v>
      </c>
      <c r="K16" s="14">
        <f>K8/K7</f>
        <v>0.78260869565217395</v>
      </c>
      <c r="T16" s="56" t="s">
        <v>209</v>
      </c>
      <c r="U16" s="35" t="s">
        <v>92</v>
      </c>
      <c r="W16" s="12" t="s">
        <v>27</v>
      </c>
      <c r="X16" s="14">
        <f>X8/X7</f>
        <v>0.625</v>
      </c>
      <c r="AA16" s="50">
        <v>10</v>
      </c>
      <c r="AB16" s="33" t="s">
        <v>59</v>
      </c>
      <c r="AC16" s="44">
        <v>0.30208333333333331</v>
      </c>
      <c r="AD16" s="44">
        <v>0.76180555555555562</v>
      </c>
      <c r="AE16" s="51">
        <f t="shared" si="0"/>
        <v>0.45972222222222231</v>
      </c>
      <c r="AF16" s="31">
        <v>4</v>
      </c>
      <c r="AG16" s="55" t="s">
        <v>905</v>
      </c>
      <c r="AI16" s="12" t="s">
        <v>27</v>
      </c>
      <c r="AJ16" s="14">
        <f>AJ8/AJ7</f>
        <v>0.81818181818181823</v>
      </c>
      <c r="AM16" s="50">
        <v>8</v>
      </c>
      <c r="AN16" s="31" t="s">
        <v>239</v>
      </c>
      <c r="AO16" s="32">
        <v>0.43402777777777773</v>
      </c>
      <c r="AP16" s="32">
        <v>0.70486111111111116</v>
      </c>
      <c r="AQ16" s="51">
        <f t="shared" si="1"/>
        <v>0.27083333333333343</v>
      </c>
      <c r="AR16" s="31">
        <v>3</v>
      </c>
      <c r="AS16" s="55" t="s">
        <v>896</v>
      </c>
      <c r="AU16" s="12" t="s">
        <v>27</v>
      </c>
      <c r="AV16" s="14">
        <f>AV8/AV7</f>
        <v>1</v>
      </c>
    </row>
    <row r="17" spans="1:48" x14ac:dyDescent="0.2">
      <c r="B17" s="15">
        <v>11</v>
      </c>
      <c r="C17" s="23" t="s">
        <v>16</v>
      </c>
      <c r="D17" s="21">
        <v>0.23680555555555557</v>
      </c>
      <c r="E17" s="21">
        <v>0.61458333333333337</v>
      </c>
      <c r="F17" s="38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0.37777777777777777</v>
      </c>
      <c r="G17" s="20">
        <v>3</v>
      </c>
      <c r="H17" s="16" t="s">
        <v>917</v>
      </c>
      <c r="J17" s="12" t="s">
        <v>117</v>
      </c>
      <c r="K17" s="48">
        <f>AVERAGE(Table13245678910111321252934394449546149141924293336424753919786104110116122127131136141914241930364248546066727782879297102107112117122132137147[JAM KELUAR])</f>
        <v>0.27793209876543207</v>
      </c>
      <c r="W17" s="12" t="s">
        <v>117</v>
      </c>
      <c r="X17" s="48">
        <f>AVERAGE(Table134567891011172226303540455055625101520253034384348549298871051111171231281321371421015252031374349556167737883889398103108113118123133138148[JAM KELUAR])</f>
        <v>0.33454861111111112</v>
      </c>
      <c r="Z17" s="56"/>
      <c r="AA17" s="50">
        <v>11</v>
      </c>
      <c r="AB17" s="33" t="s">
        <v>79</v>
      </c>
      <c r="AC17" s="44">
        <v>0.30555555555555552</v>
      </c>
      <c r="AD17" s="44">
        <v>0.65486111111111112</v>
      </c>
      <c r="AE17" s="51">
        <f t="shared" si="0"/>
        <v>0.34930555555555559</v>
      </c>
      <c r="AF17" s="31">
        <v>4</v>
      </c>
      <c r="AG17" s="55" t="s">
        <v>781</v>
      </c>
      <c r="AI17" s="12" t="s">
        <v>117</v>
      </c>
      <c r="AJ17" s="48">
        <f>AVERAGE(Table134567891011151819232731374247525927121722273228414652909680103109115121126120135140813231828344046525864707580859095100105110115120125135145150[JAM KELUAR])</f>
        <v>0.28533950617283949</v>
      </c>
      <c r="AM17" s="1">
        <v>15</v>
      </c>
      <c r="AN17" s="2" t="s">
        <v>274</v>
      </c>
      <c r="AO17" s="41">
        <v>0.22569444444444445</v>
      </c>
      <c r="AP17" s="41">
        <v>0.66666666666666663</v>
      </c>
      <c r="AQ17" s="26">
        <f t="shared" si="1"/>
        <v>0.44097222222222221</v>
      </c>
      <c r="AR17" s="2">
        <v>4</v>
      </c>
      <c r="AS17" s="45" t="s">
        <v>25</v>
      </c>
      <c r="AU17" s="12" t="s">
        <v>117</v>
      </c>
      <c r="AV17" s="48">
        <f>AVERAGE(Table134567891011151819232731374247525927121722273228414652909680103109115121126120135140813231829354147535965717681869196101106111116121131136146[JAM KELUAR])</f>
        <v>0.27550000000000002</v>
      </c>
    </row>
    <row r="18" spans="1:48" x14ac:dyDescent="0.2">
      <c r="B18" s="50">
        <v>12</v>
      </c>
      <c r="C18" s="33" t="s">
        <v>121</v>
      </c>
      <c r="D18" s="32">
        <v>0.29236111111111113</v>
      </c>
      <c r="E18" s="32">
        <v>0.61458333333333337</v>
      </c>
      <c r="F18" s="51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0.32222222222222224</v>
      </c>
      <c r="G18" s="31">
        <v>3</v>
      </c>
      <c r="H18" s="53" t="s">
        <v>919</v>
      </c>
      <c r="AA18" s="50">
        <v>12</v>
      </c>
      <c r="AB18" s="33" t="s">
        <v>56</v>
      </c>
      <c r="AC18" s="44">
        <v>0.29375000000000001</v>
      </c>
      <c r="AD18" s="44">
        <v>0.59236111111111112</v>
      </c>
      <c r="AE18" s="51">
        <f t="shared" si="0"/>
        <v>0.2986111111111111</v>
      </c>
      <c r="AF18" s="31">
        <v>4</v>
      </c>
      <c r="AG18" s="55" t="s">
        <v>907</v>
      </c>
      <c r="AI18" s="17"/>
      <c r="AM18" s="1">
        <v>17</v>
      </c>
      <c r="AN18" s="2" t="s">
        <v>279</v>
      </c>
      <c r="AO18" s="41">
        <v>0.23055555555555554</v>
      </c>
      <c r="AP18" s="41">
        <v>0.64652777777777781</v>
      </c>
      <c r="AQ18" s="26">
        <f t="shared" si="1"/>
        <v>0.4159722222222223</v>
      </c>
      <c r="AR18" s="2">
        <v>4</v>
      </c>
      <c r="AS18" s="45" t="s">
        <v>25</v>
      </c>
      <c r="AU18" s="17"/>
    </row>
    <row r="19" spans="1:48" ht="15.75" customHeight="1" x14ac:dyDescent="0.2">
      <c r="A19" s="56"/>
      <c r="B19" s="15">
        <v>13</v>
      </c>
      <c r="C19" s="23" t="s">
        <v>18</v>
      </c>
      <c r="D19" s="21">
        <v>0.25763888888888892</v>
      </c>
      <c r="E19" s="21">
        <v>0.71597222222222223</v>
      </c>
      <c r="F19" s="38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0.45833333333333331</v>
      </c>
      <c r="G19" s="20">
        <v>3</v>
      </c>
      <c r="H19" s="16" t="s">
        <v>918</v>
      </c>
      <c r="Z19" s="56"/>
      <c r="AA19" s="1">
        <v>13</v>
      </c>
      <c r="AB19" s="29" t="s">
        <v>82</v>
      </c>
      <c r="AC19" s="30">
        <v>0.26666666666666666</v>
      </c>
      <c r="AD19" s="30">
        <v>0.6743055555555556</v>
      </c>
      <c r="AE19" s="26">
        <f t="shared" si="0"/>
        <v>0.40763888888888894</v>
      </c>
      <c r="AF19" s="2">
        <v>5</v>
      </c>
      <c r="AG19" s="45" t="s">
        <v>25</v>
      </c>
      <c r="AM19" s="1">
        <v>13</v>
      </c>
      <c r="AN19" s="2" t="s">
        <v>236</v>
      </c>
      <c r="AO19" s="41">
        <v>0.23263888888888887</v>
      </c>
      <c r="AP19" s="41">
        <v>0.66666666666666663</v>
      </c>
      <c r="AQ19" s="26">
        <f t="shared" si="1"/>
        <v>0.43402777777777779</v>
      </c>
      <c r="AR19" s="2">
        <v>4</v>
      </c>
      <c r="AS19" s="45" t="s">
        <v>25</v>
      </c>
    </row>
    <row r="20" spans="1:48" ht="17.25" customHeight="1" x14ac:dyDescent="0.2">
      <c r="B20" s="1">
        <v>14</v>
      </c>
      <c r="C20" s="29" t="s">
        <v>71</v>
      </c>
      <c r="D20" s="41">
        <v>0.23263888888888887</v>
      </c>
      <c r="E20" s="41">
        <v>0.68125000000000002</v>
      </c>
      <c r="F20" s="26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0.44861111111111118</v>
      </c>
      <c r="G20" s="2">
        <v>4</v>
      </c>
      <c r="H20" s="102" t="s">
        <v>25</v>
      </c>
      <c r="AA20" s="1">
        <v>14</v>
      </c>
      <c r="AB20" s="29" t="s">
        <v>123</v>
      </c>
      <c r="AC20" s="30">
        <v>0.28194444444444444</v>
      </c>
      <c r="AD20" s="30">
        <v>0.70138888888888884</v>
      </c>
      <c r="AE20" s="26">
        <f t="shared" si="0"/>
        <v>0.4194444444444444</v>
      </c>
      <c r="AF20" s="2">
        <v>5</v>
      </c>
      <c r="AG20" s="45" t="s">
        <v>25</v>
      </c>
      <c r="AM20" s="1">
        <v>11</v>
      </c>
      <c r="AN20" s="2" t="s">
        <v>559</v>
      </c>
      <c r="AO20" s="41">
        <v>0.24861111111111112</v>
      </c>
      <c r="AP20" s="41">
        <v>0.7104166666666667</v>
      </c>
      <c r="AQ20" s="26">
        <f t="shared" si="1"/>
        <v>0.46180555555555558</v>
      </c>
      <c r="AR20" s="2">
        <v>4</v>
      </c>
      <c r="AS20" s="45" t="s">
        <v>25</v>
      </c>
    </row>
    <row r="21" spans="1:48" ht="15.75" customHeight="1" x14ac:dyDescent="0.2">
      <c r="A21" s="56"/>
      <c r="B21" s="1">
        <v>15</v>
      </c>
      <c r="C21" s="29" t="s">
        <v>74</v>
      </c>
      <c r="D21" s="41">
        <v>0.26041666666666669</v>
      </c>
      <c r="E21" s="41">
        <v>0.70277777777777783</v>
      </c>
      <c r="F21" s="26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0.44236111111111115</v>
      </c>
      <c r="G21" s="2">
        <v>4</v>
      </c>
      <c r="H21" s="102" t="s">
        <v>25</v>
      </c>
      <c r="AA21" s="50">
        <v>15</v>
      </c>
      <c r="AB21" s="33" t="s">
        <v>57</v>
      </c>
      <c r="AC21" s="32">
        <v>0.2986111111111111</v>
      </c>
      <c r="AD21" s="44">
        <v>0.70208333333333339</v>
      </c>
      <c r="AE21" s="51">
        <f t="shared" si="0"/>
        <v>0.40347222222222229</v>
      </c>
      <c r="AF21" s="31">
        <v>5</v>
      </c>
      <c r="AG21" s="55" t="s">
        <v>25</v>
      </c>
      <c r="AM21" s="1">
        <v>22</v>
      </c>
      <c r="AN21" s="2" t="s">
        <v>306</v>
      </c>
      <c r="AO21" s="41">
        <v>0.25069444444444444</v>
      </c>
      <c r="AP21" s="41">
        <v>0.68472222222222223</v>
      </c>
      <c r="AQ21" s="26">
        <f t="shared" si="1"/>
        <v>0.43402777777777779</v>
      </c>
      <c r="AR21" s="2">
        <v>4</v>
      </c>
      <c r="AS21" s="45" t="s">
        <v>25</v>
      </c>
    </row>
    <row r="22" spans="1:48" ht="15" customHeight="1" x14ac:dyDescent="0.2">
      <c r="B22" s="1">
        <v>16</v>
      </c>
      <c r="C22" s="29" t="s">
        <v>75</v>
      </c>
      <c r="D22" s="41">
        <v>0.22291666666666665</v>
      </c>
      <c r="E22" s="41">
        <v>0.64097222222222217</v>
      </c>
      <c r="F22" s="26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0.41805555555555551</v>
      </c>
      <c r="G22" s="2">
        <v>4</v>
      </c>
      <c r="H22" s="102" t="s">
        <v>25</v>
      </c>
      <c r="AA22" s="1">
        <v>16</v>
      </c>
      <c r="AB22" s="29" t="s">
        <v>40</v>
      </c>
      <c r="AC22" s="41">
        <v>0.27777777777777779</v>
      </c>
      <c r="AD22" s="30">
        <v>0.72291666666666676</v>
      </c>
      <c r="AE22" s="26">
        <f t="shared" si="0"/>
        <v>0.44513888888888897</v>
      </c>
      <c r="AF22" s="2">
        <v>5</v>
      </c>
      <c r="AG22" s="45" t="s">
        <v>25</v>
      </c>
      <c r="AM22" s="1">
        <v>12</v>
      </c>
      <c r="AN22" s="2" t="s">
        <v>235</v>
      </c>
      <c r="AO22" s="41">
        <v>0.25138888888888888</v>
      </c>
      <c r="AP22" s="41">
        <v>0.67361111111111116</v>
      </c>
      <c r="AQ22" s="26">
        <f t="shared" si="1"/>
        <v>0.42222222222222228</v>
      </c>
      <c r="AR22" s="2">
        <v>4</v>
      </c>
      <c r="AS22" s="45" t="s">
        <v>25</v>
      </c>
    </row>
    <row r="23" spans="1:48" ht="15" customHeight="1" x14ac:dyDescent="0.2">
      <c r="B23" s="1">
        <v>17</v>
      </c>
      <c r="C23" s="29" t="s">
        <v>15</v>
      </c>
      <c r="D23" s="41">
        <v>0.25347222222222221</v>
      </c>
      <c r="E23" s="41">
        <v>0.64583333333333337</v>
      </c>
      <c r="F23" s="26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0.39236111111111116</v>
      </c>
      <c r="G23" s="2">
        <v>4</v>
      </c>
      <c r="H23" s="102" t="s">
        <v>25</v>
      </c>
      <c r="Z23" s="56" t="s">
        <v>209</v>
      </c>
      <c r="AA23" s="50">
        <v>17</v>
      </c>
      <c r="AB23" s="33" t="s">
        <v>30</v>
      </c>
      <c r="AC23" s="32">
        <v>0.31666666666666665</v>
      </c>
      <c r="AD23" s="32">
        <v>0.75416666666666676</v>
      </c>
      <c r="AE23" s="52">
        <f t="shared" si="0"/>
        <v>0.43750000000000011</v>
      </c>
      <c r="AF23" s="31">
        <v>5</v>
      </c>
      <c r="AG23" s="55" t="s">
        <v>920</v>
      </c>
      <c r="AM23" s="1">
        <v>18</v>
      </c>
      <c r="AN23" s="2" t="s">
        <v>280</v>
      </c>
      <c r="AO23" s="41">
        <v>0.25277777777777777</v>
      </c>
      <c r="AP23" s="41">
        <v>0.67152777777777783</v>
      </c>
      <c r="AQ23" s="26">
        <f t="shared" si="1"/>
        <v>0.41875000000000007</v>
      </c>
      <c r="AR23" s="2">
        <v>4</v>
      </c>
      <c r="AS23" s="45" t="s">
        <v>25</v>
      </c>
    </row>
    <row r="24" spans="1:48" ht="15" customHeight="1" x14ac:dyDescent="0.2">
      <c r="B24" s="1">
        <v>18</v>
      </c>
      <c r="C24" s="2" t="s">
        <v>76</v>
      </c>
      <c r="D24" s="41">
        <v>0.22500000000000001</v>
      </c>
      <c r="E24" s="41">
        <v>0.67083333333333339</v>
      </c>
      <c r="F24" s="26">
        <f>Table13245678910111321252934394449546149141924293336424753919786104110116122127131136141914241930364248546066727782879297102107112117122132137147[[#This Row],[JAM MASUK]]-Table13245678910111321252934394449546149141924293336424753919786104110116122127131136141914241930364248546066727782879297102107112117122132137147[[#This Row],[JAM KELUAR]]</f>
        <v>0.44583333333333341</v>
      </c>
      <c r="G24" s="2">
        <v>4</v>
      </c>
      <c r="H24" s="102" t="s">
        <v>25</v>
      </c>
      <c r="AA24" s="50">
        <v>18</v>
      </c>
      <c r="AB24" s="33" t="s">
        <v>34</v>
      </c>
      <c r="AC24" s="44">
        <v>0.34166666666666662</v>
      </c>
      <c r="AD24" s="44">
        <v>0.73472222222222217</v>
      </c>
      <c r="AE24" s="52">
        <f t="shared" si="0"/>
        <v>0.39305555555555555</v>
      </c>
      <c r="AF24" s="33">
        <v>5</v>
      </c>
      <c r="AG24" s="55" t="s">
        <v>25</v>
      </c>
      <c r="AM24" s="1">
        <v>23</v>
      </c>
      <c r="AN24" s="2" t="s">
        <v>307</v>
      </c>
      <c r="AO24" s="41">
        <v>0.25486111111111109</v>
      </c>
      <c r="AP24" s="41">
        <v>0.72569444444444453</v>
      </c>
      <c r="AQ24" s="26">
        <f t="shared" si="1"/>
        <v>0.47083333333333344</v>
      </c>
      <c r="AR24" s="2">
        <v>4</v>
      </c>
      <c r="AS24" s="45" t="s">
        <v>25</v>
      </c>
    </row>
    <row r="25" spans="1:48" ht="14.5" customHeight="1" x14ac:dyDescent="0.2">
      <c r="AA25" s="1">
        <v>19</v>
      </c>
      <c r="AB25" s="29" t="s">
        <v>45</v>
      </c>
      <c r="AC25" s="30">
        <v>0.24791666666666667</v>
      </c>
      <c r="AD25" s="30">
        <v>0.64583333333333337</v>
      </c>
      <c r="AE25" s="39">
        <f t="shared" si="0"/>
        <v>0.3979166666666667</v>
      </c>
      <c r="AF25" s="29">
        <v>5</v>
      </c>
      <c r="AG25" s="45" t="s">
        <v>25</v>
      </c>
      <c r="AM25" s="1">
        <v>19</v>
      </c>
      <c r="AN25" s="2" t="s">
        <v>303</v>
      </c>
      <c r="AO25" s="41">
        <v>0.2590277777777778</v>
      </c>
      <c r="AP25" s="41">
        <v>0.65138888888888891</v>
      </c>
      <c r="AQ25" s="26">
        <f t="shared" si="1"/>
        <v>0.3923611111111111</v>
      </c>
      <c r="AR25" s="2">
        <v>4</v>
      </c>
      <c r="AS25" s="45" t="s">
        <v>25</v>
      </c>
    </row>
    <row r="26" spans="1:48" ht="14.5" customHeight="1" x14ac:dyDescent="0.2">
      <c r="G26" s="34"/>
      <c r="H26" s="35" t="s">
        <v>90</v>
      </c>
      <c r="N26" s="54"/>
      <c r="AA26" s="1">
        <v>20</v>
      </c>
      <c r="AB26" s="29" t="s">
        <v>77</v>
      </c>
      <c r="AC26" s="30">
        <v>0.25208333333333333</v>
      </c>
      <c r="AD26" s="30">
        <v>0.69027777777777777</v>
      </c>
      <c r="AE26" s="39">
        <f t="shared" si="0"/>
        <v>0.43819444444444444</v>
      </c>
      <c r="AF26" s="29">
        <v>5</v>
      </c>
      <c r="AG26" s="45" t="s">
        <v>25</v>
      </c>
      <c r="AM26" s="1">
        <v>21</v>
      </c>
      <c r="AN26" s="2" t="s">
        <v>476</v>
      </c>
      <c r="AO26" s="41">
        <v>0.26666666666666666</v>
      </c>
      <c r="AP26" s="41">
        <v>0.67847222222222225</v>
      </c>
      <c r="AQ26" s="26">
        <f t="shared" si="1"/>
        <v>0.41180555555555559</v>
      </c>
      <c r="AR26" s="2">
        <v>4</v>
      </c>
      <c r="AS26" s="45" t="s">
        <v>25</v>
      </c>
    </row>
    <row r="27" spans="1:48" ht="14.5" customHeight="1" x14ac:dyDescent="0.2">
      <c r="G27" s="56" t="s">
        <v>209</v>
      </c>
      <c r="H27" s="35" t="s">
        <v>92</v>
      </c>
      <c r="N27" s="54"/>
      <c r="Z27" s="56"/>
      <c r="AA27" s="50">
        <v>21</v>
      </c>
      <c r="AB27" s="33" t="s">
        <v>122</v>
      </c>
      <c r="AC27" s="44">
        <v>0.2986111111111111</v>
      </c>
      <c r="AD27" s="44">
        <v>0.7104166666666667</v>
      </c>
      <c r="AE27" s="52">
        <f t="shared" si="0"/>
        <v>0.41180555555555559</v>
      </c>
      <c r="AF27" s="33">
        <v>5</v>
      </c>
      <c r="AG27" s="55" t="s">
        <v>25</v>
      </c>
      <c r="AM27" s="1">
        <v>24</v>
      </c>
      <c r="AN27" s="2" t="s">
        <v>308</v>
      </c>
      <c r="AO27" s="41">
        <v>0.27638888888888885</v>
      </c>
      <c r="AP27" s="41">
        <v>0.64652777777777781</v>
      </c>
      <c r="AQ27" s="26">
        <f t="shared" si="1"/>
        <v>0.37013888888888896</v>
      </c>
      <c r="AR27" s="2">
        <v>4</v>
      </c>
      <c r="AS27" s="45" t="s">
        <v>25</v>
      </c>
    </row>
    <row r="28" spans="1:48" x14ac:dyDescent="0.2">
      <c r="N28" s="54"/>
      <c r="AA28" s="1">
        <v>22</v>
      </c>
      <c r="AB28" s="2" t="s">
        <v>49</v>
      </c>
      <c r="AC28" s="30">
        <v>0.28125</v>
      </c>
      <c r="AD28" s="30">
        <v>0.68819444444444444</v>
      </c>
      <c r="AE28" s="39">
        <f t="shared" si="0"/>
        <v>0.40694444444444444</v>
      </c>
      <c r="AF28" s="29">
        <v>5</v>
      </c>
      <c r="AG28" s="45" t="s">
        <v>25</v>
      </c>
      <c r="AM28" s="1">
        <v>20</v>
      </c>
      <c r="AN28" s="2" t="s">
        <v>304</v>
      </c>
      <c r="AO28" s="41">
        <v>0.28055555555555556</v>
      </c>
      <c r="AP28" s="41">
        <v>0.65555555555555556</v>
      </c>
      <c r="AQ28" s="26">
        <f t="shared" si="1"/>
        <v>0.375</v>
      </c>
      <c r="AR28" s="2">
        <v>4</v>
      </c>
      <c r="AS28" s="45" t="s">
        <v>25</v>
      </c>
    </row>
    <row r="29" spans="1:48" x14ac:dyDescent="0.2">
      <c r="N29" s="54"/>
      <c r="Z29" s="56" t="s">
        <v>209</v>
      </c>
      <c r="AA29" s="50">
        <v>23</v>
      </c>
      <c r="AB29" s="33" t="s">
        <v>47</v>
      </c>
      <c r="AC29" s="44">
        <v>0.33263888888888887</v>
      </c>
      <c r="AD29" s="44">
        <v>0.72013888888888899</v>
      </c>
      <c r="AE29" s="52">
        <f t="shared" si="0"/>
        <v>0.38750000000000012</v>
      </c>
      <c r="AF29" s="33">
        <v>5</v>
      </c>
      <c r="AG29" s="55" t="s">
        <v>920</v>
      </c>
      <c r="AM29" s="1">
        <v>14</v>
      </c>
      <c r="AN29" s="2" t="s">
        <v>273</v>
      </c>
      <c r="AO29" s="41">
        <v>0.28958333333333336</v>
      </c>
      <c r="AP29" s="41">
        <v>0.73125000000000007</v>
      </c>
      <c r="AQ29" s="26">
        <f t="shared" si="1"/>
        <v>0.44166666666666671</v>
      </c>
      <c r="AR29" s="2">
        <v>4</v>
      </c>
      <c r="AS29" s="45" t="s">
        <v>25</v>
      </c>
    </row>
    <row r="30" spans="1:48" x14ac:dyDescent="0.2">
      <c r="AA30" s="1">
        <v>24</v>
      </c>
      <c r="AB30" s="29" t="s">
        <v>67</v>
      </c>
      <c r="AC30" s="30">
        <v>0.24722222222222223</v>
      </c>
      <c r="AD30" s="30">
        <v>0.73958333333333337</v>
      </c>
      <c r="AE30" s="39">
        <f t="shared" si="0"/>
        <v>0.49236111111111114</v>
      </c>
      <c r="AF30" s="29">
        <v>6</v>
      </c>
      <c r="AG30" s="45" t="s">
        <v>25</v>
      </c>
      <c r="AM30" s="50">
        <v>16</v>
      </c>
      <c r="AN30" s="31" t="s">
        <v>278</v>
      </c>
      <c r="AO30" s="32">
        <v>0.29791666666666666</v>
      </c>
      <c r="AP30" s="32">
        <v>0.73611111111111116</v>
      </c>
      <c r="AQ30" s="51">
        <f t="shared" si="1"/>
        <v>0.4381944444444445</v>
      </c>
      <c r="AR30" s="31">
        <v>4</v>
      </c>
      <c r="AS30" s="55" t="s">
        <v>25</v>
      </c>
    </row>
    <row r="31" spans="1:48" x14ac:dyDescent="0.2">
      <c r="AA31" s="1">
        <v>25</v>
      </c>
      <c r="AB31" s="29" t="s">
        <v>80</v>
      </c>
      <c r="AC31" s="30">
        <v>0.27083333333333331</v>
      </c>
      <c r="AD31" s="30">
        <v>0.7090277777777777</v>
      </c>
      <c r="AE31" s="39">
        <f t="shared" si="0"/>
        <v>0.43819444444444439</v>
      </c>
      <c r="AF31" s="29">
        <v>6</v>
      </c>
      <c r="AG31" s="45" t="s">
        <v>25</v>
      </c>
      <c r="AM31" s="1">
        <v>25</v>
      </c>
      <c r="AN31" s="2" t="s">
        <v>233</v>
      </c>
      <c r="AO31" s="41">
        <v>0.27708333333333335</v>
      </c>
      <c r="AP31" s="41">
        <v>0.73541666666666661</v>
      </c>
      <c r="AQ31" s="26">
        <f t="shared" si="1"/>
        <v>0.45833333333333326</v>
      </c>
      <c r="AR31" s="2">
        <v>5</v>
      </c>
      <c r="AS31" s="45" t="s">
        <v>25</v>
      </c>
    </row>
    <row r="32" spans="1:48" x14ac:dyDescent="0.2">
      <c r="V32" s="1"/>
      <c r="AA32" s="1">
        <v>26</v>
      </c>
      <c r="AB32" s="2" t="s">
        <v>81</v>
      </c>
      <c r="AC32" s="30">
        <v>0.24374999999999999</v>
      </c>
      <c r="AD32" s="30">
        <v>0.76736111111111116</v>
      </c>
      <c r="AE32" s="39">
        <f t="shared" si="0"/>
        <v>0.52361111111111114</v>
      </c>
      <c r="AF32" s="29">
        <v>6</v>
      </c>
      <c r="AG32" s="45" t="s">
        <v>25</v>
      </c>
    </row>
    <row r="33" spans="1:45" x14ac:dyDescent="0.2">
      <c r="V33" s="1"/>
      <c r="AA33" s="1">
        <v>27</v>
      </c>
      <c r="AB33" s="2" t="s">
        <v>60</v>
      </c>
      <c r="AC33" s="30">
        <v>0.23680555555555557</v>
      </c>
      <c r="AD33" s="30">
        <v>0.73055555555555562</v>
      </c>
      <c r="AE33" s="39">
        <f t="shared" si="0"/>
        <v>0.49375000000000002</v>
      </c>
      <c r="AF33" s="29">
        <v>6</v>
      </c>
      <c r="AG33" s="45" t="s">
        <v>25</v>
      </c>
    </row>
    <row r="34" spans="1:45" x14ac:dyDescent="0.2">
      <c r="V34" s="1"/>
      <c r="AR34" s="34"/>
      <c r="AS34" s="35" t="s">
        <v>90</v>
      </c>
    </row>
    <row r="35" spans="1:45" x14ac:dyDescent="0.2">
      <c r="V35" s="1"/>
      <c r="AR35" s="56" t="s">
        <v>209</v>
      </c>
      <c r="AS35" s="35" t="s">
        <v>92</v>
      </c>
    </row>
    <row r="36" spans="1:45" x14ac:dyDescent="0.2">
      <c r="V36" s="1"/>
    </row>
    <row r="37" spans="1:45" x14ac:dyDescent="0.2">
      <c r="V37" s="1"/>
    </row>
    <row r="38" spans="1:45" x14ac:dyDescent="0.2">
      <c r="V38" s="1"/>
      <c r="AF38" s="34"/>
      <c r="AG38" s="35" t="s">
        <v>90</v>
      </c>
    </row>
    <row r="39" spans="1:45" x14ac:dyDescent="0.2">
      <c r="V39" s="1"/>
      <c r="AF39" s="56" t="s">
        <v>209</v>
      </c>
      <c r="AG39" s="35" t="s">
        <v>92</v>
      </c>
    </row>
    <row r="40" spans="1:45" x14ac:dyDescent="0.2">
      <c r="V40" s="1"/>
    </row>
    <row r="41" spans="1:45" ht="21" x14ac:dyDescent="0.25">
      <c r="A41" s="46"/>
    </row>
    <row r="49" spans="15:22" x14ac:dyDescent="0.2">
      <c r="O49" s="2" t="s">
        <v>0</v>
      </c>
      <c r="P49" s="2" t="s">
        <v>1</v>
      </c>
      <c r="Q49" s="22" t="s">
        <v>61</v>
      </c>
      <c r="R49" s="22" t="s">
        <v>62</v>
      </c>
      <c r="S49" s="22" t="s">
        <v>63</v>
      </c>
      <c r="T49" s="2" t="s">
        <v>2</v>
      </c>
      <c r="U49" s="2" t="s">
        <v>3</v>
      </c>
    </row>
    <row r="50" spans="15:22" x14ac:dyDescent="0.2">
      <c r="O50" s="27">
        <v>1</v>
      </c>
      <c r="P50" s="2"/>
      <c r="Q50" s="41"/>
      <c r="R50" s="42"/>
      <c r="S50" s="26"/>
      <c r="T50" s="2"/>
      <c r="U50" s="24"/>
    </row>
    <row r="51" spans="15:22" x14ac:dyDescent="0.2">
      <c r="O51" s="15">
        <v>2</v>
      </c>
      <c r="P51" s="29"/>
      <c r="Q51" s="30"/>
      <c r="R51" s="36"/>
      <c r="S51" s="26"/>
      <c r="T51" s="29"/>
      <c r="U51" s="24"/>
    </row>
    <row r="52" spans="15:22" x14ac:dyDescent="0.2">
      <c r="O52" s="15">
        <v>3</v>
      </c>
      <c r="P52" s="29"/>
      <c r="Q52" s="30"/>
      <c r="R52" s="36"/>
      <c r="S52" s="39"/>
      <c r="T52" s="29"/>
      <c r="U52" s="16"/>
    </row>
    <row r="53" spans="15:22" x14ac:dyDescent="0.2">
      <c r="O53" s="27">
        <v>4</v>
      </c>
      <c r="P53" s="29"/>
      <c r="Q53" s="30"/>
      <c r="R53" s="36"/>
      <c r="S53" s="39"/>
      <c r="T53" s="29"/>
      <c r="U53" s="24"/>
    </row>
    <row r="54" spans="15:22" x14ac:dyDescent="0.2">
      <c r="O54" s="15">
        <v>5</v>
      </c>
      <c r="P54" s="29"/>
      <c r="Q54" s="30"/>
      <c r="R54" s="36"/>
      <c r="S54" s="26"/>
      <c r="T54" s="29"/>
      <c r="U54" s="24"/>
    </row>
    <row r="55" spans="15:22" x14ac:dyDescent="0.2">
      <c r="O55" s="15">
        <v>6</v>
      </c>
      <c r="P55" s="29"/>
      <c r="Q55" s="30"/>
      <c r="R55" s="36"/>
      <c r="S55" s="26"/>
      <c r="T55" s="29"/>
      <c r="U55" s="24"/>
    </row>
    <row r="56" spans="15:22" x14ac:dyDescent="0.2">
      <c r="O56" s="27">
        <v>7</v>
      </c>
      <c r="P56" s="29"/>
      <c r="Q56" s="30"/>
      <c r="R56" s="36"/>
      <c r="S56" s="39"/>
      <c r="T56" s="29"/>
      <c r="U56" s="24"/>
    </row>
    <row r="57" spans="15:22" x14ac:dyDescent="0.2">
      <c r="O57" s="15">
        <v>8</v>
      </c>
      <c r="P57" s="29"/>
      <c r="Q57" s="30"/>
      <c r="R57" s="36"/>
      <c r="S57" s="26"/>
      <c r="T57" s="29"/>
      <c r="U57" s="24"/>
    </row>
    <row r="58" spans="15:22" x14ac:dyDescent="0.2">
      <c r="O58" s="15">
        <v>9</v>
      </c>
      <c r="P58" s="29"/>
      <c r="Q58" s="30"/>
      <c r="R58" s="36"/>
      <c r="S58" s="26"/>
      <c r="T58" s="29"/>
      <c r="U58" s="24"/>
    </row>
    <row r="59" spans="15:22" x14ac:dyDescent="0.2">
      <c r="O59" s="27">
        <v>10</v>
      </c>
      <c r="P59" s="29"/>
      <c r="Q59" s="30"/>
      <c r="R59" s="36"/>
      <c r="S59" s="26"/>
      <c r="T59" s="29"/>
      <c r="U59" s="24"/>
    </row>
    <row r="60" spans="15:22" x14ac:dyDescent="0.2">
      <c r="O60" s="15">
        <v>11</v>
      </c>
      <c r="P60" s="29"/>
      <c r="Q60" s="30"/>
      <c r="R60" s="36"/>
      <c r="S60" s="26"/>
      <c r="T60" s="29"/>
      <c r="U60" s="24"/>
    </row>
    <row r="61" spans="15:22" x14ac:dyDescent="0.2">
      <c r="O61" s="1">
        <v>12</v>
      </c>
      <c r="P61" s="29"/>
      <c r="Q61" s="30"/>
      <c r="R61" s="36"/>
      <c r="S61" s="39"/>
      <c r="T61" s="29"/>
      <c r="U61" s="25"/>
    </row>
    <row r="62" spans="15:22" x14ac:dyDescent="0.2">
      <c r="O62" s="28">
        <v>13</v>
      </c>
      <c r="P62" s="29"/>
      <c r="Q62" s="30"/>
      <c r="R62" s="36"/>
      <c r="S62" s="26"/>
      <c r="T62" s="29"/>
      <c r="U62" s="25"/>
    </row>
    <row r="63" spans="15:22" x14ac:dyDescent="0.2">
      <c r="O63" s="27">
        <v>14</v>
      </c>
      <c r="P63" s="29"/>
      <c r="Q63" s="30"/>
      <c r="R63" s="36"/>
      <c r="S63" s="26"/>
      <c r="T63" s="29"/>
      <c r="U63" s="24"/>
      <c r="V63" s="1"/>
    </row>
    <row r="64" spans="15:22" x14ac:dyDescent="0.2">
      <c r="O64" s="15">
        <v>15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">
        <v>16</v>
      </c>
      <c r="P65" s="29"/>
      <c r="Q65" s="30"/>
      <c r="R65" s="36"/>
      <c r="S65" s="26"/>
      <c r="T65" s="29"/>
      <c r="U65" s="25"/>
      <c r="V65" s="1"/>
    </row>
    <row r="66" spans="15:22" x14ac:dyDescent="0.2">
      <c r="O66" s="28">
        <v>17</v>
      </c>
      <c r="P66" s="29"/>
      <c r="Q66" s="30"/>
      <c r="R66" s="36"/>
      <c r="S66" s="26"/>
      <c r="T66" s="29"/>
      <c r="U66" s="25"/>
    </row>
    <row r="67" spans="15:22" x14ac:dyDescent="0.2">
      <c r="O67" s="27">
        <v>18</v>
      </c>
      <c r="P67" s="29"/>
      <c r="Q67" s="30"/>
      <c r="R67" s="36"/>
      <c r="S67" s="26"/>
      <c r="T67" s="29"/>
      <c r="U67" s="24"/>
    </row>
    <row r="68" spans="15:22" x14ac:dyDescent="0.2">
      <c r="O68" s="1">
        <v>19</v>
      </c>
      <c r="P68" s="29"/>
      <c r="Q68" s="30"/>
      <c r="R68" s="36"/>
      <c r="S68" s="39"/>
      <c r="T68" s="29"/>
      <c r="U68" s="25"/>
    </row>
    <row r="69" spans="15:22" x14ac:dyDescent="0.2">
      <c r="O69" s="1">
        <v>20</v>
      </c>
      <c r="P69" s="29"/>
      <c r="Q69" s="30"/>
      <c r="R69" s="36"/>
      <c r="S69" s="39"/>
      <c r="T69" s="29"/>
      <c r="U69" s="25"/>
    </row>
    <row r="70" spans="15:22" x14ac:dyDescent="0.2">
      <c r="O70" s="28">
        <v>21</v>
      </c>
      <c r="P70" s="29"/>
      <c r="Q70" s="30"/>
      <c r="R70" s="36"/>
      <c r="S70" s="26"/>
      <c r="T70" s="29"/>
      <c r="U70" s="25"/>
    </row>
    <row r="71" spans="15:22" x14ac:dyDescent="0.2">
      <c r="O71" s="27">
        <v>22</v>
      </c>
      <c r="P71" s="29"/>
      <c r="Q71" s="30"/>
      <c r="R71" s="36"/>
      <c r="S71" s="26"/>
      <c r="T71" s="29"/>
      <c r="U71" s="25"/>
    </row>
  </sheetData>
  <mergeCells count="19">
    <mergeCell ref="O1:X1"/>
    <mergeCell ref="AA1:AJ1"/>
    <mergeCell ref="AM1:AV1"/>
    <mergeCell ref="B2:K2"/>
    <mergeCell ref="O2:X2"/>
    <mergeCell ref="AA2:AJ2"/>
    <mergeCell ref="AM2:AV2"/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</mergeCells>
  <pageMargins left="0.12" right="0.12" top="0.75" bottom="0.75" header="0.3" footer="0.3"/>
  <pageSetup paperSize="5" scale="69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4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043A-C333-43DF-9329-B4A5F9DC44FA}">
  <sheetPr>
    <tabColor theme="7" tint="0.39997558519241921"/>
  </sheetPr>
  <dimension ref="A1:AK41"/>
  <sheetViews>
    <sheetView showGridLines="0" view="pageBreakPreview" topLeftCell="AL1" zoomScale="70" zoomScaleNormal="55" zoomScaleSheetLayoutView="70" zoomScalePageLayoutView="55" workbookViewId="0">
      <selection activeCell="AC7" sqref="AC7:AH32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1.5" customWidth="1"/>
    <col min="15" max="15" width="3.6640625" bestFit="1" customWidth="1"/>
    <col min="16" max="16" width="7.5" customWidth="1"/>
    <col min="17" max="17" width="14.5" bestFit="1" customWidth="1"/>
    <col min="18" max="18" width="14.5" customWidth="1"/>
    <col min="19" max="19" width="17" bestFit="1" customWidth="1"/>
    <col min="20" max="20" width="14.5" customWidth="1"/>
    <col min="21" max="21" width="7.1640625" customWidth="1"/>
    <col min="22" max="22" width="82.5" customWidth="1"/>
    <col min="23" max="23" width="2.5" customWidth="1"/>
    <col min="24" max="24" width="32.6640625" bestFit="1" customWidth="1"/>
    <col min="25" max="25" width="10" customWidth="1"/>
    <col min="26" max="26" width="1.5" customWidth="1"/>
    <col min="27" max="27" width="3.6640625" bestFit="1" customWidth="1"/>
    <col min="28" max="28" width="7.5" customWidth="1"/>
    <col min="29" max="29" width="14.5" bestFit="1" customWidth="1"/>
    <col min="30" max="30" width="14.5" customWidth="1"/>
    <col min="31" max="31" width="17" bestFit="1" customWidth="1"/>
    <col min="32" max="32" width="14.5" customWidth="1"/>
    <col min="33" max="33" width="7.1640625" customWidth="1"/>
    <col min="34" max="34" width="82.5" customWidth="1"/>
    <col min="35" max="35" width="2.5" customWidth="1"/>
    <col min="36" max="36" width="32.6640625" bestFit="1" customWidth="1"/>
    <col min="37" max="37" width="10" customWidth="1"/>
    <col min="38" max="38" width="17.83203125" customWidth="1"/>
    <col min="39" max="39" width="15.83203125" customWidth="1"/>
  </cols>
  <sheetData>
    <row r="1" spans="1:37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P1" s="104"/>
      <c r="Q1" s="104"/>
      <c r="R1" s="104"/>
      <c r="S1" s="104"/>
      <c r="T1" s="104"/>
      <c r="U1" s="104"/>
      <c r="V1" s="104"/>
      <c r="W1" s="104"/>
      <c r="X1" s="104"/>
      <c r="Y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P2" s="104" t="s">
        <v>54</v>
      </c>
      <c r="Q2" s="104"/>
      <c r="R2" s="104"/>
      <c r="S2" s="104"/>
      <c r="T2" s="104"/>
      <c r="U2" s="104"/>
      <c r="V2" s="104"/>
      <c r="W2" s="104"/>
      <c r="X2" s="104"/>
      <c r="Y2" s="104"/>
      <c r="AB2" s="104" t="s">
        <v>227</v>
      </c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 x14ac:dyDescent="0.2">
      <c r="B3" s="60">
        <f>COUNTIF(Table13245678910111321252934394449546149141924293336424753919786104110116122127131136141914241930364248546066727782879297102107112117122132137147152[Retase],"&gt;3")</f>
        <v>2</v>
      </c>
      <c r="D3" t="s">
        <v>241</v>
      </c>
      <c r="P3" s="60">
        <f>COUNTIF(Table134567891011151819232731374247525927121722273228414652909680103109115121126120135140813231828344046525864707580859095100105110115120125135145150155[Retase],"&gt;4")</f>
        <v>10</v>
      </c>
      <c r="AB3" s="60">
        <f>COUNTIF(Table134567891011151819232731374247525927121722273228414652909680103109115121126120135140813231829354147535965717681869196101106111116121131136146151[Retase],"&gt;3")</f>
        <v>10</v>
      </c>
      <c r="AC3" s="60"/>
    </row>
    <row r="4" spans="1:37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P4" s="105" t="s">
        <v>43</v>
      </c>
      <c r="Q4" s="105"/>
      <c r="R4" s="105"/>
      <c r="S4" s="105"/>
      <c r="T4" s="105"/>
      <c r="U4" s="105"/>
      <c r="V4" s="105"/>
      <c r="X4" s="106" t="s">
        <v>44</v>
      </c>
      <c r="Y4" s="106"/>
      <c r="AB4" s="105" t="s">
        <v>229</v>
      </c>
      <c r="AC4" s="105"/>
      <c r="AD4" s="105"/>
      <c r="AE4" s="105"/>
      <c r="AF4" s="105"/>
      <c r="AG4" s="105"/>
      <c r="AH4" s="105"/>
      <c r="AJ4" s="106" t="s">
        <v>228</v>
      </c>
      <c r="AK4" s="106"/>
    </row>
    <row r="5" spans="1:37" x14ac:dyDescent="0.2">
      <c r="B5" s="109">
        <v>45440</v>
      </c>
      <c r="C5" s="109"/>
      <c r="D5" s="109"/>
      <c r="E5" s="109"/>
      <c r="F5" s="109"/>
      <c r="G5" s="109"/>
      <c r="H5" s="109"/>
      <c r="J5" s="107"/>
      <c r="K5" s="107"/>
      <c r="P5" s="109">
        <f>B5</f>
        <v>45440</v>
      </c>
      <c r="Q5" s="109"/>
      <c r="R5" s="109"/>
      <c r="S5" s="109"/>
      <c r="T5" s="109"/>
      <c r="U5" s="109"/>
      <c r="V5" s="109"/>
      <c r="X5" s="107"/>
      <c r="Y5" s="107"/>
      <c r="AB5" s="109">
        <f>B5</f>
        <v>45440</v>
      </c>
      <c r="AC5" s="109"/>
      <c r="AD5" s="109"/>
      <c r="AE5" s="109"/>
      <c r="AF5" s="109"/>
      <c r="AG5" s="109"/>
      <c r="AH5" s="109"/>
      <c r="AJ5" s="107"/>
      <c r="AK5" s="107"/>
    </row>
    <row r="6" spans="1:37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P6" s="2" t="s">
        <v>0</v>
      </c>
      <c r="Q6" s="2" t="s">
        <v>1</v>
      </c>
      <c r="R6" s="2" t="s">
        <v>61</v>
      </c>
      <c r="S6" s="2" t="s">
        <v>62</v>
      </c>
      <c r="T6" s="2" t="s">
        <v>63</v>
      </c>
      <c r="U6" s="2" t="s">
        <v>2</v>
      </c>
      <c r="V6" s="2" t="s">
        <v>3</v>
      </c>
      <c r="X6" s="3" t="s">
        <v>21</v>
      </c>
      <c r="Y6" s="5">
        <f>SUM(Y8:Y11)</f>
        <v>41</v>
      </c>
      <c r="AB6" s="2" t="s">
        <v>0</v>
      </c>
      <c r="AC6" s="2" t="s">
        <v>1</v>
      </c>
      <c r="AD6" s="2" t="s">
        <v>61</v>
      </c>
      <c r="AE6" s="2" t="s">
        <v>62</v>
      </c>
      <c r="AF6" s="2" t="s">
        <v>63</v>
      </c>
      <c r="AG6" s="2" t="s">
        <v>2</v>
      </c>
      <c r="AH6" s="2" t="s">
        <v>3</v>
      </c>
      <c r="AJ6" s="3" t="s">
        <v>21</v>
      </c>
      <c r="AK6" s="5">
        <f>SUM(AK8:AK11)</f>
        <v>39</v>
      </c>
    </row>
    <row r="7" spans="1:37" s="1" customFormat="1" x14ac:dyDescent="0.2">
      <c r="A7" s="56"/>
      <c r="B7" s="1">
        <v>1</v>
      </c>
      <c r="C7" s="29" t="s">
        <v>13</v>
      </c>
      <c r="D7" s="41">
        <v>0.27291666666666664</v>
      </c>
      <c r="E7" s="41" t="s">
        <v>310</v>
      </c>
      <c r="F7" s="26" t="e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#VALUE!</v>
      </c>
      <c r="G7" s="2">
        <v>1</v>
      </c>
      <c r="H7" s="25"/>
      <c r="J7" s="4" t="s">
        <v>10</v>
      </c>
      <c r="K7" s="6">
        <v>23</v>
      </c>
      <c r="L7" s="19"/>
      <c r="P7" s="50">
        <v>1</v>
      </c>
      <c r="Q7" s="33" t="s">
        <v>42</v>
      </c>
      <c r="R7" s="32">
        <v>0.42638888888888887</v>
      </c>
      <c r="S7" s="32">
        <v>0.56666666666666665</v>
      </c>
      <c r="T7" s="52">
        <f t="shared" ref="T7:T30" si="0">S7-R7</f>
        <v>0.14027777777777778</v>
      </c>
      <c r="U7" s="31">
        <v>1</v>
      </c>
      <c r="V7" s="55"/>
      <c r="X7" s="4" t="s">
        <v>10</v>
      </c>
      <c r="Y7" s="6">
        <v>41</v>
      </c>
      <c r="AA7" s="56"/>
      <c r="AB7" s="50">
        <v>1</v>
      </c>
      <c r="AC7" s="31" t="s">
        <v>237</v>
      </c>
      <c r="AD7" s="32">
        <v>0.35902777777777778</v>
      </c>
      <c r="AE7" s="32">
        <v>0.76041666666666663</v>
      </c>
      <c r="AF7" s="51">
        <f t="shared" ref="AF7:AF32" si="1">AE7-AD7</f>
        <v>0.40138888888888885</v>
      </c>
      <c r="AG7" s="31">
        <v>1</v>
      </c>
      <c r="AH7" s="55"/>
      <c r="AJ7" s="4" t="s">
        <v>10</v>
      </c>
      <c r="AK7" s="6">
        <v>25</v>
      </c>
    </row>
    <row r="8" spans="1:37" s="1" customFormat="1" x14ac:dyDescent="0.2">
      <c r="A8" s="56"/>
      <c r="B8" s="1">
        <v>2</v>
      </c>
      <c r="C8" s="29" t="s">
        <v>14</v>
      </c>
      <c r="D8" s="41">
        <v>0.28958333333333336</v>
      </c>
      <c r="E8" s="41">
        <v>0.55833333333333335</v>
      </c>
      <c r="F8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0.26874999999999999</v>
      </c>
      <c r="G8" s="2">
        <v>1</v>
      </c>
      <c r="H8" s="102"/>
      <c r="J8" s="4" t="s">
        <v>9</v>
      </c>
      <c r="K8" s="7">
        <v>21</v>
      </c>
      <c r="L8" s="19"/>
      <c r="O8" s="56"/>
      <c r="P8" s="50">
        <v>2</v>
      </c>
      <c r="Q8" s="33" t="s">
        <v>122</v>
      </c>
      <c r="R8" s="44">
        <v>0.30624999999999997</v>
      </c>
      <c r="S8" s="44">
        <v>0.64722222222222225</v>
      </c>
      <c r="T8" s="51">
        <f t="shared" si="0"/>
        <v>0.34097222222222229</v>
      </c>
      <c r="U8" s="31">
        <v>1</v>
      </c>
      <c r="V8" s="55"/>
      <c r="X8" s="4" t="s">
        <v>9</v>
      </c>
      <c r="Y8" s="6">
        <v>24</v>
      </c>
      <c r="AB8" s="50">
        <v>2</v>
      </c>
      <c r="AC8" s="31" t="s">
        <v>698</v>
      </c>
      <c r="AD8" s="32">
        <v>0.36041666666666666</v>
      </c>
      <c r="AE8" s="32">
        <v>0.43333333333333335</v>
      </c>
      <c r="AF8" s="51">
        <f t="shared" si="1"/>
        <v>7.2916666666666685E-2</v>
      </c>
      <c r="AG8" s="31">
        <v>1</v>
      </c>
      <c r="AH8" s="55"/>
      <c r="AJ8" s="4" t="s">
        <v>9</v>
      </c>
      <c r="AK8" s="6">
        <v>26</v>
      </c>
    </row>
    <row r="9" spans="1:37" s="1" customFormat="1" x14ac:dyDescent="0.2">
      <c r="A9" s="56"/>
      <c r="B9" s="1">
        <v>3</v>
      </c>
      <c r="C9" s="29" t="s">
        <v>18</v>
      </c>
      <c r="D9" s="41">
        <v>0.24444444444444446</v>
      </c>
      <c r="E9" s="41">
        <v>0.4145833333333333</v>
      </c>
      <c r="F9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0.17013888888888884</v>
      </c>
      <c r="G9" s="2">
        <v>1</v>
      </c>
      <c r="H9" s="102"/>
      <c r="J9" s="4" t="s">
        <v>4</v>
      </c>
      <c r="K9" s="7">
        <v>0</v>
      </c>
      <c r="L9" s="19"/>
      <c r="O9" s="56" t="s">
        <v>209</v>
      </c>
      <c r="P9" s="1">
        <v>3</v>
      </c>
      <c r="Q9" s="29" t="s">
        <v>50</v>
      </c>
      <c r="R9" s="30">
        <v>0.27916666666666667</v>
      </c>
      <c r="S9" s="30">
        <v>0.4770833333333333</v>
      </c>
      <c r="T9" s="26">
        <f t="shared" si="0"/>
        <v>0.19791666666666663</v>
      </c>
      <c r="U9" s="2">
        <v>2</v>
      </c>
      <c r="V9" s="45"/>
      <c r="X9" s="4" t="s">
        <v>4</v>
      </c>
      <c r="Y9" s="7">
        <v>1</v>
      </c>
      <c r="AB9" s="1">
        <v>3</v>
      </c>
      <c r="AC9" s="2" t="s">
        <v>559</v>
      </c>
      <c r="AD9" s="41">
        <v>0.27916666666666667</v>
      </c>
      <c r="AE9" s="41">
        <v>0.56319444444444444</v>
      </c>
      <c r="AF9" s="26">
        <f t="shared" si="1"/>
        <v>0.28402777777777777</v>
      </c>
      <c r="AG9" s="2">
        <v>2</v>
      </c>
      <c r="AH9" s="45"/>
      <c r="AJ9" s="4" t="s">
        <v>4</v>
      </c>
      <c r="AK9" s="7">
        <v>0</v>
      </c>
    </row>
    <row r="10" spans="1:37" s="1" customFormat="1" x14ac:dyDescent="0.2">
      <c r="A10" s="56"/>
      <c r="B10" s="50">
        <v>4</v>
      </c>
      <c r="C10" s="33" t="s">
        <v>19</v>
      </c>
      <c r="D10" s="32">
        <v>0.4375</v>
      </c>
      <c r="E10" s="32">
        <v>0.5805555555555556</v>
      </c>
      <c r="F10" s="51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0.1430555555555556</v>
      </c>
      <c r="G10" s="31">
        <v>1</v>
      </c>
      <c r="H10" s="73"/>
      <c r="J10" s="4" t="s">
        <v>5</v>
      </c>
      <c r="K10" s="7">
        <v>2</v>
      </c>
      <c r="L10" s="19"/>
      <c r="O10" s="56"/>
      <c r="P10" s="50">
        <v>4</v>
      </c>
      <c r="Q10" s="33" t="s">
        <v>32</v>
      </c>
      <c r="R10" s="44">
        <v>0.36249999999999999</v>
      </c>
      <c r="S10" s="44">
        <v>0.60277777777777775</v>
      </c>
      <c r="T10" s="51">
        <f t="shared" si="0"/>
        <v>0.24027777777777776</v>
      </c>
      <c r="U10" s="31">
        <v>3</v>
      </c>
      <c r="V10" s="55"/>
      <c r="X10" s="4" t="s">
        <v>5</v>
      </c>
      <c r="Y10" s="7">
        <v>16</v>
      </c>
      <c r="AA10" s="54"/>
      <c r="AB10" s="1">
        <v>4</v>
      </c>
      <c r="AC10" s="2" t="s">
        <v>275</v>
      </c>
      <c r="AD10" s="41">
        <v>0.29166666666666669</v>
      </c>
      <c r="AE10" s="41">
        <v>0.70138888888888884</v>
      </c>
      <c r="AF10" s="26">
        <f t="shared" si="1"/>
        <v>0.40972222222222215</v>
      </c>
      <c r="AG10" s="2">
        <v>2</v>
      </c>
      <c r="AH10" s="45"/>
      <c r="AJ10" s="4" t="s">
        <v>5</v>
      </c>
      <c r="AK10" s="7">
        <v>0</v>
      </c>
    </row>
    <row r="11" spans="1:37" s="1" customFormat="1" x14ac:dyDescent="0.2">
      <c r="A11" s="56"/>
      <c r="B11" s="50">
        <v>5</v>
      </c>
      <c r="C11" s="33" t="s">
        <v>65</v>
      </c>
      <c r="D11" s="32">
        <v>0.30624999999999997</v>
      </c>
      <c r="E11" s="32" t="s">
        <v>310</v>
      </c>
      <c r="F11" s="51" t="e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#VALUE!</v>
      </c>
      <c r="G11" s="31">
        <v>2</v>
      </c>
      <c r="H11" s="73"/>
      <c r="J11" s="4" t="s">
        <v>6</v>
      </c>
      <c r="K11" s="7">
        <v>0</v>
      </c>
      <c r="O11" s="56"/>
      <c r="P11" s="1">
        <v>5</v>
      </c>
      <c r="Q11" s="29" t="s">
        <v>309</v>
      </c>
      <c r="R11" s="30">
        <v>0.27291666666666664</v>
      </c>
      <c r="S11" s="30">
        <v>0.54652777777777783</v>
      </c>
      <c r="T11" s="26">
        <f t="shared" si="0"/>
        <v>0.27361111111111119</v>
      </c>
      <c r="U11" s="2">
        <v>3</v>
      </c>
      <c r="V11" s="45"/>
      <c r="X11" s="4" t="s">
        <v>6</v>
      </c>
      <c r="Y11" s="7">
        <v>0</v>
      </c>
      <c r="AB11" s="1">
        <v>5</v>
      </c>
      <c r="AC11" s="2" t="s">
        <v>276</v>
      </c>
      <c r="AD11" s="41">
        <v>0.31458333333333333</v>
      </c>
      <c r="AE11" s="41" t="s">
        <v>310</v>
      </c>
      <c r="AF11" s="26" t="e">
        <f t="shared" si="1"/>
        <v>#VALUE!</v>
      </c>
      <c r="AG11" s="2">
        <v>2</v>
      </c>
      <c r="AH11" s="45"/>
      <c r="AJ11" s="4" t="s">
        <v>6</v>
      </c>
      <c r="AK11" s="7">
        <v>13</v>
      </c>
    </row>
    <row r="12" spans="1:37" s="1" customFormat="1" x14ac:dyDescent="0.2">
      <c r="A12" s="56"/>
      <c r="B12" s="50">
        <v>6</v>
      </c>
      <c r="C12" s="33" t="s">
        <v>12</v>
      </c>
      <c r="D12" s="32">
        <v>0.31388888888888888</v>
      </c>
      <c r="E12" s="32">
        <v>0.56319444444444444</v>
      </c>
      <c r="F12" s="51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0.24930555555555556</v>
      </c>
      <c r="G12" s="31">
        <v>2</v>
      </c>
      <c r="H12" s="68"/>
      <c r="J12" s="8" t="s">
        <v>8</v>
      </c>
      <c r="K12" s="9">
        <f>SUM(Table13245678910111321252934394449546149141924293336424753919786104110116122127131136141914241930364248546066727782879297102107112117122132137147152[Retase])</f>
        <v>50</v>
      </c>
      <c r="L12" s="19"/>
      <c r="P12" s="50">
        <v>6</v>
      </c>
      <c r="Q12" s="33" t="s">
        <v>59</v>
      </c>
      <c r="R12" s="44">
        <v>0.29236111111111113</v>
      </c>
      <c r="S12" s="44">
        <v>0.55833333333333335</v>
      </c>
      <c r="T12" s="51">
        <f t="shared" si="0"/>
        <v>0.26597222222222222</v>
      </c>
      <c r="U12" s="31">
        <v>3</v>
      </c>
      <c r="V12" s="55"/>
      <c r="X12" s="8" t="s">
        <v>8</v>
      </c>
      <c r="Y12" s="9">
        <f>SUM(Table134567891011151819232731374247525927121722273228414652909680103109115121126120135140813231828344046525864707580859095100105110115120125135145150155[Retase])</f>
        <v>98</v>
      </c>
      <c r="AB12" s="50">
        <v>6</v>
      </c>
      <c r="AC12" s="31" t="s">
        <v>302</v>
      </c>
      <c r="AD12" s="32">
        <v>0.38055555555555554</v>
      </c>
      <c r="AE12" s="32">
        <v>0.70486111111111116</v>
      </c>
      <c r="AF12" s="51">
        <f t="shared" si="1"/>
        <v>0.32430555555555562</v>
      </c>
      <c r="AG12" s="31">
        <v>3</v>
      </c>
      <c r="AH12" s="55"/>
      <c r="AJ12" s="8" t="s">
        <v>8</v>
      </c>
      <c r="AK12" s="9">
        <f>SUM(Table134567891011151819232731374247525927121722273228414652909680103109115121126120135140813231829354147535965717681869196101106111116121131136146151[Retase])</f>
        <v>81</v>
      </c>
    </row>
    <row r="13" spans="1:37" s="1" customFormat="1" x14ac:dyDescent="0.2">
      <c r="A13" s="56"/>
      <c r="B13" s="50">
        <v>7</v>
      </c>
      <c r="C13" s="33" t="s">
        <v>68</v>
      </c>
      <c r="D13" s="32">
        <v>0.43333333333333335</v>
      </c>
      <c r="E13" s="32">
        <v>0.68541666666666667</v>
      </c>
      <c r="F13" s="51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0.25208333333333333</v>
      </c>
      <c r="G13" s="31">
        <v>2</v>
      </c>
      <c r="H13" s="53"/>
      <c r="J13" s="10" t="s">
        <v>7</v>
      </c>
      <c r="K13" s="11">
        <f>K12/K8</f>
        <v>2.3809523809523809</v>
      </c>
      <c r="L13" s="19"/>
      <c r="O13" s="56" t="s">
        <v>209</v>
      </c>
      <c r="P13" s="1">
        <v>7</v>
      </c>
      <c r="Q13" s="29" t="s">
        <v>78</v>
      </c>
      <c r="R13" s="30">
        <v>0.2722222222222222</v>
      </c>
      <c r="S13" s="30">
        <v>0.5493055555555556</v>
      </c>
      <c r="T13" s="26">
        <f t="shared" si="0"/>
        <v>0.2770833333333334</v>
      </c>
      <c r="U13" s="2">
        <v>3</v>
      </c>
      <c r="V13" s="45"/>
      <c r="X13" s="10" t="s">
        <v>7</v>
      </c>
      <c r="Y13" s="11">
        <f>Y12/Y8</f>
        <v>4.083333333333333</v>
      </c>
      <c r="AB13" s="50">
        <v>7</v>
      </c>
      <c r="AC13" s="31" t="s">
        <v>230</v>
      </c>
      <c r="AD13" s="32">
        <v>0.35555555555555557</v>
      </c>
      <c r="AE13" s="32">
        <v>0.6777777777777777</v>
      </c>
      <c r="AF13" s="51">
        <f t="shared" si="1"/>
        <v>0.32222222222222213</v>
      </c>
      <c r="AG13" s="31">
        <v>3</v>
      </c>
      <c r="AH13" s="55"/>
      <c r="AJ13" s="10" t="s">
        <v>7</v>
      </c>
      <c r="AK13" s="11">
        <f>AK12/AK8</f>
        <v>3.1153846153846154</v>
      </c>
    </row>
    <row r="14" spans="1:37" s="1" customFormat="1" x14ac:dyDescent="0.2">
      <c r="A14"/>
      <c r="B14" s="1">
        <v>8</v>
      </c>
      <c r="C14" s="29" t="s">
        <v>69</v>
      </c>
      <c r="D14" s="41">
        <v>0.27777777777777779</v>
      </c>
      <c r="E14" s="41">
        <v>0.56041666666666667</v>
      </c>
      <c r="F14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0.28263888888888888</v>
      </c>
      <c r="G14" s="2">
        <v>2</v>
      </c>
      <c r="H14" s="45"/>
      <c r="J14" s="12" t="s">
        <v>11</v>
      </c>
      <c r="K14" s="13">
        <v>4</v>
      </c>
      <c r="L14" s="19"/>
      <c r="O14" s="56" t="s">
        <v>209</v>
      </c>
      <c r="P14" s="1">
        <v>8</v>
      </c>
      <c r="Q14" s="29" t="s">
        <v>49</v>
      </c>
      <c r="R14" s="30">
        <v>0.23124999999999998</v>
      </c>
      <c r="S14" s="30">
        <v>0.55208333333333337</v>
      </c>
      <c r="T14" s="26">
        <f t="shared" si="0"/>
        <v>0.32083333333333341</v>
      </c>
      <c r="U14" s="2">
        <v>3</v>
      </c>
      <c r="V14" s="45"/>
      <c r="X14" s="12" t="s">
        <v>11</v>
      </c>
      <c r="Y14" s="13">
        <v>5</v>
      </c>
      <c r="AB14" s="1">
        <v>8</v>
      </c>
      <c r="AC14" s="2" t="s">
        <v>232</v>
      </c>
      <c r="AD14" s="41">
        <v>0.28680555555555554</v>
      </c>
      <c r="AE14" s="41">
        <v>0.62083333333333335</v>
      </c>
      <c r="AF14" s="26">
        <f t="shared" si="1"/>
        <v>0.33402777777777781</v>
      </c>
      <c r="AG14" s="2">
        <v>3</v>
      </c>
      <c r="AH14" s="45"/>
      <c r="AJ14" s="12" t="s">
        <v>11</v>
      </c>
      <c r="AK14" s="13">
        <v>4</v>
      </c>
    </row>
    <row r="15" spans="1:37" s="1" customFormat="1" x14ac:dyDescent="0.2">
      <c r="A15"/>
      <c r="B15" s="1">
        <v>9</v>
      </c>
      <c r="C15" s="29" t="s">
        <v>75</v>
      </c>
      <c r="D15" s="41">
        <v>0.22500000000000001</v>
      </c>
      <c r="E15" s="41">
        <v>0.47638888888888892</v>
      </c>
      <c r="F15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0.25138888888888888</v>
      </c>
      <c r="G15" s="2">
        <v>2</v>
      </c>
      <c r="H15" s="45"/>
      <c r="J15" s="12" t="s">
        <v>88</v>
      </c>
      <c r="K15" s="14">
        <f>B3/K8</f>
        <v>9.5238095238095233E-2</v>
      </c>
      <c r="L15" s="19"/>
      <c r="O15" s="56"/>
      <c r="P15" s="1">
        <v>9</v>
      </c>
      <c r="Q15" s="29" t="s">
        <v>82</v>
      </c>
      <c r="R15" s="30">
        <v>0.27430555555555552</v>
      </c>
      <c r="S15" s="30">
        <v>0.54999999999999993</v>
      </c>
      <c r="T15" s="26">
        <f t="shared" si="0"/>
        <v>0.27569444444444441</v>
      </c>
      <c r="U15" s="2">
        <v>4</v>
      </c>
      <c r="V15" s="45"/>
      <c r="X15" s="12" t="s">
        <v>88</v>
      </c>
      <c r="Y15" s="14">
        <f>P3/Y8</f>
        <v>0.41666666666666669</v>
      </c>
      <c r="AB15" s="1">
        <v>9</v>
      </c>
      <c r="AC15" s="2" t="s">
        <v>233</v>
      </c>
      <c r="AD15" s="41">
        <v>0.22500000000000001</v>
      </c>
      <c r="AE15" s="41">
        <v>0.53055555555555556</v>
      </c>
      <c r="AF15" s="26">
        <f t="shared" si="1"/>
        <v>0.30555555555555558</v>
      </c>
      <c r="AG15" s="2">
        <v>3</v>
      </c>
      <c r="AH15" s="45"/>
      <c r="AJ15" s="12" t="s">
        <v>88</v>
      </c>
      <c r="AK15" s="14">
        <f>AB3/AK8</f>
        <v>0.38461538461538464</v>
      </c>
    </row>
    <row r="16" spans="1:37" x14ac:dyDescent="0.2">
      <c r="A16" s="56" t="s">
        <v>209</v>
      </c>
      <c r="B16" s="1">
        <v>10</v>
      </c>
      <c r="C16" s="29" t="s">
        <v>16</v>
      </c>
      <c r="D16" s="41">
        <v>0.2722222222222222</v>
      </c>
      <c r="E16" s="41">
        <v>0.55138888888888882</v>
      </c>
      <c r="F16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0.27916666666666662</v>
      </c>
      <c r="G16" s="2">
        <v>2</v>
      </c>
      <c r="H16" s="102"/>
      <c r="J16" s="12" t="s">
        <v>24</v>
      </c>
      <c r="K16" s="14">
        <f>K8/K7</f>
        <v>0.91304347826086951</v>
      </c>
      <c r="P16" s="1">
        <v>10</v>
      </c>
      <c r="Q16" s="29" t="s">
        <v>57</v>
      </c>
      <c r="R16" s="30">
        <v>0.29305555555555557</v>
      </c>
      <c r="S16" s="30">
        <v>0.60625000000000007</v>
      </c>
      <c r="T16" s="26">
        <f t="shared" si="0"/>
        <v>0.3131944444444445</v>
      </c>
      <c r="U16" s="2">
        <v>4</v>
      </c>
      <c r="V16" s="45"/>
      <c r="X16" s="12" t="s">
        <v>27</v>
      </c>
      <c r="Y16" s="14">
        <f>Y8/Y7</f>
        <v>0.58536585365853655</v>
      </c>
      <c r="AB16" s="1">
        <v>10</v>
      </c>
      <c r="AC16" s="2" t="s">
        <v>236</v>
      </c>
      <c r="AD16" s="41">
        <v>0.25972222222222224</v>
      </c>
      <c r="AE16" s="41">
        <v>0.61736111111111114</v>
      </c>
      <c r="AF16" s="26">
        <f t="shared" si="1"/>
        <v>0.3576388888888889</v>
      </c>
      <c r="AG16" s="2">
        <v>3</v>
      </c>
      <c r="AH16" s="45"/>
      <c r="AJ16" s="12" t="s">
        <v>27</v>
      </c>
      <c r="AK16" s="14">
        <f>AK8/AK7</f>
        <v>1.04</v>
      </c>
    </row>
    <row r="17" spans="1:37" x14ac:dyDescent="0.2">
      <c r="B17" s="1">
        <v>11</v>
      </c>
      <c r="C17" s="29" t="s">
        <v>17</v>
      </c>
      <c r="D17" s="41">
        <v>0.24444444444444446</v>
      </c>
      <c r="E17" s="41">
        <v>0.57986111111111105</v>
      </c>
      <c r="F17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0.33541666666666659</v>
      </c>
      <c r="G17" s="2">
        <v>2</v>
      </c>
      <c r="H17" s="102"/>
      <c r="J17" s="12" t="s">
        <v>117</v>
      </c>
      <c r="K17" s="48">
        <f>AVERAGE(Table13245678910111321252934394449546149141924293336424753919786104110116122127131136141914241930364248546066727782879297102107112117122132137147152[JAM KELUAR])</f>
        <v>0.27979497354497351</v>
      </c>
      <c r="N17" s="56"/>
      <c r="O17" s="56" t="s">
        <v>209</v>
      </c>
      <c r="P17" s="50">
        <v>11</v>
      </c>
      <c r="Q17" s="33" t="s">
        <v>34</v>
      </c>
      <c r="R17" s="44">
        <v>0.36249999999999999</v>
      </c>
      <c r="S17" s="44">
        <v>0.67499999999999993</v>
      </c>
      <c r="T17" s="51">
        <f t="shared" si="0"/>
        <v>0.31249999999999994</v>
      </c>
      <c r="U17" s="31">
        <v>4</v>
      </c>
      <c r="V17" s="55"/>
      <c r="X17" s="12" t="s">
        <v>117</v>
      </c>
      <c r="Y17" s="48">
        <f>AVERAGE(Table134567891011151819232731374247525927121722273228414652909680103109115121126120135140813231828344046525864707580859095100105110115120125135145150155[JAM KELUAR])</f>
        <v>0.29733796296296294</v>
      </c>
      <c r="AB17" s="50">
        <v>11</v>
      </c>
      <c r="AC17" s="31" t="s">
        <v>239</v>
      </c>
      <c r="AD17" s="32">
        <v>0.44305555555555554</v>
      </c>
      <c r="AE17" s="32">
        <v>0.72638888888888886</v>
      </c>
      <c r="AF17" s="51">
        <f t="shared" si="1"/>
        <v>0.28333333333333333</v>
      </c>
      <c r="AG17" s="31">
        <v>3</v>
      </c>
      <c r="AH17" s="55"/>
      <c r="AJ17" s="12" t="s">
        <v>117</v>
      </c>
      <c r="AK17" s="48">
        <f>AVERAGE(Table134567891011151819232731374247525927121722273228414652909680103109115121126120135140813231829354147535965717681869196101106111116121131136146151[JAM KELUAR])</f>
        <v>0.2903044871794872</v>
      </c>
    </row>
    <row r="18" spans="1:37" x14ac:dyDescent="0.2">
      <c r="B18" s="1">
        <v>12</v>
      </c>
      <c r="C18" s="29" t="s">
        <v>118</v>
      </c>
      <c r="D18" s="41">
        <v>0.25347222222222221</v>
      </c>
      <c r="E18" s="41">
        <v>0.64444444444444449</v>
      </c>
      <c r="F18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0.39097222222222228</v>
      </c>
      <c r="G18" s="2">
        <v>3</v>
      </c>
      <c r="H18" s="69"/>
      <c r="P18" s="50">
        <v>12</v>
      </c>
      <c r="Q18" s="33" t="s">
        <v>79</v>
      </c>
      <c r="R18" s="44">
        <v>0.33680555555555558</v>
      </c>
      <c r="S18" s="44">
        <v>0.67499999999999993</v>
      </c>
      <c r="T18" s="51">
        <f t="shared" si="0"/>
        <v>0.33819444444444435</v>
      </c>
      <c r="U18" s="31">
        <v>4</v>
      </c>
      <c r="V18" s="55" t="s">
        <v>255</v>
      </c>
      <c r="X18" s="17"/>
      <c r="AB18" s="1">
        <v>12</v>
      </c>
      <c r="AC18" s="2" t="s">
        <v>273</v>
      </c>
      <c r="AD18" s="41">
        <v>0.27847222222222223</v>
      </c>
      <c r="AE18" s="41">
        <v>0.65763888888888888</v>
      </c>
      <c r="AF18" s="26">
        <f t="shared" si="1"/>
        <v>0.37916666666666665</v>
      </c>
      <c r="AG18" s="2">
        <v>3</v>
      </c>
      <c r="AH18" s="45"/>
      <c r="AJ18" s="17"/>
    </row>
    <row r="19" spans="1:37" ht="15.75" customHeight="1" x14ac:dyDescent="0.2">
      <c r="A19" s="56"/>
      <c r="B19" s="50">
        <v>13</v>
      </c>
      <c r="C19" s="33" t="s">
        <v>119</v>
      </c>
      <c r="D19" s="32">
        <v>0.2951388888888889</v>
      </c>
      <c r="E19" s="32">
        <v>0.65277777777777779</v>
      </c>
      <c r="F19" s="51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0.3576388888888889</v>
      </c>
      <c r="G19" s="31">
        <v>3</v>
      </c>
      <c r="H19" s="73"/>
      <c r="O19" s="56"/>
      <c r="P19" s="1">
        <v>13</v>
      </c>
      <c r="Q19" s="29" t="s">
        <v>56</v>
      </c>
      <c r="R19" s="30">
        <v>0.2673611111111111</v>
      </c>
      <c r="S19" s="30">
        <v>0.55833333333333335</v>
      </c>
      <c r="T19" s="26">
        <f t="shared" si="0"/>
        <v>0.29097222222222224</v>
      </c>
      <c r="U19" s="2">
        <v>4</v>
      </c>
      <c r="V19" s="45"/>
      <c r="AB19" s="1">
        <v>13</v>
      </c>
      <c r="AC19" s="2" t="s">
        <v>240</v>
      </c>
      <c r="AD19" s="41">
        <v>0.23472222222222219</v>
      </c>
      <c r="AE19" s="41">
        <v>0.66319444444444442</v>
      </c>
      <c r="AF19" s="26">
        <f t="shared" si="1"/>
        <v>0.42847222222222225</v>
      </c>
      <c r="AG19" s="2">
        <v>3</v>
      </c>
      <c r="AH19" s="45"/>
    </row>
    <row r="20" spans="1:37" ht="17.25" customHeight="1" x14ac:dyDescent="0.2">
      <c r="B20" s="50">
        <v>14</v>
      </c>
      <c r="C20" s="33" t="s">
        <v>70</v>
      </c>
      <c r="D20" s="32">
        <v>0.30416666666666664</v>
      </c>
      <c r="E20" s="32">
        <v>0.6694444444444444</v>
      </c>
      <c r="F20" s="51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0.36527777777777776</v>
      </c>
      <c r="G20" s="31">
        <v>3</v>
      </c>
      <c r="H20" s="55"/>
      <c r="P20" s="50">
        <v>14</v>
      </c>
      <c r="Q20" s="33" t="s">
        <v>60</v>
      </c>
      <c r="R20" s="44">
        <v>0.40625</v>
      </c>
      <c r="S20" s="44">
        <v>0.66805555555555562</v>
      </c>
      <c r="T20" s="51">
        <f t="shared" si="0"/>
        <v>0.26180555555555562</v>
      </c>
      <c r="U20" s="31">
        <v>4</v>
      </c>
      <c r="V20" s="55"/>
      <c r="AB20" s="1">
        <v>14</v>
      </c>
      <c r="AC20" s="2" t="s">
        <v>277</v>
      </c>
      <c r="AD20" s="41">
        <v>0.28541666666666665</v>
      </c>
      <c r="AE20" s="41">
        <v>0.67013888888888884</v>
      </c>
      <c r="AF20" s="26">
        <f t="shared" si="1"/>
        <v>0.38472222222222219</v>
      </c>
      <c r="AG20" s="2">
        <v>3</v>
      </c>
      <c r="AH20" s="45"/>
    </row>
    <row r="21" spans="1:37" ht="15.75" customHeight="1" x14ac:dyDescent="0.2">
      <c r="A21" s="56"/>
      <c r="B21" s="1">
        <v>15</v>
      </c>
      <c r="C21" s="29" t="s">
        <v>71</v>
      </c>
      <c r="D21" s="41">
        <v>0.25069444444444444</v>
      </c>
      <c r="E21" s="41">
        <v>0.59166666666666667</v>
      </c>
      <c r="F21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0.34097222222222223</v>
      </c>
      <c r="G21" s="2">
        <v>3</v>
      </c>
      <c r="H21" s="102"/>
      <c r="P21" s="50">
        <v>15</v>
      </c>
      <c r="Q21" s="33" t="s">
        <v>83</v>
      </c>
      <c r="R21" s="32">
        <v>0.36874999999999997</v>
      </c>
      <c r="S21" s="44">
        <v>0.73402777777777783</v>
      </c>
      <c r="T21" s="51">
        <f t="shared" si="0"/>
        <v>0.36527777777777787</v>
      </c>
      <c r="U21" s="31">
        <v>5</v>
      </c>
      <c r="V21" s="55"/>
      <c r="AB21" s="1">
        <v>15</v>
      </c>
      <c r="AC21" s="2" t="s">
        <v>278</v>
      </c>
      <c r="AD21" s="41">
        <v>0.27430555555555552</v>
      </c>
      <c r="AE21" s="41">
        <v>0.6958333333333333</v>
      </c>
      <c r="AF21" s="26">
        <f t="shared" si="1"/>
        <v>0.42152777777777778</v>
      </c>
      <c r="AG21" s="2">
        <v>3</v>
      </c>
      <c r="AH21" s="45"/>
    </row>
    <row r="22" spans="1:37" ht="15" customHeight="1" x14ac:dyDescent="0.2">
      <c r="B22" s="1">
        <v>16</v>
      </c>
      <c r="C22" s="29" t="s">
        <v>74</v>
      </c>
      <c r="D22" s="41">
        <v>0.27430555555555552</v>
      </c>
      <c r="E22" s="41">
        <v>0.6118055555555556</v>
      </c>
      <c r="F22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0.33750000000000008</v>
      </c>
      <c r="G22" s="2">
        <v>3</v>
      </c>
      <c r="H22" s="45"/>
      <c r="P22" s="1">
        <v>16</v>
      </c>
      <c r="Q22" s="29" t="s">
        <v>58</v>
      </c>
      <c r="R22" s="41">
        <v>0.28472222222222221</v>
      </c>
      <c r="S22" s="30">
        <v>0.65972222222222221</v>
      </c>
      <c r="T22" s="26">
        <f t="shared" si="0"/>
        <v>0.375</v>
      </c>
      <c r="U22" s="2">
        <v>5</v>
      </c>
      <c r="V22" s="45"/>
      <c r="AB22" s="1">
        <v>16</v>
      </c>
      <c r="AC22" s="2" t="s">
        <v>279</v>
      </c>
      <c r="AD22" s="41">
        <v>0.2673611111111111</v>
      </c>
      <c r="AE22" s="41">
        <v>0.68055555555555547</v>
      </c>
      <c r="AF22" s="26">
        <f t="shared" si="1"/>
        <v>0.41319444444444436</v>
      </c>
      <c r="AG22" s="2">
        <v>3</v>
      </c>
      <c r="AH22" s="45"/>
    </row>
    <row r="23" spans="1:37" ht="15" customHeight="1" x14ac:dyDescent="0.2">
      <c r="B23" s="1">
        <v>17</v>
      </c>
      <c r="C23" s="29" t="s">
        <v>76</v>
      </c>
      <c r="D23" s="41">
        <v>0.20555555555555557</v>
      </c>
      <c r="E23" s="41">
        <v>0.60555555555555551</v>
      </c>
      <c r="F23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0.39999999999999991</v>
      </c>
      <c r="G23" s="2">
        <v>3</v>
      </c>
      <c r="H23" s="102"/>
      <c r="O23" s="56"/>
      <c r="P23" s="1">
        <v>17</v>
      </c>
      <c r="Q23" s="29" t="s">
        <v>40</v>
      </c>
      <c r="R23" s="30">
        <v>0.22083333333333333</v>
      </c>
      <c r="S23" s="30">
        <v>0.61111111111111105</v>
      </c>
      <c r="T23" s="39">
        <f t="shared" si="0"/>
        <v>0.39027777777777772</v>
      </c>
      <c r="U23" s="2">
        <v>5</v>
      </c>
      <c r="V23" s="45"/>
      <c r="AB23" s="1">
        <v>17</v>
      </c>
      <c r="AC23" s="2" t="s">
        <v>301</v>
      </c>
      <c r="AD23" s="41">
        <v>0.23124999999999998</v>
      </c>
      <c r="AE23" s="41">
        <v>0.72361111111111109</v>
      </c>
      <c r="AF23" s="26">
        <f t="shared" si="1"/>
        <v>0.49236111111111114</v>
      </c>
      <c r="AG23" s="2">
        <v>4</v>
      </c>
      <c r="AH23" s="45"/>
    </row>
    <row r="24" spans="1:37" ht="15" customHeight="1" x14ac:dyDescent="0.2">
      <c r="B24" s="1">
        <v>18</v>
      </c>
      <c r="C24" s="2" t="s">
        <v>120</v>
      </c>
      <c r="D24" s="41">
        <v>0.24652777777777779</v>
      </c>
      <c r="E24" s="41">
        <v>0.6972222222222223</v>
      </c>
      <c r="F24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0.45069444444444451</v>
      </c>
      <c r="G24" s="2">
        <v>3</v>
      </c>
      <c r="H24" s="102"/>
      <c r="P24" s="1">
        <v>18</v>
      </c>
      <c r="Q24" s="29" t="s">
        <v>47</v>
      </c>
      <c r="R24" s="30">
        <v>0.26944444444444443</v>
      </c>
      <c r="S24" s="41">
        <v>0.66736111111111107</v>
      </c>
      <c r="T24" s="39">
        <f t="shared" si="0"/>
        <v>0.39791666666666664</v>
      </c>
      <c r="U24" s="29">
        <v>5</v>
      </c>
      <c r="V24" s="45"/>
      <c r="AB24" s="1">
        <v>18</v>
      </c>
      <c r="AC24" s="2" t="s">
        <v>238</v>
      </c>
      <c r="AD24" s="41">
        <v>0.25625000000000003</v>
      </c>
      <c r="AE24" s="41">
        <v>0.75416666666666676</v>
      </c>
      <c r="AF24" s="26">
        <f t="shared" si="1"/>
        <v>0.49791666666666673</v>
      </c>
      <c r="AG24" s="2">
        <v>4</v>
      </c>
      <c r="AH24" s="45"/>
    </row>
    <row r="25" spans="1:37" ht="14.5" customHeight="1" x14ac:dyDescent="0.2">
      <c r="B25" s="1">
        <v>19</v>
      </c>
      <c r="C25" s="2" t="s">
        <v>121</v>
      </c>
      <c r="D25" s="41">
        <v>0.27152777777777776</v>
      </c>
      <c r="E25" s="41">
        <v>0.63541666666666663</v>
      </c>
      <c r="F25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0.36388888888888887</v>
      </c>
      <c r="G25" s="2">
        <v>3</v>
      </c>
      <c r="H25" s="102"/>
      <c r="P25" s="1">
        <v>19</v>
      </c>
      <c r="Q25" s="29" t="s">
        <v>51</v>
      </c>
      <c r="R25" s="30">
        <v>0.28125</v>
      </c>
      <c r="S25" s="30">
        <v>0.70624999999999993</v>
      </c>
      <c r="T25" s="39">
        <f t="shared" si="0"/>
        <v>0.42499999999999993</v>
      </c>
      <c r="U25" s="29">
        <v>5</v>
      </c>
      <c r="V25" s="45"/>
      <c r="AB25" s="1">
        <v>19</v>
      </c>
      <c r="AC25" s="2" t="s">
        <v>274</v>
      </c>
      <c r="AD25" s="41">
        <v>0.26458333333333334</v>
      </c>
      <c r="AE25" s="41">
        <v>0.73958333333333337</v>
      </c>
      <c r="AF25" s="26">
        <f t="shared" si="1"/>
        <v>0.47500000000000003</v>
      </c>
      <c r="AG25" s="2">
        <v>4</v>
      </c>
      <c r="AH25" s="45"/>
    </row>
    <row r="26" spans="1:37" ht="14.5" customHeight="1" x14ac:dyDescent="0.2">
      <c r="B26" s="1">
        <v>20</v>
      </c>
      <c r="C26" s="2" t="s">
        <v>20</v>
      </c>
      <c r="D26" s="41">
        <v>0.25138888888888888</v>
      </c>
      <c r="E26" s="41">
        <v>0.70486111111111116</v>
      </c>
      <c r="F26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0.45347222222222228</v>
      </c>
      <c r="G26" s="2">
        <v>4</v>
      </c>
      <c r="H26" s="102"/>
      <c r="P26" s="50">
        <v>20</v>
      </c>
      <c r="Q26" s="33" t="s">
        <v>123</v>
      </c>
      <c r="R26" s="44">
        <v>0.29652777777777778</v>
      </c>
      <c r="S26" s="44">
        <v>0.75694444444444453</v>
      </c>
      <c r="T26" s="52">
        <f t="shared" si="0"/>
        <v>0.46041666666666675</v>
      </c>
      <c r="U26" s="33">
        <v>6</v>
      </c>
      <c r="V26" s="55"/>
      <c r="AB26" s="1">
        <v>20</v>
      </c>
      <c r="AC26" s="2" t="s">
        <v>280</v>
      </c>
      <c r="AD26" s="41">
        <v>0.28055555555555556</v>
      </c>
      <c r="AE26" s="41">
        <v>0.69097222222222221</v>
      </c>
      <c r="AF26" s="26">
        <f t="shared" si="1"/>
        <v>0.41041666666666665</v>
      </c>
      <c r="AG26" s="2">
        <v>4</v>
      </c>
      <c r="AH26" s="45"/>
    </row>
    <row r="27" spans="1:37" ht="14.5" customHeight="1" x14ac:dyDescent="0.2">
      <c r="A27" s="56" t="s">
        <v>209</v>
      </c>
      <c r="B27" s="1">
        <v>21</v>
      </c>
      <c r="C27" s="2" t="s">
        <v>15</v>
      </c>
      <c r="D27" s="41">
        <v>0.20555555555555557</v>
      </c>
      <c r="E27" s="41">
        <v>0.65763888888888888</v>
      </c>
      <c r="F27" s="26">
        <f>Table13245678910111321252934394449546149141924293336424753919786104110116122127131136141914241930364248546066727782879297102107112117122132137147152[[#This Row],[JAM MASUK]]-Table13245678910111321252934394449546149141924293336424753919786104110116122127131136141914241930364248546066727782879297102107112117122132137147152[[#This Row],[JAM KELUAR]]</f>
        <v>0.45208333333333328</v>
      </c>
      <c r="G27" s="2">
        <v>4</v>
      </c>
      <c r="H27" s="102"/>
      <c r="O27" s="56"/>
      <c r="P27" s="1">
        <v>21</v>
      </c>
      <c r="Q27" s="29" t="s">
        <v>67</v>
      </c>
      <c r="R27" s="30">
        <v>0.24374999999999999</v>
      </c>
      <c r="S27" s="30">
        <v>0.77013888888888893</v>
      </c>
      <c r="T27" s="39">
        <f t="shared" si="0"/>
        <v>0.52638888888888891</v>
      </c>
      <c r="U27" s="29">
        <v>6</v>
      </c>
      <c r="V27" s="45"/>
      <c r="AB27" s="1">
        <v>21</v>
      </c>
      <c r="AC27" s="2" t="s">
        <v>303</v>
      </c>
      <c r="AD27" s="41">
        <v>0.25833333333333336</v>
      </c>
      <c r="AE27" s="41">
        <v>0.64722222222222225</v>
      </c>
      <c r="AF27" s="26">
        <f t="shared" si="1"/>
        <v>0.3888888888888889</v>
      </c>
      <c r="AG27" s="2">
        <v>4</v>
      </c>
      <c r="AH27" s="45"/>
    </row>
    <row r="28" spans="1:37" x14ac:dyDescent="0.2">
      <c r="P28" s="1">
        <v>22</v>
      </c>
      <c r="Q28" s="2" t="s">
        <v>46</v>
      </c>
      <c r="R28" s="30">
        <v>0.25972222222222224</v>
      </c>
      <c r="S28" s="30">
        <v>0.68402777777777779</v>
      </c>
      <c r="T28" s="39">
        <f t="shared" si="0"/>
        <v>0.42430555555555555</v>
      </c>
      <c r="U28" s="29">
        <v>6</v>
      </c>
      <c r="V28" s="45"/>
      <c r="AB28" s="1">
        <v>22</v>
      </c>
      <c r="AC28" s="2" t="s">
        <v>304</v>
      </c>
      <c r="AD28" s="41">
        <v>0.28541666666666665</v>
      </c>
      <c r="AE28" s="41">
        <v>0.67569444444444438</v>
      </c>
      <c r="AF28" s="26">
        <f t="shared" si="1"/>
        <v>0.39027777777777772</v>
      </c>
      <c r="AG28" s="2">
        <v>4</v>
      </c>
      <c r="AH28" s="45"/>
    </row>
    <row r="29" spans="1:37" x14ac:dyDescent="0.2">
      <c r="O29" s="56"/>
      <c r="P29" s="1">
        <v>23</v>
      </c>
      <c r="Q29" s="29" t="s">
        <v>80</v>
      </c>
      <c r="R29" s="30">
        <v>0.27638888888888885</v>
      </c>
      <c r="S29" s="30">
        <v>0.68055555555555547</v>
      </c>
      <c r="T29" s="39">
        <f t="shared" si="0"/>
        <v>0.40416666666666662</v>
      </c>
      <c r="U29" s="29">
        <v>6</v>
      </c>
      <c r="V29" s="45"/>
      <c r="AB29" s="1">
        <v>23</v>
      </c>
      <c r="AC29" s="2" t="s">
        <v>476</v>
      </c>
      <c r="AD29" s="41">
        <v>0.29236111111111113</v>
      </c>
      <c r="AE29" s="41">
        <v>0.71736111111111101</v>
      </c>
      <c r="AF29" s="26">
        <f t="shared" si="1"/>
        <v>0.42499999999999988</v>
      </c>
      <c r="AG29" s="2">
        <v>4</v>
      </c>
      <c r="AH29" s="45"/>
    </row>
    <row r="30" spans="1:37" x14ac:dyDescent="0.2">
      <c r="O30" s="56" t="s">
        <v>209</v>
      </c>
      <c r="P30" s="1">
        <v>24</v>
      </c>
      <c r="Q30" s="29" t="s">
        <v>81</v>
      </c>
      <c r="R30" s="30">
        <v>0.25138888888888888</v>
      </c>
      <c r="S30" s="30">
        <v>0.72013888888888899</v>
      </c>
      <c r="T30" s="39">
        <f t="shared" si="0"/>
        <v>0.46875000000000011</v>
      </c>
      <c r="U30" s="29">
        <v>6</v>
      </c>
      <c r="V30" s="45"/>
      <c r="AB30" s="1">
        <v>24</v>
      </c>
      <c r="AC30" s="2" t="s">
        <v>306</v>
      </c>
      <c r="AD30" s="41">
        <v>0.25763888888888892</v>
      </c>
      <c r="AE30" s="41">
        <v>0.68472222222222223</v>
      </c>
      <c r="AF30" s="26">
        <f t="shared" si="1"/>
        <v>0.42708333333333331</v>
      </c>
      <c r="AG30" s="2">
        <v>4</v>
      </c>
      <c r="AH30" s="45"/>
    </row>
    <row r="31" spans="1:37" x14ac:dyDescent="0.2">
      <c r="G31" s="34"/>
      <c r="H31" s="35" t="s">
        <v>90</v>
      </c>
      <c r="AB31" s="1">
        <v>25</v>
      </c>
      <c r="AC31" s="2" t="s">
        <v>307</v>
      </c>
      <c r="AD31" s="41">
        <v>0.23680555555555557</v>
      </c>
      <c r="AE31" s="41">
        <v>0.64583333333333337</v>
      </c>
      <c r="AF31" s="26">
        <f t="shared" si="1"/>
        <v>0.40902777777777777</v>
      </c>
      <c r="AG31" s="2">
        <v>4</v>
      </c>
      <c r="AH31" s="45"/>
    </row>
    <row r="32" spans="1:37" x14ac:dyDescent="0.2">
      <c r="G32" s="56" t="s">
        <v>209</v>
      </c>
      <c r="H32" s="35" t="s">
        <v>92</v>
      </c>
      <c r="AB32" s="1">
        <v>26</v>
      </c>
      <c r="AC32" s="2" t="s">
        <v>308</v>
      </c>
      <c r="AD32" s="41">
        <v>0.28888888888888892</v>
      </c>
      <c r="AE32" s="41">
        <v>0.67499999999999993</v>
      </c>
      <c r="AF32" s="26">
        <f t="shared" si="1"/>
        <v>0.38611111111111102</v>
      </c>
      <c r="AG32" s="2">
        <v>4</v>
      </c>
      <c r="AH32" s="45"/>
    </row>
    <row r="33" spans="1:34" x14ac:dyDescent="0.2">
      <c r="AD33" s="103"/>
    </row>
    <row r="35" spans="1:34" x14ac:dyDescent="0.2">
      <c r="U35" s="34"/>
      <c r="V35" s="35" t="s">
        <v>90</v>
      </c>
      <c r="AG35" s="34"/>
      <c r="AH35" s="35" t="s">
        <v>90</v>
      </c>
    </row>
    <row r="36" spans="1:34" x14ac:dyDescent="0.2">
      <c r="U36" s="56" t="s">
        <v>209</v>
      </c>
      <c r="V36" s="35" t="s">
        <v>92</v>
      </c>
      <c r="AG36" s="56" t="s">
        <v>209</v>
      </c>
      <c r="AH36" s="35" t="s">
        <v>92</v>
      </c>
    </row>
    <row r="41" spans="1:34" ht="21" x14ac:dyDescent="0.25">
      <c r="A41" s="46"/>
    </row>
  </sheetData>
  <mergeCells count="14">
    <mergeCell ref="AB4:AH4"/>
    <mergeCell ref="AJ4:AK5"/>
    <mergeCell ref="B5:H5"/>
    <mergeCell ref="P5:V5"/>
    <mergeCell ref="AB5:AH5"/>
    <mergeCell ref="B4:H4"/>
    <mergeCell ref="J4:K5"/>
    <mergeCell ref="P4:V4"/>
    <mergeCell ref="X4:Y5"/>
    <mergeCell ref="P1:Y1"/>
    <mergeCell ref="AB1:AK1"/>
    <mergeCell ref="B2:K2"/>
    <mergeCell ref="P2:Y2"/>
    <mergeCell ref="AB2:AK2"/>
  </mergeCells>
  <pageMargins left="0.12" right="0.12" top="0.75" bottom="0.75" header="0.3" footer="0.3"/>
  <pageSetup paperSize="5" scale="69" fitToWidth="0" orientation="landscape" horizontalDpi="360" verticalDpi="360" r:id="rId1"/>
  <rowBreaks count="1" manualBreakCount="1">
    <brk id="40" max="46" man="1"/>
  </rowBreaks>
  <colBreaks count="2" manualBreakCount="2">
    <brk id="13" min="1" max="39" man="1"/>
    <brk id="26" min="1" max="39" man="1"/>
  </colBreaks>
  <tableParts count="3">
    <tablePart r:id="rId2"/>
    <tablePart r:id="rId3"/>
    <tablePart r:id="rId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1FC3-6B37-48D7-A7F6-F12974AB8195}">
  <sheetPr>
    <tabColor theme="7" tint="0.39997558519241921"/>
  </sheetPr>
  <dimension ref="A1:AK41"/>
  <sheetViews>
    <sheetView showGridLines="0" view="pageBreakPreview" topLeftCell="X1" zoomScaleNormal="55" zoomScaleSheetLayoutView="100" zoomScalePageLayoutView="55" workbookViewId="0">
      <selection activeCell="AC7" sqref="AC7:AH31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1.5" customWidth="1"/>
    <col min="15" max="15" width="3.6640625" bestFit="1" customWidth="1"/>
    <col min="16" max="16" width="7.5" customWidth="1"/>
    <col min="17" max="17" width="14.5" bestFit="1" customWidth="1"/>
    <col min="18" max="18" width="14.5" customWidth="1"/>
    <col min="19" max="19" width="17" bestFit="1" customWidth="1"/>
    <col min="20" max="20" width="14.5" customWidth="1"/>
    <col min="21" max="21" width="7.1640625" customWidth="1"/>
    <col min="22" max="22" width="82.5" customWidth="1"/>
    <col min="23" max="23" width="2.5" customWidth="1"/>
    <col min="24" max="24" width="32.6640625" bestFit="1" customWidth="1"/>
    <col min="25" max="25" width="10" customWidth="1"/>
    <col min="26" max="26" width="1.5" customWidth="1"/>
    <col min="27" max="27" width="3.6640625" bestFit="1" customWidth="1"/>
    <col min="28" max="28" width="7.5" customWidth="1"/>
    <col min="29" max="29" width="14.5" bestFit="1" customWidth="1"/>
    <col min="30" max="30" width="14.5" customWidth="1"/>
    <col min="31" max="31" width="17" bestFit="1" customWidth="1"/>
    <col min="32" max="32" width="14.5" customWidth="1"/>
    <col min="33" max="33" width="7.1640625" customWidth="1"/>
    <col min="34" max="34" width="82.5" customWidth="1"/>
    <col min="35" max="35" width="2.5" customWidth="1"/>
    <col min="36" max="36" width="32.6640625" bestFit="1" customWidth="1"/>
    <col min="37" max="37" width="10" customWidth="1"/>
    <col min="38" max="38" width="17.83203125" customWidth="1"/>
    <col min="39" max="39" width="15.83203125" customWidth="1"/>
  </cols>
  <sheetData>
    <row r="1" spans="1:37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P1" s="104"/>
      <c r="Q1" s="104"/>
      <c r="R1" s="104"/>
      <c r="S1" s="104"/>
      <c r="T1" s="104"/>
      <c r="U1" s="104"/>
      <c r="V1" s="104"/>
      <c r="W1" s="104"/>
      <c r="X1" s="104"/>
      <c r="Y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P2" s="104" t="s">
        <v>54</v>
      </c>
      <c r="Q2" s="104"/>
      <c r="R2" s="104"/>
      <c r="S2" s="104"/>
      <c r="T2" s="104"/>
      <c r="U2" s="104"/>
      <c r="V2" s="104"/>
      <c r="W2" s="104"/>
      <c r="X2" s="104"/>
      <c r="Y2" s="104"/>
      <c r="AB2" s="104" t="s">
        <v>227</v>
      </c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 x14ac:dyDescent="0.2">
      <c r="B3" s="60">
        <f>COUNTIF(Table13245678910111321252934394449546149141924293336424753919786104110116122127131136141914241930364248546066727782879297102107112117122132137147152154[Retase],"&gt;3")</f>
        <v>1</v>
      </c>
      <c r="D3" t="s">
        <v>241</v>
      </c>
      <c r="P3" s="60">
        <f>COUNTIF(Table134567891011151819232731374247525927121722273228414652909680103109115121126120135140813231828344046525864707580859095100105110115120125135145150155156[Retase],"&gt;4")</f>
        <v>11</v>
      </c>
      <c r="AB3" s="60">
        <f>COUNTIF(Table134567891011151819232731374247525927121722273228414652909680103109115121126120135140813231829354147535965717681869196101106111116121131136146151153[Retase],"&gt;3")</f>
        <v>14</v>
      </c>
      <c r="AC3" s="60"/>
    </row>
    <row r="4" spans="1:37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P4" s="105" t="s">
        <v>43</v>
      </c>
      <c r="Q4" s="105"/>
      <c r="R4" s="105"/>
      <c r="S4" s="105"/>
      <c r="T4" s="105"/>
      <c r="U4" s="105"/>
      <c r="V4" s="105"/>
      <c r="X4" s="106" t="s">
        <v>44</v>
      </c>
      <c r="Y4" s="106"/>
      <c r="AB4" s="105" t="s">
        <v>229</v>
      </c>
      <c r="AC4" s="105"/>
      <c r="AD4" s="105"/>
      <c r="AE4" s="105"/>
      <c r="AF4" s="105"/>
      <c r="AG4" s="105"/>
      <c r="AH4" s="105"/>
      <c r="AJ4" s="106" t="s">
        <v>228</v>
      </c>
      <c r="AK4" s="106"/>
    </row>
    <row r="5" spans="1:37" x14ac:dyDescent="0.2">
      <c r="B5" s="109">
        <v>45441</v>
      </c>
      <c r="C5" s="109"/>
      <c r="D5" s="109"/>
      <c r="E5" s="109"/>
      <c r="F5" s="109"/>
      <c r="G5" s="109"/>
      <c r="H5" s="109"/>
      <c r="J5" s="107"/>
      <c r="K5" s="107"/>
      <c r="P5" s="109">
        <f>B5</f>
        <v>45441</v>
      </c>
      <c r="Q5" s="109"/>
      <c r="R5" s="109"/>
      <c r="S5" s="109"/>
      <c r="T5" s="109"/>
      <c r="U5" s="109"/>
      <c r="V5" s="109"/>
      <c r="X5" s="107"/>
      <c r="Y5" s="107"/>
      <c r="AB5" s="109">
        <f>B5</f>
        <v>45441</v>
      </c>
      <c r="AC5" s="109"/>
      <c r="AD5" s="109"/>
      <c r="AE5" s="109"/>
      <c r="AF5" s="109"/>
      <c r="AG5" s="109"/>
      <c r="AH5" s="109"/>
      <c r="AJ5" s="107"/>
      <c r="AK5" s="107"/>
    </row>
    <row r="6" spans="1:37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P6" s="2" t="s">
        <v>0</v>
      </c>
      <c r="Q6" s="2" t="s">
        <v>1</v>
      </c>
      <c r="R6" s="2" t="s">
        <v>61</v>
      </c>
      <c r="S6" s="2" t="s">
        <v>62</v>
      </c>
      <c r="T6" s="2" t="s">
        <v>63</v>
      </c>
      <c r="U6" s="2" t="s">
        <v>2</v>
      </c>
      <c r="V6" s="2" t="s">
        <v>3</v>
      </c>
      <c r="X6" s="3" t="s">
        <v>21</v>
      </c>
      <c r="Y6" s="5">
        <f>SUM(Y8:Y11)</f>
        <v>41</v>
      </c>
      <c r="AB6" s="2" t="s">
        <v>0</v>
      </c>
      <c r="AC6" s="2" t="s">
        <v>1</v>
      </c>
      <c r="AD6" s="2" t="s">
        <v>61</v>
      </c>
      <c r="AE6" s="2" t="s">
        <v>62</v>
      </c>
      <c r="AF6" s="2" t="s">
        <v>63</v>
      </c>
      <c r="AG6" s="2" t="s">
        <v>2</v>
      </c>
      <c r="AH6" s="2" t="s">
        <v>3</v>
      </c>
      <c r="AJ6" s="3" t="s">
        <v>21</v>
      </c>
      <c r="AK6" s="5">
        <f>SUM(AK8:AK11)</f>
        <v>39</v>
      </c>
    </row>
    <row r="7" spans="1:37" s="1" customFormat="1" x14ac:dyDescent="0.2">
      <c r="A7" s="56"/>
      <c r="B7" s="15">
        <v>1</v>
      </c>
      <c r="C7" s="23" t="s">
        <v>121</v>
      </c>
      <c r="D7" s="21">
        <v>0.27569444444444446</v>
      </c>
      <c r="E7" s="21">
        <v>0.47916666666666669</v>
      </c>
      <c r="F7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0.20347222222222222</v>
      </c>
      <c r="G7" s="20">
        <v>1</v>
      </c>
      <c r="H7" s="65" t="s">
        <v>934</v>
      </c>
      <c r="J7" s="4" t="s">
        <v>10</v>
      </c>
      <c r="K7" s="6">
        <v>23</v>
      </c>
      <c r="L7" s="19"/>
      <c r="O7" s="56" t="s">
        <v>209</v>
      </c>
      <c r="P7" s="50">
        <v>1</v>
      </c>
      <c r="Q7" s="33" t="s">
        <v>201</v>
      </c>
      <c r="R7" s="44">
        <v>0.4381944444444445</v>
      </c>
      <c r="S7" s="44">
        <v>0.70138888888888884</v>
      </c>
      <c r="T7" s="51">
        <f t="shared" ref="T7:T32" si="0">S7-R7</f>
        <v>0.26319444444444434</v>
      </c>
      <c r="U7" s="31">
        <v>2</v>
      </c>
      <c r="V7" s="55" t="s">
        <v>921</v>
      </c>
      <c r="X7" s="4" t="s">
        <v>10</v>
      </c>
      <c r="Y7" s="6">
        <v>41</v>
      </c>
      <c r="AA7" s="56"/>
      <c r="AB7" s="15">
        <v>1</v>
      </c>
      <c r="AC7" s="20" t="s">
        <v>278</v>
      </c>
      <c r="AD7" s="21">
        <v>0.2722222222222222</v>
      </c>
      <c r="AE7" s="21">
        <v>0.72916666666666663</v>
      </c>
      <c r="AF7" s="38">
        <f t="shared" ref="AF7:AF31" si="1">AE7-AD7</f>
        <v>0.45694444444444443</v>
      </c>
      <c r="AG7" s="20">
        <v>1</v>
      </c>
      <c r="AH7" s="16" t="s">
        <v>943</v>
      </c>
      <c r="AJ7" s="4" t="s">
        <v>10</v>
      </c>
      <c r="AK7" s="6">
        <v>25</v>
      </c>
    </row>
    <row r="8" spans="1:37" s="1" customFormat="1" x14ac:dyDescent="0.2">
      <c r="A8" s="56" t="s">
        <v>209</v>
      </c>
      <c r="B8" s="50">
        <v>2</v>
      </c>
      <c r="C8" s="33" t="s">
        <v>20</v>
      </c>
      <c r="D8" s="32">
        <v>0.33680555555555558</v>
      </c>
      <c r="E8" s="32">
        <v>0.62569444444444444</v>
      </c>
      <c r="F8" s="51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0.28888888888888886</v>
      </c>
      <c r="G8" s="31">
        <v>2</v>
      </c>
      <c r="H8" s="73" t="s">
        <v>935</v>
      </c>
      <c r="J8" s="4" t="s">
        <v>9</v>
      </c>
      <c r="K8" s="7">
        <v>19</v>
      </c>
      <c r="L8" s="19"/>
      <c r="P8" s="15">
        <v>2</v>
      </c>
      <c r="Q8" s="23" t="s">
        <v>30</v>
      </c>
      <c r="R8" s="40">
        <v>0.25069444444444444</v>
      </c>
      <c r="S8" s="40">
        <v>0.55902777777777779</v>
      </c>
      <c r="T8" s="38">
        <f t="shared" si="0"/>
        <v>0.30833333333333335</v>
      </c>
      <c r="U8" s="20">
        <v>2</v>
      </c>
      <c r="V8" s="16" t="s">
        <v>922</v>
      </c>
      <c r="X8" s="4" t="s">
        <v>9</v>
      </c>
      <c r="Y8" s="6">
        <v>26</v>
      </c>
      <c r="AB8" s="15">
        <v>2</v>
      </c>
      <c r="AC8" s="20" t="s">
        <v>280</v>
      </c>
      <c r="AD8" s="21">
        <v>0.26874999999999999</v>
      </c>
      <c r="AE8" s="21">
        <v>0.43958333333333338</v>
      </c>
      <c r="AF8" s="38">
        <f t="shared" si="1"/>
        <v>0.17083333333333339</v>
      </c>
      <c r="AG8" s="20">
        <v>1</v>
      </c>
      <c r="AH8" s="16" t="s">
        <v>952</v>
      </c>
      <c r="AJ8" s="4" t="s">
        <v>9</v>
      </c>
      <c r="AK8" s="6">
        <v>25</v>
      </c>
    </row>
    <row r="9" spans="1:37" s="1" customFormat="1" x14ac:dyDescent="0.2">
      <c r="A9" s="56"/>
      <c r="B9" s="15">
        <v>3</v>
      </c>
      <c r="C9" s="23" t="s">
        <v>14</v>
      </c>
      <c r="D9" s="21">
        <v>0.27916666666666667</v>
      </c>
      <c r="E9" s="21">
        <v>0.64652777777777781</v>
      </c>
      <c r="F9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0.36736111111111114</v>
      </c>
      <c r="G9" s="20">
        <v>2</v>
      </c>
      <c r="H9" s="67" t="s">
        <v>941</v>
      </c>
      <c r="J9" s="4" t="s">
        <v>4</v>
      </c>
      <c r="K9" s="7">
        <v>0</v>
      </c>
      <c r="L9" s="19"/>
      <c r="P9" s="15">
        <v>3</v>
      </c>
      <c r="Q9" s="23" t="s">
        <v>34</v>
      </c>
      <c r="R9" s="40">
        <v>0.28541666666666665</v>
      </c>
      <c r="S9" s="40">
        <v>0.57500000000000007</v>
      </c>
      <c r="T9" s="38">
        <f t="shared" si="0"/>
        <v>0.28958333333333341</v>
      </c>
      <c r="U9" s="20">
        <v>2</v>
      </c>
      <c r="V9" s="16" t="s">
        <v>923</v>
      </c>
      <c r="X9" s="4" t="s">
        <v>4</v>
      </c>
      <c r="Y9" s="7">
        <v>1</v>
      </c>
      <c r="AB9" s="15">
        <v>3</v>
      </c>
      <c r="AC9" s="20" t="s">
        <v>308</v>
      </c>
      <c r="AD9" s="21">
        <v>0.27916666666666667</v>
      </c>
      <c r="AE9" s="21">
        <v>0.39930555555555558</v>
      </c>
      <c r="AF9" s="38">
        <f t="shared" si="1"/>
        <v>0.12013888888888891</v>
      </c>
      <c r="AG9" s="20">
        <v>1</v>
      </c>
      <c r="AH9" s="16" t="s">
        <v>944</v>
      </c>
      <c r="AJ9" s="4" t="s">
        <v>4</v>
      </c>
      <c r="AK9" s="7">
        <v>0</v>
      </c>
    </row>
    <row r="10" spans="1:37" s="1" customFormat="1" x14ac:dyDescent="0.2">
      <c r="A10" s="56"/>
      <c r="B10" s="15">
        <v>4</v>
      </c>
      <c r="C10" s="23" t="s">
        <v>15</v>
      </c>
      <c r="D10" s="21">
        <v>0.25277777777777777</v>
      </c>
      <c r="E10" s="21">
        <v>0.48055555555555557</v>
      </c>
      <c r="F10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0.2277777777777778</v>
      </c>
      <c r="G10" s="20">
        <v>2</v>
      </c>
      <c r="H10" s="67" t="s">
        <v>936</v>
      </c>
      <c r="J10" s="4" t="s">
        <v>5</v>
      </c>
      <c r="K10" s="7">
        <v>4</v>
      </c>
      <c r="L10" s="19"/>
      <c r="O10" s="56" t="s">
        <v>209</v>
      </c>
      <c r="P10" s="50">
        <v>4</v>
      </c>
      <c r="Q10" s="33" t="s">
        <v>42</v>
      </c>
      <c r="R10" s="44">
        <v>0.53472222222222221</v>
      </c>
      <c r="S10" s="44">
        <v>0.69930555555555562</v>
      </c>
      <c r="T10" s="51">
        <f t="shared" si="0"/>
        <v>0.16458333333333341</v>
      </c>
      <c r="U10" s="31">
        <v>2</v>
      </c>
      <c r="V10" s="55" t="s">
        <v>924</v>
      </c>
      <c r="X10" s="4" t="s">
        <v>5</v>
      </c>
      <c r="Y10" s="7">
        <v>14</v>
      </c>
      <c r="AA10" s="54"/>
      <c r="AB10" s="15">
        <v>4</v>
      </c>
      <c r="AC10" s="20" t="s">
        <v>301</v>
      </c>
      <c r="AD10" s="21">
        <v>0.26805555555555555</v>
      </c>
      <c r="AE10" s="21">
        <v>0.51944444444444449</v>
      </c>
      <c r="AF10" s="38">
        <f t="shared" si="1"/>
        <v>0.25138888888888894</v>
      </c>
      <c r="AG10" s="20">
        <v>2</v>
      </c>
      <c r="AH10" s="16" t="s">
        <v>945</v>
      </c>
      <c r="AJ10" s="4" t="s">
        <v>5</v>
      </c>
      <c r="AK10" s="7">
        <v>0</v>
      </c>
    </row>
    <row r="11" spans="1:37" s="1" customFormat="1" x14ac:dyDescent="0.2">
      <c r="A11" s="56"/>
      <c r="B11" s="15">
        <v>5</v>
      </c>
      <c r="C11" s="23" t="s">
        <v>120</v>
      </c>
      <c r="D11" s="21">
        <v>0.26597222222222222</v>
      </c>
      <c r="E11" s="21">
        <v>0.59375</v>
      </c>
      <c r="F11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0.32777777777777778</v>
      </c>
      <c r="G11" s="20">
        <v>2</v>
      </c>
      <c r="H11" s="65" t="s">
        <v>937</v>
      </c>
      <c r="J11" s="4" t="s">
        <v>6</v>
      </c>
      <c r="K11" s="7">
        <v>0</v>
      </c>
      <c r="P11" s="15">
        <v>5</v>
      </c>
      <c r="Q11" s="23" t="s">
        <v>58</v>
      </c>
      <c r="R11" s="40">
        <v>0.26527777777777778</v>
      </c>
      <c r="S11" s="40">
        <v>0.53541666666666665</v>
      </c>
      <c r="T11" s="38">
        <f t="shared" si="0"/>
        <v>0.27013888888888887</v>
      </c>
      <c r="U11" s="20">
        <v>3</v>
      </c>
      <c r="V11" s="16" t="s">
        <v>925</v>
      </c>
      <c r="X11" s="4" t="s">
        <v>6</v>
      </c>
      <c r="Y11" s="7">
        <v>0</v>
      </c>
      <c r="AB11" s="15">
        <v>5</v>
      </c>
      <c r="AC11" s="20" t="s">
        <v>271</v>
      </c>
      <c r="AD11" s="21">
        <v>0.27013888888888887</v>
      </c>
      <c r="AE11" s="21">
        <v>0.55763888888888891</v>
      </c>
      <c r="AF11" s="38">
        <f t="shared" si="1"/>
        <v>0.28750000000000003</v>
      </c>
      <c r="AG11" s="20">
        <v>2</v>
      </c>
      <c r="AH11" s="16" t="s">
        <v>946</v>
      </c>
      <c r="AJ11" s="4" t="s">
        <v>6</v>
      </c>
      <c r="AK11" s="7">
        <v>14</v>
      </c>
    </row>
    <row r="12" spans="1:37" s="1" customFormat="1" x14ac:dyDescent="0.2">
      <c r="A12" s="56"/>
      <c r="B12" s="15">
        <v>6</v>
      </c>
      <c r="C12" s="23" t="s">
        <v>118</v>
      </c>
      <c r="D12" s="21">
        <v>0.27013888888888887</v>
      </c>
      <c r="E12" s="21">
        <v>0.67013888888888884</v>
      </c>
      <c r="F12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0.39999999999999997</v>
      </c>
      <c r="G12" s="20">
        <v>3</v>
      </c>
      <c r="H12" s="67" t="s">
        <v>941</v>
      </c>
      <c r="J12" s="8" t="s">
        <v>8</v>
      </c>
      <c r="K12" s="9">
        <f>SUM(Table13245678910111321252934394449546149141924293336424753919786104110116122127131136141914241930364248546066727782879297102107112117122132137147152154[Retase])</f>
        <v>52</v>
      </c>
      <c r="L12" s="19"/>
      <c r="P12" s="15">
        <v>6</v>
      </c>
      <c r="Q12" s="23" t="s">
        <v>40</v>
      </c>
      <c r="R12" s="40">
        <v>0.25972222222222224</v>
      </c>
      <c r="S12" s="40">
        <v>0.56597222222222221</v>
      </c>
      <c r="T12" s="38">
        <f t="shared" si="0"/>
        <v>0.30624999999999997</v>
      </c>
      <c r="U12" s="20">
        <v>3</v>
      </c>
      <c r="V12" s="16" t="s">
        <v>926</v>
      </c>
      <c r="X12" s="8" t="s">
        <v>8</v>
      </c>
      <c r="Y12" s="9">
        <f>SUM(Table134567891011151819232731374247525927121722273228414652909680103109115121126120135140813231828344046525864707580859095100105110115120125135145150155156[Retase])</f>
        <v>105</v>
      </c>
      <c r="AB12" s="15">
        <v>6</v>
      </c>
      <c r="AC12" s="20" t="s">
        <v>238</v>
      </c>
      <c r="AD12" s="21">
        <v>0.27430555555555552</v>
      </c>
      <c r="AE12" s="21">
        <v>0.66319444444444442</v>
      </c>
      <c r="AF12" s="38">
        <f t="shared" si="1"/>
        <v>0.3888888888888889</v>
      </c>
      <c r="AG12" s="20">
        <v>2</v>
      </c>
      <c r="AH12" s="16" t="s">
        <v>947</v>
      </c>
      <c r="AJ12" s="8" t="s">
        <v>8</v>
      </c>
      <c r="AK12" s="9">
        <f>SUM(Table134567891011151819232731374247525927121722273228414652909680103109115121126120135140813231829354147535965717681869196101106111116121131136146151153[Retase])</f>
        <v>83</v>
      </c>
    </row>
    <row r="13" spans="1:37" s="1" customFormat="1" x14ac:dyDescent="0.2">
      <c r="A13" s="56"/>
      <c r="B13" s="15">
        <v>7</v>
      </c>
      <c r="C13" s="23" t="s">
        <v>119</v>
      </c>
      <c r="D13" s="21">
        <v>0.28472222222222221</v>
      </c>
      <c r="E13" s="21">
        <v>0.7270833333333333</v>
      </c>
      <c r="F13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0.44236111111111109</v>
      </c>
      <c r="G13" s="20">
        <v>3</v>
      </c>
      <c r="H13" s="67" t="s">
        <v>941</v>
      </c>
      <c r="J13" s="10" t="s">
        <v>7</v>
      </c>
      <c r="K13" s="11">
        <f>K12/K8</f>
        <v>2.736842105263158</v>
      </c>
      <c r="L13" s="19"/>
      <c r="O13" s="56"/>
      <c r="P13" s="15">
        <v>7</v>
      </c>
      <c r="Q13" s="23" t="s">
        <v>39</v>
      </c>
      <c r="R13" s="40">
        <v>0.28888888888888892</v>
      </c>
      <c r="S13" s="40">
        <v>0.72986111111111107</v>
      </c>
      <c r="T13" s="38">
        <f t="shared" si="0"/>
        <v>0.44097222222222215</v>
      </c>
      <c r="U13" s="20">
        <v>4</v>
      </c>
      <c r="V13" s="16" t="s">
        <v>942</v>
      </c>
      <c r="X13" s="10" t="s">
        <v>7</v>
      </c>
      <c r="Y13" s="11">
        <f>Y12/Y8</f>
        <v>4.0384615384615383</v>
      </c>
      <c r="AB13" s="15">
        <v>7</v>
      </c>
      <c r="AC13" s="20" t="s">
        <v>231</v>
      </c>
      <c r="AD13" s="21">
        <v>0.27361111111111108</v>
      </c>
      <c r="AE13" s="21">
        <v>0.65625</v>
      </c>
      <c r="AF13" s="38">
        <f t="shared" si="1"/>
        <v>0.38263888888888892</v>
      </c>
      <c r="AG13" s="20">
        <v>3</v>
      </c>
      <c r="AH13" s="16" t="s">
        <v>948</v>
      </c>
      <c r="AJ13" s="10" t="s">
        <v>7</v>
      </c>
      <c r="AK13" s="11">
        <f>AK12/AK8</f>
        <v>3.32</v>
      </c>
    </row>
    <row r="14" spans="1:37" s="1" customFormat="1" x14ac:dyDescent="0.2">
      <c r="A14"/>
      <c r="B14" s="15">
        <v>8</v>
      </c>
      <c r="C14" s="23" t="s">
        <v>70</v>
      </c>
      <c r="D14" s="21">
        <v>0.26319444444444445</v>
      </c>
      <c r="E14" s="21">
        <v>0.64930555555555558</v>
      </c>
      <c r="F14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0.38611111111111113</v>
      </c>
      <c r="G14" s="20">
        <v>3</v>
      </c>
      <c r="H14" s="67" t="s">
        <v>941</v>
      </c>
      <c r="J14" s="12" t="s">
        <v>11</v>
      </c>
      <c r="K14" s="13">
        <v>4</v>
      </c>
      <c r="L14" s="19"/>
      <c r="O14" s="56"/>
      <c r="P14" s="15">
        <v>8</v>
      </c>
      <c r="Q14" s="23" t="s">
        <v>32</v>
      </c>
      <c r="R14" s="40">
        <v>0.28472222222222221</v>
      </c>
      <c r="S14" s="40">
        <v>0.66736111111111107</v>
      </c>
      <c r="T14" s="38">
        <f t="shared" si="0"/>
        <v>0.38263888888888886</v>
      </c>
      <c r="U14" s="20">
        <v>4</v>
      </c>
      <c r="V14" s="16" t="s">
        <v>927</v>
      </c>
      <c r="X14" s="12" t="s">
        <v>11</v>
      </c>
      <c r="Y14" s="13">
        <v>5</v>
      </c>
      <c r="AB14" s="15">
        <v>8</v>
      </c>
      <c r="AC14" s="20" t="s">
        <v>235</v>
      </c>
      <c r="AD14" s="21">
        <v>0.20902777777777778</v>
      </c>
      <c r="AE14" s="21">
        <v>0.57986111111111105</v>
      </c>
      <c r="AF14" s="38">
        <f t="shared" si="1"/>
        <v>0.37083333333333324</v>
      </c>
      <c r="AG14" s="20">
        <v>3</v>
      </c>
      <c r="AH14" s="16" t="s">
        <v>949</v>
      </c>
      <c r="AJ14" s="12" t="s">
        <v>11</v>
      </c>
      <c r="AK14" s="13">
        <v>4</v>
      </c>
    </row>
    <row r="15" spans="1:37" s="1" customFormat="1" x14ac:dyDescent="0.2">
      <c r="A15"/>
      <c r="B15" s="15">
        <v>9</v>
      </c>
      <c r="C15" s="23" t="s">
        <v>71</v>
      </c>
      <c r="D15" s="21">
        <v>0.25208333333333333</v>
      </c>
      <c r="E15" s="21">
        <v>0.7090277777777777</v>
      </c>
      <c r="F15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0.45694444444444438</v>
      </c>
      <c r="G15" s="20">
        <v>3</v>
      </c>
      <c r="H15" s="16" t="s">
        <v>938</v>
      </c>
      <c r="J15" s="12" t="s">
        <v>88</v>
      </c>
      <c r="K15" s="14">
        <f>B3/K8</f>
        <v>5.2631578947368418E-2</v>
      </c>
      <c r="L15" s="19"/>
      <c r="O15" s="56"/>
      <c r="P15" s="50">
        <v>9</v>
      </c>
      <c r="Q15" s="33" t="s">
        <v>67</v>
      </c>
      <c r="R15" s="44">
        <v>0.30208333333333331</v>
      </c>
      <c r="S15" s="44">
        <v>0.73958333333333337</v>
      </c>
      <c r="T15" s="51">
        <f t="shared" si="0"/>
        <v>0.43750000000000006</v>
      </c>
      <c r="U15" s="31">
        <v>4</v>
      </c>
      <c r="V15" s="55" t="s">
        <v>928</v>
      </c>
      <c r="X15" s="12" t="s">
        <v>88</v>
      </c>
      <c r="Y15" s="14">
        <f>P3/Y8</f>
        <v>0.42307692307692307</v>
      </c>
      <c r="AB15" s="15">
        <v>9</v>
      </c>
      <c r="AC15" s="20" t="s">
        <v>273</v>
      </c>
      <c r="AD15" s="21">
        <v>0.25277777777777777</v>
      </c>
      <c r="AE15" s="21">
        <v>0.5541666666666667</v>
      </c>
      <c r="AF15" s="38">
        <f t="shared" si="1"/>
        <v>0.30138888888888893</v>
      </c>
      <c r="AG15" s="20">
        <v>3</v>
      </c>
      <c r="AH15" s="16" t="s">
        <v>950</v>
      </c>
      <c r="AJ15" s="12" t="s">
        <v>88</v>
      </c>
      <c r="AK15" s="14">
        <f>AB3/AK8</f>
        <v>0.56000000000000005</v>
      </c>
    </row>
    <row r="16" spans="1:37" x14ac:dyDescent="0.2">
      <c r="A16" s="56"/>
      <c r="B16" s="15">
        <v>10</v>
      </c>
      <c r="C16" s="23" t="s">
        <v>68</v>
      </c>
      <c r="D16" s="21">
        <v>0.27569444444444446</v>
      </c>
      <c r="E16" s="21">
        <v>0.65347222222222223</v>
      </c>
      <c r="F16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0.37777777777777777</v>
      </c>
      <c r="G16" s="20">
        <v>3</v>
      </c>
      <c r="H16" s="16" t="s">
        <v>939</v>
      </c>
      <c r="J16" s="12" t="s">
        <v>24</v>
      </c>
      <c r="K16" s="14">
        <f>K8/K7</f>
        <v>0.82608695652173914</v>
      </c>
      <c r="P16" s="15">
        <v>10</v>
      </c>
      <c r="Q16" s="23" t="s">
        <v>45</v>
      </c>
      <c r="R16" s="40">
        <v>0.25138888888888888</v>
      </c>
      <c r="S16" s="40">
        <v>0.73472222222222217</v>
      </c>
      <c r="T16" s="38">
        <f t="shared" si="0"/>
        <v>0.48333333333333328</v>
      </c>
      <c r="U16" s="20">
        <v>4</v>
      </c>
      <c r="V16" s="16" t="s">
        <v>929</v>
      </c>
      <c r="X16" s="12" t="s">
        <v>27</v>
      </c>
      <c r="Y16" s="14">
        <f>Y8/Y7</f>
        <v>0.63414634146341464</v>
      </c>
      <c r="AB16" s="15">
        <v>10</v>
      </c>
      <c r="AC16" s="20" t="s">
        <v>274</v>
      </c>
      <c r="AD16" s="21">
        <v>0.26874999999999999</v>
      </c>
      <c r="AE16" s="21">
        <v>0.55972222222222223</v>
      </c>
      <c r="AF16" s="38">
        <f t="shared" si="1"/>
        <v>0.29097222222222224</v>
      </c>
      <c r="AG16" s="20">
        <v>3</v>
      </c>
      <c r="AH16" s="16" t="s">
        <v>951</v>
      </c>
      <c r="AJ16" s="12" t="s">
        <v>27</v>
      </c>
      <c r="AK16" s="14">
        <f>AK8/AK7</f>
        <v>1</v>
      </c>
    </row>
    <row r="17" spans="1:37" x14ac:dyDescent="0.2">
      <c r="B17" s="15">
        <v>11</v>
      </c>
      <c r="C17" s="23" t="s">
        <v>69</v>
      </c>
      <c r="D17" s="21">
        <v>0.27499999999999997</v>
      </c>
      <c r="E17" s="21">
        <v>0.6875</v>
      </c>
      <c r="F17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0.41250000000000003</v>
      </c>
      <c r="G17" s="20">
        <v>3</v>
      </c>
      <c r="H17" s="67" t="s">
        <v>941</v>
      </c>
      <c r="J17" s="12" t="s">
        <v>117</v>
      </c>
      <c r="K17" s="48">
        <f>AVERAGE(Table13245678910111321252934394449546149141924293336424753919786104110116122127131136141914241930364248546066727782879297102107112117122132137147152154[JAM KELUAR])</f>
        <v>0.27160087719298254</v>
      </c>
      <c r="N17" s="56"/>
      <c r="O17" s="56"/>
      <c r="P17" s="15">
        <v>11</v>
      </c>
      <c r="Q17" s="23" t="s">
        <v>77</v>
      </c>
      <c r="R17" s="40">
        <v>0.27777777777777779</v>
      </c>
      <c r="S17" s="40">
        <v>0.65347222222222223</v>
      </c>
      <c r="T17" s="38">
        <f t="shared" si="0"/>
        <v>0.37569444444444444</v>
      </c>
      <c r="U17" s="20">
        <v>4</v>
      </c>
      <c r="V17" s="16" t="s">
        <v>930</v>
      </c>
      <c r="X17" s="12" t="s">
        <v>117</v>
      </c>
      <c r="Y17" s="48">
        <f>AVERAGE(Table134567891011151819232731374247525927121722273228414652909680103109115121126120135140813231828344046525864707580859095100105110115120125135145150155156[JAM KELUAR])</f>
        <v>0.29396367521367528</v>
      </c>
      <c r="AB17" s="15">
        <v>11</v>
      </c>
      <c r="AC17" s="20" t="s">
        <v>303</v>
      </c>
      <c r="AD17" s="21">
        <v>0.27152777777777776</v>
      </c>
      <c r="AE17" s="21">
        <v>0.67638888888888893</v>
      </c>
      <c r="AF17" s="38">
        <f t="shared" si="1"/>
        <v>0.40486111111111117</v>
      </c>
      <c r="AG17" s="20">
        <v>3</v>
      </c>
      <c r="AH17" s="16" t="s">
        <v>225</v>
      </c>
      <c r="AJ17" s="12" t="s">
        <v>117</v>
      </c>
      <c r="AK17" s="48">
        <f>AVERAGE(Table134567891011151819232731374247525927121722273228414652909680103109115121126120135140813231829354147535965717681869196101106111116121131136146151153[JAM KELUAR])</f>
        <v>0.26216666666666666</v>
      </c>
    </row>
    <row r="18" spans="1:37" x14ac:dyDescent="0.2">
      <c r="B18" s="15">
        <v>12</v>
      </c>
      <c r="C18" s="23" t="s">
        <v>74</v>
      </c>
      <c r="D18" s="21">
        <v>0.27638888888888885</v>
      </c>
      <c r="E18" s="21">
        <v>0.68888888888888899</v>
      </c>
      <c r="F18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0.41250000000000014</v>
      </c>
      <c r="G18" s="20">
        <v>3</v>
      </c>
      <c r="H18" s="67" t="s">
        <v>941</v>
      </c>
      <c r="P18" s="50">
        <v>12</v>
      </c>
      <c r="Q18" s="33" t="s">
        <v>79</v>
      </c>
      <c r="R18" s="44">
        <v>0.35069444444444442</v>
      </c>
      <c r="S18" s="44">
        <v>0.67569444444444438</v>
      </c>
      <c r="T18" s="51">
        <f t="shared" si="0"/>
        <v>0.32499999999999996</v>
      </c>
      <c r="U18" s="31">
        <v>4</v>
      </c>
      <c r="V18" s="55" t="s">
        <v>942</v>
      </c>
      <c r="X18" s="17"/>
      <c r="AB18" s="1">
        <v>12</v>
      </c>
      <c r="AC18" s="2" t="s">
        <v>302</v>
      </c>
      <c r="AD18" s="41">
        <v>0.27777777777777779</v>
      </c>
      <c r="AE18" s="41">
        <v>0.69513888888888886</v>
      </c>
      <c r="AF18" s="26">
        <f t="shared" si="1"/>
        <v>0.41736111111111107</v>
      </c>
      <c r="AG18" s="2">
        <v>4</v>
      </c>
      <c r="AH18" s="45" t="s">
        <v>25</v>
      </c>
      <c r="AJ18" s="17"/>
    </row>
    <row r="19" spans="1:37" ht="15.75" customHeight="1" x14ac:dyDescent="0.2">
      <c r="A19" s="56"/>
      <c r="B19" s="15">
        <v>13</v>
      </c>
      <c r="C19" s="23" t="s">
        <v>75</v>
      </c>
      <c r="D19" s="21">
        <v>0.25694444444444448</v>
      </c>
      <c r="E19" s="21">
        <v>0.64444444444444449</v>
      </c>
      <c r="F19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0.38750000000000001</v>
      </c>
      <c r="G19" s="20">
        <v>3</v>
      </c>
      <c r="H19" s="67" t="s">
        <v>941</v>
      </c>
      <c r="O19" s="56"/>
      <c r="P19" s="15">
        <v>13</v>
      </c>
      <c r="Q19" s="23" t="s">
        <v>56</v>
      </c>
      <c r="R19" s="40">
        <v>0.25694444444444448</v>
      </c>
      <c r="S19" s="40">
        <v>0.58680555555555558</v>
      </c>
      <c r="T19" s="38">
        <f t="shared" si="0"/>
        <v>0.3298611111111111</v>
      </c>
      <c r="U19" s="20">
        <v>4</v>
      </c>
      <c r="V19" s="16" t="s">
        <v>931</v>
      </c>
      <c r="AB19" s="1">
        <v>13</v>
      </c>
      <c r="AC19" s="2" t="s">
        <v>559</v>
      </c>
      <c r="AD19" s="41">
        <v>0.27847222222222223</v>
      </c>
      <c r="AE19" s="41">
        <v>0.6875</v>
      </c>
      <c r="AF19" s="26">
        <f t="shared" si="1"/>
        <v>0.40902777777777777</v>
      </c>
      <c r="AG19" s="2">
        <v>4</v>
      </c>
      <c r="AH19" s="45" t="s">
        <v>25</v>
      </c>
    </row>
    <row r="20" spans="1:37" ht="17.25" customHeight="1" x14ac:dyDescent="0.2">
      <c r="B20" s="15">
        <v>14</v>
      </c>
      <c r="C20" s="23" t="s">
        <v>76</v>
      </c>
      <c r="D20" s="21">
        <v>0.2673611111111111</v>
      </c>
      <c r="E20" s="21">
        <v>0.68888888888888899</v>
      </c>
      <c r="F20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0.42152777777777789</v>
      </c>
      <c r="G20" s="20">
        <v>3</v>
      </c>
      <c r="H20" s="67" t="s">
        <v>941</v>
      </c>
      <c r="P20" s="15">
        <v>14</v>
      </c>
      <c r="Q20" s="23" t="s">
        <v>80</v>
      </c>
      <c r="R20" s="21">
        <v>0.27499999999999997</v>
      </c>
      <c r="S20" s="40">
        <v>0.61458333333333337</v>
      </c>
      <c r="T20" s="38">
        <f t="shared" si="0"/>
        <v>0.3395833333333334</v>
      </c>
      <c r="U20" s="20">
        <v>4</v>
      </c>
      <c r="V20" s="16" t="s">
        <v>932</v>
      </c>
      <c r="AB20" s="1">
        <v>14</v>
      </c>
      <c r="AC20" s="2" t="s">
        <v>234</v>
      </c>
      <c r="AD20" s="41">
        <v>0.25347222222222221</v>
      </c>
      <c r="AE20" s="41">
        <v>0.67847222222222225</v>
      </c>
      <c r="AF20" s="26">
        <f t="shared" si="1"/>
        <v>0.42500000000000004</v>
      </c>
      <c r="AG20" s="2">
        <v>4</v>
      </c>
      <c r="AH20" s="45" t="s">
        <v>25</v>
      </c>
    </row>
    <row r="21" spans="1:37" ht="15.75" customHeight="1" x14ac:dyDescent="0.2">
      <c r="B21" s="15">
        <v>15</v>
      </c>
      <c r="C21" s="23" t="s">
        <v>16</v>
      </c>
      <c r="D21" s="21">
        <v>0.28541666666666665</v>
      </c>
      <c r="E21" s="21">
        <v>0.72499999999999998</v>
      </c>
      <c r="F21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0.43958333333333333</v>
      </c>
      <c r="G21" s="20">
        <v>3</v>
      </c>
      <c r="H21" s="67" t="s">
        <v>941</v>
      </c>
      <c r="P21" s="15">
        <v>15</v>
      </c>
      <c r="Q21" s="23" t="s">
        <v>51</v>
      </c>
      <c r="R21" s="21">
        <v>0.26805555555555555</v>
      </c>
      <c r="S21" s="40">
        <v>0.70208333333333339</v>
      </c>
      <c r="T21" s="38">
        <f t="shared" si="0"/>
        <v>0.43402777777777785</v>
      </c>
      <c r="U21" s="20">
        <v>4</v>
      </c>
      <c r="V21" s="16" t="s">
        <v>933</v>
      </c>
      <c r="AB21" s="1">
        <v>15</v>
      </c>
      <c r="AC21" s="2" t="s">
        <v>236</v>
      </c>
      <c r="AD21" s="41">
        <v>0.26874999999999999</v>
      </c>
      <c r="AE21" s="41">
        <v>0.72083333333333333</v>
      </c>
      <c r="AF21" s="26">
        <f t="shared" si="1"/>
        <v>0.45208333333333334</v>
      </c>
      <c r="AG21" s="2">
        <v>4</v>
      </c>
      <c r="AH21" s="45" t="s">
        <v>25</v>
      </c>
    </row>
    <row r="22" spans="1:37" ht="15" customHeight="1" x14ac:dyDescent="0.2">
      <c r="B22" s="15">
        <v>16</v>
      </c>
      <c r="C22" s="23" t="s">
        <v>17</v>
      </c>
      <c r="D22" s="21">
        <v>0.26250000000000001</v>
      </c>
      <c r="E22" s="21">
        <v>0.67569444444444438</v>
      </c>
      <c r="F22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0.41319444444444436</v>
      </c>
      <c r="G22" s="20">
        <v>3</v>
      </c>
      <c r="H22" s="67" t="s">
        <v>941</v>
      </c>
      <c r="P22" s="1">
        <v>16</v>
      </c>
      <c r="Q22" s="29" t="s">
        <v>57</v>
      </c>
      <c r="R22" s="41">
        <v>0.2902777777777778</v>
      </c>
      <c r="S22" s="30">
        <v>0.71666666666666667</v>
      </c>
      <c r="T22" s="39">
        <f t="shared" si="0"/>
        <v>0.42638888888888887</v>
      </c>
      <c r="U22" s="2">
        <v>5</v>
      </c>
      <c r="V22" s="45" t="s">
        <v>25</v>
      </c>
      <c r="AB22" s="50">
        <v>16</v>
      </c>
      <c r="AC22" s="31" t="s">
        <v>237</v>
      </c>
      <c r="AD22" s="32">
        <v>0.29236111111111113</v>
      </c>
      <c r="AE22" s="32">
        <v>0.72916666666666663</v>
      </c>
      <c r="AF22" s="51">
        <f t="shared" si="1"/>
        <v>0.4368055555555555</v>
      </c>
      <c r="AG22" s="31">
        <v>4</v>
      </c>
      <c r="AH22" s="55" t="s">
        <v>25</v>
      </c>
    </row>
    <row r="23" spans="1:37" ht="15" customHeight="1" x14ac:dyDescent="0.2">
      <c r="B23" s="15">
        <v>17</v>
      </c>
      <c r="C23" s="20" t="s">
        <v>18</v>
      </c>
      <c r="D23" s="21">
        <v>0.25833333333333336</v>
      </c>
      <c r="E23" s="21">
        <v>0.67638888888888893</v>
      </c>
      <c r="F23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0.41805555555555557</v>
      </c>
      <c r="G23" s="20">
        <v>3</v>
      </c>
      <c r="H23" s="67" t="s">
        <v>940</v>
      </c>
      <c r="O23" s="56"/>
      <c r="P23" s="1">
        <v>17</v>
      </c>
      <c r="Q23" s="29" t="s">
        <v>36</v>
      </c>
      <c r="R23" s="30">
        <v>0.25625000000000003</v>
      </c>
      <c r="S23" s="41">
        <v>0.72569444444444453</v>
      </c>
      <c r="T23" s="39">
        <f t="shared" si="0"/>
        <v>0.4694444444444445</v>
      </c>
      <c r="U23" s="29">
        <v>5</v>
      </c>
      <c r="V23" s="45" t="s">
        <v>25</v>
      </c>
      <c r="AB23" s="1">
        <v>17</v>
      </c>
      <c r="AC23" s="2" t="s">
        <v>239</v>
      </c>
      <c r="AD23" s="41">
        <v>0.25833333333333336</v>
      </c>
      <c r="AE23" s="41">
        <v>0.6972222222222223</v>
      </c>
      <c r="AF23" s="26">
        <f t="shared" si="1"/>
        <v>0.43888888888888894</v>
      </c>
      <c r="AG23" s="2">
        <v>4</v>
      </c>
      <c r="AH23" s="45" t="s">
        <v>25</v>
      </c>
    </row>
    <row r="24" spans="1:37" ht="15" customHeight="1" x14ac:dyDescent="0.2">
      <c r="B24" s="15">
        <v>18</v>
      </c>
      <c r="C24" s="20" t="s">
        <v>19</v>
      </c>
      <c r="D24" s="21">
        <v>0.2638888888888889</v>
      </c>
      <c r="E24" s="21">
        <v>0.72222222222222221</v>
      </c>
      <c r="F24" s="38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0.45833333333333331</v>
      </c>
      <c r="G24" s="20">
        <v>3</v>
      </c>
      <c r="H24" s="67" t="s">
        <v>941</v>
      </c>
      <c r="P24" s="1">
        <v>18</v>
      </c>
      <c r="Q24" s="29" t="s">
        <v>31</v>
      </c>
      <c r="R24" s="30">
        <v>0.28958333333333336</v>
      </c>
      <c r="S24" s="30">
        <v>0.72916666666666663</v>
      </c>
      <c r="T24" s="39">
        <f t="shared" si="0"/>
        <v>0.43958333333333327</v>
      </c>
      <c r="U24" s="29">
        <v>5</v>
      </c>
      <c r="V24" s="45" t="s">
        <v>25</v>
      </c>
      <c r="AB24" s="1">
        <v>18</v>
      </c>
      <c r="AC24" s="2" t="s">
        <v>240</v>
      </c>
      <c r="AD24" s="41">
        <v>0.26597222222222222</v>
      </c>
      <c r="AE24" s="41">
        <v>0.63263888888888886</v>
      </c>
      <c r="AF24" s="26">
        <f t="shared" si="1"/>
        <v>0.36666666666666664</v>
      </c>
      <c r="AG24" s="2">
        <v>4</v>
      </c>
      <c r="AH24" s="45" t="s">
        <v>25</v>
      </c>
    </row>
    <row r="25" spans="1:37" ht="14.5" customHeight="1" x14ac:dyDescent="0.2">
      <c r="B25" s="1">
        <v>19</v>
      </c>
      <c r="C25" s="2" t="s">
        <v>65</v>
      </c>
      <c r="D25" s="41">
        <v>0.25833333333333336</v>
      </c>
      <c r="E25" s="41">
        <v>0.72430555555555554</v>
      </c>
      <c r="F25" s="26">
        <f>Table13245678910111321252934394449546149141924293336424753919786104110116122127131136141914241930364248546066727782879297102107112117122132137147152154[[#This Row],[JAM MASUK]]-Table13245678910111321252934394449546149141924293336424753919786104110116122127131136141914241930364248546066727782879297102107112117122132137147152154[[#This Row],[JAM KELUAR]]</f>
        <v>0.46597222222222218</v>
      </c>
      <c r="G25" s="2">
        <v>4</v>
      </c>
      <c r="H25" s="45" t="s">
        <v>25</v>
      </c>
      <c r="P25" s="1">
        <v>19</v>
      </c>
      <c r="Q25" s="29" t="s">
        <v>35</v>
      </c>
      <c r="R25" s="30">
        <v>0.27708333333333335</v>
      </c>
      <c r="S25" s="30">
        <v>0.70208333333333339</v>
      </c>
      <c r="T25" s="39">
        <f t="shared" si="0"/>
        <v>0.42500000000000004</v>
      </c>
      <c r="U25" s="29">
        <v>5</v>
      </c>
      <c r="V25" s="45" t="s">
        <v>25</v>
      </c>
      <c r="AB25" s="1">
        <v>19</v>
      </c>
      <c r="AC25" s="2" t="s">
        <v>277</v>
      </c>
      <c r="AD25" s="41">
        <v>0.20972222222222223</v>
      </c>
      <c r="AE25" s="41">
        <v>0.69652777777777775</v>
      </c>
      <c r="AF25" s="26">
        <f t="shared" si="1"/>
        <v>0.48680555555555549</v>
      </c>
      <c r="AG25" s="2">
        <v>4</v>
      </c>
      <c r="AH25" s="45" t="s">
        <v>25</v>
      </c>
    </row>
    <row r="26" spans="1:37" ht="14.5" customHeight="1" x14ac:dyDescent="0.2">
      <c r="P26" s="1">
        <v>20</v>
      </c>
      <c r="Q26" s="29" t="s">
        <v>41</v>
      </c>
      <c r="R26" s="30">
        <v>0.27083333333333331</v>
      </c>
      <c r="S26" s="30">
        <v>0.71388888888888891</v>
      </c>
      <c r="T26" s="39">
        <f t="shared" si="0"/>
        <v>0.44305555555555559</v>
      </c>
      <c r="U26" s="29">
        <v>5</v>
      </c>
      <c r="V26" s="45" t="s">
        <v>25</v>
      </c>
      <c r="AB26" s="1">
        <v>20</v>
      </c>
      <c r="AC26" s="2" t="s">
        <v>476</v>
      </c>
      <c r="AD26" s="41">
        <v>0.28333333333333333</v>
      </c>
      <c r="AE26" s="41">
        <v>0.69861111111111107</v>
      </c>
      <c r="AF26" s="26">
        <f t="shared" si="1"/>
        <v>0.41527777777777775</v>
      </c>
      <c r="AG26" s="2">
        <v>4</v>
      </c>
      <c r="AH26" s="45" t="s">
        <v>25</v>
      </c>
    </row>
    <row r="27" spans="1:37" ht="14.5" customHeight="1" x14ac:dyDescent="0.2">
      <c r="A27" s="56"/>
      <c r="O27" s="56"/>
      <c r="P27" s="1">
        <v>21</v>
      </c>
      <c r="Q27" s="2" t="s">
        <v>46</v>
      </c>
      <c r="R27" s="30">
        <v>0.28055555555555556</v>
      </c>
      <c r="S27" s="30">
        <v>0.71597222222222223</v>
      </c>
      <c r="T27" s="39">
        <f t="shared" si="0"/>
        <v>0.43541666666666667</v>
      </c>
      <c r="U27" s="29">
        <v>5</v>
      </c>
      <c r="V27" s="45" t="s">
        <v>25</v>
      </c>
      <c r="AB27" s="1">
        <v>21</v>
      </c>
      <c r="AC27" s="2" t="s">
        <v>306</v>
      </c>
      <c r="AD27" s="41">
        <v>0.26805555555555555</v>
      </c>
      <c r="AE27" s="41">
        <v>0.69513888888888886</v>
      </c>
      <c r="AF27" s="26">
        <f t="shared" si="1"/>
        <v>0.42708333333333331</v>
      </c>
      <c r="AG27" s="2">
        <v>4</v>
      </c>
      <c r="AH27" s="45" t="s">
        <v>25</v>
      </c>
    </row>
    <row r="28" spans="1:37" x14ac:dyDescent="0.2">
      <c r="P28" s="1">
        <v>22</v>
      </c>
      <c r="Q28" s="29" t="s">
        <v>49</v>
      </c>
      <c r="R28" s="30">
        <v>0.26041666666666669</v>
      </c>
      <c r="S28" s="30">
        <v>0.6958333333333333</v>
      </c>
      <c r="T28" s="39">
        <f t="shared" si="0"/>
        <v>0.43541666666666662</v>
      </c>
      <c r="U28" s="29">
        <v>5</v>
      </c>
      <c r="V28" s="45" t="s">
        <v>25</v>
      </c>
      <c r="AB28" s="1">
        <v>22</v>
      </c>
      <c r="AC28" s="2" t="s">
        <v>307</v>
      </c>
      <c r="AD28" s="41">
        <v>0.26319444444444445</v>
      </c>
      <c r="AE28" s="41">
        <v>0.64652777777777781</v>
      </c>
      <c r="AF28" s="26">
        <f t="shared" si="1"/>
        <v>0.38333333333333336</v>
      </c>
      <c r="AG28" s="2">
        <v>4</v>
      </c>
      <c r="AH28" s="45" t="s">
        <v>25</v>
      </c>
    </row>
    <row r="29" spans="1:37" x14ac:dyDescent="0.2">
      <c r="G29" s="34"/>
      <c r="H29" s="35" t="s">
        <v>90</v>
      </c>
      <c r="O29" s="56" t="s">
        <v>209</v>
      </c>
      <c r="P29" s="50">
        <v>23</v>
      </c>
      <c r="Q29" s="33" t="s">
        <v>50</v>
      </c>
      <c r="R29" s="44">
        <v>0.34097222222222223</v>
      </c>
      <c r="S29" s="44">
        <v>0.74652777777777779</v>
      </c>
      <c r="T29" s="52">
        <f t="shared" si="0"/>
        <v>0.40555555555555556</v>
      </c>
      <c r="U29" s="33">
        <v>5</v>
      </c>
      <c r="V29" s="55" t="s">
        <v>25</v>
      </c>
      <c r="AB29" s="1">
        <v>23</v>
      </c>
      <c r="AC29" s="2" t="s">
        <v>230</v>
      </c>
      <c r="AD29" s="41">
        <v>0.21111111111111111</v>
      </c>
      <c r="AE29" s="41">
        <v>0.70277777777777783</v>
      </c>
      <c r="AF29" s="26">
        <f t="shared" si="1"/>
        <v>0.4916666666666667</v>
      </c>
      <c r="AG29" s="2">
        <v>5</v>
      </c>
      <c r="AH29" s="45" t="s">
        <v>25</v>
      </c>
    </row>
    <row r="30" spans="1:37" x14ac:dyDescent="0.2">
      <c r="G30" s="56" t="s">
        <v>209</v>
      </c>
      <c r="H30" s="35" t="s">
        <v>92</v>
      </c>
      <c r="P30" s="1">
        <v>24</v>
      </c>
      <c r="Q30" s="2" t="s">
        <v>47</v>
      </c>
      <c r="R30" s="30">
        <v>0.26458333333333334</v>
      </c>
      <c r="S30" s="30">
        <v>0.68402777777777779</v>
      </c>
      <c r="T30" s="39">
        <f t="shared" si="0"/>
        <v>0.41944444444444445</v>
      </c>
      <c r="U30" s="29">
        <v>5</v>
      </c>
      <c r="V30" s="45" t="s">
        <v>25</v>
      </c>
      <c r="AB30" s="1">
        <v>24</v>
      </c>
      <c r="AC30" s="2" t="s">
        <v>275</v>
      </c>
      <c r="AD30" s="41">
        <v>0.25416666666666665</v>
      </c>
      <c r="AE30" s="41">
        <v>0.70624999999999993</v>
      </c>
      <c r="AF30" s="26">
        <f t="shared" si="1"/>
        <v>0.45208333333333328</v>
      </c>
      <c r="AG30" s="2">
        <v>5</v>
      </c>
      <c r="AH30" s="45" t="s">
        <v>25</v>
      </c>
    </row>
    <row r="31" spans="1:37" x14ac:dyDescent="0.2">
      <c r="P31" s="1">
        <v>25</v>
      </c>
      <c r="Q31" s="2" t="s">
        <v>81</v>
      </c>
      <c r="R31" s="30">
        <v>0.25763888888888892</v>
      </c>
      <c r="S31" s="30">
        <v>0.70277777777777783</v>
      </c>
      <c r="T31" s="39">
        <f t="shared" si="0"/>
        <v>0.44513888888888892</v>
      </c>
      <c r="U31" s="29">
        <v>5</v>
      </c>
      <c r="V31" s="45" t="s">
        <v>25</v>
      </c>
      <c r="AB31" s="1">
        <v>25</v>
      </c>
      <c r="AC31" s="2" t="s">
        <v>279</v>
      </c>
      <c r="AD31" s="41">
        <v>0.26111111111111113</v>
      </c>
      <c r="AE31" s="41">
        <v>0.74444444444444446</v>
      </c>
      <c r="AF31" s="26">
        <f t="shared" si="1"/>
        <v>0.48333333333333334</v>
      </c>
      <c r="AG31" s="2">
        <v>5</v>
      </c>
      <c r="AH31" s="45" t="s">
        <v>25</v>
      </c>
    </row>
    <row r="32" spans="1:37" x14ac:dyDescent="0.2">
      <c r="P32" s="1">
        <v>26</v>
      </c>
      <c r="Q32" s="2" t="s">
        <v>60</v>
      </c>
      <c r="R32" s="30">
        <v>0.26527777777777778</v>
      </c>
      <c r="S32" s="30">
        <v>0.68125000000000002</v>
      </c>
      <c r="T32" s="39">
        <f t="shared" si="0"/>
        <v>0.41597222222222224</v>
      </c>
      <c r="U32" s="29">
        <v>5</v>
      </c>
      <c r="V32" s="45" t="s">
        <v>25</v>
      </c>
      <c r="AD32" s="103"/>
    </row>
    <row r="34" spans="1:34" x14ac:dyDescent="0.2">
      <c r="U34" s="34"/>
      <c r="V34" s="35" t="s">
        <v>90</v>
      </c>
      <c r="AG34" s="34"/>
      <c r="AH34" s="35" t="s">
        <v>90</v>
      </c>
    </row>
    <row r="35" spans="1:34" x14ac:dyDescent="0.2">
      <c r="U35" s="56" t="s">
        <v>209</v>
      </c>
      <c r="V35" s="35" t="s">
        <v>92</v>
      </c>
      <c r="AG35" s="56" t="s">
        <v>209</v>
      </c>
      <c r="AH35" s="35" t="s">
        <v>92</v>
      </c>
    </row>
    <row r="41" spans="1:34" ht="21" x14ac:dyDescent="0.25">
      <c r="A41" s="46"/>
    </row>
  </sheetData>
  <mergeCells count="14">
    <mergeCell ref="AJ4:AK5"/>
    <mergeCell ref="B5:H5"/>
    <mergeCell ref="P5:V5"/>
    <mergeCell ref="AB5:AH5"/>
    <mergeCell ref="P1:Y1"/>
    <mergeCell ref="AB1:AK1"/>
    <mergeCell ref="B2:K2"/>
    <mergeCell ref="P2:Y2"/>
    <mergeCell ref="AB2:AK2"/>
    <mergeCell ref="B4:H4"/>
    <mergeCell ref="J4:K5"/>
    <mergeCell ref="P4:V4"/>
    <mergeCell ref="X4:Y5"/>
    <mergeCell ref="AB4:AH4"/>
  </mergeCells>
  <pageMargins left="0.12" right="0.12" top="0.75" bottom="0.75" header="0.3" footer="0.3"/>
  <pageSetup paperSize="9" scale="69" fitToWidth="0" orientation="landscape" horizontalDpi="360" verticalDpi="360" r:id="rId1"/>
  <rowBreaks count="1" manualBreakCount="1">
    <brk id="40" max="46" man="1"/>
  </rowBreaks>
  <colBreaks count="2" manualBreakCount="2">
    <brk id="13" min="1" max="39" man="1"/>
    <brk id="26" min="1" max="39" man="1"/>
  </colBreak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3CC4-BA41-4C53-8958-74C80DAD1D4F}">
  <sheetPr>
    <tabColor theme="7" tint="0.39997558519241921"/>
  </sheetPr>
  <dimension ref="A1:AJ64"/>
  <sheetViews>
    <sheetView showGridLines="0" view="pageBreakPreview" topLeftCell="AG1" zoomScaleNormal="55" zoomScaleSheetLayoutView="100" workbookViewId="0">
      <selection activeCell="AB6" sqref="AB6:AG19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81.5" customWidth="1"/>
    <col min="9" max="9" width="3.1640625" customWidth="1"/>
    <col min="10" max="10" width="30.83203125" bestFit="1" customWidth="1"/>
    <col min="11" max="11" width="18.1640625" customWidth="1"/>
    <col min="12" max="12" width="0.33203125" style="18" hidden="1" customWidth="1"/>
    <col min="13" max="14" width="1.5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81.5" customWidth="1"/>
    <col min="22" max="22" width="1.6640625" customWidth="1"/>
    <col min="23" max="23" width="28.5" customWidth="1"/>
    <col min="24" max="24" width="16.5" customWidth="1"/>
    <col min="25" max="25" width="1.83203125" customWidth="1"/>
    <col min="26" max="26" width="2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0.83203125" bestFit="1" customWidth="1"/>
    <col min="36" max="36" width="10" customWidth="1"/>
    <col min="37" max="37" width="17.83203125" customWidth="1"/>
    <col min="38" max="38" width="15.83203125" customWidth="1"/>
  </cols>
  <sheetData>
    <row r="1" spans="1:36" ht="21" x14ac:dyDescent="0.25">
      <c r="B1" s="104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O1" s="104" t="s">
        <v>53</v>
      </c>
      <c r="P1" s="104"/>
      <c r="Q1" s="104"/>
      <c r="R1" s="104"/>
      <c r="S1" s="104"/>
      <c r="T1" s="104"/>
      <c r="U1" s="104"/>
      <c r="V1" s="104"/>
      <c r="W1" s="104"/>
      <c r="X1" s="104"/>
      <c r="AA1" s="104" t="s">
        <v>54</v>
      </c>
      <c r="AB1" s="104"/>
      <c r="AC1" s="104"/>
      <c r="AD1" s="104"/>
      <c r="AE1" s="104"/>
      <c r="AF1" s="104"/>
      <c r="AG1" s="104"/>
      <c r="AH1" s="104"/>
      <c r="AI1" s="104"/>
      <c r="AJ1" s="104"/>
    </row>
    <row r="3" spans="1:36" ht="19" x14ac:dyDescent="0.25">
      <c r="B3" s="105" t="s">
        <v>22</v>
      </c>
      <c r="C3" s="105"/>
      <c r="D3" s="105"/>
      <c r="E3" s="105"/>
      <c r="F3" s="105"/>
      <c r="G3" s="105"/>
      <c r="H3" s="105"/>
      <c r="J3" s="106" t="s">
        <v>23</v>
      </c>
      <c r="K3" s="106"/>
      <c r="O3" s="108" t="s">
        <v>95</v>
      </c>
      <c r="P3" s="108"/>
      <c r="Q3" s="108"/>
      <c r="R3" s="108"/>
      <c r="S3" s="108"/>
      <c r="T3" s="108"/>
      <c r="U3" s="108"/>
      <c r="W3" s="106" t="s">
        <v>28</v>
      </c>
      <c r="X3" s="106"/>
      <c r="AA3" s="105" t="s">
        <v>43</v>
      </c>
      <c r="AB3" s="105"/>
      <c r="AC3" s="105"/>
      <c r="AD3" s="105"/>
      <c r="AE3" s="105"/>
      <c r="AF3" s="105"/>
      <c r="AG3" s="105"/>
      <c r="AI3" s="106" t="s">
        <v>44</v>
      </c>
      <c r="AJ3" s="106"/>
    </row>
    <row r="4" spans="1:36" x14ac:dyDescent="0.2">
      <c r="B4" s="109">
        <v>45415</v>
      </c>
      <c r="C4" s="109"/>
      <c r="D4" s="109"/>
      <c r="E4" s="109"/>
      <c r="F4" s="109"/>
      <c r="G4" s="109"/>
      <c r="H4" s="109"/>
      <c r="J4" s="107"/>
      <c r="K4" s="107"/>
      <c r="O4" s="109">
        <f>B4</f>
        <v>45415</v>
      </c>
      <c r="P4" s="109"/>
      <c r="Q4" s="109"/>
      <c r="R4" s="109"/>
      <c r="S4" s="109"/>
      <c r="T4" s="109"/>
      <c r="U4" s="109"/>
      <c r="W4" s="107"/>
      <c r="X4" s="107"/>
      <c r="AA4" s="109">
        <f>B4</f>
        <v>45415</v>
      </c>
      <c r="AB4" s="109"/>
      <c r="AC4" s="109"/>
      <c r="AD4" s="109"/>
      <c r="AE4" s="109"/>
      <c r="AF4" s="109"/>
      <c r="AG4" s="109"/>
      <c r="AI4" s="107"/>
      <c r="AJ4" s="107"/>
    </row>
    <row r="5" spans="1:36" s="1" customFormat="1" x14ac:dyDescent="0.2">
      <c r="A5"/>
      <c r="B5" s="2" t="s">
        <v>0</v>
      </c>
      <c r="C5" s="2" t="s">
        <v>1</v>
      </c>
      <c r="D5" s="2" t="s">
        <v>61</v>
      </c>
      <c r="E5" s="26" t="s">
        <v>62</v>
      </c>
      <c r="F5" s="2" t="s">
        <v>63</v>
      </c>
      <c r="G5" s="2" t="s">
        <v>2</v>
      </c>
      <c r="H5" s="2" t="s">
        <v>3</v>
      </c>
      <c r="J5" s="3" t="s">
        <v>21</v>
      </c>
      <c r="K5" s="5">
        <f>SUM(K7:K10)</f>
        <v>23</v>
      </c>
      <c r="L5" s="19"/>
      <c r="O5" s="2" t="s">
        <v>0</v>
      </c>
      <c r="P5" s="2" t="s">
        <v>1</v>
      </c>
      <c r="Q5" s="22" t="s">
        <v>61</v>
      </c>
      <c r="R5" s="22" t="s">
        <v>62</v>
      </c>
      <c r="S5" s="22" t="s">
        <v>63</v>
      </c>
      <c r="T5" s="2" t="s">
        <v>2</v>
      </c>
      <c r="U5" s="2" t="s">
        <v>3</v>
      </c>
      <c r="W5" s="3" t="s">
        <v>29</v>
      </c>
      <c r="X5" s="5">
        <f>SUM(X7:X10)</f>
        <v>18</v>
      </c>
      <c r="AA5" s="2" t="s">
        <v>0</v>
      </c>
      <c r="AB5" s="2" t="s">
        <v>1</v>
      </c>
      <c r="AC5" s="2" t="s">
        <v>61</v>
      </c>
      <c r="AD5" s="2" t="s">
        <v>62</v>
      </c>
      <c r="AE5" s="2" t="s">
        <v>63</v>
      </c>
      <c r="AF5" s="2" t="s">
        <v>2</v>
      </c>
      <c r="AG5" s="2" t="s">
        <v>3</v>
      </c>
      <c r="AI5" s="3" t="s">
        <v>21</v>
      </c>
      <c r="AJ5" s="5">
        <f>SUM(AJ7:AJ10)</f>
        <v>15</v>
      </c>
    </row>
    <row r="6" spans="1:36" s="1" customFormat="1" x14ac:dyDescent="0.2">
      <c r="A6"/>
      <c r="B6" s="15">
        <v>1</v>
      </c>
      <c r="C6" s="31" t="s">
        <v>14</v>
      </c>
      <c r="D6" s="32">
        <v>0.31180555555555556</v>
      </c>
      <c r="E6" s="21">
        <v>0.5854166666666667</v>
      </c>
      <c r="F6" s="38">
        <f>Table132456789101113212529343944495461491419242933364247539197861041101161221271311361419[[#This Row],[JAM MASUK]]-Table132456789101113212529343944495461491419242933364247539197861041101161221271311361419[[#This Row],[JAM KELUAR]]</f>
        <v>0.27361111111111114</v>
      </c>
      <c r="G6" s="20">
        <v>1</v>
      </c>
      <c r="H6" s="24" t="s">
        <v>158</v>
      </c>
      <c r="J6" s="4" t="s">
        <v>10</v>
      </c>
      <c r="K6" s="6">
        <v>23</v>
      </c>
      <c r="L6" s="19"/>
      <c r="O6" s="27">
        <v>1</v>
      </c>
      <c r="P6" s="20" t="s">
        <v>32</v>
      </c>
      <c r="Q6" s="21">
        <v>0.28611111111111115</v>
      </c>
      <c r="R6" s="21">
        <v>0.44027777777777777</v>
      </c>
      <c r="S6" s="37">
        <f t="shared" ref="S6:S16" si="0">R6-Q6</f>
        <v>0.15416666666666662</v>
      </c>
      <c r="T6" s="20">
        <v>1</v>
      </c>
      <c r="U6" s="24" t="s">
        <v>163</v>
      </c>
      <c r="W6" s="4" t="s">
        <v>10</v>
      </c>
      <c r="X6" s="6">
        <v>18</v>
      </c>
      <c r="AA6" s="15">
        <v>1</v>
      </c>
      <c r="AB6" s="20" t="s">
        <v>51</v>
      </c>
      <c r="AC6" s="21">
        <v>0.2722222222222222</v>
      </c>
      <c r="AD6" s="21">
        <v>0.41666666666666669</v>
      </c>
      <c r="AE6" s="37">
        <f t="shared" ref="AE6:AE19" si="1">AD6-AC6</f>
        <v>0.14444444444444449</v>
      </c>
      <c r="AF6" s="20">
        <v>1</v>
      </c>
      <c r="AG6" s="16" t="s">
        <v>172</v>
      </c>
      <c r="AI6" s="4" t="s">
        <v>10</v>
      </c>
      <c r="AJ6" s="6">
        <v>15</v>
      </c>
    </row>
    <row r="7" spans="1:36" s="1" customFormat="1" x14ac:dyDescent="0.2">
      <c r="A7"/>
      <c r="B7" s="15">
        <v>2</v>
      </c>
      <c r="C7" s="31" t="s">
        <v>157</v>
      </c>
      <c r="D7" s="32">
        <v>0.36805555555555558</v>
      </c>
      <c r="E7" s="21">
        <v>0.66666666666666663</v>
      </c>
      <c r="F7" s="38">
        <f>Table132456789101113212529343944495461491419242933364247539197861041101161221271311361419[[#This Row],[JAM MASUK]]-Table132456789101113212529343944495461491419242933364247539197861041101161221271311361419[[#This Row],[JAM KELUAR]]</f>
        <v>0.29861111111111105</v>
      </c>
      <c r="G7" s="20">
        <v>2</v>
      </c>
      <c r="H7" s="16" t="s">
        <v>127</v>
      </c>
      <c r="J7" s="4" t="s">
        <v>9</v>
      </c>
      <c r="K7" s="7">
        <v>23</v>
      </c>
      <c r="L7" s="19"/>
      <c r="O7" s="15">
        <v>2</v>
      </c>
      <c r="P7" s="33" t="s">
        <v>31</v>
      </c>
      <c r="Q7" s="44">
        <v>0.31180555555555556</v>
      </c>
      <c r="R7" s="40">
        <v>0.43124999999999997</v>
      </c>
      <c r="S7" s="37">
        <f t="shared" si="0"/>
        <v>0.11944444444444441</v>
      </c>
      <c r="T7" s="23">
        <v>1</v>
      </c>
      <c r="U7" s="24" t="s">
        <v>26</v>
      </c>
      <c r="W7" s="4" t="s">
        <v>9</v>
      </c>
      <c r="X7" s="7">
        <v>11</v>
      </c>
      <c r="AA7" s="15">
        <v>2</v>
      </c>
      <c r="AB7" s="20" t="s">
        <v>56</v>
      </c>
      <c r="AC7" s="21">
        <v>0.28541666666666665</v>
      </c>
      <c r="AD7" s="21">
        <v>0.55902777777777779</v>
      </c>
      <c r="AE7" s="38">
        <f t="shared" si="1"/>
        <v>0.27361111111111114</v>
      </c>
      <c r="AF7" s="20">
        <v>2</v>
      </c>
      <c r="AG7" s="16" t="s">
        <v>173</v>
      </c>
      <c r="AI7" s="4" t="s">
        <v>9</v>
      </c>
      <c r="AJ7" s="6">
        <v>14</v>
      </c>
    </row>
    <row r="8" spans="1:36" s="1" customFormat="1" x14ac:dyDescent="0.2">
      <c r="A8"/>
      <c r="B8" s="15">
        <v>3</v>
      </c>
      <c r="C8" s="31" t="s">
        <v>119</v>
      </c>
      <c r="D8" s="32">
        <v>0.3034722222222222</v>
      </c>
      <c r="E8" s="21">
        <v>0.5805555555555556</v>
      </c>
      <c r="F8" s="38">
        <f>Table132456789101113212529343944495461491419242933364247539197861041101161221271311361419[[#This Row],[JAM MASUK]]-Table132456789101113212529343944495461491419242933364247539197861041101161221271311361419[[#This Row],[JAM KELUAR]]</f>
        <v>0.2770833333333334</v>
      </c>
      <c r="G8" s="20">
        <v>2</v>
      </c>
      <c r="H8" s="24" t="s">
        <v>177</v>
      </c>
      <c r="J8" s="4" t="s">
        <v>4</v>
      </c>
      <c r="K8" s="7">
        <v>0</v>
      </c>
      <c r="L8" s="19"/>
      <c r="O8" s="27">
        <v>3</v>
      </c>
      <c r="P8" s="23" t="s">
        <v>30</v>
      </c>
      <c r="Q8" s="40">
        <v>0.22222222222222221</v>
      </c>
      <c r="R8" s="40">
        <v>0.56805555555555554</v>
      </c>
      <c r="S8" s="37">
        <f t="shared" si="0"/>
        <v>0.34583333333333333</v>
      </c>
      <c r="T8" s="23">
        <v>3</v>
      </c>
      <c r="U8" s="16" t="s">
        <v>164</v>
      </c>
      <c r="W8" s="4" t="s">
        <v>4</v>
      </c>
      <c r="X8" s="7">
        <v>0</v>
      </c>
      <c r="AA8" s="15">
        <v>3</v>
      </c>
      <c r="AB8" s="20" t="s">
        <v>81</v>
      </c>
      <c r="AC8" s="21">
        <v>0.27499999999999997</v>
      </c>
      <c r="AD8" s="21">
        <v>0.67222222222222217</v>
      </c>
      <c r="AE8" s="38">
        <f t="shared" si="1"/>
        <v>0.3972222222222222</v>
      </c>
      <c r="AF8" s="20">
        <v>3</v>
      </c>
      <c r="AG8" s="16" t="s">
        <v>175</v>
      </c>
      <c r="AI8" s="4" t="s">
        <v>4</v>
      </c>
      <c r="AJ8" s="7">
        <v>1</v>
      </c>
    </row>
    <row r="9" spans="1:36" s="1" customFormat="1" x14ac:dyDescent="0.2">
      <c r="A9"/>
      <c r="B9" s="15">
        <v>4</v>
      </c>
      <c r="C9" s="20" t="s">
        <v>12</v>
      </c>
      <c r="D9" s="21">
        <v>0.3576388888888889</v>
      </c>
      <c r="E9" s="21">
        <v>0.6777777777777777</v>
      </c>
      <c r="F9" s="38">
        <f>Table132456789101113212529343944495461491419242933364247539197861041101161221271311361419[[#This Row],[JAM MASUK]]-Table132456789101113212529343944495461491419242933364247539197861041101161221271311361419[[#This Row],[JAM KELUAR]]</f>
        <v>0.32013888888888881</v>
      </c>
      <c r="G9" s="20">
        <v>2</v>
      </c>
      <c r="H9" s="24" t="s">
        <v>177</v>
      </c>
      <c r="J9" s="4" t="s">
        <v>5</v>
      </c>
      <c r="K9" s="7">
        <v>0</v>
      </c>
      <c r="L9" s="19"/>
      <c r="O9" s="27">
        <v>4</v>
      </c>
      <c r="P9" s="23" t="s">
        <v>60</v>
      </c>
      <c r="Q9" s="40">
        <v>0.27013888888888887</v>
      </c>
      <c r="R9" s="40">
        <v>0.69166666666666676</v>
      </c>
      <c r="S9" s="37">
        <f t="shared" si="0"/>
        <v>0.42152777777777789</v>
      </c>
      <c r="T9" s="23">
        <v>3</v>
      </c>
      <c r="U9" s="16" t="s">
        <v>165</v>
      </c>
      <c r="W9" s="4" t="s">
        <v>5</v>
      </c>
      <c r="X9" s="7">
        <v>7</v>
      </c>
      <c r="AA9" s="15">
        <v>4</v>
      </c>
      <c r="AB9" s="20" t="s">
        <v>48</v>
      </c>
      <c r="AC9" s="21">
        <v>0.26527777777777778</v>
      </c>
      <c r="AD9" s="21">
        <v>0.73958333333333337</v>
      </c>
      <c r="AE9" s="38">
        <f t="shared" si="1"/>
        <v>0.47430555555555559</v>
      </c>
      <c r="AF9" s="20">
        <v>4</v>
      </c>
      <c r="AG9" s="16" t="s">
        <v>176</v>
      </c>
      <c r="AI9" s="4" t="s">
        <v>5</v>
      </c>
      <c r="AJ9" s="7">
        <v>0</v>
      </c>
    </row>
    <row r="10" spans="1:36" s="1" customFormat="1" x14ac:dyDescent="0.2">
      <c r="A10"/>
      <c r="B10" s="15">
        <v>5</v>
      </c>
      <c r="C10" s="20" t="s">
        <v>20</v>
      </c>
      <c r="D10" s="21">
        <v>0.27986111111111112</v>
      </c>
      <c r="E10" s="43">
        <v>0.58680555555555558</v>
      </c>
      <c r="F10" s="38">
        <f>Table132456789101113212529343944495461491419242933364247539197861041101161221271311361419[[#This Row],[JAM MASUK]]-Table132456789101113212529343944495461491419242933364247539197861041101161221271311361419[[#This Row],[JAM KELUAR]]</f>
        <v>0.30694444444444446</v>
      </c>
      <c r="G10" s="20">
        <v>2</v>
      </c>
      <c r="H10" s="24" t="s">
        <v>159</v>
      </c>
      <c r="J10" s="4" t="s">
        <v>6</v>
      </c>
      <c r="K10" s="7">
        <v>0</v>
      </c>
      <c r="L10" s="19"/>
      <c r="O10" s="15">
        <v>5</v>
      </c>
      <c r="P10" s="23" t="s">
        <v>82</v>
      </c>
      <c r="Q10" s="40">
        <v>0.30624999999999997</v>
      </c>
      <c r="R10" s="40">
        <v>0.71250000000000002</v>
      </c>
      <c r="S10" s="37">
        <f t="shared" si="0"/>
        <v>0.40625000000000006</v>
      </c>
      <c r="T10" s="23">
        <v>4</v>
      </c>
      <c r="U10" s="16" t="s">
        <v>166</v>
      </c>
      <c r="W10" s="4" t="s">
        <v>33</v>
      </c>
      <c r="X10" s="7">
        <v>0</v>
      </c>
      <c r="AA10" s="15">
        <v>5</v>
      </c>
      <c r="AB10" s="20" t="s">
        <v>45</v>
      </c>
      <c r="AC10" s="21">
        <v>0.23611111111111113</v>
      </c>
      <c r="AD10" s="21">
        <v>0.71180555555555547</v>
      </c>
      <c r="AE10" s="38">
        <f t="shared" si="1"/>
        <v>0.47569444444444431</v>
      </c>
      <c r="AF10" s="20">
        <v>4</v>
      </c>
      <c r="AG10" s="16" t="s">
        <v>176</v>
      </c>
      <c r="AI10" s="4" t="s">
        <v>6</v>
      </c>
      <c r="AJ10" s="7">
        <v>0</v>
      </c>
    </row>
    <row r="11" spans="1:36" s="1" customFormat="1" x14ac:dyDescent="0.2">
      <c r="A11"/>
      <c r="B11" s="15">
        <v>6</v>
      </c>
      <c r="C11" s="20" t="s">
        <v>70</v>
      </c>
      <c r="D11" s="21">
        <v>0.27291666666666664</v>
      </c>
      <c r="E11" s="21">
        <v>0.61388888888888882</v>
      </c>
      <c r="F11" s="38">
        <f>Table132456789101113212529343944495461491419242933364247539197861041101161221271311361419[[#This Row],[JAM MASUK]]-Table132456789101113212529343944495461491419242933364247539197861041101161221271311361419[[#This Row],[JAM KELUAR]]</f>
        <v>0.34097222222222218</v>
      </c>
      <c r="G11" s="20">
        <v>2</v>
      </c>
      <c r="H11" s="24" t="s">
        <v>177</v>
      </c>
      <c r="J11" s="8" t="s">
        <v>8</v>
      </c>
      <c r="K11" s="9">
        <f>SUM(Table132456789101113212529343944495461491419242933364247539197861041101161221271311361419[Retase])</f>
        <v>59</v>
      </c>
      <c r="L11" s="19"/>
      <c r="O11" s="27">
        <v>6</v>
      </c>
      <c r="P11" s="23" t="s">
        <v>123</v>
      </c>
      <c r="Q11" s="40">
        <v>0.30555555555555552</v>
      </c>
      <c r="R11" s="40">
        <v>0.71666666666666667</v>
      </c>
      <c r="S11" s="37">
        <f t="shared" si="0"/>
        <v>0.41111111111111115</v>
      </c>
      <c r="T11" s="23">
        <v>4</v>
      </c>
      <c r="U11" s="16" t="s">
        <v>176</v>
      </c>
      <c r="W11" s="8" t="s">
        <v>8</v>
      </c>
      <c r="X11" s="9">
        <f>SUM(Table1345678910111722263035404550556251015202530343843485492988710511111712312813213714210[Retase])</f>
        <v>38</v>
      </c>
      <c r="AA11" s="15">
        <v>6</v>
      </c>
      <c r="AB11" s="31" t="s">
        <v>122</v>
      </c>
      <c r="AC11" s="32">
        <v>0.29722222222222222</v>
      </c>
      <c r="AD11" s="21">
        <v>0.71319444444444446</v>
      </c>
      <c r="AE11" s="38">
        <f t="shared" si="1"/>
        <v>0.41597222222222224</v>
      </c>
      <c r="AF11" s="20">
        <v>4</v>
      </c>
      <c r="AG11" s="16" t="s">
        <v>176</v>
      </c>
      <c r="AI11" s="8" t="s">
        <v>8</v>
      </c>
      <c r="AJ11" s="9">
        <f>SUM(Table1345678910111518192327313742475259271217222732284146529096801031091151211261201351408[Retase])</f>
        <v>56</v>
      </c>
    </row>
    <row r="12" spans="1:36" s="1" customFormat="1" x14ac:dyDescent="0.2">
      <c r="A12"/>
      <c r="B12" s="15">
        <v>7</v>
      </c>
      <c r="C12" s="20" t="s">
        <v>15</v>
      </c>
      <c r="D12" s="21">
        <v>0.22430555555555556</v>
      </c>
      <c r="E12" s="21">
        <v>0.55972222222222223</v>
      </c>
      <c r="F12" s="38">
        <f>Table132456789101113212529343944495461491419242933364247539197861041101161221271311361419[[#This Row],[JAM MASUK]]-Table132456789101113212529343944495461491419242933364247539197861041101161221271311361419[[#This Row],[JAM KELUAR]]</f>
        <v>0.3354166666666667</v>
      </c>
      <c r="G12" s="20">
        <v>2</v>
      </c>
      <c r="H12" s="24" t="s">
        <v>177</v>
      </c>
      <c r="J12" s="10" t="s">
        <v>7</v>
      </c>
      <c r="K12" s="11">
        <f>K11/K7</f>
        <v>2.5652173913043477</v>
      </c>
      <c r="L12" s="19"/>
      <c r="O12" s="27">
        <v>7</v>
      </c>
      <c r="P12" s="23" t="s">
        <v>57</v>
      </c>
      <c r="Q12" s="40">
        <v>0.28055555555555556</v>
      </c>
      <c r="R12" s="40">
        <v>0.72222222222222221</v>
      </c>
      <c r="S12" s="37">
        <f t="shared" si="0"/>
        <v>0.44166666666666665</v>
      </c>
      <c r="T12" s="23">
        <v>4</v>
      </c>
      <c r="U12" s="16" t="s">
        <v>176</v>
      </c>
      <c r="W12" s="10" t="s">
        <v>7</v>
      </c>
      <c r="X12" s="11">
        <f>X11/X7</f>
        <v>3.4545454545454546</v>
      </c>
      <c r="AA12" s="15">
        <v>7</v>
      </c>
      <c r="AB12" s="20" t="s">
        <v>78</v>
      </c>
      <c r="AC12" s="21">
        <v>0.2638888888888889</v>
      </c>
      <c r="AD12" s="21">
        <v>0.7090277777777777</v>
      </c>
      <c r="AE12" s="38">
        <f t="shared" si="1"/>
        <v>0.44513888888888881</v>
      </c>
      <c r="AF12" s="20">
        <v>4</v>
      </c>
      <c r="AG12" s="16" t="s">
        <v>174</v>
      </c>
      <c r="AI12" s="10" t="s">
        <v>7</v>
      </c>
      <c r="AJ12" s="11">
        <f>AJ11/AJ7</f>
        <v>4</v>
      </c>
    </row>
    <row r="13" spans="1:36" s="1" customFormat="1" x14ac:dyDescent="0.2">
      <c r="A13"/>
      <c r="B13" s="15">
        <v>8</v>
      </c>
      <c r="C13" s="20" t="s">
        <v>121</v>
      </c>
      <c r="D13" s="21">
        <v>0.27361111111111108</v>
      </c>
      <c r="E13" s="21">
        <v>0.68263888888888891</v>
      </c>
      <c r="F13" s="38">
        <f>Table132456789101113212529343944495461491419242933364247539197861041101161221271311361419[[#This Row],[JAM MASUK]]-Table132456789101113212529343944495461491419242933364247539197861041101161221271311361419[[#This Row],[JAM KELUAR]]</f>
        <v>0.40902777777777782</v>
      </c>
      <c r="G13" s="20">
        <v>2</v>
      </c>
      <c r="H13" s="24" t="s">
        <v>177</v>
      </c>
      <c r="J13" s="12" t="s">
        <v>11</v>
      </c>
      <c r="K13" s="13">
        <v>4</v>
      </c>
      <c r="L13" s="19"/>
      <c r="O13" s="15">
        <v>8</v>
      </c>
      <c r="P13" s="23" t="s">
        <v>35</v>
      </c>
      <c r="Q13" s="40">
        <v>0.28125</v>
      </c>
      <c r="R13" s="40">
        <v>0.70000000000000007</v>
      </c>
      <c r="S13" s="37">
        <f t="shared" si="0"/>
        <v>0.41875000000000007</v>
      </c>
      <c r="T13" s="23">
        <v>4</v>
      </c>
      <c r="U13" s="16" t="s">
        <v>176</v>
      </c>
      <c r="W13" s="12" t="s">
        <v>11</v>
      </c>
      <c r="X13" s="13">
        <v>5</v>
      </c>
      <c r="AA13" s="15">
        <v>8</v>
      </c>
      <c r="AB13" s="20" t="s">
        <v>79</v>
      </c>
      <c r="AC13" s="21">
        <v>0.28194444444444444</v>
      </c>
      <c r="AD13" s="21">
        <v>0.70000000000000007</v>
      </c>
      <c r="AE13" s="38">
        <f t="shared" si="1"/>
        <v>0.41805555555555562</v>
      </c>
      <c r="AF13" s="20">
        <v>4</v>
      </c>
      <c r="AG13" s="16" t="s">
        <v>176</v>
      </c>
      <c r="AI13" s="12" t="s">
        <v>11</v>
      </c>
      <c r="AJ13" s="13">
        <v>5</v>
      </c>
    </row>
    <row r="14" spans="1:36" s="1" customFormat="1" x14ac:dyDescent="0.2">
      <c r="A14"/>
      <c r="B14" s="15">
        <v>9</v>
      </c>
      <c r="C14" s="20" t="s">
        <v>17</v>
      </c>
      <c r="D14" s="21">
        <v>0.23472222222222219</v>
      </c>
      <c r="E14" s="21">
        <v>0.58819444444444446</v>
      </c>
      <c r="F14" s="38">
        <f>Table132456789101113212529343944495461491419242933364247539197861041101161221271311361419[[#This Row],[JAM MASUK]]-Table132456789101113212529343944495461491419242933364247539197861041101161221271311361419[[#This Row],[JAM KELUAR]]</f>
        <v>0.3534722222222223</v>
      </c>
      <c r="G14" s="20">
        <v>2</v>
      </c>
      <c r="H14" s="16" t="s">
        <v>160</v>
      </c>
      <c r="J14" s="12" t="s">
        <v>88</v>
      </c>
      <c r="K14" s="14">
        <f>1/23</f>
        <v>4.3478260869565216E-2</v>
      </c>
      <c r="L14" s="19"/>
      <c r="O14" s="27">
        <v>9</v>
      </c>
      <c r="P14" s="23" t="s">
        <v>59</v>
      </c>
      <c r="Q14" s="40">
        <v>0.25486111111111109</v>
      </c>
      <c r="R14" s="40">
        <v>0.69791666666666663</v>
      </c>
      <c r="S14" s="37">
        <f t="shared" si="0"/>
        <v>0.44305555555555554</v>
      </c>
      <c r="T14" s="23">
        <v>4</v>
      </c>
      <c r="U14" s="16" t="s">
        <v>176</v>
      </c>
      <c r="W14" s="12" t="s">
        <v>88</v>
      </c>
      <c r="X14" s="14">
        <f>2/11</f>
        <v>0.18181818181818182</v>
      </c>
      <c r="AA14" s="15">
        <v>9</v>
      </c>
      <c r="AB14" s="20" t="s">
        <v>46</v>
      </c>
      <c r="AC14" s="21">
        <v>0.28750000000000003</v>
      </c>
      <c r="AD14" s="21">
        <v>0.71875</v>
      </c>
      <c r="AE14" s="38">
        <f t="shared" si="1"/>
        <v>0.43124999999999997</v>
      </c>
      <c r="AF14" s="20">
        <v>4</v>
      </c>
      <c r="AG14" s="16" t="s">
        <v>176</v>
      </c>
      <c r="AI14" s="12" t="s">
        <v>88</v>
      </c>
      <c r="AJ14" s="14">
        <f>5/14</f>
        <v>0.35714285714285715</v>
      </c>
    </row>
    <row r="15" spans="1:36" x14ac:dyDescent="0.2">
      <c r="B15" s="15">
        <v>10</v>
      </c>
      <c r="C15" s="20" t="s">
        <v>18</v>
      </c>
      <c r="D15" s="21">
        <v>0.26319444444444445</v>
      </c>
      <c r="E15" s="21">
        <v>0.58333333333333337</v>
      </c>
      <c r="F15" s="38">
        <f>Table132456789101113212529343944495461491419242933364247539197861041101161221271311361419[[#This Row],[JAM MASUK]]-Table132456789101113212529343944495461491419242933364247539197861041101161221271311361419[[#This Row],[JAM KELUAR]]</f>
        <v>0.32013888888888892</v>
      </c>
      <c r="G15" s="20">
        <v>2</v>
      </c>
      <c r="H15" s="24" t="s">
        <v>161</v>
      </c>
      <c r="J15" s="12" t="s">
        <v>24</v>
      </c>
      <c r="K15" s="14">
        <f>K7/K6</f>
        <v>1</v>
      </c>
      <c r="O15" s="28">
        <v>10</v>
      </c>
      <c r="P15" s="29" t="s">
        <v>40</v>
      </c>
      <c r="Q15" s="30">
        <v>0.23263888888888887</v>
      </c>
      <c r="R15" s="30">
        <v>0.71180555555555547</v>
      </c>
      <c r="S15" s="39">
        <f t="shared" si="0"/>
        <v>0.47916666666666663</v>
      </c>
      <c r="T15" s="29">
        <v>5</v>
      </c>
      <c r="U15" s="45" t="s">
        <v>25</v>
      </c>
      <c r="W15" s="12" t="s">
        <v>27</v>
      </c>
      <c r="X15" s="14">
        <f>X7/X6</f>
        <v>0.61111111111111116</v>
      </c>
      <c r="AA15" s="1">
        <v>10</v>
      </c>
      <c r="AB15" s="2" t="s">
        <v>77</v>
      </c>
      <c r="AC15" s="41">
        <v>0.27430555555555552</v>
      </c>
      <c r="AD15" s="41">
        <v>0.79236111111111107</v>
      </c>
      <c r="AE15" s="26">
        <f t="shared" si="1"/>
        <v>0.51805555555555549</v>
      </c>
      <c r="AF15" s="2">
        <v>5</v>
      </c>
      <c r="AG15" s="45" t="s">
        <v>25</v>
      </c>
      <c r="AI15" s="12" t="s">
        <v>27</v>
      </c>
      <c r="AJ15" s="14">
        <f>AJ7/AJ6</f>
        <v>0.93333333333333335</v>
      </c>
    </row>
    <row r="16" spans="1:36" x14ac:dyDescent="0.2">
      <c r="B16" s="15">
        <v>11</v>
      </c>
      <c r="C16" s="20" t="s">
        <v>118</v>
      </c>
      <c r="D16" s="21">
        <v>0.25625000000000003</v>
      </c>
      <c r="E16" s="21">
        <v>0.69374999999999998</v>
      </c>
      <c r="F16" s="38">
        <f>Table132456789101113212529343944495461491419242933364247539197861041101161221271311361419[[#This Row],[JAM MASUK]]-Table132456789101113212529343944495461491419242933364247539197861041101161221271311361419[[#This Row],[JAM KELUAR]]</f>
        <v>0.43749999999999994</v>
      </c>
      <c r="G16" s="20">
        <v>3</v>
      </c>
      <c r="H16" s="24" t="s">
        <v>177</v>
      </c>
      <c r="J16" s="12" t="s">
        <v>117</v>
      </c>
      <c r="K16" s="48">
        <f>AVERAGE(Table132456789101113212529343944495461491419242933364247539197861041101161221271311361419[JAM KELUAR])</f>
        <v>0.26413043478260873</v>
      </c>
      <c r="O16" s="1">
        <v>11</v>
      </c>
      <c r="P16" s="29" t="s">
        <v>34</v>
      </c>
      <c r="Q16" s="30">
        <v>0.26597222222222222</v>
      </c>
      <c r="R16" s="30">
        <v>0.77777777777777779</v>
      </c>
      <c r="S16" s="39">
        <f t="shared" si="0"/>
        <v>0.51180555555555562</v>
      </c>
      <c r="T16" s="29">
        <v>5</v>
      </c>
      <c r="U16" s="45" t="s">
        <v>25</v>
      </c>
      <c r="W16" s="12" t="s">
        <v>117</v>
      </c>
      <c r="X16" s="48">
        <f>AVERAGE(Table1345678910111722263035404550556251015202530343843485492988710511111712312813213714210[JAM KELUAR])</f>
        <v>0.27430555555555552</v>
      </c>
      <c r="AA16" s="1">
        <v>11</v>
      </c>
      <c r="AB16" s="2" t="s">
        <v>49</v>
      </c>
      <c r="AC16" s="41">
        <v>0.2388888888888889</v>
      </c>
      <c r="AD16" s="41">
        <v>0.75138888888888899</v>
      </c>
      <c r="AE16" s="26">
        <f t="shared" si="1"/>
        <v>0.51250000000000007</v>
      </c>
      <c r="AF16" s="2">
        <v>5</v>
      </c>
      <c r="AG16" s="45" t="s">
        <v>25</v>
      </c>
      <c r="AI16" s="12" t="s">
        <v>117</v>
      </c>
      <c r="AJ16" s="48">
        <f>AVERAGE(Table1345678910111518192327313742475259271217222732284146529096801031091151211261201351408[JAM KELUAR])</f>
        <v>0.26612103174603169</v>
      </c>
    </row>
    <row r="17" spans="2:35" x14ac:dyDescent="0.2">
      <c r="B17" s="15">
        <v>12</v>
      </c>
      <c r="C17" s="20" t="s">
        <v>13</v>
      </c>
      <c r="D17" s="21">
        <v>0.25277777777777777</v>
      </c>
      <c r="E17" s="21">
        <v>0.63680555555555551</v>
      </c>
      <c r="F17" s="38">
        <f>Table132456789101113212529343944495461491419242933364247539197861041101161221271311361419[[#This Row],[JAM MASUK]]-Table132456789101113212529343944495461491419242933364247539197861041101161221271311361419[[#This Row],[JAM KELUAR]]</f>
        <v>0.38402777777777775</v>
      </c>
      <c r="G17" s="20">
        <v>3</v>
      </c>
      <c r="H17" s="24" t="s">
        <v>177</v>
      </c>
      <c r="AA17" s="1">
        <v>12</v>
      </c>
      <c r="AB17" s="2" t="s">
        <v>50</v>
      </c>
      <c r="AC17" s="41">
        <v>0.26666666666666666</v>
      </c>
      <c r="AD17" s="41">
        <v>0.77013888888888893</v>
      </c>
      <c r="AE17" s="26">
        <f t="shared" si="1"/>
        <v>0.50347222222222232</v>
      </c>
      <c r="AF17" s="2">
        <v>5</v>
      </c>
      <c r="AG17" s="45" t="s">
        <v>25</v>
      </c>
      <c r="AI17" s="17"/>
    </row>
    <row r="18" spans="2:35" ht="15.75" customHeight="1" x14ac:dyDescent="0.2">
      <c r="B18" s="15">
        <v>13</v>
      </c>
      <c r="C18" s="20" t="s">
        <v>71</v>
      </c>
      <c r="D18" s="21">
        <v>0.25069444444444444</v>
      </c>
      <c r="E18" s="21">
        <v>0.64861111111111114</v>
      </c>
      <c r="F18" s="38">
        <f>Table132456789101113212529343944495461491419242933364247539197861041101161221271311361419[[#This Row],[JAM MASUK]]-Table132456789101113212529343944495461491419242933364247539197861041101161221271311361419[[#This Row],[JAM KELUAR]]</f>
        <v>0.3979166666666667</v>
      </c>
      <c r="G18" s="20">
        <v>3</v>
      </c>
      <c r="H18" s="24" t="s">
        <v>177</v>
      </c>
      <c r="AA18" s="1">
        <v>13</v>
      </c>
      <c r="AB18" s="2" t="s">
        <v>47</v>
      </c>
      <c r="AC18" s="41">
        <v>0.25833333333333336</v>
      </c>
      <c r="AD18" s="41">
        <v>0.75486111111111109</v>
      </c>
      <c r="AE18" s="26">
        <f t="shared" si="1"/>
        <v>0.49652777777777773</v>
      </c>
      <c r="AF18" s="2">
        <v>5</v>
      </c>
      <c r="AG18" s="45" t="s">
        <v>25</v>
      </c>
    </row>
    <row r="19" spans="2:35" ht="17.25" customHeight="1" x14ac:dyDescent="0.25">
      <c r="B19" s="15">
        <v>14</v>
      </c>
      <c r="C19" s="20" t="s">
        <v>72</v>
      </c>
      <c r="D19" s="21">
        <v>0.21180555555555555</v>
      </c>
      <c r="E19" s="21">
        <v>0.59027777777777779</v>
      </c>
      <c r="F19" s="38">
        <f>Table132456789101113212529343944495461491419242933364247539197861041101161221271311361419[[#This Row],[JAM MASUK]]-Table132456789101113212529343944495461491419242933364247539197861041101161221271311361419[[#This Row],[JAM KELUAR]]</f>
        <v>0.37847222222222221</v>
      </c>
      <c r="G19" s="20">
        <v>3</v>
      </c>
      <c r="H19" s="24" t="s">
        <v>177</v>
      </c>
      <c r="O19" s="108" t="s">
        <v>66</v>
      </c>
      <c r="P19" s="108"/>
      <c r="Q19" s="108"/>
      <c r="R19" s="108"/>
      <c r="S19" s="108"/>
      <c r="T19" s="108"/>
      <c r="U19" s="108"/>
      <c r="W19" s="106" t="s">
        <v>28</v>
      </c>
      <c r="X19" s="106"/>
      <c r="AA19" s="1">
        <v>14</v>
      </c>
      <c r="AB19" s="2" t="s">
        <v>80</v>
      </c>
      <c r="AC19" s="41">
        <v>0.22291666666666665</v>
      </c>
      <c r="AD19" s="41">
        <v>0.76736111111111116</v>
      </c>
      <c r="AE19" s="26">
        <f t="shared" si="1"/>
        <v>0.54444444444444451</v>
      </c>
      <c r="AF19" s="2">
        <v>6</v>
      </c>
      <c r="AG19" s="45" t="s">
        <v>25</v>
      </c>
    </row>
    <row r="20" spans="2:35" ht="15.75" customHeight="1" x14ac:dyDescent="0.2">
      <c r="B20" s="15">
        <v>15</v>
      </c>
      <c r="C20" s="20" t="s">
        <v>68</v>
      </c>
      <c r="D20" s="21">
        <v>0.27986111111111112</v>
      </c>
      <c r="E20" s="21">
        <v>0.67986111111111114</v>
      </c>
      <c r="F20" s="38">
        <f>Table132456789101113212529343944495461491419242933364247539197861041101161221271311361419[[#This Row],[JAM MASUK]]-Table132456789101113212529343944495461491419242933364247539197861041101161221271311361419[[#This Row],[JAM KELUAR]]</f>
        <v>0.4</v>
      </c>
      <c r="G20" s="20">
        <v>3</v>
      </c>
      <c r="H20" s="24" t="s">
        <v>177</v>
      </c>
      <c r="O20" s="109">
        <f>B4</f>
        <v>45415</v>
      </c>
      <c r="P20" s="109"/>
      <c r="Q20" s="109"/>
      <c r="R20" s="109"/>
      <c r="S20" s="109"/>
      <c r="T20" s="109"/>
      <c r="U20" s="109"/>
      <c r="W20" s="110"/>
      <c r="X20" s="110"/>
    </row>
    <row r="21" spans="2:35" x14ac:dyDescent="0.2">
      <c r="B21" s="15">
        <v>16</v>
      </c>
      <c r="C21" s="20" t="s">
        <v>73</v>
      </c>
      <c r="D21" s="21">
        <v>0.20972222222222223</v>
      </c>
      <c r="E21" s="21">
        <v>0.60625000000000007</v>
      </c>
      <c r="F21" s="38">
        <f>Table132456789101113212529343944495461491419242933364247539197861041101161221271311361419[[#This Row],[JAM MASUK]]-Table132456789101113212529343944495461491419242933364247539197861041101161221271311361419[[#This Row],[JAM KELUAR]]</f>
        <v>0.39652777777777781</v>
      </c>
      <c r="G21" s="20">
        <v>3</v>
      </c>
      <c r="H21" s="24" t="s">
        <v>177</v>
      </c>
      <c r="O21" s="2" t="s">
        <v>0</v>
      </c>
      <c r="P21" s="2" t="s">
        <v>1</v>
      </c>
      <c r="Q21" s="22" t="s">
        <v>61</v>
      </c>
      <c r="R21" s="22" t="s">
        <v>62</v>
      </c>
      <c r="S21" s="22" t="s">
        <v>63</v>
      </c>
      <c r="T21" s="2" t="s">
        <v>2</v>
      </c>
      <c r="U21" s="2" t="s">
        <v>3</v>
      </c>
      <c r="W21" s="3" t="s">
        <v>29</v>
      </c>
      <c r="X21" s="5">
        <f>SUM(X23:X26)</f>
        <v>8</v>
      </c>
      <c r="AF21" s="34"/>
      <c r="AG21" s="35" t="s">
        <v>90</v>
      </c>
    </row>
    <row r="22" spans="2:35" x14ac:dyDescent="0.2">
      <c r="B22" s="15">
        <v>17</v>
      </c>
      <c r="C22" s="20" t="s">
        <v>69</v>
      </c>
      <c r="D22" s="21">
        <v>0.27916666666666667</v>
      </c>
      <c r="E22" s="21">
        <v>0.68402777777777779</v>
      </c>
      <c r="F22" s="38">
        <f>Table132456789101113212529343944495461491419242933364247539197861041101161221271311361419[[#This Row],[JAM MASUK]]-Table132456789101113212529343944495461491419242933364247539197861041101161221271311361419[[#This Row],[JAM KELUAR]]</f>
        <v>0.40486111111111112</v>
      </c>
      <c r="G22" s="20">
        <v>3</v>
      </c>
      <c r="H22" s="24" t="s">
        <v>177</v>
      </c>
      <c r="O22" s="15">
        <v>1</v>
      </c>
      <c r="P22" s="23" t="s">
        <v>36</v>
      </c>
      <c r="Q22" s="40">
        <v>0.27916666666666667</v>
      </c>
      <c r="R22" s="40">
        <v>0.39861111111111108</v>
      </c>
      <c r="S22" s="37">
        <f t="shared" ref="S22:S27" si="2">R22-Q22</f>
        <v>0.11944444444444441</v>
      </c>
      <c r="T22" s="23">
        <v>1</v>
      </c>
      <c r="U22" s="16" t="s">
        <v>167</v>
      </c>
      <c r="W22" s="4" t="s">
        <v>10</v>
      </c>
      <c r="X22" s="6">
        <v>8</v>
      </c>
      <c r="AF22" s="1" t="s">
        <v>91</v>
      </c>
      <c r="AG22" s="35" t="s">
        <v>92</v>
      </c>
    </row>
    <row r="23" spans="2:35" ht="15" customHeight="1" x14ac:dyDescent="0.2">
      <c r="B23" s="15">
        <v>18</v>
      </c>
      <c r="C23" s="31" t="s">
        <v>149</v>
      </c>
      <c r="D23" s="32">
        <v>0.25347222222222221</v>
      </c>
      <c r="E23" s="21">
        <v>0.75347222222222221</v>
      </c>
      <c r="F23" s="38">
        <f>Table132456789101113212529343944495461491419242933364247539197861041101161221271311361419[[#This Row],[JAM MASUK]]-Table132456789101113212529343944495461491419242933364247539197861041101161221271311361419[[#This Row],[JAM KELUAR]]</f>
        <v>0.5</v>
      </c>
      <c r="G23" s="20">
        <v>3</v>
      </c>
      <c r="H23" s="16" t="s">
        <v>162</v>
      </c>
      <c r="O23" s="15">
        <v>2</v>
      </c>
      <c r="P23" s="33" t="s">
        <v>38</v>
      </c>
      <c r="Q23" s="44">
        <v>0.35069444444444442</v>
      </c>
      <c r="R23" s="40">
        <v>0.57152777777777775</v>
      </c>
      <c r="S23" s="37">
        <f t="shared" si="2"/>
        <v>0.22083333333333333</v>
      </c>
      <c r="T23" s="23">
        <v>1</v>
      </c>
      <c r="U23" s="47" t="s">
        <v>168</v>
      </c>
      <c r="W23" s="4" t="s">
        <v>9</v>
      </c>
      <c r="X23" s="7">
        <v>6</v>
      </c>
    </row>
    <row r="24" spans="2:35" ht="14.5" customHeight="1" x14ac:dyDescent="0.2">
      <c r="B24" s="15">
        <v>19</v>
      </c>
      <c r="C24" s="20" t="s">
        <v>75</v>
      </c>
      <c r="D24" s="21">
        <v>0.22916666666666666</v>
      </c>
      <c r="E24" s="21">
        <v>0.61875000000000002</v>
      </c>
      <c r="F24" s="38">
        <f>Table132456789101113212529343944495461491419242933364247539197861041101161221271311361419[[#This Row],[JAM MASUK]]-Table132456789101113212529343944495461491419242933364247539197861041101161221271311361419[[#This Row],[JAM KELUAR]]</f>
        <v>0.38958333333333339</v>
      </c>
      <c r="G24" s="20">
        <v>3</v>
      </c>
      <c r="H24" s="24" t="s">
        <v>177</v>
      </c>
      <c r="O24" s="15">
        <v>3</v>
      </c>
      <c r="P24" s="23" t="s">
        <v>85</v>
      </c>
      <c r="Q24" s="40">
        <v>0.28263888888888888</v>
      </c>
      <c r="R24" s="40">
        <v>0.5756944444444444</v>
      </c>
      <c r="S24" s="37">
        <f t="shared" si="2"/>
        <v>0.29305555555555551</v>
      </c>
      <c r="T24" s="23">
        <v>2</v>
      </c>
      <c r="U24" s="24" t="s">
        <v>169</v>
      </c>
      <c r="W24" s="4" t="s">
        <v>4</v>
      </c>
      <c r="X24" s="7">
        <v>0</v>
      </c>
    </row>
    <row r="25" spans="2:35" ht="14.5" customHeight="1" x14ac:dyDescent="0.2">
      <c r="B25" s="15">
        <v>20</v>
      </c>
      <c r="C25" s="20" t="s">
        <v>120</v>
      </c>
      <c r="D25" s="21">
        <v>0.23819444444444446</v>
      </c>
      <c r="E25" s="21">
        <v>0.69236111111111109</v>
      </c>
      <c r="F25" s="38">
        <f>Table132456789101113212529343944495461491419242933364247539197861041101161221271311361419[[#This Row],[JAM MASUK]]-Table132456789101113212529343944495461491419242933364247539197861041101161221271311361419[[#This Row],[JAM KELUAR]]</f>
        <v>0.45416666666666661</v>
      </c>
      <c r="G25" s="20">
        <v>3</v>
      </c>
      <c r="H25" s="24" t="s">
        <v>177</v>
      </c>
      <c r="O25" s="15">
        <v>4</v>
      </c>
      <c r="P25" s="23" t="s">
        <v>83</v>
      </c>
      <c r="Q25" s="40">
        <v>0.28680555555555554</v>
      </c>
      <c r="R25" s="40">
        <v>0.71805555555555556</v>
      </c>
      <c r="S25" s="37">
        <f t="shared" si="2"/>
        <v>0.43125000000000002</v>
      </c>
      <c r="T25" s="23">
        <v>3</v>
      </c>
      <c r="U25" s="24" t="s">
        <v>166</v>
      </c>
      <c r="W25" s="4" t="s">
        <v>5</v>
      </c>
      <c r="X25" s="7">
        <v>2</v>
      </c>
    </row>
    <row r="26" spans="2:35" ht="14.5" customHeight="1" x14ac:dyDescent="0.2">
      <c r="B26" s="15">
        <v>21</v>
      </c>
      <c r="C26" s="20" t="s">
        <v>16</v>
      </c>
      <c r="D26" s="21">
        <v>0.25763888888888892</v>
      </c>
      <c r="E26" s="21">
        <v>0.69513888888888886</v>
      </c>
      <c r="F26" s="38">
        <f>Table132456789101113212529343944495461491419242933364247539197861041101161221271311361419[[#This Row],[JAM MASUK]]-Table132456789101113212529343944495461491419242933364247539197861041101161221271311361419[[#This Row],[JAM KELUAR]]</f>
        <v>0.43749999999999994</v>
      </c>
      <c r="G26" s="20">
        <v>3</v>
      </c>
      <c r="H26" s="24" t="s">
        <v>177</v>
      </c>
      <c r="O26" s="15">
        <v>5</v>
      </c>
      <c r="P26" s="23" t="s">
        <v>84</v>
      </c>
      <c r="Q26" s="40">
        <v>0.27777777777777779</v>
      </c>
      <c r="R26" s="40">
        <v>0.69236111111111109</v>
      </c>
      <c r="S26" s="37">
        <f t="shared" si="2"/>
        <v>0.4145833333333333</v>
      </c>
      <c r="T26" s="23">
        <v>3</v>
      </c>
      <c r="U26" s="24" t="s">
        <v>170</v>
      </c>
      <c r="W26" s="4" t="s">
        <v>33</v>
      </c>
      <c r="X26" s="7">
        <v>0</v>
      </c>
    </row>
    <row r="27" spans="2:35" x14ac:dyDescent="0.2">
      <c r="B27" s="15">
        <v>22</v>
      </c>
      <c r="C27" s="20" t="s">
        <v>19</v>
      </c>
      <c r="D27" s="21">
        <v>0.25833333333333336</v>
      </c>
      <c r="E27" s="21">
        <v>0.71666666666666667</v>
      </c>
      <c r="F27" s="38">
        <f>Table132456789101113212529343944495461491419242933364247539197861041101161221271311361419[[#This Row],[JAM MASUK]]-Table132456789101113212529343944495461491419242933364247539197861041101161221271311361419[[#This Row],[JAM KELUAR]]</f>
        <v>0.45833333333333331</v>
      </c>
      <c r="G27" s="20">
        <v>3</v>
      </c>
      <c r="H27" s="24" t="s">
        <v>177</v>
      </c>
      <c r="O27" s="15">
        <v>6</v>
      </c>
      <c r="P27" s="33" t="s">
        <v>37</v>
      </c>
      <c r="Q27" s="44">
        <v>0.31597222222222221</v>
      </c>
      <c r="R27" s="40">
        <v>0.6791666666666667</v>
      </c>
      <c r="S27" s="37">
        <f t="shared" si="2"/>
        <v>0.36319444444444449</v>
      </c>
      <c r="T27" s="23">
        <v>3</v>
      </c>
      <c r="U27" s="16" t="s">
        <v>171</v>
      </c>
      <c r="W27" s="8" t="s">
        <v>8</v>
      </c>
      <c r="X27" s="9">
        <f>SUM(Table134567891011172226303236414651566361116212631353944495593998810611211812412913313814311[Retase])</f>
        <v>13</v>
      </c>
    </row>
    <row r="28" spans="2:35" x14ac:dyDescent="0.2">
      <c r="B28" s="1">
        <v>23</v>
      </c>
      <c r="C28" s="2" t="s">
        <v>76</v>
      </c>
      <c r="D28" s="41">
        <v>0.20833333333333334</v>
      </c>
      <c r="E28" s="41">
        <v>0.70208333333333339</v>
      </c>
      <c r="F28" s="26">
        <f>Table132456789101113212529343944495461491419242933364247539197861041101161221271311361419[[#This Row],[JAM MASUK]]-Table132456789101113212529343944495461491419242933364247539197861041101161221271311361419[[#This Row],[JAM KELUAR]]</f>
        <v>0.49375000000000002</v>
      </c>
      <c r="G28" s="2">
        <v>4</v>
      </c>
      <c r="H28" s="45" t="s">
        <v>25</v>
      </c>
      <c r="W28" s="10" t="s">
        <v>7</v>
      </c>
      <c r="X28" s="11">
        <f>X27/X23</f>
        <v>2.1666666666666665</v>
      </c>
    </row>
    <row r="29" spans="2:35" x14ac:dyDescent="0.2">
      <c r="T29" s="34"/>
      <c r="U29" s="35" t="s">
        <v>90</v>
      </c>
      <c r="W29" s="12" t="s">
        <v>11</v>
      </c>
      <c r="X29" s="13">
        <v>4</v>
      </c>
    </row>
    <row r="30" spans="2:35" x14ac:dyDescent="0.2">
      <c r="G30" s="34"/>
      <c r="H30" s="35" t="s">
        <v>90</v>
      </c>
      <c r="T30" s="1" t="s">
        <v>91</v>
      </c>
      <c r="U30" s="35" t="s">
        <v>92</v>
      </c>
      <c r="W30" s="12" t="s">
        <v>88</v>
      </c>
      <c r="X30" s="14">
        <f>0/6</f>
        <v>0</v>
      </c>
      <c r="AF30" s="49"/>
    </row>
    <row r="31" spans="2:35" x14ac:dyDescent="0.2">
      <c r="G31" s="1" t="s">
        <v>91</v>
      </c>
      <c r="H31" s="35" t="s">
        <v>92</v>
      </c>
      <c r="V31" s="1"/>
      <c r="W31" s="12" t="s">
        <v>27</v>
      </c>
      <c r="X31" s="14">
        <f>X23/X22</f>
        <v>0.75</v>
      </c>
    </row>
    <row r="32" spans="2:35" x14ac:dyDescent="0.2">
      <c r="V32" s="1"/>
      <c r="W32" s="12" t="s">
        <v>117</v>
      </c>
      <c r="X32" s="48">
        <f>AVERAGE(Table134567891011172226303236414651566361116212631353944495593998810611211812412913313814311[JAM KELUAR])</f>
        <v>0.2988425925925926</v>
      </c>
    </row>
    <row r="33" spans="1:27" x14ac:dyDescent="0.2">
      <c r="V33" s="1"/>
    </row>
    <row r="34" spans="1:27" x14ac:dyDescent="0.2">
      <c r="G34" s="49"/>
      <c r="T34" s="49"/>
      <c r="V34" s="1"/>
    </row>
    <row r="35" spans="1:27" x14ac:dyDescent="0.2">
      <c r="V35" s="1"/>
      <c r="AA35" s="49" t="s">
        <v>124</v>
      </c>
    </row>
    <row r="36" spans="1:27" x14ac:dyDescent="0.2">
      <c r="O36" s="49" t="s">
        <v>124</v>
      </c>
      <c r="V36" s="1"/>
    </row>
    <row r="37" spans="1:27" x14ac:dyDescent="0.2">
      <c r="B37" s="49" t="s">
        <v>124</v>
      </c>
      <c r="V37" s="1"/>
    </row>
    <row r="38" spans="1:27" x14ac:dyDescent="0.2">
      <c r="V38" s="1"/>
    </row>
    <row r="39" spans="1:27" x14ac:dyDescent="0.2">
      <c r="V39" s="1"/>
    </row>
    <row r="40" spans="1:27" ht="21" x14ac:dyDescent="0.25">
      <c r="A40" s="46"/>
    </row>
    <row r="41" spans="1:27" x14ac:dyDescent="0.2">
      <c r="O41" s="2" t="s">
        <v>0</v>
      </c>
      <c r="P41" s="2" t="s">
        <v>1</v>
      </c>
      <c r="Q41" s="22" t="s">
        <v>61</v>
      </c>
      <c r="R41" s="22" t="s">
        <v>62</v>
      </c>
      <c r="S41" s="22" t="s">
        <v>63</v>
      </c>
      <c r="T41" s="2" t="s">
        <v>2</v>
      </c>
      <c r="U41" s="2" t="s">
        <v>3</v>
      </c>
    </row>
    <row r="42" spans="1:27" x14ac:dyDescent="0.2">
      <c r="O42" s="27">
        <v>1</v>
      </c>
      <c r="P42" s="2"/>
      <c r="Q42" s="41"/>
      <c r="R42" s="42"/>
      <c r="S42" s="26"/>
      <c r="T42" s="2"/>
      <c r="U42" s="24"/>
    </row>
    <row r="43" spans="1:27" x14ac:dyDescent="0.2">
      <c r="O43" s="15">
        <v>2</v>
      </c>
      <c r="P43" s="29"/>
      <c r="Q43" s="30"/>
      <c r="R43" s="36"/>
      <c r="S43" s="26"/>
      <c r="T43" s="29"/>
      <c r="U43" s="24"/>
    </row>
    <row r="44" spans="1:27" x14ac:dyDescent="0.2">
      <c r="O44" s="15">
        <v>3</v>
      </c>
      <c r="P44" s="29"/>
      <c r="Q44" s="30"/>
      <c r="R44" s="36"/>
      <c r="S44" s="39"/>
      <c r="T44" s="29"/>
      <c r="U44" s="16"/>
    </row>
    <row r="45" spans="1:27" x14ac:dyDescent="0.2">
      <c r="O45" s="27">
        <v>4</v>
      </c>
      <c r="P45" s="29"/>
      <c r="Q45" s="30"/>
      <c r="R45" s="36"/>
      <c r="S45" s="39"/>
      <c r="T45" s="29"/>
      <c r="U45" s="24"/>
    </row>
    <row r="46" spans="1:27" x14ac:dyDescent="0.2">
      <c r="O46" s="15">
        <v>5</v>
      </c>
      <c r="P46" s="29"/>
      <c r="Q46" s="30"/>
      <c r="R46" s="36"/>
      <c r="S46" s="26"/>
      <c r="T46" s="29"/>
      <c r="U46" s="24"/>
    </row>
    <row r="47" spans="1:27" x14ac:dyDescent="0.2">
      <c r="O47" s="15">
        <v>6</v>
      </c>
      <c r="P47" s="29"/>
      <c r="Q47" s="30"/>
      <c r="R47" s="36"/>
      <c r="S47" s="26"/>
      <c r="T47" s="29"/>
      <c r="U47" s="24"/>
    </row>
    <row r="48" spans="1:27" x14ac:dyDescent="0.2">
      <c r="O48" s="27">
        <v>7</v>
      </c>
      <c r="P48" s="29"/>
      <c r="Q48" s="30"/>
      <c r="R48" s="36"/>
      <c r="S48" s="39"/>
      <c r="T48" s="29"/>
      <c r="U48" s="24"/>
    </row>
    <row r="49" spans="15:22" x14ac:dyDescent="0.2">
      <c r="O49" s="15">
        <v>8</v>
      </c>
      <c r="P49" s="29"/>
      <c r="Q49" s="30"/>
      <c r="R49" s="36"/>
      <c r="S49" s="26"/>
      <c r="T49" s="29"/>
      <c r="U49" s="24"/>
    </row>
    <row r="50" spans="15:22" x14ac:dyDescent="0.2">
      <c r="O50" s="15">
        <v>9</v>
      </c>
      <c r="P50" s="29"/>
      <c r="Q50" s="30"/>
      <c r="R50" s="36"/>
      <c r="S50" s="26"/>
      <c r="T50" s="29"/>
      <c r="U50" s="24"/>
    </row>
    <row r="51" spans="15:22" x14ac:dyDescent="0.2">
      <c r="O51" s="27">
        <v>10</v>
      </c>
      <c r="P51" s="29"/>
      <c r="Q51" s="30"/>
      <c r="R51" s="36"/>
      <c r="S51" s="26"/>
      <c r="T51" s="29"/>
      <c r="U51" s="24"/>
    </row>
    <row r="52" spans="15:22" x14ac:dyDescent="0.2">
      <c r="O52" s="15">
        <v>11</v>
      </c>
      <c r="P52" s="29"/>
      <c r="Q52" s="30"/>
      <c r="R52" s="36"/>
      <c r="S52" s="26"/>
      <c r="T52" s="29"/>
      <c r="U52" s="24"/>
    </row>
    <row r="53" spans="15:22" x14ac:dyDescent="0.2">
      <c r="O53" s="1">
        <v>12</v>
      </c>
      <c r="P53" s="29"/>
      <c r="Q53" s="30"/>
      <c r="R53" s="36"/>
      <c r="S53" s="39"/>
      <c r="T53" s="29"/>
      <c r="U53" s="25"/>
    </row>
    <row r="54" spans="15:22" x14ac:dyDescent="0.2">
      <c r="O54" s="28">
        <v>13</v>
      </c>
      <c r="P54" s="29"/>
      <c r="Q54" s="30"/>
      <c r="R54" s="36"/>
      <c r="S54" s="26"/>
      <c r="T54" s="29"/>
      <c r="U54" s="25"/>
    </row>
    <row r="55" spans="15:22" x14ac:dyDescent="0.2">
      <c r="O55" s="27">
        <v>14</v>
      </c>
      <c r="P55" s="29"/>
      <c r="Q55" s="30"/>
      <c r="R55" s="36"/>
      <c r="S55" s="26"/>
      <c r="T55" s="29"/>
      <c r="U55" s="24"/>
    </row>
    <row r="56" spans="15:22" x14ac:dyDescent="0.2">
      <c r="O56" s="15">
        <v>15</v>
      </c>
      <c r="P56" s="29"/>
      <c r="Q56" s="30"/>
      <c r="R56" s="36"/>
      <c r="S56" s="26"/>
      <c r="T56" s="29"/>
      <c r="U56" s="24"/>
    </row>
    <row r="57" spans="15:22" x14ac:dyDescent="0.2">
      <c r="O57" s="1">
        <v>16</v>
      </c>
      <c r="P57" s="29"/>
      <c r="Q57" s="30"/>
      <c r="R57" s="36"/>
      <c r="S57" s="26"/>
      <c r="T57" s="29"/>
      <c r="U57" s="25"/>
    </row>
    <row r="58" spans="15:22" x14ac:dyDescent="0.2">
      <c r="O58" s="28">
        <v>17</v>
      </c>
      <c r="P58" s="29"/>
      <c r="Q58" s="30"/>
      <c r="R58" s="36"/>
      <c r="S58" s="26"/>
      <c r="T58" s="29"/>
      <c r="U58" s="25"/>
    </row>
    <row r="59" spans="15:22" x14ac:dyDescent="0.2">
      <c r="O59" s="27">
        <v>18</v>
      </c>
      <c r="P59" s="29"/>
      <c r="Q59" s="30"/>
      <c r="R59" s="36"/>
      <c r="S59" s="26"/>
      <c r="T59" s="29"/>
      <c r="U59" s="24"/>
    </row>
    <row r="60" spans="15:22" x14ac:dyDescent="0.2">
      <c r="O60" s="1">
        <v>19</v>
      </c>
      <c r="P60" s="29"/>
      <c r="Q60" s="30"/>
      <c r="R60" s="36"/>
      <c r="S60" s="39"/>
      <c r="T60" s="29"/>
      <c r="U60" s="25"/>
    </row>
    <row r="61" spans="15:22" x14ac:dyDescent="0.2">
      <c r="O61" s="1">
        <v>20</v>
      </c>
      <c r="P61" s="29"/>
      <c r="Q61" s="30"/>
      <c r="R61" s="36"/>
      <c r="S61" s="39"/>
      <c r="T61" s="29"/>
      <c r="U61" s="25"/>
    </row>
    <row r="62" spans="15:22" x14ac:dyDescent="0.2">
      <c r="O62" s="28">
        <v>21</v>
      </c>
      <c r="P62" s="29"/>
      <c r="Q62" s="30"/>
      <c r="R62" s="36"/>
      <c r="S62" s="26"/>
      <c r="T62" s="29"/>
      <c r="U62" s="25"/>
      <c r="V62" s="1"/>
    </row>
    <row r="63" spans="15:22" x14ac:dyDescent="0.2">
      <c r="O63" s="27">
        <v>22</v>
      </c>
      <c r="P63" s="29"/>
      <c r="Q63" s="30"/>
      <c r="R63" s="36"/>
      <c r="S63" s="26"/>
      <c r="T63" s="29"/>
      <c r="U63" s="25"/>
      <c r="V63" s="1"/>
    </row>
    <row r="64" spans="15:22" x14ac:dyDescent="0.2">
      <c r="V64" s="1"/>
    </row>
  </sheetData>
  <mergeCells count="15">
    <mergeCell ref="AA1:AJ1"/>
    <mergeCell ref="B3:H3"/>
    <mergeCell ref="J3:K4"/>
    <mergeCell ref="O3:U3"/>
    <mergeCell ref="W3:X4"/>
    <mergeCell ref="AA3:AG3"/>
    <mergeCell ref="AI3:AJ4"/>
    <mergeCell ref="B4:H4"/>
    <mergeCell ref="O4:U4"/>
    <mergeCell ref="AA4:AG4"/>
    <mergeCell ref="O19:U19"/>
    <mergeCell ref="W19:X20"/>
    <mergeCell ref="O20:U20"/>
    <mergeCell ref="B1:K1"/>
    <mergeCell ref="O1:X1"/>
  </mergeCells>
  <pageMargins left="0.12" right="0.12" top="0.75" bottom="0.75" header="0.3" footer="0.3"/>
  <pageSetup paperSize="5" scale="83" fitToWidth="0" orientation="landscape" horizontalDpi="360" verticalDpi="360" r:id="rId1"/>
  <rowBreaks count="1" manualBreakCount="1">
    <brk id="39" max="46" man="1"/>
  </rowBreaks>
  <colBreaks count="2" manualBreakCount="2">
    <brk id="13" max="38" man="1"/>
    <brk id="25" max="38" man="1"/>
  </colBreaks>
  <tableParts count="5">
    <tablePart r:id="rId2"/>
    <tablePart r:id="rId3"/>
    <tablePart r:id="rId4"/>
    <tablePart r:id="rId5"/>
    <tablePart r:id="rId6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4AC5E-18BE-49FB-8FB7-39563216DE5D}">
  <sheetPr>
    <tabColor theme="7" tint="0.39997558519241921"/>
  </sheetPr>
  <dimension ref="A1:AK41"/>
  <sheetViews>
    <sheetView showGridLines="0" view="pageBreakPreview" topLeftCell="AH1" zoomScale="70" zoomScaleNormal="55" zoomScaleSheetLayoutView="70" zoomScalePageLayoutView="55" workbookViewId="0">
      <selection activeCell="AC7" sqref="AC7:AH31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1.5" customWidth="1"/>
    <col min="15" max="15" width="3.6640625" bestFit="1" customWidth="1"/>
    <col min="16" max="16" width="7.5" customWidth="1"/>
    <col min="17" max="17" width="14.5" bestFit="1" customWidth="1"/>
    <col min="18" max="18" width="14.5" customWidth="1"/>
    <col min="19" max="19" width="17" bestFit="1" customWidth="1"/>
    <col min="20" max="20" width="14.5" customWidth="1"/>
    <col min="21" max="21" width="7.1640625" customWidth="1"/>
    <col min="22" max="22" width="82.5" customWidth="1"/>
    <col min="23" max="23" width="2.5" customWidth="1"/>
    <col min="24" max="24" width="32.6640625" bestFit="1" customWidth="1"/>
    <col min="25" max="25" width="10" customWidth="1"/>
    <col min="26" max="26" width="1.5" customWidth="1"/>
    <col min="27" max="27" width="3.6640625" bestFit="1" customWidth="1"/>
    <col min="28" max="28" width="7.5" customWidth="1"/>
    <col min="29" max="29" width="14.5" bestFit="1" customWidth="1"/>
    <col min="30" max="30" width="14.5" customWidth="1"/>
    <col min="31" max="31" width="17" bestFit="1" customWidth="1"/>
    <col min="32" max="32" width="14.5" customWidth="1"/>
    <col min="33" max="33" width="7.1640625" customWidth="1"/>
    <col min="34" max="34" width="82.5" customWidth="1"/>
    <col min="35" max="35" width="2.5" customWidth="1"/>
    <col min="36" max="36" width="32.6640625" bestFit="1" customWidth="1"/>
    <col min="37" max="37" width="10" customWidth="1"/>
    <col min="38" max="38" width="17.83203125" customWidth="1"/>
    <col min="39" max="39" width="15.83203125" customWidth="1"/>
  </cols>
  <sheetData>
    <row r="1" spans="1:37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P1" s="104"/>
      <c r="Q1" s="104"/>
      <c r="R1" s="104"/>
      <c r="S1" s="104"/>
      <c r="T1" s="104"/>
      <c r="U1" s="104"/>
      <c r="V1" s="104"/>
      <c r="W1" s="104"/>
      <c r="X1" s="104"/>
      <c r="Y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P2" s="104" t="s">
        <v>54</v>
      </c>
      <c r="Q2" s="104"/>
      <c r="R2" s="104"/>
      <c r="S2" s="104"/>
      <c r="T2" s="104"/>
      <c r="U2" s="104"/>
      <c r="V2" s="104"/>
      <c r="W2" s="104"/>
      <c r="X2" s="104"/>
      <c r="Y2" s="104"/>
      <c r="AB2" s="104" t="s">
        <v>227</v>
      </c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 x14ac:dyDescent="0.2">
      <c r="B3" s="60">
        <f>COUNTIF(Table13245678910111321252934394449546149141924293336424753919786104110116122127131136141914241930364248546066727782879297102107112117122132137147152154158[Retase],"&gt;3")</f>
        <v>7</v>
      </c>
      <c r="D3" t="s">
        <v>241</v>
      </c>
      <c r="P3" s="60">
        <f>COUNTIF(Table134567891011151819232731374247525927121722273228414652909680103109115121126120135140813231828344046525864707580859095100105110115120125135145150155156159[Retase],"&gt;4")</f>
        <v>11</v>
      </c>
      <c r="AB3" s="60">
        <f>COUNTIF(Table134567891011151819232731374247525927121722273228414652909680103109115121126120135140813231829354147535965717681869196101106111116121131136146151153157[Retase],"&gt;3")</f>
        <v>15</v>
      </c>
      <c r="AC3" s="60"/>
    </row>
    <row r="4" spans="1:37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P4" s="105" t="s">
        <v>43</v>
      </c>
      <c r="Q4" s="105"/>
      <c r="R4" s="105"/>
      <c r="S4" s="105"/>
      <c r="T4" s="105"/>
      <c r="U4" s="105"/>
      <c r="V4" s="105"/>
      <c r="X4" s="106" t="s">
        <v>44</v>
      </c>
      <c r="Y4" s="106"/>
      <c r="AB4" s="105" t="s">
        <v>229</v>
      </c>
      <c r="AC4" s="105"/>
      <c r="AD4" s="105"/>
      <c r="AE4" s="105"/>
      <c r="AF4" s="105"/>
      <c r="AG4" s="105"/>
      <c r="AH4" s="105"/>
      <c r="AJ4" s="106" t="s">
        <v>228</v>
      </c>
      <c r="AK4" s="106"/>
    </row>
    <row r="5" spans="1:37" x14ac:dyDescent="0.2">
      <c r="B5" s="109">
        <v>45442</v>
      </c>
      <c r="C5" s="109"/>
      <c r="D5" s="109"/>
      <c r="E5" s="109"/>
      <c r="F5" s="109"/>
      <c r="G5" s="109"/>
      <c r="H5" s="109"/>
      <c r="J5" s="107"/>
      <c r="K5" s="107"/>
      <c r="P5" s="109">
        <f>B5</f>
        <v>45442</v>
      </c>
      <c r="Q5" s="109"/>
      <c r="R5" s="109"/>
      <c r="S5" s="109"/>
      <c r="T5" s="109"/>
      <c r="U5" s="109"/>
      <c r="V5" s="109"/>
      <c r="X5" s="107"/>
      <c r="Y5" s="107"/>
      <c r="AB5" s="109">
        <f>B5</f>
        <v>45442</v>
      </c>
      <c r="AC5" s="109"/>
      <c r="AD5" s="109"/>
      <c r="AE5" s="109"/>
      <c r="AF5" s="109"/>
      <c r="AG5" s="109"/>
      <c r="AH5" s="109"/>
      <c r="AJ5" s="107"/>
      <c r="AK5" s="107"/>
    </row>
    <row r="6" spans="1:37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P6" s="2" t="s">
        <v>0</v>
      </c>
      <c r="Q6" s="2" t="s">
        <v>1</v>
      </c>
      <c r="R6" s="2" t="s">
        <v>61</v>
      </c>
      <c r="S6" s="2" t="s">
        <v>62</v>
      </c>
      <c r="T6" s="2" t="s">
        <v>63</v>
      </c>
      <c r="U6" s="2" t="s">
        <v>2</v>
      </c>
      <c r="V6" s="2" t="s">
        <v>3</v>
      </c>
      <c r="X6" s="3" t="s">
        <v>21</v>
      </c>
      <c r="Y6" s="5">
        <f>SUM(Y8:Y11)</f>
        <v>41</v>
      </c>
      <c r="AB6" s="2" t="s">
        <v>0</v>
      </c>
      <c r="AC6" s="2" t="s">
        <v>1</v>
      </c>
      <c r="AD6" s="2" t="s">
        <v>61</v>
      </c>
      <c r="AE6" s="2" t="s">
        <v>62</v>
      </c>
      <c r="AF6" s="2" t="s">
        <v>63</v>
      </c>
      <c r="AG6" s="2" t="s">
        <v>2</v>
      </c>
      <c r="AH6" s="2" t="s">
        <v>3</v>
      </c>
      <c r="AJ6" s="3" t="s">
        <v>21</v>
      </c>
      <c r="AK6" s="5">
        <f>SUM(AK8:AK11)</f>
        <v>39</v>
      </c>
    </row>
    <row r="7" spans="1:37" s="1" customFormat="1" x14ac:dyDescent="0.2">
      <c r="A7" s="56"/>
      <c r="B7" s="15">
        <v>1</v>
      </c>
      <c r="C7" s="23" t="s">
        <v>13</v>
      </c>
      <c r="D7" s="21">
        <v>0.27638888888888885</v>
      </c>
      <c r="E7" s="21">
        <v>0.36805555555555558</v>
      </c>
      <c r="F7" s="38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9.166666666666673E-2</v>
      </c>
      <c r="G7" s="20">
        <v>1</v>
      </c>
      <c r="H7" s="65" t="s">
        <v>954</v>
      </c>
      <c r="J7" s="4" t="s">
        <v>10</v>
      </c>
      <c r="K7" s="6">
        <v>23</v>
      </c>
      <c r="L7" s="19"/>
      <c r="O7" s="56"/>
      <c r="P7" s="15">
        <v>1</v>
      </c>
      <c r="Q7" s="23" t="s">
        <v>77</v>
      </c>
      <c r="R7" s="40">
        <v>0.25763888888888892</v>
      </c>
      <c r="S7" s="40">
        <v>0.38750000000000001</v>
      </c>
      <c r="T7" s="38">
        <f t="shared" ref="T7:T31" si="0">S7-R7</f>
        <v>0.12986111111111109</v>
      </c>
      <c r="U7" s="20">
        <v>1</v>
      </c>
      <c r="V7" s="16" t="s">
        <v>962</v>
      </c>
      <c r="X7" s="4" t="s">
        <v>10</v>
      </c>
      <c r="Y7" s="6">
        <v>41</v>
      </c>
      <c r="AA7" s="56"/>
      <c r="AB7" s="15">
        <v>1</v>
      </c>
      <c r="AC7" s="20" t="s">
        <v>233</v>
      </c>
      <c r="AD7" s="21">
        <v>0.22291666666666665</v>
      </c>
      <c r="AE7" s="21">
        <v>0.37986111111111115</v>
      </c>
      <c r="AF7" s="38">
        <f t="shared" ref="AF7:AF31" si="1">AE7-AD7</f>
        <v>0.1569444444444445</v>
      </c>
      <c r="AG7" s="20">
        <v>1</v>
      </c>
      <c r="AH7" s="16" t="s">
        <v>969</v>
      </c>
      <c r="AJ7" s="4" t="s">
        <v>10</v>
      </c>
      <c r="AK7" s="6">
        <v>25</v>
      </c>
    </row>
    <row r="8" spans="1:37" s="1" customFormat="1" x14ac:dyDescent="0.2">
      <c r="A8" s="56"/>
      <c r="B8" s="15">
        <v>2</v>
      </c>
      <c r="C8" s="23" t="s">
        <v>14</v>
      </c>
      <c r="D8" s="21">
        <v>0.26666666666666666</v>
      </c>
      <c r="E8" s="21">
        <v>0.40347222222222223</v>
      </c>
      <c r="F8" s="38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0.13680555555555557</v>
      </c>
      <c r="G8" s="20">
        <v>1</v>
      </c>
      <c r="H8" s="67" t="s">
        <v>955</v>
      </c>
      <c r="J8" s="4" t="s">
        <v>9</v>
      </c>
      <c r="K8" s="7">
        <v>19</v>
      </c>
      <c r="L8" s="19"/>
      <c r="P8" s="15">
        <v>2</v>
      </c>
      <c r="Q8" s="23" t="s">
        <v>122</v>
      </c>
      <c r="R8" s="40">
        <v>0.27152777777777776</v>
      </c>
      <c r="S8" s="40">
        <v>0.4291666666666667</v>
      </c>
      <c r="T8" s="38">
        <f t="shared" si="0"/>
        <v>0.15763888888888894</v>
      </c>
      <c r="U8" s="20">
        <v>1</v>
      </c>
      <c r="V8" s="16" t="s">
        <v>963</v>
      </c>
      <c r="X8" s="4" t="s">
        <v>9</v>
      </c>
      <c r="Y8" s="6">
        <v>25</v>
      </c>
      <c r="AB8" s="15">
        <v>2</v>
      </c>
      <c r="AC8" s="20" t="s">
        <v>698</v>
      </c>
      <c r="AD8" s="21">
        <v>0.3576388888888889</v>
      </c>
      <c r="AE8" s="21">
        <v>0.56388888888888888</v>
      </c>
      <c r="AF8" s="38">
        <f t="shared" si="1"/>
        <v>0.20624999999999999</v>
      </c>
      <c r="AG8" s="20">
        <v>1</v>
      </c>
      <c r="AH8" s="16" t="s">
        <v>802</v>
      </c>
      <c r="AJ8" s="4" t="s">
        <v>9</v>
      </c>
      <c r="AK8" s="6">
        <v>25</v>
      </c>
    </row>
    <row r="9" spans="1:37" s="1" customFormat="1" x14ac:dyDescent="0.2">
      <c r="A9" s="56"/>
      <c r="B9" s="15">
        <v>3</v>
      </c>
      <c r="C9" s="23" t="s">
        <v>19</v>
      </c>
      <c r="D9" s="21">
        <v>0.28958333333333336</v>
      </c>
      <c r="E9" s="21" t="s">
        <v>953</v>
      </c>
      <c r="F9" s="38" t="e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#VALUE!</v>
      </c>
      <c r="G9" s="20">
        <v>1</v>
      </c>
      <c r="H9" s="16" t="s">
        <v>977</v>
      </c>
      <c r="J9" s="4" t="s">
        <v>4</v>
      </c>
      <c r="K9" s="7">
        <v>0</v>
      </c>
      <c r="L9" s="19"/>
      <c r="P9" s="15">
        <v>3</v>
      </c>
      <c r="Q9" s="23" t="s">
        <v>34</v>
      </c>
      <c r="R9" s="40">
        <v>0.28541666666666665</v>
      </c>
      <c r="S9" s="40">
        <v>0.51666666666666672</v>
      </c>
      <c r="T9" s="38">
        <f t="shared" si="0"/>
        <v>0.23125000000000007</v>
      </c>
      <c r="U9" s="20">
        <v>2</v>
      </c>
      <c r="V9" s="16" t="s">
        <v>964</v>
      </c>
      <c r="X9" s="4" t="s">
        <v>4</v>
      </c>
      <c r="Y9" s="7">
        <v>1</v>
      </c>
      <c r="AB9" s="15">
        <v>3</v>
      </c>
      <c r="AC9" s="20" t="s">
        <v>238</v>
      </c>
      <c r="AD9" s="21">
        <v>0.34791666666666665</v>
      </c>
      <c r="AE9" s="21">
        <v>0.72222222222222221</v>
      </c>
      <c r="AF9" s="38">
        <f t="shared" si="1"/>
        <v>0.37430555555555556</v>
      </c>
      <c r="AG9" s="20">
        <v>1</v>
      </c>
      <c r="AH9" s="16" t="s">
        <v>970</v>
      </c>
      <c r="AJ9" s="4" t="s">
        <v>4</v>
      </c>
      <c r="AK9" s="7">
        <v>0</v>
      </c>
    </row>
    <row r="10" spans="1:37" s="1" customFormat="1" x14ac:dyDescent="0.2">
      <c r="A10" s="56"/>
      <c r="B10" s="15">
        <v>4</v>
      </c>
      <c r="C10" s="23" t="s">
        <v>65</v>
      </c>
      <c r="D10" s="21">
        <v>0.2722222222222222</v>
      </c>
      <c r="E10" s="21">
        <v>0.55833333333333335</v>
      </c>
      <c r="F10" s="38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0.28611111111111115</v>
      </c>
      <c r="G10" s="20">
        <v>2</v>
      </c>
      <c r="H10" s="67" t="s">
        <v>956</v>
      </c>
      <c r="J10" s="4" t="s">
        <v>5</v>
      </c>
      <c r="K10" s="7">
        <v>4</v>
      </c>
      <c r="L10" s="19"/>
      <c r="O10" s="56"/>
      <c r="P10" s="15">
        <v>4</v>
      </c>
      <c r="Q10" s="23" t="s">
        <v>42</v>
      </c>
      <c r="R10" s="40">
        <v>0.26111111111111113</v>
      </c>
      <c r="S10" s="40">
        <v>0.52083333333333337</v>
      </c>
      <c r="T10" s="38">
        <f t="shared" si="0"/>
        <v>0.25972222222222224</v>
      </c>
      <c r="U10" s="20">
        <v>2</v>
      </c>
      <c r="V10" s="16" t="s">
        <v>924</v>
      </c>
      <c r="X10" s="4" t="s">
        <v>5</v>
      </c>
      <c r="Y10" s="7">
        <v>15</v>
      </c>
      <c r="AA10" s="54"/>
      <c r="AB10" s="15">
        <v>4</v>
      </c>
      <c r="AC10" s="20" t="s">
        <v>279</v>
      </c>
      <c r="AD10" s="21">
        <v>0.3888888888888889</v>
      </c>
      <c r="AE10" s="21">
        <v>0.72222222222222221</v>
      </c>
      <c r="AF10" s="38">
        <f t="shared" si="1"/>
        <v>0.33333333333333331</v>
      </c>
      <c r="AG10" s="20">
        <v>1</v>
      </c>
      <c r="AH10" s="16" t="s">
        <v>971</v>
      </c>
      <c r="AJ10" s="4" t="s">
        <v>5</v>
      </c>
      <c r="AK10" s="7">
        <v>0</v>
      </c>
    </row>
    <row r="11" spans="1:37" s="1" customFormat="1" x14ac:dyDescent="0.2">
      <c r="A11" s="56"/>
      <c r="B11" s="15">
        <v>5</v>
      </c>
      <c r="C11" s="23" t="s">
        <v>120</v>
      </c>
      <c r="D11" s="21">
        <v>0.24583333333333335</v>
      </c>
      <c r="E11" s="21">
        <v>0.5805555555555556</v>
      </c>
      <c r="F11" s="38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0.33472222222222225</v>
      </c>
      <c r="G11" s="20">
        <v>2</v>
      </c>
      <c r="H11" s="65" t="s">
        <v>957</v>
      </c>
      <c r="J11" s="4" t="s">
        <v>6</v>
      </c>
      <c r="K11" s="7">
        <v>0</v>
      </c>
      <c r="P11" s="15">
        <v>5</v>
      </c>
      <c r="Q11" s="23" t="s">
        <v>36</v>
      </c>
      <c r="R11" s="40">
        <v>0.27361111111111108</v>
      </c>
      <c r="S11" s="40">
        <v>0.72986111111111107</v>
      </c>
      <c r="T11" s="38">
        <f t="shared" si="0"/>
        <v>0.45624999999999999</v>
      </c>
      <c r="U11" s="20">
        <v>3</v>
      </c>
      <c r="V11" s="16" t="s">
        <v>979</v>
      </c>
      <c r="X11" s="4" t="s">
        <v>6</v>
      </c>
      <c r="Y11" s="7">
        <v>0</v>
      </c>
      <c r="AB11" s="50">
        <v>5</v>
      </c>
      <c r="AC11" s="31" t="s">
        <v>300</v>
      </c>
      <c r="AD11" s="32">
        <v>0.41666666666666669</v>
      </c>
      <c r="AE11" s="32">
        <v>0.67499999999999993</v>
      </c>
      <c r="AF11" s="51">
        <f t="shared" si="1"/>
        <v>0.25833333333333325</v>
      </c>
      <c r="AG11" s="31">
        <v>2</v>
      </c>
      <c r="AH11" s="55" t="s">
        <v>974</v>
      </c>
      <c r="AJ11" s="4" t="s">
        <v>6</v>
      </c>
      <c r="AK11" s="7">
        <v>14</v>
      </c>
    </row>
    <row r="12" spans="1:37" s="1" customFormat="1" x14ac:dyDescent="0.2">
      <c r="A12" s="56"/>
      <c r="B12" s="15">
        <v>6</v>
      </c>
      <c r="C12" s="23" t="s">
        <v>119</v>
      </c>
      <c r="D12" s="21">
        <v>0.27499999999999997</v>
      </c>
      <c r="E12" s="21">
        <v>0.67013888888888884</v>
      </c>
      <c r="F12" s="38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0.39513888888888887</v>
      </c>
      <c r="G12" s="20">
        <v>3</v>
      </c>
      <c r="H12" s="67" t="s">
        <v>978</v>
      </c>
      <c r="J12" s="8" t="s">
        <v>8</v>
      </c>
      <c r="K12" s="9">
        <f>SUM(Table13245678910111321252934394449546149141924293336424753919786104110116122127131136141914241930364248546066727782879297102107112117122132137147152154158[Retase])</f>
        <v>56</v>
      </c>
      <c r="L12" s="19"/>
      <c r="P12" s="15">
        <v>6</v>
      </c>
      <c r="Q12" s="23" t="s">
        <v>37</v>
      </c>
      <c r="R12" s="40">
        <v>0.28125</v>
      </c>
      <c r="S12" s="40">
        <v>0.65416666666666667</v>
      </c>
      <c r="T12" s="38">
        <f t="shared" si="0"/>
        <v>0.37291666666666667</v>
      </c>
      <c r="U12" s="20">
        <v>4</v>
      </c>
      <c r="V12" s="16" t="s">
        <v>965</v>
      </c>
      <c r="X12" s="8" t="s">
        <v>8</v>
      </c>
      <c r="Y12" s="9">
        <f>SUM(Table134567891011151819232731374247525927121722273228414652909680103109115121126120135140813231828344046525864707580859095100105110115120125135145150155156159[Retase])</f>
        <v>109</v>
      </c>
      <c r="AB12" s="15">
        <v>6</v>
      </c>
      <c r="AC12" s="20" t="s">
        <v>235</v>
      </c>
      <c r="AD12" s="21">
        <v>0.21319444444444444</v>
      </c>
      <c r="AE12" s="21">
        <v>0.63680555555555551</v>
      </c>
      <c r="AF12" s="38">
        <f t="shared" si="1"/>
        <v>0.42361111111111105</v>
      </c>
      <c r="AG12" s="20">
        <v>2</v>
      </c>
      <c r="AH12" s="16" t="s">
        <v>972</v>
      </c>
      <c r="AJ12" s="8" t="s">
        <v>8</v>
      </c>
      <c r="AK12" s="9">
        <f>SUM(Table134567891011151819232731374247525927121722273228414652909680103109115121126120135140813231829354147535965717681869196101106111116121131136146151153157[Retase])</f>
        <v>84</v>
      </c>
    </row>
    <row r="13" spans="1:37" s="1" customFormat="1" x14ac:dyDescent="0.2">
      <c r="A13" s="56"/>
      <c r="B13" s="15">
        <v>7</v>
      </c>
      <c r="C13" s="23" t="s">
        <v>12</v>
      </c>
      <c r="D13" s="21">
        <v>0.27430555555555552</v>
      </c>
      <c r="E13" s="21">
        <v>0.6479166666666667</v>
      </c>
      <c r="F13" s="38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0.37361111111111117</v>
      </c>
      <c r="G13" s="20">
        <v>3</v>
      </c>
      <c r="H13" s="67" t="s">
        <v>958</v>
      </c>
      <c r="J13" s="10" t="s">
        <v>7</v>
      </c>
      <c r="K13" s="11">
        <f>K12/K8</f>
        <v>2.9473684210526314</v>
      </c>
      <c r="L13" s="19"/>
      <c r="O13" s="56" t="s">
        <v>209</v>
      </c>
      <c r="P13" s="50">
        <v>7</v>
      </c>
      <c r="Q13" s="33" t="s">
        <v>38</v>
      </c>
      <c r="R13" s="44">
        <v>0.37291666666666662</v>
      </c>
      <c r="S13" s="44">
        <v>0.73819444444444438</v>
      </c>
      <c r="T13" s="51">
        <f t="shared" si="0"/>
        <v>0.36527777777777776</v>
      </c>
      <c r="U13" s="31">
        <v>4</v>
      </c>
      <c r="V13" s="55" t="s">
        <v>980</v>
      </c>
      <c r="X13" s="10" t="s">
        <v>7</v>
      </c>
      <c r="Y13" s="11">
        <f>Y12/Y8</f>
        <v>4.3600000000000003</v>
      </c>
      <c r="AB13" s="15">
        <v>7</v>
      </c>
      <c r="AC13" s="20" t="s">
        <v>230</v>
      </c>
      <c r="AD13" s="21">
        <v>0.20138888888888887</v>
      </c>
      <c r="AE13" s="21">
        <v>0.69513888888888886</v>
      </c>
      <c r="AF13" s="38">
        <f t="shared" si="1"/>
        <v>0.49375000000000002</v>
      </c>
      <c r="AG13" s="20">
        <v>3</v>
      </c>
      <c r="AH13" s="16" t="s">
        <v>973</v>
      </c>
      <c r="AJ13" s="10" t="s">
        <v>7</v>
      </c>
      <c r="AK13" s="11">
        <f>AK12/AK8</f>
        <v>3.36</v>
      </c>
    </row>
    <row r="14" spans="1:37" s="1" customFormat="1" x14ac:dyDescent="0.2">
      <c r="A14"/>
      <c r="B14" s="15">
        <v>8</v>
      </c>
      <c r="C14" s="23" t="s">
        <v>70</v>
      </c>
      <c r="D14" s="21">
        <v>0.25972222222222224</v>
      </c>
      <c r="E14" s="21">
        <v>0.72569444444444453</v>
      </c>
      <c r="F14" s="38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0.46597222222222229</v>
      </c>
      <c r="G14" s="20">
        <v>3</v>
      </c>
      <c r="H14" s="67" t="s">
        <v>959</v>
      </c>
      <c r="J14" s="12" t="s">
        <v>11</v>
      </c>
      <c r="K14" s="13">
        <v>4</v>
      </c>
      <c r="L14" s="19"/>
      <c r="O14" s="56"/>
      <c r="P14" s="15">
        <v>8</v>
      </c>
      <c r="Q14" s="23" t="s">
        <v>58</v>
      </c>
      <c r="R14" s="40">
        <v>0.2638888888888889</v>
      </c>
      <c r="S14" s="40">
        <v>0.63541666666666663</v>
      </c>
      <c r="T14" s="38">
        <f t="shared" si="0"/>
        <v>0.37152777777777773</v>
      </c>
      <c r="U14" s="20">
        <v>4</v>
      </c>
      <c r="V14" s="16" t="s">
        <v>966</v>
      </c>
      <c r="X14" s="12" t="s">
        <v>11</v>
      </c>
      <c r="Y14" s="13">
        <v>5</v>
      </c>
      <c r="AB14" s="15">
        <v>8</v>
      </c>
      <c r="AC14" s="20" t="s">
        <v>274</v>
      </c>
      <c r="AD14" s="21">
        <v>0.21180555555555555</v>
      </c>
      <c r="AE14" s="21">
        <v>0.73611111111111116</v>
      </c>
      <c r="AF14" s="38">
        <f t="shared" si="1"/>
        <v>0.52430555555555558</v>
      </c>
      <c r="AG14" s="20">
        <v>3</v>
      </c>
      <c r="AH14" s="16" t="s">
        <v>538</v>
      </c>
      <c r="AJ14" s="12" t="s">
        <v>11</v>
      </c>
      <c r="AK14" s="13">
        <v>4</v>
      </c>
    </row>
    <row r="15" spans="1:37" s="1" customFormat="1" x14ac:dyDescent="0.2">
      <c r="A15"/>
      <c r="B15" s="15">
        <v>9</v>
      </c>
      <c r="C15" s="23" t="s">
        <v>69</v>
      </c>
      <c r="D15" s="21">
        <v>0.2638888888888889</v>
      </c>
      <c r="E15" s="21">
        <v>0.65625</v>
      </c>
      <c r="F15" s="38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0.3923611111111111</v>
      </c>
      <c r="G15" s="20">
        <v>3</v>
      </c>
      <c r="H15" s="67" t="s">
        <v>225</v>
      </c>
      <c r="J15" s="12" t="s">
        <v>88</v>
      </c>
      <c r="K15" s="14">
        <f>B3/K8</f>
        <v>0.36842105263157893</v>
      </c>
      <c r="L15" s="19"/>
      <c r="O15" s="56"/>
      <c r="P15" s="15">
        <v>9</v>
      </c>
      <c r="Q15" s="23" t="s">
        <v>39</v>
      </c>
      <c r="R15" s="40">
        <v>0.28194444444444444</v>
      </c>
      <c r="S15" s="40">
        <v>0.63472222222222219</v>
      </c>
      <c r="T15" s="38">
        <f t="shared" si="0"/>
        <v>0.35277777777777775</v>
      </c>
      <c r="U15" s="20">
        <v>4</v>
      </c>
      <c r="V15" s="16" t="s">
        <v>967</v>
      </c>
      <c r="X15" s="12" t="s">
        <v>88</v>
      </c>
      <c r="Y15" s="14">
        <f>P3/Y8</f>
        <v>0.44</v>
      </c>
      <c r="AB15" s="15">
        <v>9</v>
      </c>
      <c r="AC15" s="20" t="s">
        <v>276</v>
      </c>
      <c r="AD15" s="21">
        <v>0.28472222222222221</v>
      </c>
      <c r="AE15" s="21">
        <v>0.63680555555555551</v>
      </c>
      <c r="AF15" s="38">
        <f t="shared" si="1"/>
        <v>0.3520833333333333</v>
      </c>
      <c r="AG15" s="20">
        <v>3</v>
      </c>
      <c r="AH15" s="16" t="s">
        <v>975</v>
      </c>
      <c r="AJ15" s="12" t="s">
        <v>88</v>
      </c>
      <c r="AK15" s="14">
        <f>AB3/AK8</f>
        <v>0.6</v>
      </c>
    </row>
    <row r="16" spans="1:37" x14ac:dyDescent="0.2">
      <c r="A16" s="56"/>
      <c r="B16" s="15">
        <v>10</v>
      </c>
      <c r="C16" s="23" t="s">
        <v>16</v>
      </c>
      <c r="D16" s="21">
        <v>0.25347222222222221</v>
      </c>
      <c r="E16" s="21">
        <v>0.66736111111111107</v>
      </c>
      <c r="F16" s="38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0.41388888888888886</v>
      </c>
      <c r="G16" s="20">
        <v>3</v>
      </c>
      <c r="H16" s="67" t="s">
        <v>960</v>
      </c>
      <c r="J16" s="12" t="s">
        <v>24</v>
      </c>
      <c r="K16" s="14">
        <f>K8/K7</f>
        <v>0.82608695652173914</v>
      </c>
      <c r="O16" s="56" t="s">
        <v>209</v>
      </c>
      <c r="P16" s="50">
        <v>10</v>
      </c>
      <c r="Q16" s="33" t="s">
        <v>32</v>
      </c>
      <c r="R16" s="44">
        <v>0.29791666666666666</v>
      </c>
      <c r="S16" s="44">
        <v>0.72013888888888899</v>
      </c>
      <c r="T16" s="51">
        <f t="shared" si="0"/>
        <v>0.42222222222222233</v>
      </c>
      <c r="U16" s="31">
        <v>4</v>
      </c>
      <c r="V16" s="55" t="s">
        <v>927</v>
      </c>
      <c r="X16" s="12" t="s">
        <v>27</v>
      </c>
      <c r="Y16" s="14">
        <f>Y8/Y7</f>
        <v>0.6097560975609756</v>
      </c>
      <c r="AB16" s="15">
        <v>10</v>
      </c>
      <c r="AC16" s="20" t="s">
        <v>278</v>
      </c>
      <c r="AD16" s="21">
        <v>0.27430555555555552</v>
      </c>
      <c r="AE16" s="21">
        <v>0.71805555555555556</v>
      </c>
      <c r="AF16" s="38">
        <f t="shared" si="1"/>
        <v>0.44375000000000003</v>
      </c>
      <c r="AG16" s="20">
        <v>3</v>
      </c>
      <c r="AH16" s="16" t="s">
        <v>976</v>
      </c>
      <c r="AJ16" s="12" t="s">
        <v>27</v>
      </c>
      <c r="AK16" s="14">
        <f>AK8/AK7</f>
        <v>1</v>
      </c>
    </row>
    <row r="17" spans="1:37" x14ac:dyDescent="0.2">
      <c r="B17" s="15">
        <v>11</v>
      </c>
      <c r="C17" s="23" t="s">
        <v>17</v>
      </c>
      <c r="D17" s="21">
        <v>0.21944444444444444</v>
      </c>
      <c r="E17" s="21">
        <v>0.63263888888888886</v>
      </c>
      <c r="F17" s="38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0.41319444444444442</v>
      </c>
      <c r="G17" s="20">
        <v>3</v>
      </c>
      <c r="H17" s="67" t="s">
        <v>961</v>
      </c>
      <c r="J17" s="12" t="s">
        <v>117</v>
      </c>
      <c r="K17" s="48">
        <f>AVERAGE(Table13245678910111321252934394449546149141924293336424753919786104110116122127131136141914241930364248546066727782879297102107112117122132137147152154158[JAM KELUAR])</f>
        <v>0.25836988304093572</v>
      </c>
      <c r="N17" s="56"/>
      <c r="O17" s="56"/>
      <c r="P17" s="15">
        <v>11</v>
      </c>
      <c r="Q17" s="23" t="s">
        <v>59</v>
      </c>
      <c r="R17" s="40">
        <v>0.26874999999999999</v>
      </c>
      <c r="S17" s="40">
        <v>0.64930555555555558</v>
      </c>
      <c r="T17" s="38">
        <f t="shared" si="0"/>
        <v>0.38055555555555559</v>
      </c>
      <c r="U17" s="20">
        <v>4</v>
      </c>
      <c r="V17" s="16" t="s">
        <v>642</v>
      </c>
      <c r="X17" s="12" t="s">
        <v>117</v>
      </c>
      <c r="Y17" s="48">
        <f>AVERAGE(Table134567891011151819232731374247525927121722273228414652909680103109115121126120135140813231828344046525864707580859095100105110115120125135145150155156159[JAM KELUAR])</f>
        <v>0.27975000000000005</v>
      </c>
      <c r="AB17" s="1">
        <v>11</v>
      </c>
      <c r="AC17" s="2" t="s">
        <v>302</v>
      </c>
      <c r="AD17" s="41">
        <v>0.28819444444444448</v>
      </c>
      <c r="AE17" s="41">
        <v>0.71180555555555547</v>
      </c>
      <c r="AF17" s="26">
        <f t="shared" si="1"/>
        <v>0.42361111111111099</v>
      </c>
      <c r="AG17" s="2">
        <v>4</v>
      </c>
      <c r="AH17" s="45" t="s">
        <v>25</v>
      </c>
      <c r="AJ17" s="12" t="s">
        <v>117</v>
      </c>
      <c r="AK17" s="48">
        <f>AVERAGE(Table134567891011151819232731374247525927121722273228414652909680103109115121126120135140813231829354147535965717681869196101106111116121131136146151153157[JAM KELUAR])</f>
        <v>0.26802777777777775</v>
      </c>
    </row>
    <row r="18" spans="1:37" x14ac:dyDescent="0.2">
      <c r="A18" s="56" t="s">
        <v>209</v>
      </c>
      <c r="B18" s="50">
        <v>12</v>
      </c>
      <c r="C18" s="33" t="s">
        <v>18</v>
      </c>
      <c r="D18" s="32">
        <v>0.37291666666666662</v>
      </c>
      <c r="E18" s="32">
        <v>0.69097222222222221</v>
      </c>
      <c r="F18" s="51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0.31805555555555559</v>
      </c>
      <c r="G18" s="31">
        <v>3</v>
      </c>
      <c r="H18" s="73" t="s">
        <v>936</v>
      </c>
      <c r="O18" s="56" t="s">
        <v>209</v>
      </c>
      <c r="P18" s="50">
        <v>12</v>
      </c>
      <c r="Q18" s="33" t="s">
        <v>78</v>
      </c>
      <c r="R18" s="44">
        <v>0.47013888888888888</v>
      </c>
      <c r="S18" s="44">
        <v>0.73888888888888893</v>
      </c>
      <c r="T18" s="51">
        <f t="shared" si="0"/>
        <v>0.26875000000000004</v>
      </c>
      <c r="U18" s="31">
        <v>4</v>
      </c>
      <c r="V18" s="55" t="s">
        <v>981</v>
      </c>
      <c r="X18" s="17"/>
      <c r="AB18" s="1">
        <v>12</v>
      </c>
      <c r="AC18" s="2" t="s">
        <v>231</v>
      </c>
      <c r="AD18" s="41">
        <v>0.27569444444444446</v>
      </c>
      <c r="AE18" s="41">
        <v>0.67152777777777783</v>
      </c>
      <c r="AF18" s="26">
        <f t="shared" si="1"/>
        <v>0.39583333333333337</v>
      </c>
      <c r="AG18" s="2">
        <v>4</v>
      </c>
      <c r="AH18" s="45" t="s">
        <v>25</v>
      </c>
      <c r="AJ18" s="17"/>
    </row>
    <row r="19" spans="1:37" ht="15.75" customHeight="1" x14ac:dyDescent="0.2">
      <c r="A19" s="56"/>
      <c r="B19" s="1">
        <v>13</v>
      </c>
      <c r="C19" s="29" t="s">
        <v>118</v>
      </c>
      <c r="D19" s="41">
        <v>0.23958333333333334</v>
      </c>
      <c r="E19" s="41">
        <v>0.70486111111111116</v>
      </c>
      <c r="F19" s="26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0.46527777777777779</v>
      </c>
      <c r="G19" s="2">
        <v>4</v>
      </c>
      <c r="H19" s="102" t="s">
        <v>25</v>
      </c>
      <c r="O19" s="56"/>
      <c r="P19" s="15">
        <v>13</v>
      </c>
      <c r="Q19" s="23" t="s">
        <v>47</v>
      </c>
      <c r="R19" s="40">
        <v>0.26250000000000001</v>
      </c>
      <c r="S19" s="40">
        <v>0.76944444444444438</v>
      </c>
      <c r="T19" s="38">
        <f t="shared" si="0"/>
        <v>0.50694444444444442</v>
      </c>
      <c r="U19" s="20">
        <v>4</v>
      </c>
      <c r="V19" s="16" t="s">
        <v>968</v>
      </c>
      <c r="AB19" s="1">
        <v>13</v>
      </c>
      <c r="AC19" s="2" t="s">
        <v>232</v>
      </c>
      <c r="AD19" s="41">
        <v>0.25763888888888892</v>
      </c>
      <c r="AE19" s="41">
        <v>0.6958333333333333</v>
      </c>
      <c r="AF19" s="26">
        <f t="shared" si="1"/>
        <v>0.43819444444444439</v>
      </c>
      <c r="AG19" s="2">
        <v>4</v>
      </c>
      <c r="AH19" s="45" t="s">
        <v>25</v>
      </c>
    </row>
    <row r="20" spans="1:37" ht="17.25" customHeight="1" x14ac:dyDescent="0.2">
      <c r="B20" s="1">
        <v>14</v>
      </c>
      <c r="C20" s="29" t="s">
        <v>71</v>
      </c>
      <c r="D20" s="41">
        <v>0.22291666666666665</v>
      </c>
      <c r="E20" s="41">
        <v>0.68819444444444444</v>
      </c>
      <c r="F20" s="26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0.46527777777777779</v>
      </c>
      <c r="G20" s="2">
        <v>4</v>
      </c>
      <c r="H20" s="102" t="s">
        <v>25</v>
      </c>
      <c r="P20" s="15">
        <v>14</v>
      </c>
      <c r="Q20" s="23" t="s">
        <v>51</v>
      </c>
      <c r="R20" s="21">
        <v>0.28125</v>
      </c>
      <c r="S20" s="40">
        <v>0.67361111111111116</v>
      </c>
      <c r="T20" s="38">
        <f t="shared" si="0"/>
        <v>0.39236111111111116</v>
      </c>
      <c r="U20" s="20">
        <v>4</v>
      </c>
      <c r="V20" s="16" t="s">
        <v>867</v>
      </c>
      <c r="AB20" s="1">
        <v>14</v>
      </c>
      <c r="AC20" s="2" t="s">
        <v>559</v>
      </c>
      <c r="AD20" s="41">
        <v>0.25833333333333336</v>
      </c>
      <c r="AE20" s="41">
        <v>0.68819444444444444</v>
      </c>
      <c r="AF20" s="26">
        <f t="shared" si="1"/>
        <v>0.42986111111111108</v>
      </c>
      <c r="AG20" s="2">
        <v>4</v>
      </c>
      <c r="AH20" s="45" t="s">
        <v>25</v>
      </c>
    </row>
    <row r="21" spans="1:37" ht="15.75" customHeight="1" x14ac:dyDescent="0.2">
      <c r="B21" s="1">
        <v>15</v>
      </c>
      <c r="C21" s="29" t="s">
        <v>72</v>
      </c>
      <c r="D21" s="41">
        <v>0.21249999999999999</v>
      </c>
      <c r="E21" s="41">
        <v>0.65625</v>
      </c>
      <c r="F21" s="26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0.44374999999999998</v>
      </c>
      <c r="G21" s="2">
        <v>4</v>
      </c>
      <c r="H21" s="102" t="s">
        <v>25</v>
      </c>
      <c r="P21" s="1">
        <v>15</v>
      </c>
      <c r="Q21" s="29" t="s">
        <v>45</v>
      </c>
      <c r="R21" s="41">
        <v>0.22916666666666666</v>
      </c>
      <c r="S21" s="30">
        <v>0.65694444444444444</v>
      </c>
      <c r="T21" s="26">
        <f t="shared" si="0"/>
        <v>0.42777777777777781</v>
      </c>
      <c r="U21" s="2">
        <v>5</v>
      </c>
      <c r="V21" s="45" t="s">
        <v>25</v>
      </c>
      <c r="AB21" s="1">
        <v>15</v>
      </c>
      <c r="AC21" s="2" t="s">
        <v>234</v>
      </c>
      <c r="AD21" s="41">
        <v>0.23055555555555554</v>
      </c>
      <c r="AE21" s="41">
        <v>0.63888888888888895</v>
      </c>
      <c r="AF21" s="26">
        <f t="shared" si="1"/>
        <v>0.40833333333333344</v>
      </c>
      <c r="AG21" s="2">
        <v>4</v>
      </c>
      <c r="AH21" s="45" t="s">
        <v>25</v>
      </c>
    </row>
    <row r="22" spans="1:37" ht="15" customHeight="1" x14ac:dyDescent="0.2">
      <c r="B22" s="1">
        <v>16</v>
      </c>
      <c r="C22" s="29" t="s">
        <v>68</v>
      </c>
      <c r="D22" s="41">
        <v>0.24791666666666667</v>
      </c>
      <c r="E22" s="41">
        <v>0.67708333333333337</v>
      </c>
      <c r="F22" s="26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0.4291666666666667</v>
      </c>
      <c r="G22" s="2">
        <v>4</v>
      </c>
      <c r="H22" s="102" t="s">
        <v>25</v>
      </c>
      <c r="P22" s="1">
        <v>16</v>
      </c>
      <c r="Q22" s="29" t="s">
        <v>50</v>
      </c>
      <c r="R22" s="41">
        <v>0.27013888888888887</v>
      </c>
      <c r="S22" s="30">
        <v>0.69444444444444453</v>
      </c>
      <c r="T22" s="39">
        <f t="shared" si="0"/>
        <v>0.42430555555555566</v>
      </c>
      <c r="U22" s="2">
        <v>5</v>
      </c>
      <c r="V22" s="45" t="s">
        <v>25</v>
      </c>
      <c r="AB22" s="1">
        <v>16</v>
      </c>
      <c r="AC22" s="2" t="s">
        <v>271</v>
      </c>
      <c r="AD22" s="41">
        <v>0.28472222222222221</v>
      </c>
      <c r="AE22" s="41">
        <v>0.71666666666666667</v>
      </c>
      <c r="AF22" s="26">
        <f t="shared" si="1"/>
        <v>0.43194444444444446</v>
      </c>
      <c r="AG22" s="2">
        <v>4</v>
      </c>
      <c r="AH22" s="45" t="s">
        <v>25</v>
      </c>
    </row>
    <row r="23" spans="1:37" ht="15" customHeight="1" x14ac:dyDescent="0.2">
      <c r="B23" s="1">
        <v>17</v>
      </c>
      <c r="C23" s="29" t="s">
        <v>73</v>
      </c>
      <c r="D23" s="41">
        <v>0.25833333333333336</v>
      </c>
      <c r="E23" s="41">
        <v>0.71944444444444444</v>
      </c>
      <c r="F23" s="26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0.46111111111111108</v>
      </c>
      <c r="G23" s="2">
        <v>4</v>
      </c>
      <c r="H23" s="102" t="s">
        <v>25</v>
      </c>
      <c r="O23" s="56"/>
      <c r="P23" s="1">
        <v>17</v>
      </c>
      <c r="Q23" s="29" t="s">
        <v>82</v>
      </c>
      <c r="R23" s="30">
        <v>0.2638888888888889</v>
      </c>
      <c r="S23" s="41">
        <v>0.6743055555555556</v>
      </c>
      <c r="T23" s="39">
        <f t="shared" si="0"/>
        <v>0.41041666666666671</v>
      </c>
      <c r="U23" s="29">
        <v>6</v>
      </c>
      <c r="V23" s="45" t="s">
        <v>25</v>
      </c>
      <c r="AB23" s="1">
        <v>17</v>
      </c>
      <c r="AC23" s="2" t="s">
        <v>280</v>
      </c>
      <c r="AD23" s="41">
        <v>0.24305555555555555</v>
      </c>
      <c r="AE23" s="41">
        <v>0.65416666666666667</v>
      </c>
      <c r="AF23" s="26">
        <f t="shared" si="1"/>
        <v>0.41111111111111109</v>
      </c>
      <c r="AG23" s="2">
        <v>4</v>
      </c>
      <c r="AH23" s="45" t="s">
        <v>25</v>
      </c>
    </row>
    <row r="24" spans="1:37" ht="15" customHeight="1" x14ac:dyDescent="0.2">
      <c r="B24" s="1">
        <v>18</v>
      </c>
      <c r="C24" s="2" t="s">
        <v>75</v>
      </c>
      <c r="D24" s="41">
        <v>0.22222222222222221</v>
      </c>
      <c r="E24" s="41">
        <v>0.69861111111111107</v>
      </c>
      <c r="F24" s="26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0.47638888888888886</v>
      </c>
      <c r="G24" s="2">
        <v>4</v>
      </c>
      <c r="H24" s="102" t="s">
        <v>25</v>
      </c>
      <c r="P24" s="1">
        <v>18</v>
      </c>
      <c r="Q24" s="29" t="s">
        <v>57</v>
      </c>
      <c r="R24" s="30">
        <v>0.28472222222222221</v>
      </c>
      <c r="S24" s="30">
        <v>0.73958333333333337</v>
      </c>
      <c r="T24" s="39">
        <f t="shared" si="0"/>
        <v>0.45486111111111116</v>
      </c>
      <c r="U24" s="29">
        <v>6</v>
      </c>
      <c r="V24" s="45" t="s">
        <v>25</v>
      </c>
      <c r="AB24" s="1">
        <v>18</v>
      </c>
      <c r="AC24" s="2" t="s">
        <v>303</v>
      </c>
      <c r="AD24" s="41">
        <v>0.25138888888888888</v>
      </c>
      <c r="AE24" s="41">
        <v>0.7055555555555556</v>
      </c>
      <c r="AF24" s="26">
        <f t="shared" si="1"/>
        <v>0.45416666666666672</v>
      </c>
      <c r="AG24" s="2">
        <v>4</v>
      </c>
      <c r="AH24" s="45" t="s">
        <v>25</v>
      </c>
    </row>
    <row r="25" spans="1:37" ht="14.5" customHeight="1" x14ac:dyDescent="0.2">
      <c r="B25" s="1">
        <v>19</v>
      </c>
      <c r="C25" s="2" t="s">
        <v>76</v>
      </c>
      <c r="D25" s="41">
        <v>0.23611111111111113</v>
      </c>
      <c r="E25" s="41">
        <v>0.67083333333333339</v>
      </c>
      <c r="F25" s="26">
        <f>Table13245678910111321252934394449546149141924293336424753919786104110116122127131136141914241930364248546066727782879297102107112117122132137147152154158[[#This Row],[JAM MASUK]]-Table13245678910111321252934394449546149141924293336424753919786104110116122127131136141914241930364248546066727782879297102107112117122132137147152154158[[#This Row],[JAM KELUAR]]</f>
        <v>0.43472222222222223</v>
      </c>
      <c r="G25" s="2">
        <v>4</v>
      </c>
      <c r="H25" s="102" t="s">
        <v>25</v>
      </c>
      <c r="P25" s="1">
        <v>19</v>
      </c>
      <c r="Q25" s="29" t="s">
        <v>31</v>
      </c>
      <c r="R25" s="30">
        <v>0.22569444444444445</v>
      </c>
      <c r="S25" s="30">
        <v>0.6777777777777777</v>
      </c>
      <c r="T25" s="39">
        <f t="shared" si="0"/>
        <v>0.45208333333333328</v>
      </c>
      <c r="U25" s="29">
        <v>6</v>
      </c>
      <c r="V25" s="45" t="s">
        <v>25</v>
      </c>
      <c r="AB25" s="1">
        <v>19</v>
      </c>
      <c r="AC25" s="2" t="s">
        <v>304</v>
      </c>
      <c r="AD25" s="41">
        <v>0.26666666666666666</v>
      </c>
      <c r="AE25" s="41">
        <v>0.70208333333333339</v>
      </c>
      <c r="AF25" s="26">
        <f t="shared" si="1"/>
        <v>0.43541666666666673</v>
      </c>
      <c r="AG25" s="2">
        <v>4</v>
      </c>
      <c r="AH25" s="45" t="s">
        <v>25</v>
      </c>
    </row>
    <row r="26" spans="1:37" ht="14.5" customHeight="1" x14ac:dyDescent="0.2">
      <c r="P26" s="1">
        <v>20</v>
      </c>
      <c r="Q26" s="29" t="s">
        <v>35</v>
      </c>
      <c r="R26" s="30">
        <v>0.26874999999999999</v>
      </c>
      <c r="S26" s="30">
        <v>0.73263888888888884</v>
      </c>
      <c r="T26" s="39">
        <f t="shared" si="0"/>
        <v>0.46388888888888885</v>
      </c>
      <c r="U26" s="29">
        <v>6</v>
      </c>
      <c r="V26" s="45" t="s">
        <v>25</v>
      </c>
      <c r="AB26" s="1">
        <v>20</v>
      </c>
      <c r="AC26" s="2" t="s">
        <v>475</v>
      </c>
      <c r="AD26" s="41">
        <v>0.27499999999999997</v>
      </c>
      <c r="AE26" s="41">
        <v>0.72291666666666676</v>
      </c>
      <c r="AF26" s="26">
        <f t="shared" si="1"/>
        <v>0.4479166666666668</v>
      </c>
      <c r="AG26" s="2">
        <v>4</v>
      </c>
      <c r="AH26" s="45" t="s">
        <v>25</v>
      </c>
    </row>
    <row r="27" spans="1:37" ht="14.5" customHeight="1" x14ac:dyDescent="0.2">
      <c r="A27" s="56"/>
      <c r="O27" s="56"/>
      <c r="P27" s="1">
        <v>21</v>
      </c>
      <c r="Q27" s="2" t="s">
        <v>67</v>
      </c>
      <c r="R27" s="30">
        <v>0.24652777777777779</v>
      </c>
      <c r="S27" s="30">
        <v>0.77222222222222225</v>
      </c>
      <c r="T27" s="39">
        <f t="shared" si="0"/>
        <v>0.52569444444444446</v>
      </c>
      <c r="U27" s="29">
        <v>6</v>
      </c>
      <c r="V27" s="45" t="s">
        <v>25</v>
      </c>
      <c r="AB27" s="1">
        <v>21</v>
      </c>
      <c r="AC27" s="2" t="s">
        <v>307</v>
      </c>
      <c r="AD27" s="41">
        <v>0.24444444444444446</v>
      </c>
      <c r="AE27" s="41">
        <v>0.65069444444444446</v>
      </c>
      <c r="AF27" s="26">
        <f t="shared" si="1"/>
        <v>0.40625</v>
      </c>
      <c r="AG27" s="2">
        <v>4</v>
      </c>
      <c r="AH27" s="45" t="s">
        <v>25</v>
      </c>
    </row>
    <row r="28" spans="1:37" x14ac:dyDescent="0.2">
      <c r="P28" s="1">
        <v>22</v>
      </c>
      <c r="Q28" s="29" t="s">
        <v>79</v>
      </c>
      <c r="R28" s="30">
        <v>0.25833333333333336</v>
      </c>
      <c r="S28" s="30">
        <v>0.73958333333333337</v>
      </c>
      <c r="T28" s="39">
        <f t="shared" si="0"/>
        <v>0.48125000000000001</v>
      </c>
      <c r="U28" s="29">
        <v>6</v>
      </c>
      <c r="V28" s="45" t="s">
        <v>25</v>
      </c>
      <c r="AB28" s="1">
        <v>22</v>
      </c>
      <c r="AC28" s="2" t="s">
        <v>301</v>
      </c>
      <c r="AD28" s="41">
        <v>0.22083333333333333</v>
      </c>
      <c r="AE28" s="41">
        <v>0.70347222222222217</v>
      </c>
      <c r="AF28" s="26">
        <f t="shared" si="1"/>
        <v>0.48263888888888884</v>
      </c>
      <c r="AG28" s="2">
        <v>5</v>
      </c>
      <c r="AH28" s="45" t="s">
        <v>25</v>
      </c>
    </row>
    <row r="29" spans="1:37" x14ac:dyDescent="0.2">
      <c r="G29" s="34"/>
      <c r="H29" s="35" t="s">
        <v>90</v>
      </c>
      <c r="O29" s="56"/>
      <c r="P29" s="1">
        <v>23</v>
      </c>
      <c r="Q29" s="29" t="s">
        <v>46</v>
      </c>
      <c r="R29" s="30">
        <v>0.2673611111111111</v>
      </c>
      <c r="S29" s="30">
        <v>0.71597222222222223</v>
      </c>
      <c r="T29" s="39">
        <f t="shared" si="0"/>
        <v>0.44861111111111113</v>
      </c>
      <c r="U29" s="29">
        <v>6</v>
      </c>
      <c r="V29" s="45" t="s">
        <v>25</v>
      </c>
      <c r="AB29" s="1">
        <v>23</v>
      </c>
      <c r="AC29" s="2" t="s">
        <v>236</v>
      </c>
      <c r="AD29" s="41">
        <v>0.24652777777777779</v>
      </c>
      <c r="AE29" s="41">
        <v>0.74305555555555547</v>
      </c>
      <c r="AF29" s="26">
        <f t="shared" si="1"/>
        <v>0.49652777777777768</v>
      </c>
      <c r="AG29" s="2">
        <v>5</v>
      </c>
      <c r="AH29" s="45" t="s">
        <v>25</v>
      </c>
    </row>
    <row r="30" spans="1:37" x14ac:dyDescent="0.2">
      <c r="G30" s="56" t="s">
        <v>209</v>
      </c>
      <c r="H30" s="35" t="s">
        <v>92</v>
      </c>
      <c r="P30" s="1">
        <v>24</v>
      </c>
      <c r="Q30" s="2" t="s">
        <v>49</v>
      </c>
      <c r="R30" s="30">
        <v>0.28472222222222221</v>
      </c>
      <c r="S30" s="30">
        <v>0.7368055555555556</v>
      </c>
      <c r="T30" s="39">
        <f t="shared" si="0"/>
        <v>0.45208333333333339</v>
      </c>
      <c r="U30" s="29">
        <v>6</v>
      </c>
      <c r="V30" s="45" t="s">
        <v>25</v>
      </c>
      <c r="AB30" s="1">
        <v>24</v>
      </c>
      <c r="AC30" s="2" t="s">
        <v>239</v>
      </c>
      <c r="AD30" s="41">
        <v>0.21875</v>
      </c>
      <c r="AE30" s="41">
        <v>0.72916666666666663</v>
      </c>
      <c r="AF30" s="26">
        <f t="shared" si="1"/>
        <v>0.51041666666666663</v>
      </c>
      <c r="AG30" s="2">
        <v>5</v>
      </c>
      <c r="AH30" s="45" t="s">
        <v>25</v>
      </c>
    </row>
    <row r="31" spans="1:37" x14ac:dyDescent="0.2">
      <c r="P31" s="1">
        <v>25</v>
      </c>
      <c r="Q31" s="2" t="s">
        <v>81</v>
      </c>
      <c r="R31" s="30">
        <v>0.26458333333333334</v>
      </c>
      <c r="S31" s="30">
        <v>0.76388888888888884</v>
      </c>
      <c r="T31" s="39">
        <f t="shared" si="0"/>
        <v>0.4993055555555555</v>
      </c>
      <c r="U31" s="29">
        <v>6</v>
      </c>
      <c r="V31" s="45" t="s">
        <v>25</v>
      </c>
      <c r="AB31" s="1">
        <v>25</v>
      </c>
      <c r="AC31" s="2" t="s">
        <v>240</v>
      </c>
      <c r="AD31" s="41">
        <v>0.21944444444444444</v>
      </c>
      <c r="AE31" s="41">
        <v>0.73749999999999993</v>
      </c>
      <c r="AF31" s="26">
        <f t="shared" si="1"/>
        <v>0.51805555555555549</v>
      </c>
      <c r="AG31" s="2">
        <v>5</v>
      </c>
      <c r="AH31" s="45" t="s">
        <v>25</v>
      </c>
    </row>
    <row r="32" spans="1:37" x14ac:dyDescent="0.2">
      <c r="AD32" s="103"/>
    </row>
    <row r="33" spans="1:34" x14ac:dyDescent="0.2">
      <c r="U33" s="34"/>
      <c r="V33" s="35" t="s">
        <v>90</v>
      </c>
    </row>
    <row r="34" spans="1:34" x14ac:dyDescent="0.2">
      <c r="U34" s="56" t="s">
        <v>209</v>
      </c>
      <c r="V34" s="35" t="s">
        <v>92</v>
      </c>
      <c r="AG34" s="34"/>
      <c r="AH34" s="35" t="s">
        <v>90</v>
      </c>
    </row>
    <row r="35" spans="1:34" x14ac:dyDescent="0.2">
      <c r="AG35" s="56" t="s">
        <v>209</v>
      </c>
      <c r="AH35" s="35" t="s">
        <v>92</v>
      </c>
    </row>
    <row r="41" spans="1:34" ht="21" x14ac:dyDescent="0.25">
      <c r="A41" s="46"/>
    </row>
  </sheetData>
  <mergeCells count="14">
    <mergeCell ref="AJ4:AK5"/>
    <mergeCell ref="B5:H5"/>
    <mergeCell ref="P5:V5"/>
    <mergeCell ref="AB5:AH5"/>
    <mergeCell ref="P1:Y1"/>
    <mergeCell ref="AB1:AK1"/>
    <mergeCell ref="B2:K2"/>
    <mergeCell ref="P2:Y2"/>
    <mergeCell ref="AB2:AK2"/>
    <mergeCell ref="B4:H4"/>
    <mergeCell ref="J4:K5"/>
    <mergeCell ref="P4:V4"/>
    <mergeCell ref="X4:Y5"/>
    <mergeCell ref="AB4:AH4"/>
  </mergeCells>
  <pageMargins left="0.12" right="0.12" top="0.75" bottom="0.75" header="0.3" footer="0.3"/>
  <pageSetup paperSize="9" scale="69" fitToWidth="0" orientation="landscape" horizontalDpi="360" verticalDpi="360" r:id="rId1"/>
  <rowBreaks count="1" manualBreakCount="1">
    <brk id="40" max="46" man="1"/>
  </rowBreaks>
  <colBreaks count="2" manualBreakCount="2">
    <brk id="13" min="1" max="39" man="1"/>
    <brk id="26" min="1" max="39" man="1"/>
  </colBreaks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505D-2D03-42A6-B045-8D09D10FFE44}">
  <sheetPr>
    <tabColor theme="7" tint="0.39997558519241921"/>
  </sheetPr>
  <dimension ref="A1:AK41"/>
  <sheetViews>
    <sheetView showGridLines="0" tabSelected="1" view="pageBreakPreview" topLeftCell="K1" zoomScale="70" zoomScaleNormal="55" zoomScaleSheetLayoutView="70" zoomScalePageLayoutView="55" workbookViewId="0">
      <selection activeCell="AC7" sqref="AC7:AH31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0.83203125" customWidth="1"/>
    <col min="14" max="14" width="1.5" customWidth="1"/>
    <col min="15" max="15" width="3.6640625" bestFit="1" customWidth="1"/>
    <col min="16" max="16" width="7.5" customWidth="1"/>
    <col min="17" max="17" width="14.5" bestFit="1" customWidth="1"/>
    <col min="18" max="18" width="14.5" customWidth="1"/>
    <col min="19" max="19" width="17" bestFit="1" customWidth="1"/>
    <col min="20" max="20" width="14.5" customWidth="1"/>
    <col min="21" max="21" width="7.1640625" customWidth="1"/>
    <col min="22" max="22" width="82.5" customWidth="1"/>
    <col min="23" max="23" width="2.5" customWidth="1"/>
    <col min="24" max="24" width="32.6640625" bestFit="1" customWidth="1"/>
    <col min="25" max="25" width="10" customWidth="1"/>
    <col min="26" max="26" width="1.5" customWidth="1"/>
    <col min="27" max="27" width="3.6640625" bestFit="1" customWidth="1"/>
    <col min="28" max="28" width="7.5" customWidth="1"/>
    <col min="29" max="29" width="14.5" bestFit="1" customWidth="1"/>
    <col min="30" max="30" width="14.5" customWidth="1"/>
    <col min="31" max="31" width="17" bestFit="1" customWidth="1"/>
    <col min="32" max="32" width="14.5" customWidth="1"/>
    <col min="33" max="33" width="7.1640625" customWidth="1"/>
    <col min="34" max="34" width="82.5" customWidth="1"/>
    <col min="35" max="35" width="2.5" customWidth="1"/>
    <col min="36" max="36" width="32.6640625" bestFit="1" customWidth="1"/>
    <col min="37" max="37" width="10" customWidth="1"/>
    <col min="38" max="38" width="17.83203125" customWidth="1"/>
    <col min="39" max="39" width="15.83203125" customWidth="1"/>
  </cols>
  <sheetData>
    <row r="1" spans="1:37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P1" s="104"/>
      <c r="Q1" s="104"/>
      <c r="R1" s="104"/>
      <c r="S1" s="104"/>
      <c r="T1" s="104"/>
      <c r="U1" s="104"/>
      <c r="V1" s="104"/>
      <c r="W1" s="104"/>
      <c r="X1" s="104"/>
      <c r="Y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</row>
    <row r="2" spans="1:37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P2" s="104" t="s">
        <v>54</v>
      </c>
      <c r="Q2" s="104"/>
      <c r="R2" s="104"/>
      <c r="S2" s="104"/>
      <c r="T2" s="104"/>
      <c r="U2" s="104"/>
      <c r="V2" s="104"/>
      <c r="W2" s="104"/>
      <c r="X2" s="104"/>
      <c r="Y2" s="104"/>
      <c r="AB2" s="104" t="s">
        <v>227</v>
      </c>
      <c r="AC2" s="104"/>
      <c r="AD2" s="104"/>
      <c r="AE2" s="104"/>
      <c r="AF2" s="104"/>
      <c r="AG2" s="104"/>
      <c r="AH2" s="104"/>
      <c r="AI2" s="104"/>
      <c r="AJ2" s="104"/>
      <c r="AK2" s="104"/>
    </row>
    <row r="3" spans="1:37" x14ac:dyDescent="0.2">
      <c r="B3" s="60">
        <f>COUNTIF(Table13245678910111321252934394449546149141924293336424753919786104110116122127131136141914241930364248546066727782879297102107112117122132137147152154158161164[Retase],"&gt;3")</f>
        <v>2</v>
      </c>
      <c r="D3" t="s">
        <v>241</v>
      </c>
      <c r="P3" s="60">
        <f>COUNTIF(Table134567891011151819232731374247525927121722273228414652909680103109115121126120135140813231828344046525864707580859095100105110115120125135145150155156159162165[Retase],"&gt;4")</f>
        <v>4</v>
      </c>
      <c r="AB3" s="60">
        <f>COUNTIF(Table134567891011151819232731374247525927121722273228414652909680103109115121126120135140813231829354147535965717681869196101106111116121131136146151153157160163[Retase],"&gt;3")</f>
        <v>8</v>
      </c>
      <c r="AC3" s="60"/>
    </row>
    <row r="4" spans="1:37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P4" s="105" t="s">
        <v>43</v>
      </c>
      <c r="Q4" s="105"/>
      <c r="R4" s="105"/>
      <c r="S4" s="105"/>
      <c r="T4" s="105"/>
      <c r="U4" s="105"/>
      <c r="V4" s="105"/>
      <c r="X4" s="106" t="s">
        <v>44</v>
      </c>
      <c r="Y4" s="106"/>
      <c r="AB4" s="105" t="s">
        <v>229</v>
      </c>
      <c r="AC4" s="105"/>
      <c r="AD4" s="105"/>
      <c r="AE4" s="105"/>
      <c r="AF4" s="105"/>
      <c r="AG4" s="105"/>
      <c r="AH4" s="105"/>
      <c r="AJ4" s="106" t="s">
        <v>228</v>
      </c>
      <c r="AK4" s="106"/>
    </row>
    <row r="5" spans="1:37" x14ac:dyDescent="0.2">
      <c r="B5" s="109">
        <v>45443</v>
      </c>
      <c r="C5" s="109"/>
      <c r="D5" s="109"/>
      <c r="E5" s="109"/>
      <c r="F5" s="109"/>
      <c r="G5" s="109"/>
      <c r="H5" s="109"/>
      <c r="J5" s="107"/>
      <c r="K5" s="107"/>
      <c r="P5" s="109">
        <f>B5</f>
        <v>45443</v>
      </c>
      <c r="Q5" s="109"/>
      <c r="R5" s="109"/>
      <c r="S5" s="109"/>
      <c r="T5" s="109"/>
      <c r="U5" s="109"/>
      <c r="V5" s="109"/>
      <c r="X5" s="107"/>
      <c r="Y5" s="107"/>
      <c r="AB5" s="109">
        <f>B5</f>
        <v>45443</v>
      </c>
      <c r="AC5" s="109"/>
      <c r="AD5" s="109"/>
      <c r="AE5" s="109"/>
      <c r="AF5" s="109"/>
      <c r="AG5" s="109"/>
      <c r="AH5" s="109"/>
      <c r="AJ5" s="107"/>
      <c r="AK5" s="107"/>
    </row>
    <row r="6" spans="1:37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P6" s="2" t="s">
        <v>0</v>
      </c>
      <c r="Q6" s="2" t="s">
        <v>1</v>
      </c>
      <c r="R6" s="2" t="s">
        <v>61</v>
      </c>
      <c r="S6" s="2" t="s">
        <v>62</v>
      </c>
      <c r="T6" s="2" t="s">
        <v>63</v>
      </c>
      <c r="U6" s="2" t="s">
        <v>2</v>
      </c>
      <c r="V6" s="2" t="s">
        <v>3</v>
      </c>
      <c r="X6" s="3" t="s">
        <v>21</v>
      </c>
      <c r="Y6" s="5">
        <f>SUM(Y8:Y11)</f>
        <v>41</v>
      </c>
      <c r="AB6" s="2" t="s">
        <v>0</v>
      </c>
      <c r="AC6" s="2" t="s">
        <v>1</v>
      </c>
      <c r="AD6" s="2" t="s">
        <v>61</v>
      </c>
      <c r="AE6" s="2" t="s">
        <v>62</v>
      </c>
      <c r="AF6" s="2" t="s">
        <v>63</v>
      </c>
      <c r="AG6" s="2" t="s">
        <v>2</v>
      </c>
      <c r="AH6" s="2" t="s">
        <v>3</v>
      </c>
      <c r="AJ6" s="3" t="s">
        <v>21</v>
      </c>
      <c r="AK6" s="5">
        <f>SUM(AK8:AK11)</f>
        <v>38</v>
      </c>
    </row>
    <row r="7" spans="1:37" s="1" customFormat="1" x14ac:dyDescent="0.2">
      <c r="A7" s="56"/>
      <c r="B7" s="15">
        <v>1</v>
      </c>
      <c r="C7" s="23" t="s">
        <v>70</v>
      </c>
      <c r="D7" s="21">
        <v>0.28055555555555556</v>
      </c>
      <c r="E7" s="21">
        <v>0.28819444444444448</v>
      </c>
      <c r="F7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7.6388888888889173E-3</v>
      </c>
      <c r="G7" s="20">
        <v>0</v>
      </c>
      <c r="H7" s="65" t="s">
        <v>983</v>
      </c>
      <c r="J7" s="4" t="s">
        <v>10</v>
      </c>
      <c r="K7" s="6">
        <v>23</v>
      </c>
      <c r="L7" s="19"/>
      <c r="O7" s="56" t="s">
        <v>209</v>
      </c>
      <c r="P7" s="50">
        <v>1</v>
      </c>
      <c r="Q7" s="33" t="s">
        <v>38</v>
      </c>
      <c r="R7" s="44">
        <v>0.45208333333333334</v>
      </c>
      <c r="S7" s="44">
        <v>0.72499999999999998</v>
      </c>
      <c r="T7" s="51">
        <f t="shared" ref="T7:T37" si="0">S7-R7</f>
        <v>0.27291666666666664</v>
      </c>
      <c r="U7" s="31">
        <v>1</v>
      </c>
      <c r="V7" s="55" t="s">
        <v>994</v>
      </c>
      <c r="X7" s="4" t="s">
        <v>10</v>
      </c>
      <c r="Y7" s="6">
        <v>41</v>
      </c>
      <c r="AA7" s="56"/>
      <c r="AB7" s="50">
        <v>1</v>
      </c>
      <c r="AC7" s="31" t="s">
        <v>476</v>
      </c>
      <c r="AD7" s="32">
        <v>0.29236111111111113</v>
      </c>
      <c r="AE7" s="32">
        <v>0.37777777777777777</v>
      </c>
      <c r="AF7" s="51">
        <f t="shared" ref="AF7:AF31" si="1">AE7-AD7</f>
        <v>8.5416666666666641E-2</v>
      </c>
      <c r="AG7" s="31">
        <v>0</v>
      </c>
      <c r="AH7" s="55" t="s">
        <v>1009</v>
      </c>
      <c r="AJ7" s="4" t="s">
        <v>10</v>
      </c>
      <c r="AK7" s="6">
        <v>25</v>
      </c>
    </row>
    <row r="8" spans="1:37" s="1" customFormat="1" x14ac:dyDescent="0.2">
      <c r="A8" s="56" t="s">
        <v>209</v>
      </c>
      <c r="B8" s="50">
        <v>2</v>
      </c>
      <c r="C8" s="33" t="s">
        <v>15</v>
      </c>
      <c r="D8" s="32">
        <v>0.55555555555555558</v>
      </c>
      <c r="E8" s="32">
        <v>0.6645833333333333</v>
      </c>
      <c r="F8" s="51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0.10902777777777772</v>
      </c>
      <c r="G8" s="31">
        <v>1</v>
      </c>
      <c r="H8" s="73" t="s">
        <v>984</v>
      </c>
      <c r="J8" s="4" t="s">
        <v>9</v>
      </c>
      <c r="K8" s="7">
        <v>18</v>
      </c>
      <c r="L8" s="19"/>
      <c r="O8" s="56" t="s">
        <v>209</v>
      </c>
      <c r="P8" s="50">
        <v>2</v>
      </c>
      <c r="Q8" s="33" t="s">
        <v>58</v>
      </c>
      <c r="R8" s="44">
        <v>0.31944444444444448</v>
      </c>
      <c r="S8" s="44">
        <v>0.4458333333333333</v>
      </c>
      <c r="T8" s="51">
        <f t="shared" si="0"/>
        <v>0.12638888888888883</v>
      </c>
      <c r="U8" s="31">
        <v>1</v>
      </c>
      <c r="V8" s="55" t="s">
        <v>995</v>
      </c>
      <c r="X8" s="4" t="s">
        <v>9</v>
      </c>
      <c r="Y8" s="6">
        <v>31</v>
      </c>
      <c r="AB8" s="15">
        <v>2</v>
      </c>
      <c r="AC8" s="20" t="s">
        <v>307</v>
      </c>
      <c r="AD8" s="21">
        <v>0.27083333333333331</v>
      </c>
      <c r="AE8" s="21">
        <v>0.28819444444444448</v>
      </c>
      <c r="AF8" s="38">
        <f t="shared" si="1"/>
        <v>1.736111111111116E-2</v>
      </c>
      <c r="AG8" s="20">
        <v>0</v>
      </c>
      <c r="AH8" s="16" t="s">
        <v>1022</v>
      </c>
      <c r="AJ8" s="4" t="s">
        <v>9</v>
      </c>
      <c r="AK8" s="6">
        <v>25</v>
      </c>
    </row>
    <row r="9" spans="1:37" s="1" customFormat="1" x14ac:dyDescent="0.2">
      <c r="A9" s="56" t="s">
        <v>209</v>
      </c>
      <c r="B9" s="50">
        <v>3</v>
      </c>
      <c r="C9" s="33" t="s">
        <v>120</v>
      </c>
      <c r="D9" s="32">
        <v>0.32430555555555557</v>
      </c>
      <c r="E9" s="32">
        <v>0.43958333333333338</v>
      </c>
      <c r="F9" s="51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0.11527777777777781</v>
      </c>
      <c r="G9" s="31">
        <v>1</v>
      </c>
      <c r="H9" s="73" t="s">
        <v>985</v>
      </c>
      <c r="J9" s="4" t="s">
        <v>4</v>
      </c>
      <c r="K9" s="7">
        <v>0</v>
      </c>
      <c r="L9" s="19"/>
      <c r="P9" s="15">
        <v>3</v>
      </c>
      <c r="Q9" s="23" t="s">
        <v>56</v>
      </c>
      <c r="R9" s="40">
        <v>0.28541666666666665</v>
      </c>
      <c r="S9" s="40">
        <v>0.43055555555555558</v>
      </c>
      <c r="T9" s="38">
        <f t="shared" si="0"/>
        <v>0.14513888888888893</v>
      </c>
      <c r="U9" s="20">
        <v>1</v>
      </c>
      <c r="V9" s="16" t="s">
        <v>997</v>
      </c>
      <c r="X9" s="4" t="s">
        <v>4</v>
      </c>
      <c r="Y9" s="7">
        <v>1</v>
      </c>
      <c r="AB9" s="15">
        <v>3</v>
      </c>
      <c r="AC9" s="20" t="s">
        <v>230</v>
      </c>
      <c r="AD9" s="21">
        <v>0.20555555555555557</v>
      </c>
      <c r="AE9" s="21">
        <v>0.33819444444444446</v>
      </c>
      <c r="AF9" s="38">
        <f t="shared" si="1"/>
        <v>0.13263888888888889</v>
      </c>
      <c r="AG9" s="20">
        <v>1</v>
      </c>
      <c r="AH9" s="16" t="s">
        <v>1010</v>
      </c>
      <c r="AJ9" s="4" t="s">
        <v>4</v>
      </c>
      <c r="AK9" s="7">
        <v>0</v>
      </c>
    </row>
    <row r="10" spans="1:37" s="1" customFormat="1" x14ac:dyDescent="0.2">
      <c r="A10" s="56"/>
      <c r="B10" s="15">
        <v>4</v>
      </c>
      <c r="C10" s="23" t="s">
        <v>74</v>
      </c>
      <c r="D10" s="21">
        <v>0.25625000000000003</v>
      </c>
      <c r="E10" s="21">
        <v>0.72013888888888899</v>
      </c>
      <c r="F10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0.46388888888888896</v>
      </c>
      <c r="G10" s="20">
        <v>2</v>
      </c>
      <c r="H10" s="67" t="s">
        <v>986</v>
      </c>
      <c r="J10" s="4" t="s">
        <v>5</v>
      </c>
      <c r="K10" s="7">
        <v>5</v>
      </c>
      <c r="L10" s="19"/>
      <c r="O10" s="56"/>
      <c r="P10" s="15">
        <v>4</v>
      </c>
      <c r="Q10" s="23" t="s">
        <v>123</v>
      </c>
      <c r="R10" s="40">
        <v>0.28958333333333336</v>
      </c>
      <c r="S10" s="40">
        <v>0.73541666666666661</v>
      </c>
      <c r="T10" s="38">
        <f t="shared" si="0"/>
        <v>0.44583333333333325</v>
      </c>
      <c r="U10" s="20">
        <v>2</v>
      </c>
      <c r="V10" s="16" t="s">
        <v>996</v>
      </c>
      <c r="X10" s="4" t="s">
        <v>5</v>
      </c>
      <c r="Y10" s="7">
        <v>9</v>
      </c>
      <c r="AA10" s="54"/>
      <c r="AB10" s="15">
        <v>3</v>
      </c>
      <c r="AC10" s="20" t="s">
        <v>278</v>
      </c>
      <c r="AD10" s="21">
        <v>0.26944444444444443</v>
      </c>
      <c r="AE10" s="21">
        <v>0.42222222222222222</v>
      </c>
      <c r="AF10" s="38">
        <f t="shared" si="1"/>
        <v>0.15277777777777779</v>
      </c>
      <c r="AG10" s="20">
        <v>1</v>
      </c>
      <c r="AH10" s="16" t="s">
        <v>1020</v>
      </c>
      <c r="AJ10" s="4" t="s">
        <v>5</v>
      </c>
      <c r="AK10" s="7">
        <v>2</v>
      </c>
    </row>
    <row r="11" spans="1:37" s="1" customFormat="1" x14ac:dyDescent="0.2">
      <c r="A11" s="56"/>
      <c r="B11" s="15">
        <v>5</v>
      </c>
      <c r="C11" s="23" t="s">
        <v>18</v>
      </c>
      <c r="D11" s="21">
        <v>0.23611111111111113</v>
      </c>
      <c r="E11" s="21">
        <v>0.45902777777777781</v>
      </c>
      <c r="F11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0.22291666666666668</v>
      </c>
      <c r="G11" s="20">
        <v>2</v>
      </c>
      <c r="H11" s="65" t="s">
        <v>987</v>
      </c>
      <c r="J11" s="4" t="s">
        <v>6</v>
      </c>
      <c r="K11" s="7">
        <v>0</v>
      </c>
      <c r="O11" s="56"/>
      <c r="P11" s="50">
        <v>5</v>
      </c>
      <c r="Q11" s="33" t="s">
        <v>36</v>
      </c>
      <c r="R11" s="44">
        <v>0.30138888888888887</v>
      </c>
      <c r="S11" s="44">
        <v>0.45902777777777781</v>
      </c>
      <c r="T11" s="51">
        <f t="shared" si="0"/>
        <v>0.15763888888888894</v>
      </c>
      <c r="U11" s="31">
        <v>2</v>
      </c>
      <c r="V11" s="55" t="s">
        <v>998</v>
      </c>
      <c r="X11" s="4" t="s">
        <v>6</v>
      </c>
      <c r="Y11" s="7">
        <v>0</v>
      </c>
      <c r="AB11" s="15">
        <v>4</v>
      </c>
      <c r="AC11" s="20" t="s">
        <v>308</v>
      </c>
      <c r="AD11" s="21">
        <v>0.27083333333333331</v>
      </c>
      <c r="AE11" s="21">
        <v>0.4055555555555555</v>
      </c>
      <c r="AF11" s="38">
        <f t="shared" si="1"/>
        <v>0.13472222222222219</v>
      </c>
      <c r="AG11" s="20">
        <v>1</v>
      </c>
      <c r="AH11" s="16" t="s">
        <v>1011</v>
      </c>
      <c r="AJ11" s="4" t="s">
        <v>6</v>
      </c>
      <c r="AK11" s="7">
        <v>11</v>
      </c>
    </row>
    <row r="12" spans="1:37" s="1" customFormat="1" x14ac:dyDescent="0.2">
      <c r="A12" s="56"/>
      <c r="B12" s="15">
        <v>6</v>
      </c>
      <c r="C12" s="23" t="s">
        <v>65</v>
      </c>
      <c r="D12" s="21">
        <v>0.28333333333333333</v>
      </c>
      <c r="E12" s="21">
        <v>0.68541666666666667</v>
      </c>
      <c r="F12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0.40208333333333335</v>
      </c>
      <c r="G12" s="20">
        <v>3</v>
      </c>
      <c r="H12" s="67" t="s">
        <v>988</v>
      </c>
      <c r="J12" s="8" t="s">
        <v>8</v>
      </c>
      <c r="K12" s="9">
        <f>SUM(Table13245678910111321252934394449546149141924293336424753919786104110116122127131136141914241930364248546066727782879297102107112117122132137147152154158161164[Retase])</f>
        <v>47</v>
      </c>
      <c r="L12" s="19"/>
      <c r="P12" s="15">
        <v>6</v>
      </c>
      <c r="Q12" s="23" t="s">
        <v>35</v>
      </c>
      <c r="R12" s="40">
        <v>0.26180555555555557</v>
      </c>
      <c r="S12" s="40">
        <v>0.73888888888888893</v>
      </c>
      <c r="T12" s="38">
        <f t="shared" si="0"/>
        <v>0.47708333333333336</v>
      </c>
      <c r="U12" s="20">
        <v>2</v>
      </c>
      <c r="V12" s="16" t="s">
        <v>999</v>
      </c>
      <c r="X12" s="8" t="s">
        <v>8</v>
      </c>
      <c r="Y12" s="9">
        <f>SUM(Table134567891011151819232731374247525927121722273228414652909680103109115121126120135140813231828344046525864707580859095100105110115120125135145150155156159162165[Retase])</f>
        <v>90</v>
      </c>
      <c r="AB12" s="15">
        <v>5</v>
      </c>
      <c r="AC12" s="20" t="s">
        <v>302</v>
      </c>
      <c r="AD12" s="21">
        <v>0.28819444444444448</v>
      </c>
      <c r="AE12" s="21">
        <v>0.44722222222222219</v>
      </c>
      <c r="AF12" s="38">
        <f t="shared" si="1"/>
        <v>0.15902777777777771</v>
      </c>
      <c r="AG12" s="20">
        <v>2</v>
      </c>
      <c r="AH12" s="16" t="s">
        <v>1012</v>
      </c>
      <c r="AJ12" s="8" t="s">
        <v>8</v>
      </c>
      <c r="AK12" s="9">
        <f>SUM(Table134567891011151819232731374247525927121722273228414652909680103109115121126120135140813231829354147535965717681869196101106111116121131136146151153157160163[Retase])</f>
        <v>66</v>
      </c>
    </row>
    <row r="13" spans="1:37" s="1" customFormat="1" x14ac:dyDescent="0.2">
      <c r="A13" s="56"/>
      <c r="B13" s="15">
        <v>7</v>
      </c>
      <c r="C13" s="23" t="s">
        <v>118</v>
      </c>
      <c r="D13" s="21">
        <v>0.24444444444444446</v>
      </c>
      <c r="E13" s="21">
        <v>0.68194444444444446</v>
      </c>
      <c r="F13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0.4375</v>
      </c>
      <c r="G13" s="20">
        <v>3</v>
      </c>
      <c r="H13" s="67" t="s">
        <v>989</v>
      </c>
      <c r="J13" s="10" t="s">
        <v>7</v>
      </c>
      <c r="K13" s="11">
        <f>K12/K8</f>
        <v>2.6111111111111112</v>
      </c>
      <c r="L13" s="19"/>
      <c r="O13" s="56"/>
      <c r="P13" s="50">
        <v>7</v>
      </c>
      <c r="Q13" s="33" t="s">
        <v>42</v>
      </c>
      <c r="R13" s="44">
        <v>0.31458333333333333</v>
      </c>
      <c r="S13" s="44">
        <v>0.7006944444444444</v>
      </c>
      <c r="T13" s="51">
        <f t="shared" si="0"/>
        <v>0.38611111111111107</v>
      </c>
      <c r="U13" s="31">
        <v>2</v>
      </c>
      <c r="V13" s="55" t="s">
        <v>1021</v>
      </c>
      <c r="X13" s="10" t="s">
        <v>7</v>
      </c>
      <c r="Y13" s="11">
        <f>Y12/Y8</f>
        <v>2.903225806451613</v>
      </c>
      <c r="AB13" s="15">
        <v>6</v>
      </c>
      <c r="AC13" s="20" t="s">
        <v>232</v>
      </c>
      <c r="AD13" s="21">
        <v>0.25694444444444448</v>
      </c>
      <c r="AE13" s="21">
        <v>0.54166666666666663</v>
      </c>
      <c r="AF13" s="38">
        <f t="shared" si="1"/>
        <v>0.28472222222222215</v>
      </c>
      <c r="AG13" s="20">
        <v>2</v>
      </c>
      <c r="AH13" s="16" t="s">
        <v>1013</v>
      </c>
      <c r="AJ13" s="10" t="s">
        <v>7</v>
      </c>
      <c r="AK13" s="11">
        <f>AK12/AK8</f>
        <v>2.64</v>
      </c>
    </row>
    <row r="14" spans="1:37" s="1" customFormat="1" x14ac:dyDescent="0.2">
      <c r="A14"/>
      <c r="B14" s="15">
        <v>8</v>
      </c>
      <c r="C14" s="23" t="s">
        <v>13</v>
      </c>
      <c r="D14" s="21">
        <v>0.25</v>
      </c>
      <c r="E14" s="21">
        <v>0.62777777777777777</v>
      </c>
      <c r="F14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0.37777777777777777</v>
      </c>
      <c r="G14" s="20">
        <v>3</v>
      </c>
      <c r="H14" s="16" t="s">
        <v>373</v>
      </c>
      <c r="J14" s="12" t="s">
        <v>11</v>
      </c>
      <c r="K14" s="13">
        <v>4</v>
      </c>
      <c r="L14" s="19"/>
      <c r="O14" s="56"/>
      <c r="P14" s="50">
        <v>8</v>
      </c>
      <c r="Q14" s="33" t="s">
        <v>48</v>
      </c>
      <c r="R14" s="44">
        <v>0.30208333333333331</v>
      </c>
      <c r="S14" s="44">
        <v>0.47222222222222227</v>
      </c>
      <c r="T14" s="51">
        <f t="shared" si="0"/>
        <v>0.17013888888888895</v>
      </c>
      <c r="U14" s="31">
        <v>2</v>
      </c>
      <c r="V14" s="55" t="s">
        <v>1021</v>
      </c>
      <c r="X14" s="12" t="s">
        <v>11</v>
      </c>
      <c r="Y14" s="13">
        <v>5</v>
      </c>
      <c r="AB14" s="15">
        <v>7</v>
      </c>
      <c r="AC14" s="20" t="s">
        <v>233</v>
      </c>
      <c r="AD14" s="21">
        <v>0.22083333333333333</v>
      </c>
      <c r="AE14" s="21">
        <v>0.75208333333333333</v>
      </c>
      <c r="AF14" s="38">
        <f t="shared" si="1"/>
        <v>0.53125</v>
      </c>
      <c r="AG14" s="20">
        <v>2</v>
      </c>
      <c r="AH14" s="16" t="s">
        <v>1014</v>
      </c>
      <c r="AJ14" s="12" t="s">
        <v>11</v>
      </c>
      <c r="AK14" s="13">
        <v>4</v>
      </c>
    </row>
    <row r="15" spans="1:37" s="1" customFormat="1" x14ac:dyDescent="0.2">
      <c r="A15"/>
      <c r="B15" s="15">
        <v>9</v>
      </c>
      <c r="C15" s="23" t="s">
        <v>20</v>
      </c>
      <c r="D15" s="21">
        <v>0.31597222222222221</v>
      </c>
      <c r="E15" s="21">
        <v>0.69097222222222221</v>
      </c>
      <c r="F15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0.375</v>
      </c>
      <c r="G15" s="20">
        <v>3</v>
      </c>
      <c r="H15" s="67" t="s">
        <v>990</v>
      </c>
      <c r="J15" s="12" t="s">
        <v>88</v>
      </c>
      <c r="K15" s="14">
        <f>B3/K8</f>
        <v>0.1111111111111111</v>
      </c>
      <c r="L15" s="19"/>
      <c r="O15" s="56" t="s">
        <v>209</v>
      </c>
      <c r="P15" s="50">
        <v>9</v>
      </c>
      <c r="Q15" s="33" t="s">
        <v>45</v>
      </c>
      <c r="R15" s="44">
        <v>0.31597222222222221</v>
      </c>
      <c r="S15" s="44">
        <v>0.5541666666666667</v>
      </c>
      <c r="T15" s="51">
        <f t="shared" si="0"/>
        <v>0.23819444444444449</v>
      </c>
      <c r="U15" s="31">
        <v>2</v>
      </c>
      <c r="V15" s="55" t="s">
        <v>901</v>
      </c>
      <c r="X15" s="12" t="s">
        <v>88</v>
      </c>
      <c r="Y15" s="14">
        <f>P3/Y8</f>
        <v>0.12903225806451613</v>
      </c>
      <c r="AB15" s="15">
        <v>8</v>
      </c>
      <c r="AC15" s="20" t="s">
        <v>234</v>
      </c>
      <c r="AD15" s="21">
        <v>0.25555555555555559</v>
      </c>
      <c r="AE15" s="21">
        <v>0.44027777777777777</v>
      </c>
      <c r="AF15" s="38">
        <f t="shared" si="1"/>
        <v>0.18472222222222218</v>
      </c>
      <c r="AG15" s="20">
        <v>2</v>
      </c>
      <c r="AH15" s="16" t="s">
        <v>1015</v>
      </c>
      <c r="AJ15" s="12" t="s">
        <v>88</v>
      </c>
      <c r="AK15" s="14">
        <f>AB3/AK8</f>
        <v>0.32</v>
      </c>
    </row>
    <row r="16" spans="1:37" x14ac:dyDescent="0.2">
      <c r="A16" s="56"/>
      <c r="B16" s="15">
        <v>10</v>
      </c>
      <c r="C16" s="23" t="s">
        <v>71</v>
      </c>
      <c r="D16" s="21">
        <v>0.36874999999999997</v>
      </c>
      <c r="E16" s="21">
        <v>0.72291666666666676</v>
      </c>
      <c r="F16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0.3541666666666668</v>
      </c>
      <c r="G16" s="20">
        <v>3</v>
      </c>
      <c r="H16" s="67" t="s">
        <v>991</v>
      </c>
      <c r="J16" s="12" t="s">
        <v>24</v>
      </c>
      <c r="K16" s="14">
        <f>K8/K7</f>
        <v>0.78260869565217395</v>
      </c>
      <c r="O16" s="56"/>
      <c r="P16" s="15">
        <v>10</v>
      </c>
      <c r="Q16" s="23" t="s">
        <v>79</v>
      </c>
      <c r="R16" s="40">
        <v>0.25972222222222224</v>
      </c>
      <c r="S16" s="40">
        <v>0.63888888888888895</v>
      </c>
      <c r="T16" s="38">
        <f t="shared" si="0"/>
        <v>0.37916666666666671</v>
      </c>
      <c r="U16" s="20">
        <v>2</v>
      </c>
      <c r="V16" s="16" t="s">
        <v>1021</v>
      </c>
      <c r="X16" s="12" t="s">
        <v>27</v>
      </c>
      <c r="Y16" s="14">
        <f>Y8/Y7</f>
        <v>0.75609756097560976</v>
      </c>
      <c r="AB16" s="15">
        <v>9</v>
      </c>
      <c r="AC16" s="20" t="s">
        <v>271</v>
      </c>
      <c r="AD16" s="21">
        <v>0.28819444444444448</v>
      </c>
      <c r="AE16" s="21">
        <v>0.63541666666666663</v>
      </c>
      <c r="AF16" s="38">
        <f t="shared" si="1"/>
        <v>0.34722222222222215</v>
      </c>
      <c r="AG16" s="20">
        <v>2</v>
      </c>
      <c r="AH16" s="16" t="s">
        <v>1016</v>
      </c>
      <c r="AJ16" s="12" t="s">
        <v>27</v>
      </c>
      <c r="AK16" s="14">
        <f>AK8/AK7</f>
        <v>1</v>
      </c>
    </row>
    <row r="17" spans="1:37" x14ac:dyDescent="0.2">
      <c r="B17" s="15">
        <v>11</v>
      </c>
      <c r="C17" s="23" t="s">
        <v>72</v>
      </c>
      <c r="D17" s="21">
        <v>0.20138888888888887</v>
      </c>
      <c r="E17" s="21">
        <v>0.62291666666666667</v>
      </c>
      <c r="F17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0.42152777777777783</v>
      </c>
      <c r="G17" s="20">
        <v>3</v>
      </c>
      <c r="H17" s="67" t="s">
        <v>992</v>
      </c>
      <c r="J17" s="12" t="s">
        <v>117</v>
      </c>
      <c r="K17" s="48">
        <f>AVERAGE(Table13245678910111321252934394449546149141924293336424753919786104110116122127131136141914241930364248546066727782879297102107112117122132137147152154158161164[JAM KELUAR])</f>
        <v>0.27901234567901234</v>
      </c>
      <c r="N17" s="56"/>
      <c r="O17" s="56"/>
      <c r="P17" s="15">
        <v>11</v>
      </c>
      <c r="Q17" s="23" t="s">
        <v>46</v>
      </c>
      <c r="R17" s="40">
        <v>0.28055555555555556</v>
      </c>
      <c r="S17" s="40">
        <v>0.45</v>
      </c>
      <c r="T17" s="38">
        <f t="shared" si="0"/>
        <v>0.16944444444444445</v>
      </c>
      <c r="U17" s="20">
        <v>2</v>
      </c>
      <c r="V17" s="16" t="s">
        <v>1000</v>
      </c>
      <c r="X17" s="12" t="s">
        <v>117</v>
      </c>
      <c r="Y17" s="48">
        <f>AVERAGE(Table134567891011151819232731374247525927121722273228414652909680103109115121126120135140813231828344046525864707580859095100105110115120125135145150155156159162165[JAM KELUAR])</f>
        <v>0.29276433691756271</v>
      </c>
      <c r="AB17" s="15">
        <v>10</v>
      </c>
      <c r="AC17" s="20" t="s">
        <v>301</v>
      </c>
      <c r="AD17" s="21">
        <v>0.25277777777777777</v>
      </c>
      <c r="AE17" s="21">
        <v>0.73888888888888893</v>
      </c>
      <c r="AF17" s="38">
        <f t="shared" si="1"/>
        <v>0.48611111111111116</v>
      </c>
      <c r="AG17" s="20">
        <v>3</v>
      </c>
      <c r="AH17" s="16" t="s">
        <v>901</v>
      </c>
      <c r="AJ17" s="12" t="s">
        <v>117</v>
      </c>
      <c r="AK17" s="48">
        <f>AVERAGE(Table134567891011151819232731374247525927121722273228414652909680103109115121126120135140813231829354147535965717681869196101106111116121131136146151153157160163[JAM KELUAR])</f>
        <v>0.26450000000000001</v>
      </c>
    </row>
    <row r="18" spans="1:37" x14ac:dyDescent="0.2">
      <c r="A18" s="56"/>
      <c r="B18" s="15">
        <v>12</v>
      </c>
      <c r="C18" s="23" t="s">
        <v>68</v>
      </c>
      <c r="D18" s="21">
        <v>0.26874999999999999</v>
      </c>
      <c r="E18" s="21">
        <v>0.65069444444444446</v>
      </c>
      <c r="F18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0.38194444444444448</v>
      </c>
      <c r="G18" s="20">
        <v>3</v>
      </c>
      <c r="H18" s="67" t="s">
        <v>373</v>
      </c>
      <c r="O18" s="56"/>
      <c r="P18" s="15">
        <v>12</v>
      </c>
      <c r="Q18" s="23" t="s">
        <v>50</v>
      </c>
      <c r="R18" s="40">
        <v>0.2673611111111111</v>
      </c>
      <c r="S18" s="40">
        <v>0.44097222222222227</v>
      </c>
      <c r="T18" s="38">
        <f t="shared" si="0"/>
        <v>0.17361111111111116</v>
      </c>
      <c r="U18" s="20">
        <v>2</v>
      </c>
      <c r="V18" s="16" t="s">
        <v>1001</v>
      </c>
      <c r="X18" s="17"/>
      <c r="AB18" s="15">
        <v>11</v>
      </c>
      <c r="AC18" s="20" t="s">
        <v>231</v>
      </c>
      <c r="AD18" s="21">
        <v>0.28819444444444448</v>
      </c>
      <c r="AE18" s="21">
        <v>0.70000000000000007</v>
      </c>
      <c r="AF18" s="38">
        <f t="shared" si="1"/>
        <v>0.41180555555555559</v>
      </c>
      <c r="AG18" s="20">
        <v>3</v>
      </c>
      <c r="AH18" s="16" t="s">
        <v>1017</v>
      </c>
      <c r="AJ18" s="17"/>
    </row>
    <row r="19" spans="1:37" ht="15.75" customHeight="1" x14ac:dyDescent="0.2">
      <c r="A19" s="56"/>
      <c r="B19" s="15">
        <v>13</v>
      </c>
      <c r="C19" s="23" t="s">
        <v>982</v>
      </c>
      <c r="D19" s="21">
        <v>0.26041666666666669</v>
      </c>
      <c r="E19" s="21">
        <v>0.68541666666666667</v>
      </c>
      <c r="F19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0.42499999999999999</v>
      </c>
      <c r="G19" s="20">
        <v>3</v>
      </c>
      <c r="H19" s="67" t="s">
        <v>373</v>
      </c>
      <c r="O19" s="56"/>
      <c r="P19" s="15">
        <v>13</v>
      </c>
      <c r="Q19" s="23" t="s">
        <v>47</v>
      </c>
      <c r="R19" s="40">
        <v>0.26458333333333334</v>
      </c>
      <c r="S19" s="40">
        <v>0.54236111111111118</v>
      </c>
      <c r="T19" s="38">
        <f t="shared" si="0"/>
        <v>0.27777777777777785</v>
      </c>
      <c r="U19" s="20">
        <v>2</v>
      </c>
      <c r="V19" s="16" t="s">
        <v>1002</v>
      </c>
      <c r="AB19" s="15">
        <v>12</v>
      </c>
      <c r="AC19" s="20" t="s">
        <v>236</v>
      </c>
      <c r="AD19" s="21">
        <v>0.25486111111111109</v>
      </c>
      <c r="AE19" s="21">
        <v>0.68194444444444446</v>
      </c>
      <c r="AF19" s="38">
        <f t="shared" si="1"/>
        <v>0.42708333333333337</v>
      </c>
      <c r="AG19" s="20">
        <v>3</v>
      </c>
      <c r="AH19" s="16" t="s">
        <v>1018</v>
      </c>
    </row>
    <row r="20" spans="1:37" ht="17.25" customHeight="1" x14ac:dyDescent="0.2">
      <c r="B20" s="15">
        <v>14</v>
      </c>
      <c r="C20" s="23" t="s">
        <v>75</v>
      </c>
      <c r="D20" s="21">
        <v>0.22083333333333333</v>
      </c>
      <c r="E20" s="21">
        <v>0.72777777777777775</v>
      </c>
      <c r="F20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0.50694444444444442</v>
      </c>
      <c r="G20" s="20">
        <v>3</v>
      </c>
      <c r="H20" s="67" t="s">
        <v>993</v>
      </c>
      <c r="O20" s="56" t="s">
        <v>209</v>
      </c>
      <c r="P20" s="50">
        <v>14</v>
      </c>
      <c r="Q20" s="33" t="s">
        <v>51</v>
      </c>
      <c r="R20" s="32">
        <v>0.3527777777777778</v>
      </c>
      <c r="S20" s="44">
        <v>0.68888888888888899</v>
      </c>
      <c r="T20" s="51">
        <f t="shared" si="0"/>
        <v>0.33611111111111119</v>
      </c>
      <c r="U20" s="31">
        <v>2</v>
      </c>
      <c r="V20" s="55" t="s">
        <v>1021</v>
      </c>
      <c r="AA20" s="56" t="s">
        <v>209</v>
      </c>
      <c r="AB20" s="50">
        <v>13</v>
      </c>
      <c r="AC20" s="31" t="s">
        <v>237</v>
      </c>
      <c r="AD20" s="32">
        <v>0.30555555555555552</v>
      </c>
      <c r="AE20" s="32">
        <v>0.74791666666666667</v>
      </c>
      <c r="AF20" s="51">
        <f t="shared" si="1"/>
        <v>0.44236111111111115</v>
      </c>
      <c r="AG20" s="31">
        <v>3</v>
      </c>
      <c r="AH20" s="55" t="s">
        <v>373</v>
      </c>
    </row>
    <row r="21" spans="1:37" ht="15.75" customHeight="1" x14ac:dyDescent="0.2">
      <c r="B21" s="15">
        <v>15</v>
      </c>
      <c r="C21" s="23" t="s">
        <v>16</v>
      </c>
      <c r="D21" s="21">
        <v>0.27569444444444446</v>
      </c>
      <c r="E21" s="21">
        <v>0.69513888888888886</v>
      </c>
      <c r="F21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0.4194444444444444</v>
      </c>
      <c r="G21" s="20">
        <v>3</v>
      </c>
      <c r="H21" s="67" t="s">
        <v>373</v>
      </c>
      <c r="O21" s="56" t="s">
        <v>209</v>
      </c>
      <c r="P21" s="50">
        <v>15</v>
      </c>
      <c r="Q21" s="33" t="s">
        <v>82</v>
      </c>
      <c r="R21" s="32">
        <v>0.31319444444444444</v>
      </c>
      <c r="S21" s="44">
        <v>0.68958333333333333</v>
      </c>
      <c r="T21" s="51">
        <f t="shared" si="0"/>
        <v>0.37638888888888888</v>
      </c>
      <c r="U21" s="31">
        <v>3</v>
      </c>
      <c r="V21" s="55" t="s">
        <v>1003</v>
      </c>
      <c r="AB21" s="15">
        <v>14</v>
      </c>
      <c r="AC21" s="20" t="s">
        <v>238</v>
      </c>
      <c r="AD21" s="21">
        <v>0.24583333333333335</v>
      </c>
      <c r="AE21" s="21">
        <v>0.74097222222222225</v>
      </c>
      <c r="AF21" s="38">
        <f t="shared" si="1"/>
        <v>0.49513888888888891</v>
      </c>
      <c r="AG21" s="20">
        <v>3</v>
      </c>
      <c r="AH21" s="16" t="s">
        <v>373</v>
      </c>
    </row>
    <row r="22" spans="1:37" ht="15" customHeight="1" x14ac:dyDescent="0.2">
      <c r="B22" s="15">
        <v>16</v>
      </c>
      <c r="C22" s="23" t="s">
        <v>17</v>
      </c>
      <c r="D22" s="21">
        <v>0.23680555555555557</v>
      </c>
      <c r="E22" s="21">
        <v>0.72222222222222221</v>
      </c>
      <c r="F22" s="38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0.48541666666666661</v>
      </c>
      <c r="G22" s="20">
        <v>3</v>
      </c>
      <c r="H22" s="67" t="s">
        <v>373</v>
      </c>
      <c r="P22" s="50">
        <v>16</v>
      </c>
      <c r="Q22" s="33" t="s">
        <v>57</v>
      </c>
      <c r="R22" s="32">
        <v>0.30138888888888887</v>
      </c>
      <c r="S22" s="44">
        <v>0.68125000000000002</v>
      </c>
      <c r="T22" s="52">
        <f t="shared" si="0"/>
        <v>0.37986111111111115</v>
      </c>
      <c r="U22" s="31">
        <v>3</v>
      </c>
      <c r="V22" s="55" t="s">
        <v>1004</v>
      </c>
      <c r="AB22" s="15">
        <v>15</v>
      </c>
      <c r="AC22" s="20" t="s">
        <v>276</v>
      </c>
      <c r="AD22" s="21">
        <v>0.27361111111111108</v>
      </c>
      <c r="AE22" s="21">
        <v>0.68541666666666667</v>
      </c>
      <c r="AF22" s="38">
        <f t="shared" si="1"/>
        <v>0.41180555555555559</v>
      </c>
      <c r="AG22" s="20">
        <v>3</v>
      </c>
      <c r="AH22" s="16" t="s">
        <v>1019</v>
      </c>
    </row>
    <row r="23" spans="1:37" ht="15" customHeight="1" x14ac:dyDescent="0.2">
      <c r="B23" s="1">
        <v>17</v>
      </c>
      <c r="C23" s="29" t="s">
        <v>73</v>
      </c>
      <c r="D23" s="41">
        <v>0.23750000000000002</v>
      </c>
      <c r="E23" s="41">
        <v>0.72569444444444453</v>
      </c>
      <c r="F23" s="26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0.48819444444444449</v>
      </c>
      <c r="G23" s="2">
        <v>4</v>
      </c>
      <c r="H23" s="102" t="s">
        <v>25</v>
      </c>
      <c r="O23" s="56"/>
      <c r="P23" s="50">
        <v>17</v>
      </c>
      <c r="Q23" s="33" t="s">
        <v>39</v>
      </c>
      <c r="R23" s="44">
        <v>0.29930555555555555</v>
      </c>
      <c r="S23" s="32">
        <v>0.6645833333333333</v>
      </c>
      <c r="T23" s="52">
        <f t="shared" si="0"/>
        <v>0.36527777777777776</v>
      </c>
      <c r="U23" s="31">
        <v>3</v>
      </c>
      <c r="V23" s="55" t="s">
        <v>1021</v>
      </c>
      <c r="AB23" s="15">
        <v>16</v>
      </c>
      <c r="AC23" s="20" t="s">
        <v>277</v>
      </c>
      <c r="AD23" s="21">
        <v>0.36180555555555555</v>
      </c>
      <c r="AE23" s="21">
        <v>0.74791666666666667</v>
      </c>
      <c r="AF23" s="38">
        <f t="shared" si="1"/>
        <v>0.38611111111111113</v>
      </c>
      <c r="AG23" s="20">
        <v>3</v>
      </c>
      <c r="AH23" s="16" t="s">
        <v>55</v>
      </c>
    </row>
    <row r="24" spans="1:37" ht="15" customHeight="1" x14ac:dyDescent="0.2">
      <c r="B24" s="1">
        <v>18</v>
      </c>
      <c r="C24" s="2" t="s">
        <v>76</v>
      </c>
      <c r="D24" s="41">
        <v>0.20555555555555557</v>
      </c>
      <c r="E24" s="41">
        <v>0.70000000000000007</v>
      </c>
      <c r="F24" s="26">
        <f>Table13245678910111321252934394449546149141924293336424753919786104110116122127131136141914241930364248546066727782879297102107112117122132137147152154158161164[[#This Row],[JAM MASUK]]-Table13245678910111321252934394449546149141924293336424753919786104110116122127131136141914241930364248546066727782879297102107112117122132137147152154158161164[[#This Row],[JAM KELUAR]]</f>
        <v>0.49444444444444446</v>
      </c>
      <c r="G24" s="2">
        <v>4</v>
      </c>
      <c r="H24" s="102" t="s">
        <v>25</v>
      </c>
      <c r="P24" s="15">
        <v>18</v>
      </c>
      <c r="Q24" s="23" t="s">
        <v>40</v>
      </c>
      <c r="R24" s="40">
        <v>0.28611111111111115</v>
      </c>
      <c r="S24" s="40">
        <v>0.63680555555555551</v>
      </c>
      <c r="T24" s="37">
        <f t="shared" si="0"/>
        <v>0.35069444444444436</v>
      </c>
      <c r="U24" s="20">
        <v>3</v>
      </c>
      <c r="V24" s="16" t="s">
        <v>1005</v>
      </c>
      <c r="AB24" s="1">
        <v>17</v>
      </c>
      <c r="AC24" s="2" t="s">
        <v>559</v>
      </c>
      <c r="AD24" s="41">
        <v>0.27083333333333331</v>
      </c>
      <c r="AE24" s="41">
        <v>0.72777777777777775</v>
      </c>
      <c r="AF24" s="26">
        <f t="shared" si="1"/>
        <v>0.45694444444444443</v>
      </c>
      <c r="AG24" s="2">
        <v>4</v>
      </c>
      <c r="AH24" s="45" t="s">
        <v>25</v>
      </c>
    </row>
    <row r="25" spans="1:37" ht="14.5" customHeight="1" x14ac:dyDescent="0.2">
      <c r="P25" s="50">
        <v>19</v>
      </c>
      <c r="Q25" s="33" t="s">
        <v>67</v>
      </c>
      <c r="R25" s="44">
        <v>0.30277777777777776</v>
      </c>
      <c r="S25" s="44">
        <v>0.68888888888888899</v>
      </c>
      <c r="T25" s="52">
        <f t="shared" si="0"/>
        <v>0.38611111111111124</v>
      </c>
      <c r="U25" s="31">
        <v>3</v>
      </c>
      <c r="V25" s="55" t="s">
        <v>1006</v>
      </c>
      <c r="AB25" s="1">
        <v>18</v>
      </c>
      <c r="AC25" s="2" t="s">
        <v>239</v>
      </c>
      <c r="AD25" s="41">
        <v>0.22777777777777777</v>
      </c>
      <c r="AE25" s="41">
        <v>0.75208333333333333</v>
      </c>
      <c r="AF25" s="26">
        <f t="shared" si="1"/>
        <v>0.52430555555555558</v>
      </c>
      <c r="AG25" s="2">
        <v>4</v>
      </c>
      <c r="AH25" s="45" t="s">
        <v>25</v>
      </c>
    </row>
    <row r="26" spans="1:37" ht="14.5" customHeight="1" x14ac:dyDescent="0.2">
      <c r="P26" s="50">
        <v>20</v>
      </c>
      <c r="Q26" s="33" t="s">
        <v>59</v>
      </c>
      <c r="R26" s="44">
        <v>0.31944444444444448</v>
      </c>
      <c r="S26" s="44">
        <v>0.4375</v>
      </c>
      <c r="T26" s="52">
        <f t="shared" si="0"/>
        <v>0.11805555555555552</v>
      </c>
      <c r="U26" s="31">
        <v>3</v>
      </c>
      <c r="V26" s="55" t="s">
        <v>1021</v>
      </c>
      <c r="AB26" s="1">
        <v>19</v>
      </c>
      <c r="AC26" s="2" t="s">
        <v>272</v>
      </c>
      <c r="AD26" s="41">
        <v>0.25486111111111109</v>
      </c>
      <c r="AE26" s="41">
        <v>0.70138888888888884</v>
      </c>
      <c r="AF26" s="26">
        <f t="shared" si="1"/>
        <v>0.44652777777777775</v>
      </c>
      <c r="AG26" s="2">
        <v>4</v>
      </c>
      <c r="AH26" s="45" t="s">
        <v>25</v>
      </c>
    </row>
    <row r="27" spans="1:37" ht="14.5" customHeight="1" x14ac:dyDescent="0.2">
      <c r="A27" s="56"/>
      <c r="O27" s="56"/>
      <c r="P27" s="15">
        <v>21</v>
      </c>
      <c r="Q27" s="20" t="s">
        <v>122</v>
      </c>
      <c r="R27" s="40">
        <v>0.2902777777777778</v>
      </c>
      <c r="S27" s="40">
        <v>0.68819444444444444</v>
      </c>
      <c r="T27" s="37">
        <f t="shared" si="0"/>
        <v>0.39791666666666664</v>
      </c>
      <c r="U27" s="20">
        <v>3</v>
      </c>
      <c r="V27" s="16" t="s">
        <v>1007</v>
      </c>
      <c r="AB27" s="1">
        <v>20</v>
      </c>
      <c r="AC27" s="2" t="s">
        <v>273</v>
      </c>
      <c r="AD27" s="41">
        <v>0.28125</v>
      </c>
      <c r="AE27" s="41">
        <v>0.73888888888888893</v>
      </c>
      <c r="AF27" s="26">
        <f t="shared" si="1"/>
        <v>0.45763888888888893</v>
      </c>
      <c r="AG27" s="2">
        <v>4</v>
      </c>
      <c r="AH27" s="45" t="s">
        <v>25</v>
      </c>
    </row>
    <row r="28" spans="1:37" x14ac:dyDescent="0.2">
      <c r="G28" s="34"/>
      <c r="H28" s="35" t="s">
        <v>90</v>
      </c>
      <c r="P28" s="15">
        <v>22</v>
      </c>
      <c r="Q28" s="23" t="s">
        <v>83</v>
      </c>
      <c r="R28" s="40">
        <v>0.27847222222222223</v>
      </c>
      <c r="S28" s="40">
        <v>0.70208333333333339</v>
      </c>
      <c r="T28" s="37">
        <f t="shared" si="0"/>
        <v>0.42361111111111116</v>
      </c>
      <c r="U28" s="23">
        <v>4</v>
      </c>
      <c r="V28" s="16" t="s">
        <v>195</v>
      </c>
      <c r="AB28" s="1">
        <v>21</v>
      </c>
      <c r="AC28" s="2" t="s">
        <v>240</v>
      </c>
      <c r="AD28" s="41">
        <v>0.2298611111111111</v>
      </c>
      <c r="AE28" s="41">
        <v>0.75069444444444444</v>
      </c>
      <c r="AF28" s="26">
        <f t="shared" si="1"/>
        <v>0.52083333333333337</v>
      </c>
      <c r="AG28" s="2">
        <v>4</v>
      </c>
      <c r="AH28" s="45" t="s">
        <v>25</v>
      </c>
    </row>
    <row r="29" spans="1:37" x14ac:dyDescent="0.2">
      <c r="G29" s="56" t="s">
        <v>209</v>
      </c>
      <c r="H29" s="35" t="s">
        <v>92</v>
      </c>
      <c r="O29" s="56" t="s">
        <v>209</v>
      </c>
      <c r="P29" s="50">
        <v>23</v>
      </c>
      <c r="Q29" s="33" t="s">
        <v>30</v>
      </c>
      <c r="R29" s="44">
        <v>0.30833333333333335</v>
      </c>
      <c r="S29" s="44">
        <v>0.72291666666666676</v>
      </c>
      <c r="T29" s="52">
        <f t="shared" si="0"/>
        <v>0.41458333333333341</v>
      </c>
      <c r="U29" s="33">
        <v>4</v>
      </c>
      <c r="V29" s="55" t="s">
        <v>1021</v>
      </c>
      <c r="AB29" s="1">
        <v>22</v>
      </c>
      <c r="AC29" s="2" t="s">
        <v>274</v>
      </c>
      <c r="AD29" s="41">
        <v>0.23263888888888887</v>
      </c>
      <c r="AE29" s="41">
        <v>0.73125000000000007</v>
      </c>
      <c r="AF29" s="26">
        <f t="shared" si="1"/>
        <v>0.49861111111111123</v>
      </c>
      <c r="AG29" s="2">
        <v>4</v>
      </c>
      <c r="AH29" s="45" t="s">
        <v>25</v>
      </c>
    </row>
    <row r="30" spans="1:37" x14ac:dyDescent="0.2">
      <c r="P30" s="50">
        <v>24</v>
      </c>
      <c r="Q30" s="31" t="s">
        <v>34</v>
      </c>
      <c r="R30" s="44">
        <v>0.30833333333333335</v>
      </c>
      <c r="S30" s="44">
        <v>0.73888888888888893</v>
      </c>
      <c r="T30" s="52">
        <f t="shared" si="0"/>
        <v>0.43055555555555558</v>
      </c>
      <c r="U30" s="33">
        <v>4</v>
      </c>
      <c r="V30" s="55" t="s">
        <v>1008</v>
      </c>
      <c r="AB30" s="1">
        <v>23</v>
      </c>
      <c r="AC30" s="2" t="s">
        <v>475</v>
      </c>
      <c r="AD30" s="41">
        <v>0.26597222222222222</v>
      </c>
      <c r="AE30" s="41">
        <v>0.73333333333333339</v>
      </c>
      <c r="AF30" s="26">
        <f t="shared" si="1"/>
        <v>0.46736111111111117</v>
      </c>
      <c r="AG30" s="2">
        <v>4</v>
      </c>
      <c r="AH30" s="45" t="s">
        <v>25</v>
      </c>
    </row>
    <row r="31" spans="1:37" x14ac:dyDescent="0.2">
      <c r="P31" s="15">
        <v>25</v>
      </c>
      <c r="Q31" s="20" t="s">
        <v>77</v>
      </c>
      <c r="R31" s="40">
        <v>0.25069444444444444</v>
      </c>
      <c r="S31" s="40">
        <v>0.74722222222222223</v>
      </c>
      <c r="T31" s="37">
        <f t="shared" si="0"/>
        <v>0.49652777777777779</v>
      </c>
      <c r="U31" s="23">
        <v>4</v>
      </c>
      <c r="V31" s="16" t="s">
        <v>410</v>
      </c>
      <c r="AB31" s="1">
        <v>25</v>
      </c>
      <c r="AC31" s="2" t="s">
        <v>306</v>
      </c>
      <c r="AD31" s="41">
        <v>0.24791666666666667</v>
      </c>
      <c r="AE31" s="41">
        <v>0.75138888888888899</v>
      </c>
      <c r="AF31" s="26">
        <f t="shared" si="1"/>
        <v>0.50347222222222232</v>
      </c>
      <c r="AG31" s="2">
        <v>4</v>
      </c>
      <c r="AH31" s="45" t="s">
        <v>25</v>
      </c>
    </row>
    <row r="32" spans="1:37" x14ac:dyDescent="0.2">
      <c r="P32" s="15">
        <v>26</v>
      </c>
      <c r="Q32" s="20" t="s">
        <v>80</v>
      </c>
      <c r="R32" s="40">
        <v>0.28611111111111115</v>
      </c>
      <c r="S32" s="40">
        <v>0.69097222222222221</v>
      </c>
      <c r="T32" s="37">
        <f t="shared" si="0"/>
        <v>0.40486111111111106</v>
      </c>
      <c r="U32" s="23">
        <v>4</v>
      </c>
      <c r="V32" s="16" t="s">
        <v>1021</v>
      </c>
    </row>
    <row r="33" spans="1:34" x14ac:dyDescent="0.2">
      <c r="P33" s="15">
        <v>27</v>
      </c>
      <c r="Q33" s="20" t="s">
        <v>60</v>
      </c>
      <c r="R33" s="40">
        <v>0.27916666666666667</v>
      </c>
      <c r="S33" s="40">
        <v>0.72777777777777775</v>
      </c>
      <c r="T33" s="37">
        <f t="shared" si="0"/>
        <v>0.44861111111111107</v>
      </c>
      <c r="U33" s="23">
        <v>4</v>
      </c>
      <c r="V33" s="16" t="s">
        <v>1021</v>
      </c>
      <c r="AG33" s="34"/>
      <c r="AH33" s="35" t="s">
        <v>90</v>
      </c>
    </row>
    <row r="34" spans="1:34" x14ac:dyDescent="0.2">
      <c r="P34" s="1">
        <v>28</v>
      </c>
      <c r="Q34" s="2" t="s">
        <v>31</v>
      </c>
      <c r="R34" s="30">
        <v>0.25347222222222221</v>
      </c>
      <c r="S34" s="30">
        <v>0.74305555555555547</v>
      </c>
      <c r="T34" s="39">
        <f t="shared" si="0"/>
        <v>0.48958333333333326</v>
      </c>
      <c r="U34" s="29">
        <v>5</v>
      </c>
      <c r="V34" s="45" t="s">
        <v>448</v>
      </c>
      <c r="AG34" s="56" t="s">
        <v>209</v>
      </c>
      <c r="AH34" s="35" t="s">
        <v>92</v>
      </c>
    </row>
    <row r="35" spans="1:34" x14ac:dyDescent="0.2">
      <c r="P35" s="1">
        <v>29</v>
      </c>
      <c r="Q35" s="2" t="s">
        <v>78</v>
      </c>
      <c r="R35" s="30">
        <v>0.25833333333333336</v>
      </c>
      <c r="S35" s="30">
        <v>0.73263888888888884</v>
      </c>
      <c r="T35" s="39">
        <f t="shared" si="0"/>
        <v>0.47430555555555548</v>
      </c>
      <c r="U35" s="29">
        <v>5</v>
      </c>
      <c r="V35" s="45" t="s">
        <v>448</v>
      </c>
    </row>
    <row r="36" spans="1:34" x14ac:dyDescent="0.2">
      <c r="P36" s="1">
        <v>30</v>
      </c>
      <c r="Q36" s="2" t="s">
        <v>49</v>
      </c>
      <c r="R36" s="30">
        <v>0.24374999999999999</v>
      </c>
      <c r="S36" s="30">
        <v>0.73958333333333337</v>
      </c>
      <c r="T36" s="39">
        <f t="shared" si="0"/>
        <v>0.49583333333333335</v>
      </c>
      <c r="U36" s="29">
        <v>5</v>
      </c>
      <c r="V36" s="45" t="s">
        <v>448</v>
      </c>
    </row>
    <row r="37" spans="1:34" x14ac:dyDescent="0.2">
      <c r="P37" s="1">
        <v>31</v>
      </c>
      <c r="Q37" s="2" t="s">
        <v>81</v>
      </c>
      <c r="R37" s="30">
        <v>0.22916666666666666</v>
      </c>
      <c r="S37" s="30">
        <v>0.70972222222222225</v>
      </c>
      <c r="T37" s="39">
        <f t="shared" si="0"/>
        <v>0.48055555555555562</v>
      </c>
      <c r="U37" s="29">
        <v>5</v>
      </c>
      <c r="V37" s="45" t="s">
        <v>448</v>
      </c>
    </row>
    <row r="39" spans="1:34" x14ac:dyDescent="0.2">
      <c r="U39" s="34"/>
      <c r="V39" s="35" t="s">
        <v>90</v>
      </c>
    </row>
    <row r="40" spans="1:34" x14ac:dyDescent="0.2">
      <c r="U40" s="56" t="s">
        <v>209</v>
      </c>
      <c r="V40" s="35" t="s">
        <v>92</v>
      </c>
    </row>
    <row r="41" spans="1:34" ht="21" x14ac:dyDescent="0.25">
      <c r="A41" s="46"/>
    </row>
  </sheetData>
  <mergeCells count="14">
    <mergeCell ref="AJ4:AK5"/>
    <mergeCell ref="B5:H5"/>
    <mergeCell ref="P5:V5"/>
    <mergeCell ref="AB5:AH5"/>
    <mergeCell ref="P1:Y1"/>
    <mergeCell ref="AB1:AK1"/>
    <mergeCell ref="B2:K2"/>
    <mergeCell ref="P2:Y2"/>
    <mergeCell ref="AB2:AK2"/>
    <mergeCell ref="B4:H4"/>
    <mergeCell ref="J4:K5"/>
    <mergeCell ref="P4:V4"/>
    <mergeCell ref="X4:Y5"/>
    <mergeCell ref="AB4:AH4"/>
  </mergeCells>
  <pageMargins left="0.12" right="0.12" top="0.75" bottom="0.75" header="0.3" footer="0.3"/>
  <pageSetup paperSize="9" scale="69" fitToWidth="0" orientation="landscape" horizontalDpi="360" verticalDpi="360" r:id="rId1"/>
  <rowBreaks count="1" manualBreakCount="1">
    <brk id="40" max="46" man="1"/>
  </rowBreaks>
  <colBreaks count="2" manualBreakCount="2">
    <brk id="13" min="1" max="39" man="1"/>
    <brk id="26" min="1" max="39" man="1"/>
  </colBreaks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35FB-A97C-4A7B-9F7F-6F5B01B3F9EF}">
  <sheetPr>
    <tabColor theme="7" tint="0.39997558519241921"/>
  </sheetPr>
  <dimension ref="A1:AV71"/>
  <sheetViews>
    <sheetView showGridLines="0" view="pageBreakPreview" topLeftCell="Y16" zoomScale="40" zoomScaleNormal="55" zoomScaleSheetLayoutView="40" zoomScalePageLayoutView="55" workbookViewId="0">
      <selection activeCell="AI35" sqref="AI35"/>
    </sheetView>
  </sheetViews>
  <sheetFormatPr baseColWidth="10" defaultColWidth="8.83203125" defaultRowHeight="15" x14ac:dyDescent="0.2"/>
  <cols>
    <col min="1" max="1" width="2.83203125" hidden="1" customWidth="1"/>
    <col min="2" max="2" width="6" hidden="1" customWidth="1"/>
    <col min="3" max="3" width="10.6640625" hidden="1" customWidth="1"/>
    <col min="4" max="4" width="14" hidden="1" customWidth="1"/>
    <col min="5" max="5" width="19.5" hidden="1" customWidth="1"/>
    <col min="6" max="6" width="17.1640625" hidden="1" customWidth="1"/>
    <col min="7" max="7" width="7.5" hidden="1" customWidth="1"/>
    <col min="8" max="8" width="79.33203125" hidden="1" customWidth="1"/>
    <col min="9" max="9" width="3.1640625" hidden="1" customWidth="1"/>
    <col min="10" max="10" width="32.6640625" hidden="1" customWidth="1"/>
    <col min="11" max="11" width="18.1640625" hidden="1" customWidth="1"/>
    <col min="12" max="12" width="0.33203125" style="18" hidden="1" customWidth="1"/>
    <col min="13" max="13" width="0.83203125" hidden="1" customWidth="1"/>
    <col min="14" max="14" width="3.6640625" hidden="1" customWidth="1"/>
    <col min="15" max="15" width="6.83203125" hidden="1" customWidth="1"/>
    <col min="16" max="17" width="11.6640625" hidden="1" customWidth="1"/>
    <col min="18" max="18" width="24.5" hidden="1" customWidth="1"/>
    <col min="19" max="19" width="16.5" hidden="1" customWidth="1"/>
    <col min="20" max="20" width="7.5" hidden="1" customWidth="1"/>
    <col min="21" max="21" width="78.5" hidden="1" customWidth="1"/>
    <col min="22" max="22" width="1.6640625" hidden="1" customWidth="1"/>
    <col min="23" max="23" width="32.6640625" hidden="1" customWidth="1"/>
    <col min="24" max="24" width="16.5" hidden="1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hidden="1" customWidth="1"/>
    <col min="39" max="39" width="7.5" hidden="1" customWidth="1"/>
    <col min="40" max="41" width="14.5" hidden="1" customWidth="1"/>
    <col min="42" max="42" width="17" hidden="1" customWidth="1"/>
    <col min="43" max="43" width="14.5" hidden="1" customWidth="1"/>
    <col min="44" max="44" width="7.1640625" hidden="1" customWidth="1"/>
    <col min="45" max="45" width="82.5" hidden="1" customWidth="1"/>
    <col min="46" max="46" width="2.5" hidden="1" customWidth="1"/>
    <col min="47" max="47" width="32.6640625" hidden="1" customWidth="1"/>
    <col min="48" max="48" width="10" hidden="1" customWidth="1"/>
    <col min="49" max="49" width="17.83203125" customWidth="1"/>
    <col min="50" max="50" width="15.83203125" customWidth="1"/>
  </cols>
  <sheetData>
    <row r="1" spans="1:48" ht="22" x14ac:dyDescent="0.25">
      <c r="B1" s="59"/>
      <c r="C1" s="59"/>
      <c r="D1" s="59"/>
      <c r="E1" s="59"/>
      <c r="F1" s="59"/>
      <c r="G1" s="59"/>
      <c r="H1" s="59"/>
      <c r="I1" s="59"/>
      <c r="J1" s="59" t="s">
        <v>625</v>
      </c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COUNTIF(Table13245678910111321252934394449546149141924293336424753919786104110116122127131136141914241930364248546066727782879297102107112117122132137147127[Retase],"&gt;3")</f>
        <v>5</v>
      </c>
      <c r="D3" t="s">
        <v>241</v>
      </c>
      <c r="O3" s="60">
        <f>COUNTIF(Table134567891011172226303540455055625101520253034384348549298871051111171231281321371421015252031374349556167737883889398103108113118123133138148128[Retase],"&gt;3")</f>
        <v>0</v>
      </c>
      <c r="P3" s="60" t="e">
        <f>COUNTIF(#REF!,"&gt;3")</f>
        <v>#REF!</v>
      </c>
      <c r="AA3" s="60">
        <f>COUNTIF(Table134567891011151819232731374247525927121722273228414652909680103109115121126120135140813231828344046525864707580859095100105110115120125135145150130[Retase],"&gt;4")</f>
        <v>15</v>
      </c>
      <c r="AM3" s="60">
        <f>COUNTIF(Table134567891011151819232731374247525927121722273228414652909680103109115121126120135140813231829354147535965717681869196101106111116121131136146126[Retase],"&gt;3")</f>
        <v>15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45439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45439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45439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45439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33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 t="s">
        <v>209</v>
      </c>
      <c r="B7" s="50">
        <v>1</v>
      </c>
      <c r="C7" s="33" t="s">
        <v>13</v>
      </c>
      <c r="D7" s="32">
        <v>0.38680555555555557</v>
      </c>
      <c r="E7" s="32">
        <v>0.68263888888888891</v>
      </c>
      <c r="F7" s="51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0.29583333333333334</v>
      </c>
      <c r="G7" s="31">
        <v>1</v>
      </c>
      <c r="H7" s="68" t="s">
        <v>910</v>
      </c>
      <c r="J7" s="4" t="s">
        <v>10</v>
      </c>
      <c r="K7" s="6">
        <v>23</v>
      </c>
      <c r="L7" s="19"/>
      <c r="N7" s="56"/>
      <c r="O7" s="50">
        <v>1</v>
      </c>
      <c r="P7" s="33" t="s">
        <v>83</v>
      </c>
      <c r="Q7" s="44">
        <v>0.30555555555555552</v>
      </c>
      <c r="R7" s="44">
        <v>0.47361111111111115</v>
      </c>
      <c r="S7" s="51">
        <f>Table134567891011172226303540455055625101520253034384348549298871051111171231281321371421015252031374349556167737883889398103108113118123133138148128[[#This Row],[JAM MASUK]]-Table134567891011172226303540455055625101520253034384348549298871051111171231281321371421015252031374349556167737883889398103108113118123133138148128[[#This Row],[JAM KELUAR]]</f>
        <v>0.16805555555555562</v>
      </c>
      <c r="T7" s="33">
        <v>1</v>
      </c>
      <c r="U7" s="55" t="s">
        <v>908</v>
      </c>
      <c r="W7" s="4" t="s">
        <v>10</v>
      </c>
      <c r="X7" s="6">
        <v>8</v>
      </c>
      <c r="AA7" s="15">
        <v>1</v>
      </c>
      <c r="AB7" s="23" t="s">
        <v>31</v>
      </c>
      <c r="AC7" s="21">
        <v>0.27708333333333335</v>
      </c>
      <c r="AD7" s="21">
        <v>0.41666666666666669</v>
      </c>
      <c r="AE7" s="37">
        <f t="shared" ref="AE7:AE33" si="0">AD7-AC7</f>
        <v>0.13958333333333334</v>
      </c>
      <c r="AF7" s="20">
        <v>1</v>
      </c>
      <c r="AG7" s="16" t="s">
        <v>897</v>
      </c>
      <c r="AI7" s="4" t="s">
        <v>10</v>
      </c>
      <c r="AJ7" s="6">
        <v>33</v>
      </c>
      <c r="AL7" s="56"/>
      <c r="AM7" s="15">
        <v>1</v>
      </c>
      <c r="AN7" s="20" t="s">
        <v>698</v>
      </c>
      <c r="AO7" s="21">
        <v>0.34930555555555554</v>
      </c>
      <c r="AP7" s="21" t="s">
        <v>890</v>
      </c>
      <c r="AQ7" s="38" t="e">
        <f t="shared" ref="AQ7:AQ31" si="1">AP7-AO7</f>
        <v>#VALUE!</v>
      </c>
      <c r="AR7" s="20">
        <v>0</v>
      </c>
      <c r="AS7" s="16" t="s">
        <v>891</v>
      </c>
      <c r="AU7" s="4" t="s">
        <v>10</v>
      </c>
      <c r="AV7" s="6">
        <v>25</v>
      </c>
    </row>
    <row r="8" spans="1:48" s="1" customFormat="1" x14ac:dyDescent="0.2">
      <c r="A8" s="56"/>
      <c r="B8" s="15">
        <v>2</v>
      </c>
      <c r="C8" s="23" t="s">
        <v>14</v>
      </c>
      <c r="D8" s="21">
        <v>0.28472222222222221</v>
      </c>
      <c r="E8" s="21">
        <v>0.41944444444444445</v>
      </c>
      <c r="F8" s="38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0.13472222222222224</v>
      </c>
      <c r="G8" s="20">
        <v>1</v>
      </c>
      <c r="H8" s="67" t="s">
        <v>911</v>
      </c>
      <c r="J8" s="4" t="s">
        <v>9</v>
      </c>
      <c r="K8" s="7">
        <v>18</v>
      </c>
      <c r="L8" s="19"/>
      <c r="O8" s="50">
        <v>2</v>
      </c>
      <c r="P8" s="33" t="s">
        <v>38</v>
      </c>
      <c r="Q8" s="44">
        <v>0.40347222222222223</v>
      </c>
      <c r="R8" s="44">
        <v>0.69513888888888886</v>
      </c>
      <c r="S8" s="51">
        <f>Table134567891011172226303540455055625101520253034384348549298871051111171231281321371421015252031374349556167737883889398103108113118123133138148128[[#This Row],[JAM MASUK]]-Table134567891011172226303540455055625101520253034384348549298871051111171231281321371421015252031374349556167737883889398103108113118123133138148128[[#This Row],[JAM KELUAR]]</f>
        <v>0.29166666666666663</v>
      </c>
      <c r="T8" s="33">
        <v>2</v>
      </c>
      <c r="U8" s="55" t="s">
        <v>909</v>
      </c>
      <c r="W8" s="4" t="s">
        <v>9</v>
      </c>
      <c r="X8" s="7">
        <v>5</v>
      </c>
      <c r="Z8" s="56"/>
      <c r="AA8" s="50">
        <v>2</v>
      </c>
      <c r="AB8" s="33" t="s">
        <v>46</v>
      </c>
      <c r="AC8" s="44">
        <v>0.29444444444444445</v>
      </c>
      <c r="AD8" s="44">
        <v>0.3611111111111111</v>
      </c>
      <c r="AE8" s="51">
        <f t="shared" si="0"/>
        <v>6.6666666666666652E-2</v>
      </c>
      <c r="AF8" s="31">
        <v>1</v>
      </c>
      <c r="AG8" s="55" t="s">
        <v>898</v>
      </c>
      <c r="AI8" s="4" t="s">
        <v>9</v>
      </c>
      <c r="AJ8" s="6">
        <v>27</v>
      </c>
      <c r="AM8" s="15">
        <v>2</v>
      </c>
      <c r="AN8" s="20" t="s">
        <v>271</v>
      </c>
      <c r="AO8" s="21">
        <v>0.28263888888888888</v>
      </c>
      <c r="AP8" s="21">
        <v>0.69166666666666676</v>
      </c>
      <c r="AQ8" s="38">
        <f t="shared" si="1"/>
        <v>0.40902777777777788</v>
      </c>
      <c r="AR8" s="20">
        <v>1</v>
      </c>
      <c r="AS8" s="16" t="s">
        <v>892</v>
      </c>
      <c r="AU8" s="4" t="s">
        <v>9</v>
      </c>
      <c r="AV8" s="6">
        <v>25</v>
      </c>
    </row>
    <row r="9" spans="1:48" s="1" customFormat="1" x14ac:dyDescent="0.2">
      <c r="A9" s="56"/>
      <c r="B9" s="15">
        <v>3</v>
      </c>
      <c r="C9" s="23" t="s">
        <v>70</v>
      </c>
      <c r="D9" s="21">
        <v>0.23680555555555557</v>
      </c>
      <c r="E9" s="21">
        <v>0.59166666666666667</v>
      </c>
      <c r="F9" s="38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0.35486111111111107</v>
      </c>
      <c r="G9" s="20">
        <v>2</v>
      </c>
      <c r="H9" s="67" t="s">
        <v>912</v>
      </c>
      <c r="J9" s="4" t="s">
        <v>4</v>
      </c>
      <c r="K9" s="7">
        <v>0</v>
      </c>
      <c r="L9" s="19"/>
      <c r="N9" s="56"/>
      <c r="O9" s="50">
        <v>3</v>
      </c>
      <c r="P9" s="33" t="s">
        <v>39</v>
      </c>
      <c r="Q9" s="44">
        <v>0.31736111111111115</v>
      </c>
      <c r="R9" s="44">
        <v>0.62291666666666667</v>
      </c>
      <c r="S9" s="51">
        <f>Table134567891011172226303540455055625101520253034384348549298871051111171231281321371421015252031374349556167737883889398103108113118123133138148128[[#This Row],[JAM MASUK]]-Table134567891011172226303540455055625101520253034384348549298871051111171231281321371421015252031374349556167737883889398103108113118123133138148128[[#This Row],[JAM KELUAR]]</f>
        <v>0.30555555555555552</v>
      </c>
      <c r="T9" s="33">
        <v>2</v>
      </c>
      <c r="U9" s="55" t="s">
        <v>442</v>
      </c>
      <c r="W9" s="4" t="s">
        <v>4</v>
      </c>
      <c r="X9" s="7">
        <v>0</v>
      </c>
      <c r="Z9" s="56"/>
      <c r="AA9" s="50">
        <v>3</v>
      </c>
      <c r="AB9" s="33" t="s">
        <v>51</v>
      </c>
      <c r="AC9" s="44">
        <v>0.29305555555555557</v>
      </c>
      <c r="AD9" s="44">
        <v>0.43333333333333335</v>
      </c>
      <c r="AE9" s="51">
        <f t="shared" si="0"/>
        <v>0.14027777777777778</v>
      </c>
      <c r="AF9" s="31">
        <v>1</v>
      </c>
      <c r="AG9" s="55" t="s">
        <v>899</v>
      </c>
      <c r="AI9" s="4" t="s">
        <v>4</v>
      </c>
      <c r="AJ9" s="7">
        <v>1</v>
      </c>
      <c r="AM9" s="15">
        <v>5</v>
      </c>
      <c r="AN9" s="20" t="s">
        <v>240</v>
      </c>
      <c r="AO9" s="21">
        <v>0.20902777777777778</v>
      </c>
      <c r="AP9" s="21">
        <v>0.69861111111111107</v>
      </c>
      <c r="AQ9" s="38">
        <f t="shared" si="1"/>
        <v>0.48958333333333326</v>
      </c>
      <c r="AR9" s="20">
        <v>2</v>
      </c>
      <c r="AS9" s="16" t="s">
        <v>895</v>
      </c>
      <c r="AU9" s="4" t="s">
        <v>4</v>
      </c>
      <c r="AV9" s="7">
        <v>0</v>
      </c>
    </row>
    <row r="10" spans="1:48" s="1" customFormat="1" x14ac:dyDescent="0.2">
      <c r="A10" s="56" t="s">
        <v>209</v>
      </c>
      <c r="B10" s="50">
        <v>4</v>
      </c>
      <c r="C10" s="33" t="s">
        <v>69</v>
      </c>
      <c r="D10" s="32">
        <v>0.4284722222222222</v>
      </c>
      <c r="E10" s="32">
        <v>0.66319444444444442</v>
      </c>
      <c r="F10" s="51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0.23472222222222222</v>
      </c>
      <c r="G10" s="31">
        <v>2</v>
      </c>
      <c r="H10" s="73" t="s">
        <v>914</v>
      </c>
      <c r="J10" s="4" t="s">
        <v>5</v>
      </c>
      <c r="K10" s="7">
        <v>5</v>
      </c>
      <c r="L10" s="19"/>
      <c r="N10" s="56"/>
      <c r="O10" s="50">
        <v>4</v>
      </c>
      <c r="P10" s="33" t="s">
        <v>42</v>
      </c>
      <c r="Q10" s="44">
        <v>0.31180555555555556</v>
      </c>
      <c r="R10" s="44">
        <v>0.72916666666666663</v>
      </c>
      <c r="S10" s="51">
        <f>Table134567891011172226303540455055625101520253034384348549298871051111171231281321371421015252031374349556167737883889398103108113118123133138148128[[#This Row],[JAM MASUK]]-Table134567891011172226303540455055625101520253034384348549298871051111171231281321371421015252031374349556167737883889398103108113118123133138148128[[#This Row],[JAM KELUAR]]</f>
        <v>0.41736111111111107</v>
      </c>
      <c r="T10" s="33">
        <v>3</v>
      </c>
      <c r="U10" s="55" t="s">
        <v>442</v>
      </c>
      <c r="W10" s="4" t="s">
        <v>5</v>
      </c>
      <c r="X10" s="7">
        <v>3</v>
      </c>
      <c r="Z10" s="56"/>
      <c r="AA10" s="15">
        <v>4</v>
      </c>
      <c r="AB10" s="23" t="s">
        <v>78</v>
      </c>
      <c r="AC10" s="40">
        <v>0.26874999999999999</v>
      </c>
      <c r="AD10" s="40">
        <v>0.54236111111111118</v>
      </c>
      <c r="AE10" s="38">
        <f t="shared" si="0"/>
        <v>0.27361111111111119</v>
      </c>
      <c r="AF10" s="20">
        <v>3</v>
      </c>
      <c r="AG10" s="16" t="s">
        <v>900</v>
      </c>
      <c r="AI10" s="4" t="s">
        <v>5</v>
      </c>
      <c r="AJ10" s="7">
        <v>5</v>
      </c>
      <c r="AL10" s="54"/>
      <c r="AM10" s="15">
        <v>4</v>
      </c>
      <c r="AN10" s="20" t="s">
        <v>234</v>
      </c>
      <c r="AO10" s="21">
        <v>0.27777777777777779</v>
      </c>
      <c r="AP10" s="21">
        <v>0.70277777777777783</v>
      </c>
      <c r="AQ10" s="38">
        <f t="shared" si="1"/>
        <v>0.42500000000000004</v>
      </c>
      <c r="AR10" s="20">
        <v>2</v>
      </c>
      <c r="AS10" s="16" t="s">
        <v>894</v>
      </c>
      <c r="AU10" s="4" t="s">
        <v>5</v>
      </c>
      <c r="AV10" s="7">
        <v>0</v>
      </c>
    </row>
    <row r="11" spans="1:48" s="1" customFormat="1" x14ac:dyDescent="0.2">
      <c r="A11" s="56"/>
      <c r="B11" s="15">
        <v>5</v>
      </c>
      <c r="C11" s="23" t="s">
        <v>17</v>
      </c>
      <c r="D11" s="21">
        <v>0.26041666666666669</v>
      </c>
      <c r="E11" s="21">
        <v>0.55208333333333337</v>
      </c>
      <c r="F11" s="38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0.29166666666666669</v>
      </c>
      <c r="G11" s="20">
        <v>2</v>
      </c>
      <c r="H11" s="16" t="s">
        <v>913</v>
      </c>
      <c r="J11" s="4" t="s">
        <v>6</v>
      </c>
      <c r="K11" s="7">
        <v>0</v>
      </c>
      <c r="N11" s="56"/>
      <c r="O11"/>
      <c r="P11"/>
      <c r="Q11"/>
      <c r="R11"/>
      <c r="S11"/>
      <c r="T11"/>
      <c r="U11"/>
      <c r="W11" s="4" t="s">
        <v>33</v>
      </c>
      <c r="X11" s="7">
        <v>0</v>
      </c>
      <c r="Z11" s="56"/>
      <c r="AA11" s="15">
        <v>5</v>
      </c>
      <c r="AB11" s="23" t="s">
        <v>50</v>
      </c>
      <c r="AC11" s="40">
        <v>0.27083333333333331</v>
      </c>
      <c r="AD11" s="40">
        <v>0.55277777777777781</v>
      </c>
      <c r="AE11" s="38">
        <f t="shared" si="0"/>
        <v>0.2819444444444445</v>
      </c>
      <c r="AF11" s="20">
        <v>3</v>
      </c>
      <c r="AG11" s="16" t="s">
        <v>901</v>
      </c>
      <c r="AI11" s="4" t="s">
        <v>6</v>
      </c>
      <c r="AJ11" s="7">
        <v>0</v>
      </c>
      <c r="AM11" s="50">
        <v>3</v>
      </c>
      <c r="AN11" s="31" t="s">
        <v>302</v>
      </c>
      <c r="AO11" s="32">
        <v>0.3298611111111111</v>
      </c>
      <c r="AP11" s="32">
        <v>0.62986111111111109</v>
      </c>
      <c r="AQ11" s="51">
        <f t="shared" si="1"/>
        <v>0.3</v>
      </c>
      <c r="AR11" s="31">
        <v>2</v>
      </c>
      <c r="AS11" s="55" t="s">
        <v>893</v>
      </c>
      <c r="AU11" s="4" t="s">
        <v>6</v>
      </c>
      <c r="AV11" s="7">
        <v>14</v>
      </c>
    </row>
    <row r="12" spans="1:48" s="1" customFormat="1" x14ac:dyDescent="0.2">
      <c r="A12" s="56"/>
      <c r="B12" s="50">
        <v>6</v>
      </c>
      <c r="C12" s="33" t="s">
        <v>118</v>
      </c>
      <c r="D12" s="32">
        <v>0.30555555555555552</v>
      </c>
      <c r="E12" s="32">
        <v>0.67013888888888884</v>
      </c>
      <c r="F12" s="51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0.36458333333333331</v>
      </c>
      <c r="G12" s="31">
        <v>3</v>
      </c>
      <c r="H12" s="68" t="s">
        <v>919</v>
      </c>
      <c r="J12" s="8" t="s">
        <v>8</v>
      </c>
      <c r="K12" s="9">
        <f>SUM(Table13245678910111321252934394449546149141924293336424753919786104110116122127131136141914241930364248546066727782879297102107112117122132137147127[Retase])</f>
        <v>52</v>
      </c>
      <c r="L12" s="19"/>
      <c r="N12" s="54"/>
      <c r="O12"/>
      <c r="P12"/>
      <c r="Q12"/>
      <c r="R12"/>
      <c r="S12"/>
      <c r="T12"/>
      <c r="U12"/>
      <c r="W12" s="8" t="s">
        <v>8</v>
      </c>
      <c r="X12" s="9">
        <f>SUM(Table134567891011172226303540455055625101520253034384348549298871051111171231281321371421015252031374349556167737883889398103108113118123133138148128[Retase])</f>
        <v>8</v>
      </c>
      <c r="AA12" s="50">
        <v>6</v>
      </c>
      <c r="AB12" s="33" t="s">
        <v>58</v>
      </c>
      <c r="AC12" s="44">
        <v>0.29236111111111113</v>
      </c>
      <c r="AD12" s="44">
        <v>0.61458333333333337</v>
      </c>
      <c r="AE12" s="51">
        <f t="shared" si="0"/>
        <v>0.32222222222222224</v>
      </c>
      <c r="AF12" s="31">
        <v>4</v>
      </c>
      <c r="AG12" s="55" t="s">
        <v>902</v>
      </c>
      <c r="AI12" s="8" t="s">
        <v>8</v>
      </c>
      <c r="AJ12" s="9">
        <f>SUM(Table134567891011151819232731374247525927121722273228414652909680103109115121126120135140813231828344046525864707580859095100105110115120125135145150130[Retase])</f>
        <v>116</v>
      </c>
      <c r="AM12" s="15">
        <v>6</v>
      </c>
      <c r="AN12" s="20" t="s">
        <v>301</v>
      </c>
      <c r="AO12" s="21">
        <v>0.23402777777777781</v>
      </c>
      <c r="AP12" s="21">
        <v>0.72222222222222221</v>
      </c>
      <c r="AQ12" s="38">
        <f t="shared" si="1"/>
        <v>0.48819444444444438</v>
      </c>
      <c r="AR12" s="20">
        <v>3</v>
      </c>
      <c r="AS12" s="16" t="s">
        <v>89</v>
      </c>
      <c r="AU12" s="8" t="s">
        <v>8</v>
      </c>
      <c r="AV12" s="9">
        <f>SUM(Table134567891011151819232731374247525927121722273228414652909680103109115121126120135140813231829354147535965717681869196101106111116121131136146126[Retase])</f>
        <v>83</v>
      </c>
    </row>
    <row r="13" spans="1:48" s="1" customFormat="1" x14ac:dyDescent="0.2">
      <c r="A13" s="56"/>
      <c r="B13" s="50">
        <v>7</v>
      </c>
      <c r="C13" s="33" t="s">
        <v>12</v>
      </c>
      <c r="D13" s="32">
        <v>0.31597222222222221</v>
      </c>
      <c r="E13" s="32">
        <v>0.66736111111111107</v>
      </c>
      <c r="F13" s="51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0.35138888888888886</v>
      </c>
      <c r="G13" s="31">
        <v>3</v>
      </c>
      <c r="H13" s="68" t="s">
        <v>919</v>
      </c>
      <c r="J13" s="10" t="s">
        <v>7</v>
      </c>
      <c r="K13" s="11">
        <f>K12/K8</f>
        <v>2.8888888888888888</v>
      </c>
      <c r="L13" s="19"/>
      <c r="O13"/>
      <c r="P13"/>
      <c r="Q13"/>
      <c r="R13"/>
      <c r="S13"/>
      <c r="T13"/>
      <c r="U13"/>
      <c r="W13" s="10" t="s">
        <v>7</v>
      </c>
      <c r="X13" s="11">
        <f>X12/X8</f>
        <v>1.6</v>
      </c>
      <c r="Z13" s="56"/>
      <c r="AA13" s="50">
        <v>7</v>
      </c>
      <c r="AB13" s="33" t="s">
        <v>32</v>
      </c>
      <c r="AC13" s="44">
        <v>0.3576388888888889</v>
      </c>
      <c r="AD13" s="44">
        <v>0.67499999999999993</v>
      </c>
      <c r="AE13" s="51">
        <f t="shared" si="0"/>
        <v>0.31736111111111104</v>
      </c>
      <c r="AF13" s="31">
        <v>4</v>
      </c>
      <c r="AG13" s="55" t="s">
        <v>906</v>
      </c>
      <c r="AI13" s="10" t="s">
        <v>7</v>
      </c>
      <c r="AJ13" s="11">
        <f>AJ12/AJ8</f>
        <v>4.2962962962962967</v>
      </c>
      <c r="AM13" s="15">
        <v>7</v>
      </c>
      <c r="AN13" s="20" t="s">
        <v>231</v>
      </c>
      <c r="AO13" s="21">
        <v>0.27569444444444446</v>
      </c>
      <c r="AP13" s="21">
        <v>0.69513888888888886</v>
      </c>
      <c r="AQ13" s="38">
        <f t="shared" si="1"/>
        <v>0.4194444444444444</v>
      </c>
      <c r="AR13" s="20">
        <v>3</v>
      </c>
      <c r="AS13" s="16" t="s">
        <v>89</v>
      </c>
      <c r="AU13" s="10" t="s">
        <v>7</v>
      </c>
      <c r="AV13" s="11">
        <f>AV12/AV8</f>
        <v>3.32</v>
      </c>
    </row>
    <row r="14" spans="1:48" s="1" customFormat="1" x14ac:dyDescent="0.2">
      <c r="A14"/>
      <c r="B14" s="50">
        <v>8</v>
      </c>
      <c r="C14" s="33" t="s">
        <v>20</v>
      </c>
      <c r="D14" s="32">
        <v>0.29444444444444445</v>
      </c>
      <c r="E14" s="32">
        <v>0.69097222222222221</v>
      </c>
      <c r="F14" s="51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0.39652777777777776</v>
      </c>
      <c r="G14" s="31">
        <v>3</v>
      </c>
      <c r="H14" s="55" t="s">
        <v>915</v>
      </c>
      <c r="J14" s="12" t="s">
        <v>11</v>
      </c>
      <c r="K14" s="13">
        <v>4</v>
      </c>
      <c r="L14" s="19"/>
      <c r="N14" s="56"/>
      <c r="O14"/>
      <c r="P14"/>
      <c r="Q14"/>
      <c r="R14"/>
      <c r="S14"/>
      <c r="T14"/>
      <c r="U14"/>
      <c r="W14" s="12" t="s">
        <v>11</v>
      </c>
      <c r="X14" s="13">
        <v>4</v>
      </c>
      <c r="AA14" s="15">
        <v>8</v>
      </c>
      <c r="AB14" s="23" t="s">
        <v>35</v>
      </c>
      <c r="AC14" s="40">
        <v>0.2673611111111111</v>
      </c>
      <c r="AD14" s="40">
        <v>0.63263888888888886</v>
      </c>
      <c r="AE14" s="38">
        <f t="shared" si="0"/>
        <v>0.36527777777777776</v>
      </c>
      <c r="AF14" s="20">
        <v>4</v>
      </c>
      <c r="AG14" s="16" t="s">
        <v>903</v>
      </c>
      <c r="AI14" s="12" t="s">
        <v>11</v>
      </c>
      <c r="AJ14" s="13">
        <v>5</v>
      </c>
      <c r="AM14" s="50">
        <v>9</v>
      </c>
      <c r="AN14" s="31" t="s">
        <v>275</v>
      </c>
      <c r="AO14" s="32">
        <v>0.29791666666666666</v>
      </c>
      <c r="AP14" s="32">
        <v>0.66736111111111107</v>
      </c>
      <c r="AQ14" s="51">
        <f t="shared" si="1"/>
        <v>0.36944444444444441</v>
      </c>
      <c r="AR14" s="31">
        <v>3</v>
      </c>
      <c r="AS14" s="55" t="s">
        <v>89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3" t="s">
        <v>68</v>
      </c>
      <c r="D15" s="21">
        <v>0.27916666666666667</v>
      </c>
      <c r="E15" s="21">
        <v>0.62152777777777779</v>
      </c>
      <c r="F15" s="38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0.34236111111111112</v>
      </c>
      <c r="G15" s="20">
        <v>3</v>
      </c>
      <c r="H15" s="67" t="s">
        <v>919</v>
      </c>
      <c r="J15" s="12" t="s">
        <v>88</v>
      </c>
      <c r="K15" s="14">
        <f>B3/K8</f>
        <v>0.27777777777777779</v>
      </c>
      <c r="L15" s="19"/>
      <c r="O15"/>
      <c r="P15"/>
      <c r="Q15"/>
      <c r="R15"/>
      <c r="S15"/>
      <c r="T15" s="34"/>
      <c r="U15" s="35" t="s">
        <v>90</v>
      </c>
      <c r="W15" s="12" t="s">
        <v>88</v>
      </c>
      <c r="X15" s="14">
        <f>O3/X8</f>
        <v>0</v>
      </c>
      <c r="Z15" s="56"/>
      <c r="AA15" s="15">
        <v>9</v>
      </c>
      <c r="AB15" s="23" t="s">
        <v>309</v>
      </c>
      <c r="AC15" s="40">
        <v>0.28680555555555554</v>
      </c>
      <c r="AD15" s="40">
        <v>0.6645833333333333</v>
      </c>
      <c r="AE15" s="38">
        <f t="shared" si="0"/>
        <v>0.37777777777777777</v>
      </c>
      <c r="AF15" s="20">
        <v>4</v>
      </c>
      <c r="AG15" s="16" t="s">
        <v>904</v>
      </c>
      <c r="AI15" s="12" t="s">
        <v>88</v>
      </c>
      <c r="AJ15" s="14">
        <f>AA3/AJ8</f>
        <v>0.55555555555555558</v>
      </c>
      <c r="AM15" s="50">
        <v>10</v>
      </c>
      <c r="AN15" s="31" t="s">
        <v>277</v>
      </c>
      <c r="AO15" s="32">
        <v>0.30277777777777776</v>
      </c>
      <c r="AP15" s="32">
        <v>0.66875000000000007</v>
      </c>
      <c r="AQ15" s="51">
        <f t="shared" si="1"/>
        <v>0.36597222222222231</v>
      </c>
      <c r="AR15" s="31">
        <v>3</v>
      </c>
      <c r="AS15" s="55" t="s">
        <v>89</v>
      </c>
      <c r="AU15" s="12" t="s">
        <v>88</v>
      </c>
      <c r="AV15" s="14">
        <f>AM3/AV8</f>
        <v>0.6</v>
      </c>
    </row>
    <row r="16" spans="1:48" x14ac:dyDescent="0.2">
      <c r="B16" s="15">
        <v>10</v>
      </c>
      <c r="C16" s="23" t="s">
        <v>120</v>
      </c>
      <c r="D16" s="21">
        <v>0.22916666666666666</v>
      </c>
      <c r="E16" s="21">
        <v>0.71736111111111101</v>
      </c>
      <c r="F16" s="38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0.48819444444444438</v>
      </c>
      <c r="G16" s="20">
        <v>3</v>
      </c>
      <c r="H16" s="16" t="s">
        <v>916</v>
      </c>
      <c r="J16" s="12" t="s">
        <v>24</v>
      </c>
      <c r="K16" s="14">
        <f>K8/K7</f>
        <v>0.78260869565217395</v>
      </c>
      <c r="T16" s="56" t="s">
        <v>209</v>
      </c>
      <c r="U16" s="35" t="s">
        <v>92</v>
      </c>
      <c r="W16" s="12" t="s">
        <v>27</v>
      </c>
      <c r="X16" s="14">
        <f>X8/X7</f>
        <v>0.625</v>
      </c>
      <c r="AA16" s="50">
        <v>10</v>
      </c>
      <c r="AB16" s="33" t="s">
        <v>59</v>
      </c>
      <c r="AC16" s="44">
        <v>0.30208333333333331</v>
      </c>
      <c r="AD16" s="44">
        <v>0.76180555555555562</v>
      </c>
      <c r="AE16" s="51">
        <f t="shared" si="0"/>
        <v>0.45972222222222231</v>
      </c>
      <c r="AF16" s="31">
        <v>4</v>
      </c>
      <c r="AG16" s="55" t="s">
        <v>905</v>
      </c>
      <c r="AI16" s="12" t="s">
        <v>27</v>
      </c>
      <c r="AJ16" s="14">
        <f>AJ8/AJ7</f>
        <v>0.81818181818181823</v>
      </c>
      <c r="AM16" s="50">
        <v>8</v>
      </c>
      <c r="AN16" s="31" t="s">
        <v>239</v>
      </c>
      <c r="AO16" s="32">
        <v>0.43402777777777773</v>
      </c>
      <c r="AP16" s="32">
        <v>0.70486111111111116</v>
      </c>
      <c r="AQ16" s="51">
        <f t="shared" si="1"/>
        <v>0.27083333333333343</v>
      </c>
      <c r="AR16" s="31">
        <v>3</v>
      </c>
      <c r="AS16" s="55" t="s">
        <v>896</v>
      </c>
      <c r="AU16" s="12" t="s">
        <v>27</v>
      </c>
      <c r="AV16" s="14">
        <f>AV8/AV7</f>
        <v>1</v>
      </c>
    </row>
    <row r="17" spans="1:48" x14ac:dyDescent="0.2">
      <c r="B17" s="15">
        <v>11</v>
      </c>
      <c r="C17" s="23" t="s">
        <v>16</v>
      </c>
      <c r="D17" s="21">
        <v>0.23680555555555557</v>
      </c>
      <c r="E17" s="21">
        <v>0.61458333333333337</v>
      </c>
      <c r="F17" s="38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0.37777777777777777</v>
      </c>
      <c r="G17" s="20">
        <v>3</v>
      </c>
      <c r="H17" s="16" t="s">
        <v>917</v>
      </c>
      <c r="J17" s="12" t="s">
        <v>117</v>
      </c>
      <c r="K17" s="48">
        <f>AVERAGE(Table13245678910111321252934394449546149141924293336424753919786104110116122127131136141914241930364248546066727782879297102107112117122132137147127[JAM KELUAR])</f>
        <v>0.27793209876543207</v>
      </c>
      <c r="W17" s="12" t="s">
        <v>117</v>
      </c>
      <c r="X17" s="48">
        <f>AVERAGE(Table134567891011172226303540455055625101520253034384348549298871051111171231281321371421015252031374349556167737883889398103108113118123133138148128[JAM KELUAR])</f>
        <v>0.33454861111111112</v>
      </c>
      <c r="Z17" s="56"/>
      <c r="AA17" s="50">
        <v>11</v>
      </c>
      <c r="AB17" s="33" t="s">
        <v>79</v>
      </c>
      <c r="AC17" s="44">
        <v>0.30555555555555552</v>
      </c>
      <c r="AD17" s="44">
        <v>0.65486111111111112</v>
      </c>
      <c r="AE17" s="51">
        <f t="shared" si="0"/>
        <v>0.34930555555555559</v>
      </c>
      <c r="AF17" s="31">
        <v>4</v>
      </c>
      <c r="AG17" s="55" t="s">
        <v>781</v>
      </c>
      <c r="AI17" s="12" t="s">
        <v>117</v>
      </c>
      <c r="AJ17" s="48">
        <f>AVERAGE(Table134567891011151819232731374247525927121722273228414652909680103109115121126120135140813231828344046525864707580859095100105110115120125135145150130[JAM KELUAR])</f>
        <v>0.28533950617283949</v>
      </c>
      <c r="AM17" s="1">
        <v>15</v>
      </c>
      <c r="AN17" s="2" t="s">
        <v>274</v>
      </c>
      <c r="AO17" s="41">
        <v>0.22569444444444445</v>
      </c>
      <c r="AP17" s="41">
        <v>0.66666666666666663</v>
      </c>
      <c r="AQ17" s="26">
        <f t="shared" si="1"/>
        <v>0.44097222222222221</v>
      </c>
      <c r="AR17" s="2">
        <v>4</v>
      </c>
      <c r="AS17" s="45" t="s">
        <v>25</v>
      </c>
      <c r="AU17" s="12" t="s">
        <v>117</v>
      </c>
      <c r="AV17" s="48">
        <f>AVERAGE(Table134567891011151819232731374247525927121722273228414652909680103109115121126120135140813231829354147535965717681869196101106111116121131136146126[JAM KELUAR])</f>
        <v>0.27550000000000002</v>
      </c>
    </row>
    <row r="18" spans="1:48" x14ac:dyDescent="0.2">
      <c r="B18" s="50">
        <v>12</v>
      </c>
      <c r="C18" s="33" t="s">
        <v>121</v>
      </c>
      <c r="D18" s="32">
        <v>0.29236111111111113</v>
      </c>
      <c r="E18" s="32">
        <v>0.61458333333333337</v>
      </c>
      <c r="F18" s="51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0.32222222222222224</v>
      </c>
      <c r="G18" s="31">
        <v>3</v>
      </c>
      <c r="H18" s="53" t="s">
        <v>919</v>
      </c>
      <c r="AA18" s="50">
        <v>12</v>
      </c>
      <c r="AB18" s="33" t="s">
        <v>56</v>
      </c>
      <c r="AC18" s="44">
        <v>0.29375000000000001</v>
      </c>
      <c r="AD18" s="44">
        <v>0.59236111111111112</v>
      </c>
      <c r="AE18" s="51">
        <f t="shared" si="0"/>
        <v>0.2986111111111111</v>
      </c>
      <c r="AF18" s="31">
        <v>4</v>
      </c>
      <c r="AG18" s="55" t="s">
        <v>907</v>
      </c>
      <c r="AI18" s="17"/>
      <c r="AM18" s="1">
        <v>17</v>
      </c>
      <c r="AN18" s="2" t="s">
        <v>279</v>
      </c>
      <c r="AO18" s="41">
        <v>0.23055555555555554</v>
      </c>
      <c r="AP18" s="41">
        <v>0.64652777777777781</v>
      </c>
      <c r="AQ18" s="26">
        <f t="shared" si="1"/>
        <v>0.4159722222222223</v>
      </c>
      <c r="AR18" s="2">
        <v>4</v>
      </c>
      <c r="AS18" s="45" t="s">
        <v>25</v>
      </c>
      <c r="AU18" s="17"/>
    </row>
    <row r="19" spans="1:48" ht="15.75" customHeight="1" x14ac:dyDescent="0.2">
      <c r="A19" s="56"/>
      <c r="B19" s="15">
        <v>13</v>
      </c>
      <c r="C19" s="23" t="s">
        <v>18</v>
      </c>
      <c r="D19" s="21">
        <v>0.25763888888888892</v>
      </c>
      <c r="E19" s="21">
        <v>0.71597222222222223</v>
      </c>
      <c r="F19" s="38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0.45833333333333331</v>
      </c>
      <c r="G19" s="20">
        <v>3</v>
      </c>
      <c r="H19" s="16" t="s">
        <v>918</v>
      </c>
      <c r="Z19" s="56"/>
      <c r="AA19" s="1">
        <v>13</v>
      </c>
      <c r="AB19" s="29" t="s">
        <v>82</v>
      </c>
      <c r="AC19" s="30">
        <v>0.26666666666666666</v>
      </c>
      <c r="AD19" s="30">
        <v>0.6743055555555556</v>
      </c>
      <c r="AE19" s="26">
        <f t="shared" si="0"/>
        <v>0.40763888888888894</v>
      </c>
      <c r="AF19" s="2">
        <v>5</v>
      </c>
      <c r="AG19" s="45" t="s">
        <v>25</v>
      </c>
      <c r="AM19" s="1">
        <v>13</v>
      </c>
      <c r="AN19" s="2" t="s">
        <v>236</v>
      </c>
      <c r="AO19" s="41">
        <v>0.23263888888888887</v>
      </c>
      <c r="AP19" s="41">
        <v>0.66666666666666663</v>
      </c>
      <c r="AQ19" s="26">
        <f t="shared" si="1"/>
        <v>0.43402777777777779</v>
      </c>
      <c r="AR19" s="2">
        <v>4</v>
      </c>
      <c r="AS19" s="45" t="s">
        <v>25</v>
      </c>
    </row>
    <row r="20" spans="1:48" ht="17.25" customHeight="1" x14ac:dyDescent="0.2">
      <c r="B20" s="1">
        <v>14</v>
      </c>
      <c r="C20" s="29" t="s">
        <v>71</v>
      </c>
      <c r="D20" s="41">
        <v>0.23263888888888887</v>
      </c>
      <c r="E20" s="41">
        <v>0.68125000000000002</v>
      </c>
      <c r="F20" s="26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0.44861111111111118</v>
      </c>
      <c r="G20" s="2">
        <v>4</v>
      </c>
      <c r="H20" s="102" t="s">
        <v>25</v>
      </c>
      <c r="AA20" s="1">
        <v>14</v>
      </c>
      <c r="AB20" s="29" t="s">
        <v>123</v>
      </c>
      <c r="AC20" s="30">
        <v>0.28194444444444444</v>
      </c>
      <c r="AD20" s="30">
        <v>0.70138888888888884</v>
      </c>
      <c r="AE20" s="26">
        <f t="shared" si="0"/>
        <v>0.4194444444444444</v>
      </c>
      <c r="AF20" s="2">
        <v>5</v>
      </c>
      <c r="AG20" s="45" t="s">
        <v>25</v>
      </c>
      <c r="AM20" s="1">
        <v>11</v>
      </c>
      <c r="AN20" s="2" t="s">
        <v>559</v>
      </c>
      <c r="AO20" s="41">
        <v>0.24861111111111112</v>
      </c>
      <c r="AP20" s="41">
        <v>0.7104166666666667</v>
      </c>
      <c r="AQ20" s="26">
        <f t="shared" si="1"/>
        <v>0.46180555555555558</v>
      </c>
      <c r="AR20" s="2">
        <v>4</v>
      </c>
      <c r="AS20" s="45" t="s">
        <v>25</v>
      </c>
    </row>
    <row r="21" spans="1:48" ht="15.75" customHeight="1" x14ac:dyDescent="0.2">
      <c r="A21" s="56"/>
      <c r="B21" s="1">
        <v>15</v>
      </c>
      <c r="C21" s="29" t="s">
        <v>74</v>
      </c>
      <c r="D21" s="41">
        <v>0.26041666666666669</v>
      </c>
      <c r="E21" s="41">
        <v>0.70277777777777783</v>
      </c>
      <c r="F21" s="26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0.44236111111111115</v>
      </c>
      <c r="G21" s="2">
        <v>4</v>
      </c>
      <c r="H21" s="102" t="s">
        <v>25</v>
      </c>
      <c r="AA21" s="50">
        <v>15</v>
      </c>
      <c r="AB21" s="33" t="s">
        <v>57</v>
      </c>
      <c r="AC21" s="32">
        <v>0.2986111111111111</v>
      </c>
      <c r="AD21" s="44">
        <v>0.70208333333333339</v>
      </c>
      <c r="AE21" s="51">
        <f t="shared" si="0"/>
        <v>0.40347222222222229</v>
      </c>
      <c r="AF21" s="31">
        <v>5</v>
      </c>
      <c r="AG21" s="55" t="s">
        <v>25</v>
      </c>
      <c r="AM21" s="1">
        <v>22</v>
      </c>
      <c r="AN21" s="2" t="s">
        <v>306</v>
      </c>
      <c r="AO21" s="41">
        <v>0.25069444444444444</v>
      </c>
      <c r="AP21" s="41">
        <v>0.68472222222222223</v>
      </c>
      <c r="AQ21" s="26">
        <f t="shared" si="1"/>
        <v>0.43402777777777779</v>
      </c>
      <c r="AR21" s="2">
        <v>4</v>
      </c>
      <c r="AS21" s="45" t="s">
        <v>25</v>
      </c>
    </row>
    <row r="22" spans="1:48" ht="15" customHeight="1" x14ac:dyDescent="0.2">
      <c r="B22" s="1">
        <v>16</v>
      </c>
      <c r="C22" s="29" t="s">
        <v>75</v>
      </c>
      <c r="D22" s="41">
        <v>0.22291666666666665</v>
      </c>
      <c r="E22" s="41">
        <v>0.64097222222222217</v>
      </c>
      <c r="F22" s="26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0.41805555555555551</v>
      </c>
      <c r="G22" s="2">
        <v>4</v>
      </c>
      <c r="H22" s="102" t="s">
        <v>25</v>
      </c>
      <c r="AA22" s="1">
        <v>16</v>
      </c>
      <c r="AB22" s="29" t="s">
        <v>40</v>
      </c>
      <c r="AC22" s="41">
        <v>0.27777777777777779</v>
      </c>
      <c r="AD22" s="30">
        <v>0.72291666666666676</v>
      </c>
      <c r="AE22" s="26">
        <f t="shared" si="0"/>
        <v>0.44513888888888897</v>
      </c>
      <c r="AF22" s="2">
        <v>5</v>
      </c>
      <c r="AG22" s="45" t="s">
        <v>25</v>
      </c>
      <c r="AM22" s="1">
        <v>12</v>
      </c>
      <c r="AN22" s="2" t="s">
        <v>235</v>
      </c>
      <c r="AO22" s="41">
        <v>0.25138888888888888</v>
      </c>
      <c r="AP22" s="41">
        <v>0.67361111111111116</v>
      </c>
      <c r="AQ22" s="26">
        <f t="shared" si="1"/>
        <v>0.42222222222222228</v>
      </c>
      <c r="AR22" s="2">
        <v>4</v>
      </c>
      <c r="AS22" s="45" t="s">
        <v>25</v>
      </c>
    </row>
    <row r="23" spans="1:48" ht="15" customHeight="1" x14ac:dyDescent="0.2">
      <c r="B23" s="1">
        <v>17</v>
      </c>
      <c r="C23" s="29" t="s">
        <v>15</v>
      </c>
      <c r="D23" s="41">
        <v>0.25347222222222221</v>
      </c>
      <c r="E23" s="41">
        <v>0.64583333333333337</v>
      </c>
      <c r="F23" s="26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0.39236111111111116</v>
      </c>
      <c r="G23" s="2">
        <v>4</v>
      </c>
      <c r="H23" s="102" t="s">
        <v>25</v>
      </c>
      <c r="Z23" s="56" t="s">
        <v>209</v>
      </c>
      <c r="AA23" s="50">
        <v>17</v>
      </c>
      <c r="AB23" s="33" t="s">
        <v>30</v>
      </c>
      <c r="AC23" s="32">
        <v>0.31666666666666665</v>
      </c>
      <c r="AD23" s="32">
        <v>0.75416666666666676</v>
      </c>
      <c r="AE23" s="52">
        <f t="shared" si="0"/>
        <v>0.43750000000000011</v>
      </c>
      <c r="AF23" s="31">
        <v>5</v>
      </c>
      <c r="AG23" s="55" t="s">
        <v>920</v>
      </c>
      <c r="AM23" s="1">
        <v>18</v>
      </c>
      <c r="AN23" s="2" t="s">
        <v>280</v>
      </c>
      <c r="AO23" s="41">
        <v>0.25277777777777777</v>
      </c>
      <c r="AP23" s="41">
        <v>0.67152777777777783</v>
      </c>
      <c r="AQ23" s="26">
        <f t="shared" si="1"/>
        <v>0.41875000000000007</v>
      </c>
      <c r="AR23" s="2">
        <v>4</v>
      </c>
      <c r="AS23" s="45" t="s">
        <v>25</v>
      </c>
    </row>
    <row r="24" spans="1:48" ht="15" customHeight="1" x14ac:dyDescent="0.2">
      <c r="B24" s="1">
        <v>18</v>
      </c>
      <c r="C24" s="2" t="s">
        <v>76</v>
      </c>
      <c r="D24" s="41">
        <v>0.22500000000000001</v>
      </c>
      <c r="E24" s="41">
        <v>0.67083333333333339</v>
      </c>
      <c r="F24" s="26">
        <f>Table13245678910111321252934394449546149141924293336424753919786104110116122127131136141914241930364248546066727782879297102107112117122132137147127[[#This Row],[JAM MASUK]]-Table13245678910111321252934394449546149141924293336424753919786104110116122127131136141914241930364248546066727782879297102107112117122132137147127[[#This Row],[JAM KELUAR]]</f>
        <v>0.44583333333333341</v>
      </c>
      <c r="G24" s="2">
        <v>4</v>
      </c>
      <c r="H24" s="102" t="s">
        <v>25</v>
      </c>
      <c r="AA24" s="50">
        <v>18</v>
      </c>
      <c r="AB24" s="33" t="s">
        <v>34</v>
      </c>
      <c r="AC24" s="44">
        <v>0.34166666666666662</v>
      </c>
      <c r="AD24" s="44">
        <v>0.73472222222222217</v>
      </c>
      <c r="AE24" s="52">
        <f t="shared" si="0"/>
        <v>0.39305555555555555</v>
      </c>
      <c r="AF24" s="33">
        <v>5</v>
      </c>
      <c r="AG24" s="55" t="s">
        <v>25</v>
      </c>
      <c r="AM24" s="1">
        <v>23</v>
      </c>
      <c r="AN24" s="2" t="s">
        <v>307</v>
      </c>
      <c r="AO24" s="41">
        <v>0.25486111111111109</v>
      </c>
      <c r="AP24" s="41">
        <v>0.72569444444444453</v>
      </c>
      <c r="AQ24" s="26">
        <f t="shared" si="1"/>
        <v>0.47083333333333344</v>
      </c>
      <c r="AR24" s="2">
        <v>4</v>
      </c>
      <c r="AS24" s="45" t="s">
        <v>25</v>
      </c>
    </row>
    <row r="25" spans="1:48" ht="14.5" customHeight="1" x14ac:dyDescent="0.2">
      <c r="AA25" s="1">
        <v>19</v>
      </c>
      <c r="AB25" s="29" t="s">
        <v>45</v>
      </c>
      <c r="AC25" s="30">
        <v>0.24791666666666667</v>
      </c>
      <c r="AD25" s="30">
        <v>0.64583333333333337</v>
      </c>
      <c r="AE25" s="39">
        <f t="shared" si="0"/>
        <v>0.3979166666666667</v>
      </c>
      <c r="AF25" s="29">
        <v>5</v>
      </c>
      <c r="AG25" s="45" t="s">
        <v>25</v>
      </c>
      <c r="AM25" s="1">
        <v>19</v>
      </c>
      <c r="AN25" s="2" t="s">
        <v>303</v>
      </c>
      <c r="AO25" s="41">
        <v>0.2590277777777778</v>
      </c>
      <c r="AP25" s="41">
        <v>0.65138888888888891</v>
      </c>
      <c r="AQ25" s="26">
        <f t="shared" si="1"/>
        <v>0.3923611111111111</v>
      </c>
      <c r="AR25" s="2">
        <v>4</v>
      </c>
      <c r="AS25" s="45" t="s">
        <v>25</v>
      </c>
    </row>
    <row r="26" spans="1:48" ht="14.5" customHeight="1" x14ac:dyDescent="0.2">
      <c r="G26" s="34"/>
      <c r="H26" s="35" t="s">
        <v>90</v>
      </c>
      <c r="N26" s="54"/>
      <c r="AA26" s="1">
        <v>20</v>
      </c>
      <c r="AB26" s="29" t="s">
        <v>77</v>
      </c>
      <c r="AC26" s="30">
        <v>0.25208333333333333</v>
      </c>
      <c r="AD26" s="30">
        <v>0.69027777777777777</v>
      </c>
      <c r="AE26" s="39">
        <f t="shared" si="0"/>
        <v>0.43819444444444444</v>
      </c>
      <c r="AF26" s="29">
        <v>5</v>
      </c>
      <c r="AG26" s="45" t="s">
        <v>25</v>
      </c>
      <c r="AM26" s="1">
        <v>21</v>
      </c>
      <c r="AN26" s="2" t="s">
        <v>476</v>
      </c>
      <c r="AO26" s="41">
        <v>0.26666666666666666</v>
      </c>
      <c r="AP26" s="41">
        <v>0.67847222222222225</v>
      </c>
      <c r="AQ26" s="26">
        <f t="shared" si="1"/>
        <v>0.41180555555555559</v>
      </c>
      <c r="AR26" s="2">
        <v>4</v>
      </c>
      <c r="AS26" s="45" t="s">
        <v>25</v>
      </c>
    </row>
    <row r="27" spans="1:48" ht="14.5" customHeight="1" x14ac:dyDescent="0.2">
      <c r="G27" s="56" t="s">
        <v>209</v>
      </c>
      <c r="H27" s="35" t="s">
        <v>92</v>
      </c>
      <c r="N27" s="54"/>
      <c r="Z27" s="56"/>
      <c r="AA27" s="50">
        <v>21</v>
      </c>
      <c r="AB27" s="33" t="s">
        <v>122</v>
      </c>
      <c r="AC27" s="44">
        <v>0.2986111111111111</v>
      </c>
      <c r="AD27" s="44">
        <v>0.7104166666666667</v>
      </c>
      <c r="AE27" s="52">
        <f t="shared" si="0"/>
        <v>0.41180555555555559</v>
      </c>
      <c r="AF27" s="33">
        <v>5</v>
      </c>
      <c r="AG27" s="55" t="s">
        <v>25</v>
      </c>
      <c r="AM27" s="1">
        <v>24</v>
      </c>
      <c r="AN27" s="2" t="s">
        <v>308</v>
      </c>
      <c r="AO27" s="41">
        <v>0.27638888888888885</v>
      </c>
      <c r="AP27" s="41">
        <v>0.64652777777777781</v>
      </c>
      <c r="AQ27" s="26">
        <f t="shared" si="1"/>
        <v>0.37013888888888896</v>
      </c>
      <c r="AR27" s="2">
        <v>4</v>
      </c>
      <c r="AS27" s="45" t="s">
        <v>25</v>
      </c>
    </row>
    <row r="28" spans="1:48" x14ac:dyDescent="0.2">
      <c r="N28" s="54"/>
      <c r="AA28" s="1">
        <v>22</v>
      </c>
      <c r="AB28" s="2" t="s">
        <v>49</v>
      </c>
      <c r="AC28" s="30">
        <v>0.28125</v>
      </c>
      <c r="AD28" s="30">
        <v>0.68819444444444444</v>
      </c>
      <c r="AE28" s="39">
        <f t="shared" si="0"/>
        <v>0.40694444444444444</v>
      </c>
      <c r="AF28" s="29">
        <v>5</v>
      </c>
      <c r="AG28" s="45" t="s">
        <v>25</v>
      </c>
      <c r="AM28" s="1">
        <v>20</v>
      </c>
      <c r="AN28" s="2" t="s">
        <v>304</v>
      </c>
      <c r="AO28" s="41">
        <v>0.28055555555555556</v>
      </c>
      <c r="AP28" s="41">
        <v>0.65555555555555556</v>
      </c>
      <c r="AQ28" s="26">
        <f t="shared" si="1"/>
        <v>0.375</v>
      </c>
      <c r="AR28" s="2">
        <v>4</v>
      </c>
      <c r="AS28" s="45" t="s">
        <v>25</v>
      </c>
    </row>
    <row r="29" spans="1:48" x14ac:dyDescent="0.2">
      <c r="N29" s="54"/>
      <c r="Z29" s="56" t="s">
        <v>209</v>
      </c>
      <c r="AA29" s="50">
        <v>23</v>
      </c>
      <c r="AB29" s="33" t="s">
        <v>47</v>
      </c>
      <c r="AC29" s="44">
        <v>0.33263888888888887</v>
      </c>
      <c r="AD29" s="44">
        <v>0.72013888888888899</v>
      </c>
      <c r="AE29" s="52">
        <f t="shared" si="0"/>
        <v>0.38750000000000012</v>
      </c>
      <c r="AF29" s="33">
        <v>5</v>
      </c>
      <c r="AG29" s="55" t="s">
        <v>920</v>
      </c>
      <c r="AM29" s="1">
        <v>14</v>
      </c>
      <c r="AN29" s="2" t="s">
        <v>273</v>
      </c>
      <c r="AO29" s="41">
        <v>0.28958333333333336</v>
      </c>
      <c r="AP29" s="41">
        <v>0.73125000000000007</v>
      </c>
      <c r="AQ29" s="26">
        <f t="shared" si="1"/>
        <v>0.44166666666666671</v>
      </c>
      <c r="AR29" s="2">
        <v>4</v>
      </c>
      <c r="AS29" s="45" t="s">
        <v>25</v>
      </c>
    </row>
    <row r="30" spans="1:48" x14ac:dyDescent="0.2">
      <c r="AA30" s="1">
        <v>24</v>
      </c>
      <c r="AB30" s="29" t="s">
        <v>67</v>
      </c>
      <c r="AC30" s="30">
        <v>0.24722222222222223</v>
      </c>
      <c r="AD30" s="30">
        <v>0.73958333333333337</v>
      </c>
      <c r="AE30" s="39">
        <f t="shared" si="0"/>
        <v>0.49236111111111114</v>
      </c>
      <c r="AF30" s="29">
        <v>6</v>
      </c>
      <c r="AG30" s="45" t="s">
        <v>25</v>
      </c>
      <c r="AM30" s="50">
        <v>16</v>
      </c>
      <c r="AN30" s="31" t="s">
        <v>278</v>
      </c>
      <c r="AO30" s="32">
        <v>0.29791666666666666</v>
      </c>
      <c r="AP30" s="32">
        <v>0.73611111111111116</v>
      </c>
      <c r="AQ30" s="51">
        <f t="shared" si="1"/>
        <v>0.4381944444444445</v>
      </c>
      <c r="AR30" s="31">
        <v>4</v>
      </c>
      <c r="AS30" s="55" t="s">
        <v>25</v>
      </c>
    </row>
    <row r="31" spans="1:48" x14ac:dyDescent="0.2">
      <c r="AA31" s="1">
        <v>25</v>
      </c>
      <c r="AB31" s="29" t="s">
        <v>80</v>
      </c>
      <c r="AC31" s="30">
        <v>0.27083333333333331</v>
      </c>
      <c r="AD31" s="30">
        <v>0.7090277777777777</v>
      </c>
      <c r="AE31" s="39">
        <f t="shared" si="0"/>
        <v>0.43819444444444439</v>
      </c>
      <c r="AF31" s="29">
        <v>6</v>
      </c>
      <c r="AG31" s="45" t="s">
        <v>25</v>
      </c>
      <c r="AM31" s="1">
        <v>25</v>
      </c>
      <c r="AN31" s="2" t="s">
        <v>233</v>
      </c>
      <c r="AO31" s="41">
        <v>0.27708333333333335</v>
      </c>
      <c r="AP31" s="41">
        <v>0.73541666666666661</v>
      </c>
      <c r="AQ31" s="26">
        <f t="shared" si="1"/>
        <v>0.45833333333333326</v>
      </c>
      <c r="AR31" s="2">
        <v>5</v>
      </c>
      <c r="AS31" s="45" t="s">
        <v>25</v>
      </c>
    </row>
    <row r="32" spans="1:48" x14ac:dyDescent="0.2">
      <c r="V32" s="1"/>
      <c r="AA32" s="1">
        <v>26</v>
      </c>
      <c r="AB32" s="2" t="s">
        <v>81</v>
      </c>
      <c r="AC32" s="30">
        <v>0.24374999999999999</v>
      </c>
      <c r="AD32" s="30">
        <v>0.76736111111111116</v>
      </c>
      <c r="AE32" s="39">
        <f t="shared" si="0"/>
        <v>0.52361111111111114</v>
      </c>
      <c r="AF32" s="29">
        <v>6</v>
      </c>
      <c r="AG32" s="45" t="s">
        <v>25</v>
      </c>
    </row>
    <row r="33" spans="1:45" x14ac:dyDescent="0.2">
      <c r="V33" s="1"/>
      <c r="AA33" s="1">
        <v>27</v>
      </c>
      <c r="AB33" s="2" t="s">
        <v>60</v>
      </c>
      <c r="AC33" s="30">
        <v>0.23680555555555557</v>
      </c>
      <c r="AD33" s="30">
        <v>0.73055555555555562</v>
      </c>
      <c r="AE33" s="39">
        <f t="shared" si="0"/>
        <v>0.49375000000000002</v>
      </c>
      <c r="AF33" s="29">
        <v>6</v>
      </c>
      <c r="AG33" s="45" t="s">
        <v>25</v>
      </c>
    </row>
    <row r="34" spans="1:45" x14ac:dyDescent="0.2">
      <c r="V34" s="1"/>
      <c r="AR34" s="34"/>
      <c r="AS34" s="35" t="s">
        <v>90</v>
      </c>
    </row>
    <row r="35" spans="1:45" x14ac:dyDescent="0.2">
      <c r="V35" s="1"/>
      <c r="AR35" s="56" t="s">
        <v>209</v>
      </c>
      <c r="AS35" s="35" t="s">
        <v>92</v>
      </c>
    </row>
    <row r="36" spans="1:45" x14ac:dyDescent="0.2">
      <c r="V36" s="1"/>
    </row>
    <row r="37" spans="1:45" x14ac:dyDescent="0.2">
      <c r="V37" s="1"/>
    </row>
    <row r="38" spans="1:45" x14ac:dyDescent="0.2">
      <c r="V38" s="1"/>
      <c r="AF38" s="34"/>
      <c r="AG38" s="35" t="s">
        <v>90</v>
      </c>
    </row>
    <row r="39" spans="1:45" x14ac:dyDescent="0.2">
      <c r="V39" s="1"/>
      <c r="AF39" s="56" t="s">
        <v>209</v>
      </c>
      <c r="AG39" s="35" t="s">
        <v>92</v>
      </c>
    </row>
    <row r="40" spans="1:45" x14ac:dyDescent="0.2">
      <c r="V40" s="1"/>
    </row>
    <row r="41" spans="1:45" ht="21" x14ac:dyDescent="0.25">
      <c r="A41" s="46"/>
    </row>
    <row r="49" spans="15:22" x14ac:dyDescent="0.2">
      <c r="O49" s="2" t="s">
        <v>0</v>
      </c>
      <c r="P49" s="2" t="s">
        <v>1</v>
      </c>
      <c r="Q49" s="22" t="s">
        <v>61</v>
      </c>
      <c r="R49" s="22" t="s">
        <v>62</v>
      </c>
      <c r="S49" s="22" t="s">
        <v>63</v>
      </c>
      <c r="T49" s="2" t="s">
        <v>2</v>
      </c>
      <c r="U49" s="2" t="s">
        <v>3</v>
      </c>
    </row>
    <row r="50" spans="15:22" x14ac:dyDescent="0.2">
      <c r="O50" s="27">
        <v>1</v>
      </c>
      <c r="P50" s="2"/>
      <c r="Q50" s="41"/>
      <c r="R50" s="42"/>
      <c r="S50" s="26"/>
      <c r="T50" s="2"/>
      <c r="U50" s="24"/>
    </row>
    <row r="51" spans="15:22" x14ac:dyDescent="0.2">
      <c r="O51" s="15">
        <v>2</v>
      </c>
      <c r="P51" s="29"/>
      <c r="Q51" s="30"/>
      <c r="R51" s="36"/>
      <c r="S51" s="26"/>
      <c r="T51" s="29"/>
      <c r="U51" s="24"/>
    </row>
    <row r="52" spans="15:22" x14ac:dyDescent="0.2">
      <c r="O52" s="15">
        <v>3</v>
      </c>
      <c r="P52" s="29"/>
      <c r="Q52" s="30"/>
      <c r="R52" s="36"/>
      <c r="S52" s="39"/>
      <c r="T52" s="29"/>
      <c r="U52" s="16"/>
    </row>
    <row r="53" spans="15:22" x14ac:dyDescent="0.2">
      <c r="O53" s="27">
        <v>4</v>
      </c>
      <c r="P53" s="29"/>
      <c r="Q53" s="30"/>
      <c r="R53" s="36"/>
      <c r="S53" s="39"/>
      <c r="T53" s="29"/>
      <c r="U53" s="24"/>
    </row>
    <row r="54" spans="15:22" x14ac:dyDescent="0.2">
      <c r="O54" s="15">
        <v>5</v>
      </c>
      <c r="P54" s="29"/>
      <c r="Q54" s="30"/>
      <c r="R54" s="36"/>
      <c r="S54" s="26"/>
      <c r="T54" s="29"/>
      <c r="U54" s="24"/>
    </row>
    <row r="55" spans="15:22" x14ac:dyDescent="0.2">
      <c r="O55" s="15">
        <v>6</v>
      </c>
      <c r="P55" s="29"/>
      <c r="Q55" s="30"/>
      <c r="R55" s="36"/>
      <c r="S55" s="26"/>
      <c r="T55" s="29"/>
      <c r="U55" s="24"/>
    </row>
    <row r="56" spans="15:22" x14ac:dyDescent="0.2">
      <c r="O56" s="27">
        <v>7</v>
      </c>
      <c r="P56" s="29"/>
      <c r="Q56" s="30"/>
      <c r="R56" s="36"/>
      <c r="S56" s="39"/>
      <c r="T56" s="29"/>
      <c r="U56" s="24"/>
    </row>
    <row r="57" spans="15:22" x14ac:dyDescent="0.2">
      <c r="O57" s="15">
        <v>8</v>
      </c>
      <c r="P57" s="29"/>
      <c r="Q57" s="30"/>
      <c r="R57" s="36"/>
      <c r="S57" s="26"/>
      <c r="T57" s="29"/>
      <c r="U57" s="24"/>
    </row>
    <row r="58" spans="15:22" x14ac:dyDescent="0.2">
      <c r="O58" s="15">
        <v>9</v>
      </c>
      <c r="P58" s="29"/>
      <c r="Q58" s="30"/>
      <c r="R58" s="36"/>
      <c r="S58" s="26"/>
      <c r="T58" s="29"/>
      <c r="U58" s="24"/>
    </row>
    <row r="59" spans="15:22" x14ac:dyDescent="0.2">
      <c r="O59" s="27">
        <v>10</v>
      </c>
      <c r="P59" s="29"/>
      <c r="Q59" s="30"/>
      <c r="R59" s="36"/>
      <c r="S59" s="26"/>
      <c r="T59" s="29"/>
      <c r="U59" s="24"/>
    </row>
    <row r="60" spans="15:22" x14ac:dyDescent="0.2">
      <c r="O60" s="15">
        <v>11</v>
      </c>
      <c r="P60" s="29"/>
      <c r="Q60" s="30"/>
      <c r="R60" s="36"/>
      <c r="S60" s="26"/>
      <c r="T60" s="29"/>
      <c r="U60" s="24"/>
    </row>
    <row r="61" spans="15:22" x14ac:dyDescent="0.2">
      <c r="O61" s="1">
        <v>12</v>
      </c>
      <c r="P61" s="29"/>
      <c r="Q61" s="30"/>
      <c r="R61" s="36"/>
      <c r="S61" s="39"/>
      <c r="T61" s="29"/>
      <c r="U61" s="25"/>
    </row>
    <row r="62" spans="15:22" x14ac:dyDescent="0.2">
      <c r="O62" s="28">
        <v>13</v>
      </c>
      <c r="P62" s="29"/>
      <c r="Q62" s="30"/>
      <c r="R62" s="36"/>
      <c r="S62" s="26"/>
      <c r="T62" s="29"/>
      <c r="U62" s="25"/>
    </row>
    <row r="63" spans="15:22" x14ac:dyDescent="0.2">
      <c r="O63" s="27">
        <v>14</v>
      </c>
      <c r="P63" s="29"/>
      <c r="Q63" s="30"/>
      <c r="R63" s="36"/>
      <c r="S63" s="26"/>
      <c r="T63" s="29"/>
      <c r="U63" s="24"/>
      <c r="V63" s="1"/>
    </row>
    <row r="64" spans="15:22" x14ac:dyDescent="0.2">
      <c r="O64" s="15">
        <v>15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">
        <v>16</v>
      </c>
      <c r="P65" s="29"/>
      <c r="Q65" s="30"/>
      <c r="R65" s="36"/>
      <c r="S65" s="26"/>
      <c r="T65" s="29"/>
      <c r="U65" s="25"/>
      <c r="V65" s="1"/>
    </row>
    <row r="66" spans="15:22" x14ac:dyDescent="0.2">
      <c r="O66" s="28">
        <v>17</v>
      </c>
      <c r="P66" s="29"/>
      <c r="Q66" s="30"/>
      <c r="R66" s="36"/>
      <c r="S66" s="26"/>
      <c r="T66" s="29"/>
      <c r="U66" s="25"/>
    </row>
    <row r="67" spans="15:22" x14ac:dyDescent="0.2">
      <c r="O67" s="27">
        <v>18</v>
      </c>
      <c r="P67" s="29"/>
      <c r="Q67" s="30"/>
      <c r="R67" s="36"/>
      <c r="S67" s="26"/>
      <c r="T67" s="29"/>
      <c r="U67" s="24"/>
    </row>
    <row r="68" spans="15:22" x14ac:dyDescent="0.2">
      <c r="O68" s="1">
        <v>19</v>
      </c>
      <c r="P68" s="29"/>
      <c r="Q68" s="30"/>
      <c r="R68" s="36"/>
      <c r="S68" s="39"/>
      <c r="T68" s="29"/>
      <c r="U68" s="25"/>
    </row>
    <row r="69" spans="15:22" x14ac:dyDescent="0.2">
      <c r="O69" s="1">
        <v>20</v>
      </c>
      <c r="P69" s="29"/>
      <c r="Q69" s="30"/>
      <c r="R69" s="36"/>
      <c r="S69" s="39"/>
      <c r="T69" s="29"/>
      <c r="U69" s="25"/>
    </row>
    <row r="70" spans="15:22" x14ac:dyDescent="0.2">
      <c r="O70" s="28">
        <v>21</v>
      </c>
      <c r="P70" s="29"/>
      <c r="Q70" s="30"/>
      <c r="R70" s="36"/>
      <c r="S70" s="26"/>
      <c r="T70" s="29"/>
      <c r="U70" s="25"/>
    </row>
    <row r="71" spans="15:22" x14ac:dyDescent="0.2">
      <c r="O71" s="27">
        <v>22</v>
      </c>
      <c r="P71" s="29"/>
      <c r="Q71" s="30"/>
      <c r="R71" s="36"/>
      <c r="S71" s="26"/>
      <c r="T71" s="29"/>
      <c r="U71" s="25"/>
    </row>
  </sheetData>
  <mergeCells count="19"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  <mergeCell ref="O1:X1"/>
    <mergeCell ref="AA1:AJ1"/>
    <mergeCell ref="AM1:AV1"/>
    <mergeCell ref="B2:K2"/>
    <mergeCell ref="O2:X2"/>
    <mergeCell ref="AA2:AJ2"/>
    <mergeCell ref="AM2:AV2"/>
  </mergeCells>
  <pageMargins left="0.12" right="0.12" top="0.75" bottom="0.75" header="0.3" footer="0.3"/>
  <pageSetup paperSize="5" scale="69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4" min="1" max="39" man="1"/>
    <brk id="37" min="1" max="39" man="1"/>
  </colBreaks>
  <tableParts count="5">
    <tablePart r:id="rId2"/>
    <tablePart r:id="rId3"/>
    <tablePart r:id="rId4"/>
    <tablePart r:id="rId5"/>
    <tablePart r:id="rId6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DA05-44FF-4106-9AAC-F8FF0E11EE8F}">
  <sheetPr>
    <tabColor theme="7" tint="0.39997558519241921"/>
    <pageSetUpPr fitToPage="1"/>
  </sheetPr>
  <dimension ref="A4:K21"/>
  <sheetViews>
    <sheetView showGridLines="0" topLeftCell="C1" zoomScale="70" zoomScaleNormal="70" workbookViewId="0">
      <selection activeCell="I10" sqref="I10"/>
    </sheetView>
  </sheetViews>
  <sheetFormatPr baseColWidth="10" defaultColWidth="8.83203125" defaultRowHeight="15" x14ac:dyDescent="0.2"/>
  <cols>
    <col min="6" max="6" width="4.5" customWidth="1"/>
    <col min="7" max="7" width="26.5" customWidth="1"/>
    <col min="8" max="8" width="38.5" customWidth="1"/>
    <col min="9" max="9" width="37.83203125" customWidth="1"/>
    <col min="10" max="10" width="46.5" customWidth="1"/>
    <col min="11" max="11" width="32" customWidth="1"/>
  </cols>
  <sheetData>
    <row r="4" spans="6:11" ht="33" customHeight="1" x14ac:dyDescent="0.2">
      <c r="F4" s="111" t="s">
        <v>739</v>
      </c>
      <c r="G4" s="111"/>
      <c r="H4" s="111"/>
      <c r="I4" s="111"/>
      <c r="J4" s="111"/>
    </row>
    <row r="5" spans="6:11" ht="16" thickBot="1" x14ac:dyDescent="0.25"/>
    <row r="6" spans="6:11" ht="24.75" customHeight="1" thickBot="1" x14ac:dyDescent="0.25">
      <c r="F6" s="94" t="s">
        <v>734</v>
      </c>
      <c r="G6" s="89" t="s">
        <v>733</v>
      </c>
      <c r="H6" s="89" t="s">
        <v>744</v>
      </c>
      <c r="I6" s="89" t="s">
        <v>740</v>
      </c>
      <c r="J6" s="89" t="s">
        <v>735</v>
      </c>
    </row>
    <row r="7" spans="6:11" ht="71.5" customHeight="1" thickBot="1" x14ac:dyDescent="0.25">
      <c r="F7" s="84">
        <v>1</v>
      </c>
      <c r="G7" s="95" t="s">
        <v>736</v>
      </c>
      <c r="H7" s="84" t="s">
        <v>745</v>
      </c>
      <c r="I7" s="85" t="s">
        <v>741</v>
      </c>
      <c r="J7" s="86" t="s">
        <v>743</v>
      </c>
    </row>
    <row r="8" spans="6:11" ht="59.5" customHeight="1" thickBot="1" x14ac:dyDescent="0.25">
      <c r="F8" s="96">
        <v>2</v>
      </c>
      <c r="G8" s="97"/>
      <c r="H8" s="84" t="s">
        <v>745</v>
      </c>
      <c r="I8" s="85" t="s">
        <v>741</v>
      </c>
      <c r="J8" s="87" t="s">
        <v>742</v>
      </c>
    </row>
    <row r="9" spans="6:11" ht="52" customHeight="1" thickBot="1" x14ac:dyDescent="0.25">
      <c r="F9" s="84">
        <v>3</v>
      </c>
      <c r="G9" s="98"/>
      <c r="H9" s="84" t="s">
        <v>786</v>
      </c>
      <c r="I9" s="85" t="s">
        <v>788</v>
      </c>
      <c r="J9" s="88" t="s">
        <v>787</v>
      </c>
    </row>
    <row r="10" spans="6:11" ht="16" thickBot="1" x14ac:dyDescent="0.25"/>
    <row r="11" spans="6:11" ht="40" customHeight="1" thickBot="1" x14ac:dyDescent="0.25">
      <c r="F11" s="100" t="s">
        <v>734</v>
      </c>
      <c r="G11" s="94" t="s">
        <v>796</v>
      </c>
      <c r="H11" s="89" t="s">
        <v>797</v>
      </c>
      <c r="I11" s="101" t="s">
        <v>798</v>
      </c>
      <c r="J11" s="101" t="s">
        <v>740</v>
      </c>
      <c r="K11" s="101" t="s">
        <v>744</v>
      </c>
    </row>
    <row r="12" spans="6:11" ht="84" customHeight="1" thickBot="1" x14ac:dyDescent="0.25">
      <c r="F12" s="80">
        <v>1</v>
      </c>
      <c r="G12" s="99" t="s">
        <v>800</v>
      </c>
      <c r="H12" s="84" t="s">
        <v>790</v>
      </c>
      <c r="I12" s="84">
        <v>0</v>
      </c>
      <c r="J12" s="99" t="s">
        <v>792</v>
      </c>
      <c r="K12" s="99" t="s">
        <v>793</v>
      </c>
    </row>
    <row r="13" spans="6:11" ht="71.5" customHeight="1" thickBot="1" x14ac:dyDescent="0.25">
      <c r="F13" s="80">
        <v>2</v>
      </c>
      <c r="G13" s="99" t="s">
        <v>799</v>
      </c>
      <c r="H13" s="84" t="s">
        <v>748</v>
      </c>
      <c r="I13" s="93" t="s">
        <v>748</v>
      </c>
      <c r="J13" s="99" t="s">
        <v>741</v>
      </c>
      <c r="K13" s="99" t="s">
        <v>745</v>
      </c>
    </row>
    <row r="14" spans="6:11" ht="111.75" customHeight="1" thickBot="1" x14ac:dyDescent="0.25">
      <c r="F14" s="80">
        <v>3</v>
      </c>
      <c r="G14" s="80" t="s">
        <v>791</v>
      </c>
      <c r="H14" s="84">
        <v>0</v>
      </c>
      <c r="I14" s="93" t="s">
        <v>748</v>
      </c>
      <c r="J14" s="99" t="s">
        <v>795</v>
      </c>
      <c r="K14" s="99" t="s">
        <v>794</v>
      </c>
    </row>
    <row r="15" spans="6:11" ht="16" thickBot="1" x14ac:dyDescent="0.25"/>
    <row r="16" spans="6:11" ht="16" thickBot="1" x14ac:dyDescent="0.25">
      <c r="F16" s="81"/>
      <c r="G16" t="s">
        <v>737</v>
      </c>
    </row>
    <row r="17" spans="1:11" ht="16" thickBot="1" x14ac:dyDescent="0.25">
      <c r="F17" s="83"/>
      <c r="G17" t="s">
        <v>738</v>
      </c>
    </row>
    <row r="18" spans="1:11" ht="16" thickBot="1" x14ac:dyDescent="0.25">
      <c r="F18" s="82"/>
      <c r="G18" t="s">
        <v>789</v>
      </c>
    </row>
    <row r="19" spans="1:11" ht="16" thickBot="1" x14ac:dyDescent="0.25">
      <c r="A19" s="111"/>
      <c r="B19" s="111"/>
      <c r="C19" s="111"/>
      <c r="D19" s="111"/>
      <c r="E19" s="111"/>
      <c r="F19" s="112"/>
      <c r="G19" s="112"/>
      <c r="H19" s="112"/>
      <c r="I19" s="112"/>
      <c r="J19" s="112"/>
      <c r="K19" s="112"/>
    </row>
    <row r="20" spans="1:11" ht="17" thickBot="1" x14ac:dyDescent="0.25">
      <c r="F20" s="80" t="s">
        <v>734</v>
      </c>
      <c r="G20" s="91" t="s">
        <v>746</v>
      </c>
      <c r="H20" s="92" t="s">
        <v>752</v>
      </c>
      <c r="I20" s="91" t="s">
        <v>751</v>
      </c>
      <c r="J20" s="91" t="s">
        <v>750</v>
      </c>
      <c r="K20" s="91" t="s">
        <v>753</v>
      </c>
    </row>
    <row r="21" spans="1:11" ht="63" customHeight="1" thickBot="1" x14ac:dyDescent="0.25">
      <c r="F21" s="80">
        <v>1</v>
      </c>
      <c r="G21" s="90" t="s">
        <v>747</v>
      </c>
      <c r="H21" s="84" t="s">
        <v>748</v>
      </c>
      <c r="I21" s="93" t="s">
        <v>749</v>
      </c>
      <c r="J21" s="84" t="s">
        <v>745</v>
      </c>
      <c r="K21" s="84" t="s">
        <v>741</v>
      </c>
    </row>
  </sheetData>
  <mergeCells count="3">
    <mergeCell ref="F4:J4"/>
    <mergeCell ref="A19:E19"/>
    <mergeCell ref="F19:K19"/>
  </mergeCells>
  <pageMargins left="0.12" right="0.12" top="0.75" bottom="0.75" header="0.3" footer="0.3"/>
  <pageSetup scale="67" orientation="landscape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14CD-F7C9-4681-A6F2-9FD48D61B189}">
  <sheetPr>
    <tabColor theme="7" tint="0.39997558519241921"/>
  </sheetPr>
  <dimension ref="A1:G23"/>
  <sheetViews>
    <sheetView showGridLines="0" view="pageBreakPreview" topLeftCell="A13" zoomScale="85" zoomScaleNormal="55" zoomScaleSheetLayoutView="85" workbookViewId="0">
      <selection activeCell="F15" sqref="F15:G16"/>
    </sheetView>
  </sheetViews>
  <sheetFormatPr baseColWidth="10" defaultColWidth="8.83203125" defaultRowHeight="15" x14ac:dyDescent="0.2"/>
  <cols>
    <col min="1" max="1" width="7.5" customWidth="1"/>
    <col min="2" max="2" width="14.5" bestFit="1" customWidth="1"/>
    <col min="3" max="3" width="7.1640625" customWidth="1"/>
    <col min="4" max="4" width="45.33203125" customWidth="1"/>
    <col min="5" max="5" width="2.5" customWidth="1"/>
    <col min="6" max="6" width="30.83203125" bestFit="1" customWidth="1"/>
    <col min="7" max="7" width="10" customWidth="1"/>
    <col min="8" max="8" width="17.83203125" customWidth="1"/>
    <col min="9" max="9" width="15.83203125" customWidth="1"/>
  </cols>
  <sheetData>
    <row r="1" spans="1:7" ht="21" x14ac:dyDescent="0.25">
      <c r="A1" s="104" t="s">
        <v>474</v>
      </c>
      <c r="B1" s="104"/>
      <c r="C1" s="104"/>
      <c r="D1" s="104"/>
      <c r="E1" s="104"/>
      <c r="F1" s="104"/>
      <c r="G1" s="104"/>
    </row>
    <row r="3" spans="1:7" ht="19" x14ac:dyDescent="0.25">
      <c r="A3" s="105" t="s">
        <v>43</v>
      </c>
      <c r="B3" s="105"/>
      <c r="C3" s="105"/>
      <c r="D3" s="105"/>
      <c r="F3" s="106" t="s">
        <v>44</v>
      </c>
      <c r="G3" s="106"/>
    </row>
    <row r="4" spans="1:7" x14ac:dyDescent="0.2">
      <c r="A4" s="109" t="e">
        <f>#REF!</f>
        <v>#REF!</v>
      </c>
      <c r="B4" s="109"/>
      <c r="C4" s="109"/>
      <c r="D4" s="109"/>
      <c r="F4" s="107"/>
      <c r="G4" s="107"/>
    </row>
    <row r="5" spans="1:7" s="1" customFormat="1" x14ac:dyDescent="0.2">
      <c r="A5" s="2" t="s">
        <v>0</v>
      </c>
      <c r="B5" s="2" t="s">
        <v>1</v>
      </c>
      <c r="C5" s="2" t="s">
        <v>2</v>
      </c>
      <c r="D5" s="2" t="s">
        <v>3</v>
      </c>
      <c r="F5" s="3" t="s">
        <v>21</v>
      </c>
      <c r="G5" s="5">
        <f>SUM(G7:G10)</f>
        <v>15</v>
      </c>
    </row>
    <row r="6" spans="1:7" s="1" customFormat="1" x14ac:dyDescent="0.2">
      <c r="A6" s="1">
        <v>1</v>
      </c>
      <c r="B6" s="2" t="s">
        <v>152</v>
      </c>
      <c r="C6" s="2">
        <v>10</v>
      </c>
      <c r="F6" s="4" t="s">
        <v>10</v>
      </c>
      <c r="G6" s="6">
        <v>15</v>
      </c>
    </row>
    <row r="7" spans="1:7" s="1" customFormat="1" x14ac:dyDescent="0.2">
      <c r="A7" s="1">
        <v>2</v>
      </c>
      <c r="B7" s="2" t="s">
        <v>153</v>
      </c>
      <c r="C7" s="2">
        <v>10</v>
      </c>
      <c r="F7" s="4" t="s">
        <v>9</v>
      </c>
      <c r="G7" s="6">
        <v>14</v>
      </c>
    </row>
    <row r="8" spans="1:7" s="1" customFormat="1" x14ac:dyDescent="0.2">
      <c r="A8" s="1">
        <v>3</v>
      </c>
      <c r="B8" s="2" t="s">
        <v>154</v>
      </c>
      <c r="C8" s="2">
        <v>10</v>
      </c>
      <c r="F8" s="4" t="s">
        <v>4</v>
      </c>
      <c r="G8" s="7">
        <v>1</v>
      </c>
    </row>
    <row r="9" spans="1:7" s="1" customFormat="1" x14ac:dyDescent="0.2">
      <c r="A9" s="1">
        <v>4</v>
      </c>
      <c r="B9" s="2" t="s">
        <v>155</v>
      </c>
      <c r="C9" s="2">
        <v>10</v>
      </c>
      <c r="F9" s="4" t="s">
        <v>5</v>
      </c>
      <c r="G9" s="7">
        <v>0</v>
      </c>
    </row>
    <row r="10" spans="1:7" s="1" customFormat="1" x14ac:dyDescent="0.2">
      <c r="A10" s="1">
        <v>5</v>
      </c>
      <c r="B10" s="2" t="s">
        <v>156</v>
      </c>
      <c r="C10" s="2">
        <v>10</v>
      </c>
      <c r="F10" s="4" t="s">
        <v>6</v>
      </c>
      <c r="G10" s="7">
        <v>0</v>
      </c>
    </row>
    <row r="11" spans="1:7" s="1" customFormat="1" x14ac:dyDescent="0.2">
      <c r="B11" s="2"/>
      <c r="C11" s="2"/>
      <c r="F11" s="8" t="s">
        <v>8</v>
      </c>
      <c r="G11" s="9">
        <f>SUM(Table1345678910111518192327313742475259271217222732284146529096801031091151211261201351407[Retase])</f>
        <v>50</v>
      </c>
    </row>
    <row r="13" spans="1:7" ht="21" x14ac:dyDescent="0.25">
      <c r="A13" s="104" t="s">
        <v>474</v>
      </c>
      <c r="B13" s="104"/>
      <c r="C13" s="104"/>
      <c r="D13" s="104"/>
      <c r="E13" s="104"/>
      <c r="F13" s="104"/>
      <c r="G13" s="104"/>
    </row>
    <row r="15" spans="1:7" ht="19" x14ac:dyDescent="0.25">
      <c r="A15" s="105" t="s">
        <v>43</v>
      </c>
      <c r="B15" s="105"/>
      <c r="C15" s="105"/>
      <c r="D15" s="105"/>
      <c r="F15" s="106" t="s">
        <v>44</v>
      </c>
      <c r="G15" s="106"/>
    </row>
    <row r="16" spans="1:7" x14ac:dyDescent="0.2">
      <c r="A16" s="109" t="e">
        <f>#REF!</f>
        <v>#REF!</v>
      </c>
      <c r="B16" s="109"/>
      <c r="C16" s="109"/>
      <c r="D16" s="109"/>
      <c r="F16" s="107"/>
      <c r="G16" s="107"/>
    </row>
    <row r="17" spans="1:7" s="1" customFormat="1" x14ac:dyDescent="0.2">
      <c r="A17" s="2" t="s">
        <v>0</v>
      </c>
      <c r="B17" s="2" t="s">
        <v>1</v>
      </c>
      <c r="C17" s="2" t="s">
        <v>2</v>
      </c>
      <c r="D17" s="2" t="s">
        <v>3</v>
      </c>
      <c r="F17" s="3" t="s">
        <v>21</v>
      </c>
      <c r="G17" s="5">
        <f>SUM(G19:G22)</f>
        <v>15</v>
      </c>
    </row>
    <row r="18" spans="1:7" s="1" customFormat="1" x14ac:dyDescent="0.2">
      <c r="A18" s="1">
        <v>1</v>
      </c>
      <c r="B18" s="2"/>
      <c r="C18" s="2"/>
      <c r="F18" s="4" t="s">
        <v>10</v>
      </c>
      <c r="G18" s="6">
        <v>15</v>
      </c>
    </row>
    <row r="19" spans="1:7" s="1" customFormat="1" x14ac:dyDescent="0.2">
      <c r="A19" s="1">
        <v>2</v>
      </c>
      <c r="B19" s="2"/>
      <c r="C19" s="2"/>
      <c r="F19" s="4" t="s">
        <v>9</v>
      </c>
      <c r="G19" s="6">
        <v>14</v>
      </c>
    </row>
    <row r="20" spans="1:7" s="1" customFormat="1" x14ac:dyDescent="0.2">
      <c r="A20" s="1">
        <v>3</v>
      </c>
      <c r="B20" s="2"/>
      <c r="C20" s="2"/>
      <c r="F20" s="4" t="s">
        <v>4</v>
      </c>
      <c r="G20" s="7">
        <v>1</v>
      </c>
    </row>
    <row r="21" spans="1:7" s="1" customFormat="1" x14ac:dyDescent="0.2">
      <c r="A21" s="1">
        <v>4</v>
      </c>
      <c r="B21" s="2"/>
      <c r="C21" s="2"/>
      <c r="F21" s="4" t="s">
        <v>5</v>
      </c>
      <c r="G21" s="7">
        <v>0</v>
      </c>
    </row>
    <row r="22" spans="1:7" s="1" customFormat="1" x14ac:dyDescent="0.2">
      <c r="A22" s="1">
        <v>5</v>
      </c>
      <c r="B22" s="2"/>
      <c r="C22" s="2"/>
      <c r="F22" s="4" t="s">
        <v>6</v>
      </c>
      <c r="G22" s="7">
        <v>0</v>
      </c>
    </row>
    <row r="23" spans="1:7" s="1" customFormat="1" x14ac:dyDescent="0.2">
      <c r="B23" s="2"/>
      <c r="C23" s="2"/>
      <c r="F23" s="8" t="s">
        <v>8</v>
      </c>
      <c r="G23" s="9">
        <f>SUM(Table134567891011151819232731374247525927121722273228414652909680103109115121126120135140768[Retase])</f>
        <v>0</v>
      </c>
    </row>
  </sheetData>
  <mergeCells count="8">
    <mergeCell ref="A15:D15"/>
    <mergeCell ref="F15:G16"/>
    <mergeCell ref="A16:D16"/>
    <mergeCell ref="A4:D4"/>
    <mergeCell ref="A1:G1"/>
    <mergeCell ref="A3:D3"/>
    <mergeCell ref="F3:G4"/>
    <mergeCell ref="A13:G13"/>
  </mergeCells>
  <pageMargins left="0.12" right="0.12" top="0.75" bottom="0.75" header="0.3" footer="0.3"/>
  <pageSetup paperSize="5" scale="83" fitToWidth="0" orientation="landscape" horizontalDpi="360" verticalDpi="36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78A2-D04C-413C-B686-4C18F36C6283}">
  <sheetPr>
    <tabColor theme="7" tint="0.39997558519241921"/>
  </sheetPr>
  <dimension ref="A1:AJ66"/>
  <sheetViews>
    <sheetView showGridLines="0" view="pageBreakPreview" topLeftCell="AB1" zoomScale="85" zoomScaleNormal="55" zoomScaleSheetLayoutView="85" workbookViewId="0">
      <selection activeCell="AB6" sqref="AB6:AG19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4" width="1.5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81.5" customWidth="1"/>
    <col min="22" max="22" width="1.6640625" customWidth="1"/>
    <col min="23" max="23" width="32.6640625" bestFit="1" customWidth="1"/>
    <col min="24" max="24" width="16.5" customWidth="1"/>
    <col min="25" max="25" width="1.83203125" customWidth="1"/>
    <col min="26" max="26" width="2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7.83203125" customWidth="1"/>
    <col min="38" max="38" width="15.83203125" customWidth="1"/>
  </cols>
  <sheetData>
    <row r="1" spans="1:36" ht="21" x14ac:dyDescent="0.25">
      <c r="B1" s="104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O1" s="104" t="s">
        <v>53</v>
      </c>
      <c r="P1" s="104"/>
      <c r="Q1" s="104"/>
      <c r="R1" s="104"/>
      <c r="S1" s="104"/>
      <c r="T1" s="104"/>
      <c r="U1" s="104"/>
      <c r="V1" s="104"/>
      <c r="W1" s="104"/>
      <c r="X1" s="104"/>
      <c r="AA1" s="104" t="s">
        <v>54</v>
      </c>
      <c r="AB1" s="104"/>
      <c r="AC1" s="104"/>
      <c r="AD1" s="104"/>
      <c r="AE1" s="104"/>
      <c r="AF1" s="104"/>
      <c r="AG1" s="104"/>
      <c r="AH1" s="104"/>
      <c r="AI1" s="104"/>
      <c r="AJ1" s="104"/>
    </row>
    <row r="3" spans="1:36" ht="19" x14ac:dyDescent="0.25">
      <c r="B3" s="105" t="s">
        <v>22</v>
      </c>
      <c r="C3" s="105"/>
      <c r="D3" s="105"/>
      <c r="E3" s="105"/>
      <c r="F3" s="105"/>
      <c r="G3" s="105"/>
      <c r="H3" s="105"/>
      <c r="J3" s="106" t="s">
        <v>23</v>
      </c>
      <c r="K3" s="106"/>
      <c r="O3" s="108" t="s">
        <v>95</v>
      </c>
      <c r="P3" s="108"/>
      <c r="Q3" s="108"/>
      <c r="R3" s="108"/>
      <c r="S3" s="108"/>
      <c r="T3" s="108"/>
      <c r="U3" s="108"/>
      <c r="W3" s="106" t="s">
        <v>28</v>
      </c>
      <c r="X3" s="106"/>
      <c r="AA3" s="105" t="s">
        <v>43</v>
      </c>
      <c r="AB3" s="105"/>
      <c r="AC3" s="105"/>
      <c r="AD3" s="105"/>
      <c r="AE3" s="105"/>
      <c r="AF3" s="105"/>
      <c r="AG3" s="105"/>
      <c r="AI3" s="106" t="s">
        <v>44</v>
      </c>
      <c r="AJ3" s="106"/>
    </row>
    <row r="4" spans="1:36" x14ac:dyDescent="0.2">
      <c r="B4" s="109">
        <v>45416</v>
      </c>
      <c r="C4" s="109"/>
      <c r="D4" s="109"/>
      <c r="E4" s="109"/>
      <c r="F4" s="109"/>
      <c r="G4" s="109"/>
      <c r="H4" s="109"/>
      <c r="J4" s="107"/>
      <c r="K4" s="107"/>
      <c r="O4" s="109">
        <f>B4</f>
        <v>45416</v>
      </c>
      <c r="P4" s="109"/>
      <c r="Q4" s="109"/>
      <c r="R4" s="109"/>
      <c r="S4" s="109"/>
      <c r="T4" s="109"/>
      <c r="U4" s="109"/>
      <c r="W4" s="107"/>
      <c r="X4" s="107"/>
      <c r="AA4" s="109">
        <f>B4</f>
        <v>45416</v>
      </c>
      <c r="AB4" s="109"/>
      <c r="AC4" s="109"/>
      <c r="AD4" s="109"/>
      <c r="AE4" s="109"/>
      <c r="AF4" s="109"/>
      <c r="AG4" s="109"/>
      <c r="AI4" s="107"/>
      <c r="AJ4" s="107"/>
    </row>
    <row r="5" spans="1:36" s="1" customFormat="1" x14ac:dyDescent="0.2">
      <c r="A5"/>
      <c r="B5" s="2" t="s">
        <v>0</v>
      </c>
      <c r="C5" s="2" t="s">
        <v>1</v>
      </c>
      <c r="D5" s="2" t="s">
        <v>61</v>
      </c>
      <c r="E5" s="26" t="s">
        <v>62</v>
      </c>
      <c r="F5" s="2" t="s">
        <v>63</v>
      </c>
      <c r="G5" s="2" t="s">
        <v>2</v>
      </c>
      <c r="H5" s="2" t="s">
        <v>3</v>
      </c>
      <c r="J5" s="3" t="s">
        <v>21</v>
      </c>
      <c r="K5" s="5">
        <f>SUM(K7:K10)</f>
        <v>23</v>
      </c>
      <c r="L5" s="19"/>
      <c r="O5" s="2" t="s">
        <v>0</v>
      </c>
      <c r="P5" s="2" t="s">
        <v>1</v>
      </c>
      <c r="Q5" s="22" t="s">
        <v>61</v>
      </c>
      <c r="R5" s="22" t="s">
        <v>62</v>
      </c>
      <c r="S5" s="22" t="s">
        <v>63</v>
      </c>
      <c r="T5" s="2" t="s">
        <v>2</v>
      </c>
      <c r="U5" s="2" t="s">
        <v>3</v>
      </c>
      <c r="W5" s="3" t="s">
        <v>29</v>
      </c>
      <c r="X5" s="5">
        <f>SUM(X7:X10)</f>
        <v>18</v>
      </c>
      <c r="AA5" s="2" t="s">
        <v>0</v>
      </c>
      <c r="AB5" s="2" t="s">
        <v>1</v>
      </c>
      <c r="AC5" s="2" t="s">
        <v>61</v>
      </c>
      <c r="AD5" s="2" t="s">
        <v>62</v>
      </c>
      <c r="AE5" s="2" t="s">
        <v>63</v>
      </c>
      <c r="AF5" s="2" t="s">
        <v>2</v>
      </c>
      <c r="AG5" s="2" t="s">
        <v>3</v>
      </c>
      <c r="AI5" s="3" t="s">
        <v>21</v>
      </c>
      <c r="AJ5" s="5">
        <f>SUM(AJ7:AJ10)</f>
        <v>15</v>
      </c>
    </row>
    <row r="6" spans="1:36" s="1" customFormat="1" x14ac:dyDescent="0.2">
      <c r="A6"/>
      <c r="B6" s="15">
        <v>1</v>
      </c>
      <c r="C6" s="20" t="s">
        <v>118</v>
      </c>
      <c r="D6" s="21">
        <v>0.28263888888888888</v>
      </c>
      <c r="E6" s="21">
        <v>0.44236111111111115</v>
      </c>
      <c r="F6" s="38">
        <f>Table13245678910111321252934394449546149141924293336424753919786104110116122127131136141914[[#This Row],[JAM MASUK]]-Table13245678910111321252934394449546149141924293336424753919786104110116122127131136141914[[#This Row],[JAM KELUAR]]</f>
        <v>0.15972222222222227</v>
      </c>
      <c r="G6" s="20">
        <v>1</v>
      </c>
      <c r="H6" s="24" t="s">
        <v>189</v>
      </c>
      <c r="J6" s="4" t="s">
        <v>10</v>
      </c>
      <c r="K6" s="6">
        <v>23</v>
      </c>
      <c r="L6" s="19"/>
      <c r="O6" s="27">
        <v>1</v>
      </c>
      <c r="P6" s="31" t="s">
        <v>31</v>
      </c>
      <c r="Q6" s="32">
        <v>0.31319444444444444</v>
      </c>
      <c r="R6" s="21">
        <v>0.42430555555555555</v>
      </c>
      <c r="S6" s="37">
        <f t="shared" ref="S6:S18" si="0">R6-Q6</f>
        <v>0.1111111111111111</v>
      </c>
      <c r="T6" s="20">
        <v>1</v>
      </c>
      <c r="U6" s="24" t="s">
        <v>26</v>
      </c>
      <c r="W6" s="4" t="s">
        <v>10</v>
      </c>
      <c r="X6" s="6">
        <v>18</v>
      </c>
      <c r="AA6" s="15">
        <v>1</v>
      </c>
      <c r="AB6" s="20" t="s">
        <v>50</v>
      </c>
      <c r="AC6" s="21">
        <v>0.28680555555555554</v>
      </c>
      <c r="AD6" s="21">
        <v>0.39930555555555558</v>
      </c>
      <c r="AE6" s="37">
        <f t="shared" ref="AE6:AE19" si="1">AD6-AC6</f>
        <v>0.11250000000000004</v>
      </c>
      <c r="AF6" s="20">
        <v>1</v>
      </c>
      <c r="AG6" s="16" t="s">
        <v>178</v>
      </c>
      <c r="AI6" s="4" t="s">
        <v>10</v>
      </c>
      <c r="AJ6" s="6">
        <v>15</v>
      </c>
    </row>
    <row r="7" spans="1:36" s="1" customFormat="1" x14ac:dyDescent="0.2">
      <c r="A7"/>
      <c r="B7" s="15">
        <v>2</v>
      </c>
      <c r="C7" s="20" t="s">
        <v>120</v>
      </c>
      <c r="D7" s="21">
        <v>0.23263888888888887</v>
      </c>
      <c r="E7" s="21">
        <v>0.37013888888888885</v>
      </c>
      <c r="F7" s="38">
        <f>Table13245678910111321252934394449546149141924293336424753919786104110116122127131136141914[[#This Row],[JAM MASUK]]-Table13245678910111321252934394449546149141924293336424753919786104110116122127131136141914[[#This Row],[JAM KELUAR]]</f>
        <v>0.13749999999999998</v>
      </c>
      <c r="G7" s="20">
        <v>1</v>
      </c>
      <c r="H7" s="16" t="s">
        <v>190</v>
      </c>
      <c r="J7" s="4" t="s">
        <v>9</v>
      </c>
      <c r="K7" s="7">
        <v>22</v>
      </c>
      <c r="L7" s="19"/>
      <c r="O7" s="15">
        <v>2</v>
      </c>
      <c r="P7" s="33" t="s">
        <v>58</v>
      </c>
      <c r="Q7" s="44">
        <v>0.29166666666666669</v>
      </c>
      <c r="R7" s="40">
        <v>0.56736111111111109</v>
      </c>
      <c r="S7" s="37">
        <f t="shared" si="0"/>
        <v>0.27569444444444441</v>
      </c>
      <c r="T7" s="23">
        <v>2</v>
      </c>
      <c r="U7" s="24" t="s">
        <v>183</v>
      </c>
      <c r="W7" s="4" t="s">
        <v>9</v>
      </c>
      <c r="X7" s="7">
        <v>13</v>
      </c>
      <c r="AA7" s="15">
        <v>2</v>
      </c>
      <c r="AB7" s="20" t="s">
        <v>78</v>
      </c>
      <c r="AC7" s="21">
        <v>0.28541666666666665</v>
      </c>
      <c r="AD7" s="21">
        <v>0.57847222222222217</v>
      </c>
      <c r="AE7" s="38">
        <f t="shared" si="1"/>
        <v>0.29305555555555551</v>
      </c>
      <c r="AF7" s="20">
        <v>3</v>
      </c>
      <c r="AG7" s="16" t="s">
        <v>179</v>
      </c>
      <c r="AI7" s="4" t="s">
        <v>9</v>
      </c>
      <c r="AJ7" s="6">
        <v>14</v>
      </c>
    </row>
    <row r="8" spans="1:36" s="1" customFormat="1" x14ac:dyDescent="0.2">
      <c r="A8"/>
      <c r="B8" s="15">
        <v>3</v>
      </c>
      <c r="C8" s="31" t="s">
        <v>119</v>
      </c>
      <c r="D8" s="32">
        <v>0.30902777777777779</v>
      </c>
      <c r="E8" s="21">
        <v>0.625</v>
      </c>
      <c r="F8" s="38">
        <f>Table13245678910111321252934394449546149141924293336424753919786104110116122127131136141914[[#This Row],[JAM MASUK]]-Table13245678910111321252934394449546149141924293336424753919786104110116122127131136141914[[#This Row],[JAM KELUAR]]</f>
        <v>0.31597222222222221</v>
      </c>
      <c r="G8" s="20">
        <v>2</v>
      </c>
      <c r="H8" s="24" t="s">
        <v>191</v>
      </c>
      <c r="J8" s="4" t="s">
        <v>4</v>
      </c>
      <c r="K8" s="7">
        <v>0</v>
      </c>
      <c r="L8" s="19"/>
      <c r="O8" s="27">
        <v>3</v>
      </c>
      <c r="P8" s="33" t="s">
        <v>187</v>
      </c>
      <c r="Q8" s="44">
        <v>0.60069444444444442</v>
      </c>
      <c r="R8" s="40">
        <v>0.76666666666666661</v>
      </c>
      <c r="S8" s="37">
        <f t="shared" si="0"/>
        <v>0.16597222222222219</v>
      </c>
      <c r="T8" s="23">
        <v>2</v>
      </c>
      <c r="U8" s="16" t="s">
        <v>186</v>
      </c>
      <c r="W8" s="4" t="s">
        <v>4</v>
      </c>
      <c r="X8" s="7">
        <v>0</v>
      </c>
      <c r="AA8" s="15">
        <v>3</v>
      </c>
      <c r="AB8" s="31" t="s">
        <v>56</v>
      </c>
      <c r="AC8" s="32">
        <v>0.31597222222222221</v>
      </c>
      <c r="AD8" s="21">
        <v>0.59236111111111112</v>
      </c>
      <c r="AE8" s="38">
        <f t="shared" si="1"/>
        <v>0.27638888888888891</v>
      </c>
      <c r="AF8" s="20">
        <v>3</v>
      </c>
      <c r="AG8" s="16" t="s">
        <v>26</v>
      </c>
      <c r="AI8" s="4" t="s">
        <v>4</v>
      </c>
      <c r="AJ8" s="7">
        <v>1</v>
      </c>
    </row>
    <row r="9" spans="1:36" s="1" customFormat="1" x14ac:dyDescent="0.2">
      <c r="A9"/>
      <c r="B9" s="15">
        <v>4</v>
      </c>
      <c r="C9" s="31" t="s">
        <v>12</v>
      </c>
      <c r="D9" s="32">
        <v>0.3125</v>
      </c>
      <c r="E9" s="21">
        <v>0.62291666666666667</v>
      </c>
      <c r="F9" s="38">
        <f>Table13245678910111321252934394449546149141924293336424753919786104110116122127131136141914[[#This Row],[JAM MASUK]]-Table13245678910111321252934394449546149141924293336424753919786104110116122127131136141914[[#This Row],[JAM KELUAR]]</f>
        <v>0.31041666666666667</v>
      </c>
      <c r="G9" s="20">
        <v>2</v>
      </c>
      <c r="H9" s="24" t="s">
        <v>192</v>
      </c>
      <c r="J9" s="4" t="s">
        <v>5</v>
      </c>
      <c r="K9" s="7">
        <v>1</v>
      </c>
      <c r="L9" s="19"/>
      <c r="O9" s="27">
        <v>4</v>
      </c>
      <c r="P9" s="33" t="s">
        <v>82</v>
      </c>
      <c r="Q9" s="44">
        <v>0.29722222222222222</v>
      </c>
      <c r="R9" s="40">
        <v>0.56597222222222221</v>
      </c>
      <c r="S9" s="37">
        <f t="shared" si="0"/>
        <v>0.26874999999999999</v>
      </c>
      <c r="T9" s="23">
        <v>3</v>
      </c>
      <c r="U9" s="16" t="s">
        <v>184</v>
      </c>
      <c r="W9" s="4" t="s">
        <v>5</v>
      </c>
      <c r="X9" s="7">
        <v>5</v>
      </c>
      <c r="AA9" s="1">
        <v>4</v>
      </c>
      <c r="AB9" s="31" t="s">
        <v>77</v>
      </c>
      <c r="AC9" s="32">
        <v>0.29166666666666669</v>
      </c>
      <c r="AD9" s="41">
        <v>0.7006944444444444</v>
      </c>
      <c r="AE9" s="26">
        <f t="shared" si="1"/>
        <v>0.40902777777777771</v>
      </c>
      <c r="AF9" s="2">
        <v>5</v>
      </c>
      <c r="AG9" s="45" t="s">
        <v>25</v>
      </c>
      <c r="AI9" s="4" t="s">
        <v>5</v>
      </c>
      <c r="AJ9" s="7">
        <v>0</v>
      </c>
    </row>
    <row r="10" spans="1:36" s="1" customFormat="1" x14ac:dyDescent="0.2">
      <c r="A10"/>
      <c r="B10" s="15">
        <v>5</v>
      </c>
      <c r="C10" s="31" t="s">
        <v>13</v>
      </c>
      <c r="D10" s="32">
        <v>0.2951388888888889</v>
      </c>
      <c r="E10" s="43">
        <v>0.60347222222222219</v>
      </c>
      <c r="F10" s="38">
        <f>Table13245678910111321252934394449546149141924293336424753919786104110116122127131136141914[[#This Row],[JAM MASUK]]-Table13245678910111321252934394449546149141924293336424753919786104110116122127131136141914[[#This Row],[JAM KELUAR]]</f>
        <v>0.30833333333333329</v>
      </c>
      <c r="G10" s="20">
        <v>2</v>
      </c>
      <c r="H10" s="24" t="s">
        <v>198</v>
      </c>
      <c r="J10" s="4" t="s">
        <v>6</v>
      </c>
      <c r="K10" s="7">
        <v>0</v>
      </c>
      <c r="L10" s="19"/>
      <c r="O10" s="15">
        <v>5</v>
      </c>
      <c r="P10" s="33" t="s">
        <v>57</v>
      </c>
      <c r="Q10" s="44">
        <v>0.32013888888888892</v>
      </c>
      <c r="R10" s="40">
        <v>0.70277777777777783</v>
      </c>
      <c r="S10" s="37">
        <f t="shared" si="0"/>
        <v>0.38263888888888892</v>
      </c>
      <c r="T10" s="23">
        <v>3</v>
      </c>
      <c r="U10" s="16" t="s">
        <v>185</v>
      </c>
      <c r="W10" s="4" t="s">
        <v>33</v>
      </c>
      <c r="X10" s="7">
        <v>0</v>
      </c>
      <c r="AA10" s="1">
        <v>5</v>
      </c>
      <c r="AB10" s="31" t="s">
        <v>122</v>
      </c>
      <c r="AC10" s="32">
        <v>0.29583333333333334</v>
      </c>
      <c r="AD10" s="41">
        <v>0.68472222222222223</v>
      </c>
      <c r="AE10" s="26">
        <f t="shared" si="1"/>
        <v>0.3888888888888889</v>
      </c>
      <c r="AF10" s="2">
        <v>5</v>
      </c>
      <c r="AG10" s="45" t="s">
        <v>25</v>
      </c>
      <c r="AI10" s="4" t="s">
        <v>6</v>
      </c>
      <c r="AJ10" s="7">
        <v>0</v>
      </c>
    </row>
    <row r="11" spans="1:36" s="1" customFormat="1" x14ac:dyDescent="0.2">
      <c r="A11"/>
      <c r="B11" s="15">
        <v>6</v>
      </c>
      <c r="C11" s="31" t="s">
        <v>14</v>
      </c>
      <c r="D11" s="32">
        <v>0.29930555555555555</v>
      </c>
      <c r="E11" s="21">
        <v>0.62916666666666665</v>
      </c>
      <c r="F11" s="38">
        <f>Table13245678910111321252934394449546149141924293336424753919786104110116122127131136141914[[#This Row],[JAM MASUK]]-Table13245678910111321252934394449546149141924293336424753919786104110116122127131136141914[[#This Row],[JAM KELUAR]]</f>
        <v>0.3298611111111111</v>
      </c>
      <c r="G11" s="20">
        <v>2</v>
      </c>
      <c r="H11" s="24" t="s">
        <v>198</v>
      </c>
      <c r="J11" s="8" t="s">
        <v>8</v>
      </c>
      <c r="K11" s="9">
        <f>SUM(Table13245678910111321252934394449546149141924293336424753919786104110116122127131136141914[Retase])</f>
        <v>55</v>
      </c>
      <c r="L11" s="19"/>
      <c r="O11" s="27">
        <v>6</v>
      </c>
      <c r="P11" s="33" t="s">
        <v>188</v>
      </c>
      <c r="Q11" s="44">
        <v>0.4458333333333333</v>
      </c>
      <c r="R11" s="40">
        <v>0.71875</v>
      </c>
      <c r="S11" s="37">
        <f t="shared" si="0"/>
        <v>0.2729166666666667</v>
      </c>
      <c r="T11" s="23">
        <v>4</v>
      </c>
      <c r="U11" s="16" t="s">
        <v>165</v>
      </c>
      <c r="W11" s="8" t="s">
        <v>8</v>
      </c>
      <c r="X11" s="9">
        <f>SUM(Table134567891011172226303540455055625101520253034384348549298871051111171231281321371421015[Retase])</f>
        <v>54</v>
      </c>
      <c r="AA11" s="1">
        <v>6</v>
      </c>
      <c r="AB11" s="31" t="s">
        <v>46</v>
      </c>
      <c r="AC11" s="32">
        <v>0.3125</v>
      </c>
      <c r="AD11" s="41">
        <v>0.67291666666666661</v>
      </c>
      <c r="AE11" s="26">
        <f t="shared" si="1"/>
        <v>0.36041666666666661</v>
      </c>
      <c r="AF11" s="2">
        <v>5</v>
      </c>
      <c r="AG11" s="45" t="s">
        <v>25</v>
      </c>
      <c r="AI11" s="8" t="s">
        <v>8</v>
      </c>
      <c r="AJ11" s="9">
        <f>SUM(Table134567891011151819232731374247525927121722273228414652909680103109115121126120135140813[Retase])</f>
        <v>70</v>
      </c>
    </row>
    <row r="12" spans="1:36" s="1" customFormat="1" x14ac:dyDescent="0.2">
      <c r="A12"/>
      <c r="B12" s="15">
        <v>7</v>
      </c>
      <c r="C12" s="31" t="s">
        <v>70</v>
      </c>
      <c r="D12" s="32">
        <v>0.30069444444444443</v>
      </c>
      <c r="E12" s="21">
        <v>0.64583333333333337</v>
      </c>
      <c r="F12" s="38">
        <f>Table13245678910111321252934394449546149141924293336424753919786104110116122127131136141914[[#This Row],[JAM MASUK]]-Table13245678910111321252934394449546149141924293336424753919786104110116122127131136141914[[#This Row],[JAM KELUAR]]</f>
        <v>0.34513888888888894</v>
      </c>
      <c r="G12" s="20">
        <v>2</v>
      </c>
      <c r="H12" s="24" t="s">
        <v>198</v>
      </c>
      <c r="J12" s="10" t="s">
        <v>7</v>
      </c>
      <c r="K12" s="11">
        <f>K11/K7</f>
        <v>2.5</v>
      </c>
      <c r="L12" s="19"/>
      <c r="O12" s="28">
        <v>7</v>
      </c>
      <c r="P12" s="29" t="s">
        <v>40</v>
      </c>
      <c r="Q12" s="30">
        <v>0.23472222222222219</v>
      </c>
      <c r="R12" s="30">
        <v>0.65555555555555556</v>
      </c>
      <c r="S12" s="39">
        <f t="shared" si="0"/>
        <v>0.42083333333333339</v>
      </c>
      <c r="T12" s="29">
        <v>5</v>
      </c>
      <c r="U12" s="45" t="s">
        <v>25</v>
      </c>
      <c r="W12" s="10" t="s">
        <v>7</v>
      </c>
      <c r="X12" s="11">
        <f>X11/X7</f>
        <v>4.1538461538461542</v>
      </c>
      <c r="AA12" s="1">
        <v>7</v>
      </c>
      <c r="AB12" s="2" t="s">
        <v>49</v>
      </c>
      <c r="AC12" s="41">
        <v>0.26319444444444445</v>
      </c>
      <c r="AD12" s="41">
        <v>0.6645833333333333</v>
      </c>
      <c r="AE12" s="26">
        <f t="shared" si="1"/>
        <v>0.40138888888888885</v>
      </c>
      <c r="AF12" s="2">
        <v>5</v>
      </c>
      <c r="AG12" s="45" t="s">
        <v>25</v>
      </c>
      <c r="AI12" s="10" t="s">
        <v>7</v>
      </c>
      <c r="AJ12" s="11">
        <f>AJ11/AJ7</f>
        <v>5</v>
      </c>
    </row>
    <row r="13" spans="1:36" s="1" customFormat="1" x14ac:dyDescent="0.2">
      <c r="A13"/>
      <c r="B13" s="15">
        <v>8</v>
      </c>
      <c r="C13" s="31" t="s">
        <v>197</v>
      </c>
      <c r="D13" s="32">
        <v>0.37986111111111115</v>
      </c>
      <c r="E13" s="21">
        <v>0.67013888888888884</v>
      </c>
      <c r="F13" s="38">
        <f>Table13245678910111321252934394449546149141924293336424753919786104110116122127131136141914[[#This Row],[JAM MASUK]]-Table13245678910111321252934394449546149141924293336424753919786104110116122127131136141914[[#This Row],[JAM KELUAR]]</f>
        <v>0.29027777777777769</v>
      </c>
      <c r="G13" s="20">
        <v>2</v>
      </c>
      <c r="H13" s="24" t="s">
        <v>193</v>
      </c>
      <c r="J13" s="12" t="s">
        <v>11</v>
      </c>
      <c r="K13" s="13">
        <v>4</v>
      </c>
      <c r="L13" s="19"/>
      <c r="O13" s="1">
        <v>8</v>
      </c>
      <c r="P13" s="29" t="s">
        <v>30</v>
      </c>
      <c r="Q13" s="30">
        <v>0.24583333333333335</v>
      </c>
      <c r="R13" s="30">
        <v>0.65486111111111112</v>
      </c>
      <c r="S13" s="39">
        <f t="shared" si="0"/>
        <v>0.40902777777777777</v>
      </c>
      <c r="T13" s="29">
        <v>5</v>
      </c>
      <c r="U13" s="45" t="s">
        <v>25</v>
      </c>
      <c r="W13" s="12" t="s">
        <v>11</v>
      </c>
      <c r="X13" s="13">
        <v>5</v>
      </c>
      <c r="AA13" s="1">
        <v>8</v>
      </c>
      <c r="AB13" s="31" t="s">
        <v>48</v>
      </c>
      <c r="AC13" s="32">
        <v>0.29305555555555557</v>
      </c>
      <c r="AD13" s="41">
        <v>0.73888888888888893</v>
      </c>
      <c r="AE13" s="26">
        <f t="shared" si="1"/>
        <v>0.44583333333333336</v>
      </c>
      <c r="AF13" s="2">
        <v>6</v>
      </c>
      <c r="AG13" s="45" t="s">
        <v>25</v>
      </c>
      <c r="AI13" s="12" t="s">
        <v>11</v>
      </c>
      <c r="AJ13" s="13">
        <v>5</v>
      </c>
    </row>
    <row r="14" spans="1:36" s="1" customFormat="1" x14ac:dyDescent="0.2">
      <c r="A14"/>
      <c r="B14" s="15">
        <v>9</v>
      </c>
      <c r="C14" s="20" t="s">
        <v>74</v>
      </c>
      <c r="D14" s="21">
        <v>0.29097222222222224</v>
      </c>
      <c r="E14" s="21">
        <v>0.57986111111111105</v>
      </c>
      <c r="F14" s="38">
        <f>Table13245678910111321252934394449546149141924293336424753919786104110116122127131136141914[[#This Row],[JAM MASUK]]-Table13245678910111321252934394449546149141924293336424753919786104110116122127131136141914[[#This Row],[JAM KELUAR]]</f>
        <v>0.28888888888888881</v>
      </c>
      <c r="G14" s="20">
        <v>2</v>
      </c>
      <c r="H14" s="16" t="s">
        <v>194</v>
      </c>
      <c r="J14" s="12" t="s">
        <v>88</v>
      </c>
      <c r="K14" s="14">
        <f>0/22</f>
        <v>0</v>
      </c>
      <c r="L14" s="19"/>
      <c r="O14" s="28">
        <v>9</v>
      </c>
      <c r="P14" s="29" t="s">
        <v>35</v>
      </c>
      <c r="Q14" s="30">
        <v>0.27916666666666667</v>
      </c>
      <c r="R14" s="30">
        <v>0.72152777777777777</v>
      </c>
      <c r="S14" s="39">
        <f t="shared" si="0"/>
        <v>0.44236111111111109</v>
      </c>
      <c r="T14" s="29">
        <v>5</v>
      </c>
      <c r="U14" s="45" t="s">
        <v>25</v>
      </c>
      <c r="W14" s="12" t="s">
        <v>88</v>
      </c>
      <c r="X14" s="14">
        <f>7/13</f>
        <v>0.53846153846153844</v>
      </c>
      <c r="AA14" s="1">
        <v>9</v>
      </c>
      <c r="AB14" s="31" t="s">
        <v>79</v>
      </c>
      <c r="AC14" s="32">
        <v>0.31458333333333333</v>
      </c>
      <c r="AD14" s="41">
        <v>0.71666666666666667</v>
      </c>
      <c r="AE14" s="26">
        <f t="shared" si="1"/>
        <v>0.40208333333333335</v>
      </c>
      <c r="AF14" s="2">
        <v>6</v>
      </c>
      <c r="AG14" s="45" t="s">
        <v>25</v>
      </c>
      <c r="AI14" s="12" t="s">
        <v>88</v>
      </c>
      <c r="AJ14" s="14">
        <f>11/14</f>
        <v>0.7857142857142857</v>
      </c>
    </row>
    <row r="15" spans="1:36" x14ac:dyDescent="0.2">
      <c r="B15" s="15">
        <v>10</v>
      </c>
      <c r="C15" s="20" t="s">
        <v>65</v>
      </c>
      <c r="D15" s="21">
        <v>0.29097222222222224</v>
      </c>
      <c r="E15" s="21">
        <v>0.69791666666666663</v>
      </c>
      <c r="F15" s="38">
        <f>Table13245678910111321252934394449546149141924293336424753919786104110116122127131136141914[[#This Row],[JAM MASUK]]-Table13245678910111321252934394449546149141924293336424753919786104110116122127131136141914[[#This Row],[JAM KELUAR]]</f>
        <v>0.40694444444444439</v>
      </c>
      <c r="G15" s="20">
        <v>3</v>
      </c>
      <c r="H15" s="24" t="s">
        <v>198</v>
      </c>
      <c r="J15" s="12" t="s">
        <v>24</v>
      </c>
      <c r="K15" s="14">
        <f>K7/K6</f>
        <v>0.95652173913043481</v>
      </c>
      <c r="O15" s="28">
        <v>10</v>
      </c>
      <c r="P15" s="33" t="s">
        <v>32</v>
      </c>
      <c r="Q15" s="44">
        <v>0.29652777777777778</v>
      </c>
      <c r="R15" s="30">
        <v>0.75069444444444444</v>
      </c>
      <c r="S15" s="39">
        <f t="shared" si="0"/>
        <v>0.45416666666666666</v>
      </c>
      <c r="T15" s="29">
        <v>6</v>
      </c>
      <c r="U15" s="45" t="s">
        <v>25</v>
      </c>
      <c r="W15" s="12" t="s">
        <v>27</v>
      </c>
      <c r="X15" s="14">
        <f>X7/X6</f>
        <v>0.72222222222222221</v>
      </c>
      <c r="AA15" s="1">
        <v>10</v>
      </c>
      <c r="AB15" s="2" t="s">
        <v>80</v>
      </c>
      <c r="AC15" s="41">
        <v>0.22708333333333333</v>
      </c>
      <c r="AD15" s="41">
        <v>0.70694444444444438</v>
      </c>
      <c r="AE15" s="26">
        <f t="shared" si="1"/>
        <v>0.47986111111111107</v>
      </c>
      <c r="AF15" s="2">
        <v>6</v>
      </c>
      <c r="AG15" s="45" t="s">
        <v>25</v>
      </c>
      <c r="AI15" s="12" t="s">
        <v>27</v>
      </c>
      <c r="AJ15" s="14">
        <f>AJ7/AJ6</f>
        <v>0.93333333333333335</v>
      </c>
    </row>
    <row r="16" spans="1:36" x14ac:dyDescent="0.2">
      <c r="B16" s="15">
        <v>11</v>
      </c>
      <c r="C16" s="20" t="s">
        <v>20</v>
      </c>
      <c r="D16" s="21">
        <v>0.28611111111111115</v>
      </c>
      <c r="E16" s="21">
        <v>0.67847222222222225</v>
      </c>
      <c r="F16" s="38">
        <f>Table13245678910111321252934394449546149141924293336424753919786104110116122127131136141914[[#This Row],[JAM MASUK]]-Table13245678910111321252934394449546149141924293336424753919786104110116122127131136141914[[#This Row],[JAM KELUAR]]</f>
        <v>0.3923611111111111</v>
      </c>
      <c r="G16" s="20">
        <v>3</v>
      </c>
      <c r="H16" s="24" t="s">
        <v>198</v>
      </c>
      <c r="J16" s="12" t="s">
        <v>117</v>
      </c>
      <c r="K16" s="48">
        <f>AVERAGE(Table13245678910111321252934394449546149141924293336424753919786104110116122127131136141914[JAM KELUAR])</f>
        <v>0.27667297979797972</v>
      </c>
      <c r="O16" s="1">
        <v>11</v>
      </c>
      <c r="P16" s="29" t="s">
        <v>34</v>
      </c>
      <c r="Q16" s="30">
        <v>0.28125</v>
      </c>
      <c r="R16" s="30">
        <v>0.74444444444444446</v>
      </c>
      <c r="S16" s="39">
        <f t="shared" si="0"/>
        <v>0.46319444444444446</v>
      </c>
      <c r="T16" s="29">
        <v>6</v>
      </c>
      <c r="U16" s="45" t="s">
        <v>25</v>
      </c>
      <c r="W16" s="12" t="s">
        <v>117</v>
      </c>
      <c r="X16" s="48">
        <f>AVERAGE(Table134567891011172226303540455055625101520253034384348549298871051111171231281321371421015[JAM KELUAR])</f>
        <v>0.31490384615384615</v>
      </c>
      <c r="AA16" s="1">
        <v>11</v>
      </c>
      <c r="AB16" s="2" t="s">
        <v>47</v>
      </c>
      <c r="AC16" s="41">
        <v>0.25833333333333336</v>
      </c>
      <c r="AD16" s="41">
        <v>0.73888888888888893</v>
      </c>
      <c r="AE16" s="26">
        <f t="shared" si="1"/>
        <v>0.48055555555555557</v>
      </c>
      <c r="AF16" s="2">
        <v>6</v>
      </c>
      <c r="AG16" s="45" t="s">
        <v>25</v>
      </c>
      <c r="AI16" s="12" t="s">
        <v>117</v>
      </c>
      <c r="AJ16" s="48">
        <f>AVERAGE(Table134567891011151819232731374247525927121722273228414652909680103109115121126120135140813[JAM KELUAR])</f>
        <v>0.27896825396825398</v>
      </c>
    </row>
    <row r="17" spans="2:35" x14ac:dyDescent="0.2">
      <c r="B17" s="15">
        <v>12</v>
      </c>
      <c r="C17" s="20" t="s">
        <v>71</v>
      </c>
      <c r="D17" s="21">
        <v>0.25138888888888888</v>
      </c>
      <c r="E17" s="21">
        <v>0.66875000000000007</v>
      </c>
      <c r="F17" s="38">
        <f>Table13245678910111321252934394449546149141924293336424753919786104110116122127131136141914[[#This Row],[JAM MASUK]]-Table13245678910111321252934394449546149141924293336424753919786104110116122127131136141914[[#This Row],[JAM KELUAR]]</f>
        <v>0.41736111111111118</v>
      </c>
      <c r="G17" s="20">
        <v>3</v>
      </c>
      <c r="H17" s="24" t="s">
        <v>198</v>
      </c>
      <c r="O17" s="28">
        <v>12</v>
      </c>
      <c r="P17" s="29" t="s">
        <v>67</v>
      </c>
      <c r="Q17" s="30">
        <v>0.22708333333333333</v>
      </c>
      <c r="R17" s="30">
        <v>0.74513888888888891</v>
      </c>
      <c r="S17" s="39">
        <f t="shared" si="0"/>
        <v>0.5180555555555556</v>
      </c>
      <c r="T17" s="29">
        <v>6</v>
      </c>
      <c r="U17" s="45" t="s">
        <v>25</v>
      </c>
      <c r="AA17" s="1">
        <v>12</v>
      </c>
      <c r="AB17" s="2" t="s">
        <v>81</v>
      </c>
      <c r="AC17" s="41">
        <v>0.28472222222222221</v>
      </c>
      <c r="AD17" s="41">
        <v>0.73402777777777783</v>
      </c>
      <c r="AE17" s="26">
        <f t="shared" si="1"/>
        <v>0.44930555555555562</v>
      </c>
      <c r="AF17" s="2">
        <v>6</v>
      </c>
      <c r="AG17" s="45" t="s">
        <v>25</v>
      </c>
      <c r="AI17" s="17"/>
    </row>
    <row r="18" spans="2:35" ht="15.75" customHeight="1" x14ac:dyDescent="0.2">
      <c r="B18" s="15">
        <v>13</v>
      </c>
      <c r="C18" s="20" t="s">
        <v>68</v>
      </c>
      <c r="D18" s="21">
        <v>0.26805555555555555</v>
      </c>
      <c r="E18" s="21">
        <v>0.66111111111111109</v>
      </c>
      <c r="F18" s="38">
        <f>Table13245678910111321252934394449546149141924293336424753919786104110116122127131136141914[[#This Row],[JAM MASUK]]-Table13245678910111321252934394449546149141924293336424753919786104110116122127131136141914[[#This Row],[JAM KELUAR]]</f>
        <v>0.39305555555555555</v>
      </c>
      <c r="G18" s="20">
        <v>3</v>
      </c>
      <c r="H18" s="24" t="s">
        <v>195</v>
      </c>
      <c r="O18" s="28">
        <v>13</v>
      </c>
      <c r="P18" s="29" t="s">
        <v>59</v>
      </c>
      <c r="Q18" s="30">
        <v>0.26041666666666669</v>
      </c>
      <c r="R18" s="30">
        <v>0.71527777777777779</v>
      </c>
      <c r="S18" s="39">
        <f t="shared" si="0"/>
        <v>0.4548611111111111</v>
      </c>
      <c r="T18" s="29">
        <v>6</v>
      </c>
      <c r="U18" s="45" t="s">
        <v>25</v>
      </c>
      <c r="AA18" s="1">
        <v>13</v>
      </c>
      <c r="AB18" s="2" t="s">
        <v>51</v>
      </c>
      <c r="AC18" s="41">
        <v>0.2673611111111111</v>
      </c>
      <c r="AD18" s="41">
        <v>0.74722222222222223</v>
      </c>
      <c r="AE18" s="26">
        <f t="shared" si="1"/>
        <v>0.47986111111111113</v>
      </c>
      <c r="AF18" s="2">
        <v>6</v>
      </c>
      <c r="AG18" s="45" t="s">
        <v>25</v>
      </c>
    </row>
    <row r="19" spans="2:35" ht="17.25" customHeight="1" x14ac:dyDescent="0.2">
      <c r="B19" s="15">
        <v>14</v>
      </c>
      <c r="C19" s="20" t="s">
        <v>73</v>
      </c>
      <c r="D19" s="21">
        <v>0.21875</v>
      </c>
      <c r="E19" s="21">
        <v>0.64722222222222225</v>
      </c>
      <c r="F19" s="38">
        <f>Table13245678910111321252934394449546149141924293336424753919786104110116122127131136141914[[#This Row],[JAM MASUK]]-Table13245678910111321252934394449546149141924293336424753919786104110116122127131136141914[[#This Row],[JAM KELUAR]]</f>
        <v>0.42847222222222225</v>
      </c>
      <c r="G19" s="20">
        <v>3</v>
      </c>
      <c r="H19" s="24" t="s">
        <v>198</v>
      </c>
      <c r="AA19" s="1">
        <v>14</v>
      </c>
      <c r="AB19" s="2" t="s">
        <v>45</v>
      </c>
      <c r="AC19" s="41">
        <v>0.20902777777777778</v>
      </c>
      <c r="AD19" s="41">
        <v>0.75624999999999998</v>
      </c>
      <c r="AE19" s="26">
        <f t="shared" si="1"/>
        <v>0.54722222222222217</v>
      </c>
      <c r="AF19" s="2">
        <v>7</v>
      </c>
      <c r="AG19" s="45" t="s">
        <v>25</v>
      </c>
    </row>
    <row r="20" spans="2:35" ht="15.75" customHeight="1" x14ac:dyDescent="0.2">
      <c r="B20" s="15">
        <v>15</v>
      </c>
      <c r="C20" s="31" t="s">
        <v>69</v>
      </c>
      <c r="D20" s="32">
        <v>0.29236111111111113</v>
      </c>
      <c r="E20" s="21">
        <v>0.6972222222222223</v>
      </c>
      <c r="F20" s="38">
        <f>Table13245678910111321252934394449546149141924293336424753919786104110116122127131136141914[[#This Row],[JAM MASUK]]-Table13245678910111321252934394449546149141924293336424753919786104110116122127131136141914[[#This Row],[JAM KELUAR]]</f>
        <v>0.40486111111111117</v>
      </c>
      <c r="G20" s="20">
        <v>3</v>
      </c>
      <c r="H20" s="24" t="s">
        <v>198</v>
      </c>
    </row>
    <row r="21" spans="2:35" ht="19" x14ac:dyDescent="0.25">
      <c r="B21" s="15">
        <v>16</v>
      </c>
      <c r="C21" s="20" t="s">
        <v>75</v>
      </c>
      <c r="D21" s="21">
        <v>0.23402777777777781</v>
      </c>
      <c r="E21" s="21">
        <v>0.6381944444444444</v>
      </c>
      <c r="F21" s="38">
        <f>Table13245678910111321252934394449546149141924293336424753919786104110116122127131136141914[[#This Row],[JAM MASUK]]-Table13245678910111321252934394449546149141924293336424753919786104110116122127131136141914[[#This Row],[JAM KELUAR]]</f>
        <v>0.40416666666666656</v>
      </c>
      <c r="G21" s="20">
        <v>3</v>
      </c>
      <c r="H21" s="24" t="s">
        <v>198</v>
      </c>
      <c r="O21" s="108" t="s">
        <v>66</v>
      </c>
      <c r="P21" s="108"/>
      <c r="Q21" s="108"/>
      <c r="R21" s="108"/>
      <c r="S21" s="108"/>
      <c r="T21" s="108"/>
      <c r="U21" s="108"/>
      <c r="W21" s="106" t="s">
        <v>28</v>
      </c>
      <c r="X21" s="106"/>
      <c r="AF21" s="34"/>
      <c r="AG21" s="35" t="s">
        <v>90</v>
      </c>
    </row>
    <row r="22" spans="2:35" x14ac:dyDescent="0.2">
      <c r="B22" s="15">
        <v>17</v>
      </c>
      <c r="C22" s="20" t="s">
        <v>15</v>
      </c>
      <c r="D22" s="21">
        <v>0.25972222222222224</v>
      </c>
      <c r="E22" s="21">
        <v>0.66249999999999998</v>
      </c>
      <c r="F22" s="38">
        <f>Table13245678910111321252934394449546149141924293336424753919786104110116122127131136141914[[#This Row],[JAM MASUK]]-Table13245678910111321252934394449546149141924293336424753919786104110116122127131136141914[[#This Row],[JAM KELUAR]]</f>
        <v>0.40277777777777773</v>
      </c>
      <c r="G22" s="20">
        <v>3</v>
      </c>
      <c r="H22" s="24" t="s">
        <v>198</v>
      </c>
      <c r="O22" s="109">
        <f>B4</f>
        <v>45416</v>
      </c>
      <c r="P22" s="109"/>
      <c r="Q22" s="109"/>
      <c r="R22" s="109"/>
      <c r="S22" s="109"/>
      <c r="T22" s="109"/>
      <c r="U22" s="109"/>
      <c r="W22" s="110"/>
      <c r="X22" s="110"/>
      <c r="AF22" s="1" t="s">
        <v>91</v>
      </c>
      <c r="AG22" s="35" t="s">
        <v>92</v>
      </c>
    </row>
    <row r="23" spans="2:35" ht="15" customHeight="1" x14ac:dyDescent="0.2">
      <c r="B23" s="15">
        <v>18</v>
      </c>
      <c r="C23" s="20" t="s">
        <v>76</v>
      </c>
      <c r="D23" s="21">
        <v>0.20486111111111113</v>
      </c>
      <c r="E23" s="21">
        <v>0.63541666666666663</v>
      </c>
      <c r="F23" s="38">
        <f>Table13245678910111321252934394449546149141924293336424753919786104110116122127131136141914[[#This Row],[JAM MASUK]]-Table13245678910111321252934394449546149141924293336424753919786104110116122127131136141914[[#This Row],[JAM KELUAR]]</f>
        <v>0.43055555555555547</v>
      </c>
      <c r="G23" s="20">
        <v>3</v>
      </c>
      <c r="H23" s="24" t="s">
        <v>198</v>
      </c>
      <c r="O23" s="2" t="s">
        <v>0</v>
      </c>
      <c r="P23" s="2" t="s">
        <v>1</v>
      </c>
      <c r="Q23" s="22" t="s">
        <v>61</v>
      </c>
      <c r="R23" s="22" t="s">
        <v>62</v>
      </c>
      <c r="S23" s="22" t="s">
        <v>63</v>
      </c>
      <c r="T23" s="2" t="s">
        <v>2</v>
      </c>
      <c r="U23" s="2" t="s">
        <v>3</v>
      </c>
      <c r="W23" s="3" t="s">
        <v>29</v>
      </c>
      <c r="X23" s="5">
        <f>SUM(X25:X28)</f>
        <v>8</v>
      </c>
    </row>
    <row r="24" spans="2:35" ht="14.5" customHeight="1" x14ac:dyDescent="0.2">
      <c r="B24" s="15">
        <v>19</v>
      </c>
      <c r="C24" s="20" t="s">
        <v>16</v>
      </c>
      <c r="D24" s="21">
        <v>0.26458333333333334</v>
      </c>
      <c r="E24" s="21">
        <v>0.69097222222222221</v>
      </c>
      <c r="F24" s="38">
        <f>Table13245678910111321252934394449546149141924293336424753919786104110116122127131136141914[[#This Row],[JAM MASUK]]-Table13245678910111321252934394449546149141924293336424753919786104110116122127131136141914[[#This Row],[JAM KELUAR]]</f>
        <v>0.42638888888888887</v>
      </c>
      <c r="G24" s="20">
        <v>3</v>
      </c>
      <c r="H24" s="24" t="s">
        <v>198</v>
      </c>
      <c r="O24" s="15">
        <v>1</v>
      </c>
      <c r="P24" s="33" t="s">
        <v>37</v>
      </c>
      <c r="Q24" s="44">
        <v>0.31597222222222221</v>
      </c>
      <c r="R24" s="40">
        <v>0.43958333333333338</v>
      </c>
      <c r="S24" s="37">
        <f t="shared" ref="S24:S30" si="2">R24-Q24</f>
        <v>0.12361111111111117</v>
      </c>
      <c r="T24" s="23">
        <v>1</v>
      </c>
      <c r="U24" s="16" t="s">
        <v>180</v>
      </c>
      <c r="W24" s="4" t="s">
        <v>10</v>
      </c>
      <c r="X24" s="6">
        <v>8</v>
      </c>
    </row>
    <row r="25" spans="2:35" ht="14.5" customHeight="1" x14ac:dyDescent="0.2">
      <c r="B25" s="15">
        <v>20</v>
      </c>
      <c r="C25" s="20" t="s">
        <v>121</v>
      </c>
      <c r="D25" s="21">
        <v>0.25208333333333333</v>
      </c>
      <c r="E25" s="21">
        <v>0.65347222222222223</v>
      </c>
      <c r="F25" s="38">
        <f>Table13245678910111321252934394449546149141924293336424753919786104110116122127131136141914[[#This Row],[JAM MASUK]]-Table13245678910111321252934394449546149141924293336424753919786104110116122127131136141914[[#This Row],[JAM KELUAR]]</f>
        <v>0.40138888888888891</v>
      </c>
      <c r="G25" s="20">
        <v>3</v>
      </c>
      <c r="H25" s="24" t="s">
        <v>198</v>
      </c>
      <c r="O25" s="15">
        <v>2</v>
      </c>
      <c r="P25" s="33" t="s">
        <v>39</v>
      </c>
      <c r="Q25" s="44">
        <v>0.31944444444444448</v>
      </c>
      <c r="R25" s="40">
        <v>0.45277777777777778</v>
      </c>
      <c r="S25" s="37">
        <f t="shared" si="2"/>
        <v>0.1333333333333333</v>
      </c>
      <c r="T25" s="23">
        <v>1</v>
      </c>
      <c r="U25" s="47" t="s">
        <v>181</v>
      </c>
      <c r="W25" s="4" t="s">
        <v>9</v>
      </c>
      <c r="X25" s="7">
        <v>7</v>
      </c>
    </row>
    <row r="26" spans="2:35" ht="14.5" customHeight="1" x14ac:dyDescent="0.2">
      <c r="B26" s="15">
        <v>21</v>
      </c>
      <c r="C26" s="20" t="s">
        <v>18</v>
      </c>
      <c r="D26" s="21">
        <v>0.27083333333333331</v>
      </c>
      <c r="E26" s="21">
        <v>0.68819444444444444</v>
      </c>
      <c r="F26" s="38">
        <f>Table13245678910111321252934394449546149141924293336424753919786104110116122127131136141914[[#This Row],[JAM MASUK]]-Table13245678910111321252934394449546149141924293336424753919786104110116122127131136141914[[#This Row],[JAM KELUAR]]</f>
        <v>0.41736111111111113</v>
      </c>
      <c r="G26" s="20">
        <v>3</v>
      </c>
      <c r="H26" s="24" t="s">
        <v>196</v>
      </c>
      <c r="O26" s="15">
        <v>3</v>
      </c>
      <c r="P26" s="33" t="s">
        <v>83</v>
      </c>
      <c r="Q26" s="44">
        <v>0.30972222222222223</v>
      </c>
      <c r="R26" s="40">
        <v>0.70277777777777783</v>
      </c>
      <c r="S26" s="37">
        <f t="shared" si="2"/>
        <v>0.3930555555555556</v>
      </c>
      <c r="T26" s="23">
        <v>3</v>
      </c>
      <c r="U26" s="24" t="s">
        <v>182</v>
      </c>
      <c r="W26" s="4" t="s">
        <v>4</v>
      </c>
      <c r="X26" s="7">
        <v>0</v>
      </c>
    </row>
    <row r="27" spans="2:35" x14ac:dyDescent="0.2">
      <c r="B27" s="15">
        <v>22</v>
      </c>
      <c r="C27" s="20" t="s">
        <v>19</v>
      </c>
      <c r="D27" s="21">
        <v>0.2902777777777778</v>
      </c>
      <c r="E27" s="21">
        <v>0.72083333333333333</v>
      </c>
      <c r="F27" s="38">
        <f>Table13245678910111321252934394449546149141924293336424753919786104110116122127131136141914[[#This Row],[JAM MASUK]]-Table13245678910111321252934394449546149141924293336424753919786104110116122127131136141914[[#This Row],[JAM KELUAR]]</f>
        <v>0.43055555555555552</v>
      </c>
      <c r="G27" s="20">
        <v>3</v>
      </c>
      <c r="H27" s="24" t="s">
        <v>198</v>
      </c>
      <c r="O27" s="15">
        <v>4</v>
      </c>
      <c r="P27" s="33" t="s">
        <v>36</v>
      </c>
      <c r="Q27" s="44">
        <v>0.2951388888888889</v>
      </c>
      <c r="R27" s="40">
        <v>0.625</v>
      </c>
      <c r="S27" s="37">
        <f t="shared" si="2"/>
        <v>0.3298611111111111</v>
      </c>
      <c r="T27" s="23">
        <v>3</v>
      </c>
      <c r="U27" s="24" t="s">
        <v>182</v>
      </c>
      <c r="W27" s="4" t="s">
        <v>5</v>
      </c>
      <c r="X27" s="7">
        <v>1</v>
      </c>
    </row>
    <row r="28" spans="2:35" x14ac:dyDescent="0.2">
      <c r="O28" s="15">
        <v>5</v>
      </c>
      <c r="P28" s="33" t="s">
        <v>85</v>
      </c>
      <c r="Q28" s="44">
        <v>0.30208333333333331</v>
      </c>
      <c r="R28" s="40">
        <v>0.6381944444444444</v>
      </c>
      <c r="S28" s="37">
        <f t="shared" si="2"/>
        <v>0.33611111111111108</v>
      </c>
      <c r="T28" s="23">
        <v>3</v>
      </c>
      <c r="U28" s="24" t="s">
        <v>182</v>
      </c>
      <c r="W28" s="4" t="s">
        <v>33</v>
      </c>
      <c r="X28" s="7">
        <v>0</v>
      </c>
    </row>
    <row r="29" spans="2:35" x14ac:dyDescent="0.2">
      <c r="G29" s="34"/>
      <c r="H29" s="35" t="s">
        <v>90</v>
      </c>
      <c r="O29" s="15">
        <v>6</v>
      </c>
      <c r="P29" s="33" t="s">
        <v>42</v>
      </c>
      <c r="Q29" s="44">
        <v>0.30624999999999997</v>
      </c>
      <c r="R29" s="40">
        <v>0.60763888888888895</v>
      </c>
      <c r="S29" s="37">
        <f t="shared" si="2"/>
        <v>0.30138888888888898</v>
      </c>
      <c r="T29" s="23">
        <v>3</v>
      </c>
      <c r="U29" s="24" t="s">
        <v>182</v>
      </c>
      <c r="W29" s="8" t="s">
        <v>8</v>
      </c>
      <c r="X29" s="9">
        <f>SUM(Table13456789101117222630323641465156636111621263135394449559399881061121181241291331381431116[Retase])</f>
        <v>18</v>
      </c>
    </row>
    <row r="30" spans="2:35" x14ac:dyDescent="0.2">
      <c r="G30" s="1" t="s">
        <v>91</v>
      </c>
      <c r="H30" s="35" t="s">
        <v>92</v>
      </c>
      <c r="O30" s="1">
        <v>7</v>
      </c>
      <c r="P30" s="29" t="s">
        <v>84</v>
      </c>
      <c r="Q30" s="30">
        <v>0.28194444444444444</v>
      </c>
      <c r="R30" s="30">
        <v>0.71458333333333324</v>
      </c>
      <c r="S30" s="39">
        <f t="shared" si="2"/>
        <v>0.4326388888888888</v>
      </c>
      <c r="T30" s="29">
        <v>4</v>
      </c>
      <c r="U30" s="45" t="s">
        <v>25</v>
      </c>
      <c r="W30" s="10" t="s">
        <v>7</v>
      </c>
      <c r="X30" s="11">
        <f>X29/X25</f>
        <v>2.5714285714285716</v>
      </c>
      <c r="AF30" s="49"/>
    </row>
    <row r="31" spans="2:35" x14ac:dyDescent="0.2">
      <c r="V31" s="1"/>
      <c r="W31" s="12" t="s">
        <v>11</v>
      </c>
      <c r="X31" s="13">
        <v>4</v>
      </c>
    </row>
    <row r="32" spans="2:35" x14ac:dyDescent="0.2">
      <c r="T32" s="34"/>
      <c r="U32" s="35" t="s">
        <v>90</v>
      </c>
      <c r="V32" s="1"/>
      <c r="W32" s="12" t="s">
        <v>88</v>
      </c>
      <c r="X32" s="14">
        <f>1/7</f>
        <v>0.14285714285714285</v>
      </c>
    </row>
    <row r="33" spans="1:27" x14ac:dyDescent="0.2">
      <c r="G33" s="49"/>
      <c r="T33" s="1" t="s">
        <v>91</v>
      </c>
      <c r="U33" s="35" t="s">
        <v>92</v>
      </c>
      <c r="V33" s="1"/>
      <c r="W33" s="12" t="s">
        <v>27</v>
      </c>
      <c r="X33" s="14">
        <f>X25/X24</f>
        <v>0.875</v>
      </c>
    </row>
    <row r="34" spans="1:27" x14ac:dyDescent="0.2">
      <c r="V34" s="1"/>
      <c r="W34" s="12" t="s">
        <v>117</v>
      </c>
      <c r="X34" s="48">
        <f>AVERAGE(Table13456789101117222630323641465156636111621263135394449559399881061121181241291331381431116[JAM KELUAR])</f>
        <v>0.30436507936507934</v>
      </c>
    </row>
    <row r="35" spans="1:27" x14ac:dyDescent="0.2">
      <c r="V35" s="1"/>
      <c r="AA35" s="49" t="s">
        <v>124</v>
      </c>
    </row>
    <row r="36" spans="1:27" x14ac:dyDescent="0.2">
      <c r="B36" s="49" t="s">
        <v>124</v>
      </c>
      <c r="V36" s="1"/>
    </row>
    <row r="37" spans="1:27" x14ac:dyDescent="0.2">
      <c r="T37" s="49"/>
      <c r="V37" s="1"/>
    </row>
    <row r="38" spans="1:27" x14ac:dyDescent="0.2">
      <c r="V38" s="1"/>
    </row>
    <row r="39" spans="1:27" x14ac:dyDescent="0.2">
      <c r="O39" s="49" t="s">
        <v>124</v>
      </c>
      <c r="V39" s="1"/>
    </row>
    <row r="40" spans="1:27" ht="21" x14ac:dyDescent="0.25">
      <c r="A40" s="46"/>
    </row>
    <row r="44" spans="1:27" x14ac:dyDescent="0.2">
      <c r="O44" s="2" t="s">
        <v>0</v>
      </c>
      <c r="P44" s="2" t="s">
        <v>1</v>
      </c>
      <c r="Q44" s="22" t="s">
        <v>61</v>
      </c>
      <c r="R44" s="22" t="s">
        <v>62</v>
      </c>
      <c r="S44" s="22" t="s">
        <v>63</v>
      </c>
      <c r="T44" s="2" t="s">
        <v>2</v>
      </c>
      <c r="U44" s="2" t="s">
        <v>3</v>
      </c>
    </row>
    <row r="45" spans="1:27" x14ac:dyDescent="0.2">
      <c r="O45" s="27">
        <v>1</v>
      </c>
      <c r="P45" s="2"/>
      <c r="Q45" s="41"/>
      <c r="R45" s="42"/>
      <c r="S45" s="26"/>
      <c r="T45" s="2"/>
      <c r="U45" s="24"/>
    </row>
    <row r="46" spans="1:27" x14ac:dyDescent="0.2">
      <c r="O46" s="15">
        <v>2</v>
      </c>
      <c r="P46" s="29"/>
      <c r="Q46" s="30"/>
      <c r="R46" s="36"/>
      <c r="S46" s="26"/>
      <c r="T46" s="29"/>
      <c r="U46" s="24"/>
    </row>
    <row r="47" spans="1:27" x14ac:dyDescent="0.2">
      <c r="O47" s="15">
        <v>3</v>
      </c>
      <c r="P47" s="29"/>
      <c r="Q47" s="30"/>
      <c r="R47" s="36"/>
      <c r="S47" s="39"/>
      <c r="T47" s="29"/>
      <c r="U47" s="16"/>
    </row>
    <row r="48" spans="1:27" x14ac:dyDescent="0.2">
      <c r="O48" s="27">
        <v>4</v>
      </c>
      <c r="P48" s="29"/>
      <c r="Q48" s="30"/>
      <c r="R48" s="36"/>
      <c r="S48" s="39"/>
      <c r="T48" s="29"/>
      <c r="U48" s="24"/>
    </row>
    <row r="49" spans="15:22" x14ac:dyDescent="0.2">
      <c r="O49" s="15">
        <v>5</v>
      </c>
      <c r="P49" s="29"/>
      <c r="Q49" s="30"/>
      <c r="R49" s="36"/>
      <c r="S49" s="26"/>
      <c r="T49" s="29"/>
      <c r="U49" s="24"/>
    </row>
    <row r="50" spans="15:22" x14ac:dyDescent="0.2">
      <c r="O50" s="15">
        <v>6</v>
      </c>
      <c r="P50" s="29"/>
      <c r="Q50" s="30"/>
      <c r="R50" s="36"/>
      <c r="S50" s="26"/>
      <c r="T50" s="29"/>
      <c r="U50" s="24"/>
    </row>
    <row r="51" spans="15:22" x14ac:dyDescent="0.2">
      <c r="O51" s="27">
        <v>7</v>
      </c>
      <c r="P51" s="29"/>
      <c r="Q51" s="30"/>
      <c r="R51" s="36"/>
      <c r="S51" s="39"/>
      <c r="T51" s="29"/>
      <c r="U51" s="24"/>
    </row>
    <row r="52" spans="15:22" x14ac:dyDescent="0.2">
      <c r="O52" s="15">
        <v>8</v>
      </c>
      <c r="P52" s="29"/>
      <c r="Q52" s="30"/>
      <c r="R52" s="36"/>
      <c r="S52" s="26"/>
      <c r="T52" s="29"/>
      <c r="U52" s="24"/>
    </row>
    <row r="53" spans="15:22" x14ac:dyDescent="0.2">
      <c r="O53" s="15">
        <v>9</v>
      </c>
      <c r="P53" s="29"/>
      <c r="Q53" s="30"/>
      <c r="R53" s="36"/>
      <c r="S53" s="26"/>
      <c r="T53" s="29"/>
      <c r="U53" s="24"/>
    </row>
    <row r="54" spans="15:22" x14ac:dyDescent="0.2">
      <c r="O54" s="27">
        <v>10</v>
      </c>
      <c r="P54" s="29"/>
      <c r="Q54" s="30"/>
      <c r="R54" s="36"/>
      <c r="S54" s="26"/>
      <c r="T54" s="29"/>
      <c r="U54" s="24"/>
    </row>
    <row r="55" spans="15:22" x14ac:dyDescent="0.2">
      <c r="O55" s="15">
        <v>11</v>
      </c>
      <c r="P55" s="29"/>
      <c r="Q55" s="30"/>
      <c r="R55" s="36"/>
      <c r="S55" s="26"/>
      <c r="T55" s="29"/>
      <c r="U55" s="24"/>
    </row>
    <row r="56" spans="15:22" x14ac:dyDescent="0.2">
      <c r="O56" s="1">
        <v>12</v>
      </c>
      <c r="P56" s="29"/>
      <c r="Q56" s="30"/>
      <c r="R56" s="36"/>
      <c r="S56" s="39"/>
      <c r="T56" s="29"/>
      <c r="U56" s="25"/>
    </row>
    <row r="57" spans="15:22" x14ac:dyDescent="0.2">
      <c r="O57" s="28">
        <v>13</v>
      </c>
      <c r="P57" s="29"/>
      <c r="Q57" s="30"/>
      <c r="R57" s="36"/>
      <c r="S57" s="26"/>
      <c r="T57" s="29"/>
      <c r="U57" s="25"/>
    </row>
    <row r="58" spans="15:22" x14ac:dyDescent="0.2">
      <c r="O58" s="27">
        <v>14</v>
      </c>
      <c r="P58" s="29"/>
      <c r="Q58" s="30"/>
      <c r="R58" s="36"/>
      <c r="S58" s="26"/>
      <c r="T58" s="29"/>
      <c r="U58" s="24"/>
    </row>
    <row r="59" spans="15:22" x14ac:dyDescent="0.2">
      <c r="O59" s="15">
        <v>15</v>
      </c>
      <c r="P59" s="29"/>
      <c r="Q59" s="30"/>
      <c r="R59" s="36"/>
      <c r="S59" s="26"/>
      <c r="T59" s="29"/>
      <c r="U59" s="24"/>
    </row>
    <row r="60" spans="15:22" x14ac:dyDescent="0.2">
      <c r="O60" s="1">
        <v>16</v>
      </c>
      <c r="P60" s="29"/>
      <c r="Q60" s="30"/>
      <c r="R60" s="36"/>
      <c r="S60" s="26"/>
      <c r="T60" s="29"/>
      <c r="U60" s="25"/>
    </row>
    <row r="61" spans="15:22" x14ac:dyDescent="0.2">
      <c r="O61" s="28">
        <v>17</v>
      </c>
      <c r="P61" s="29"/>
      <c r="Q61" s="30"/>
      <c r="R61" s="36"/>
      <c r="S61" s="26"/>
      <c r="T61" s="29"/>
      <c r="U61" s="25"/>
    </row>
    <row r="62" spans="15:22" x14ac:dyDescent="0.2">
      <c r="O62" s="27">
        <v>18</v>
      </c>
      <c r="P62" s="29"/>
      <c r="Q62" s="30"/>
      <c r="R62" s="36"/>
      <c r="S62" s="26"/>
      <c r="T62" s="29"/>
      <c r="U62" s="24"/>
      <c r="V62" s="1"/>
    </row>
    <row r="63" spans="15:22" x14ac:dyDescent="0.2">
      <c r="O63" s="1">
        <v>19</v>
      </c>
      <c r="P63" s="29"/>
      <c r="Q63" s="30"/>
      <c r="R63" s="36"/>
      <c r="S63" s="39"/>
      <c r="T63" s="29"/>
      <c r="U63" s="25"/>
      <c r="V63" s="1"/>
    </row>
    <row r="64" spans="15:22" x14ac:dyDescent="0.2">
      <c r="O64" s="1">
        <v>20</v>
      </c>
      <c r="P64" s="29"/>
      <c r="Q64" s="30"/>
      <c r="R64" s="36"/>
      <c r="S64" s="39"/>
      <c r="T64" s="29"/>
      <c r="U64" s="25"/>
      <c r="V64" s="1"/>
    </row>
    <row r="65" spans="15:21" x14ac:dyDescent="0.2">
      <c r="O65" s="28">
        <v>21</v>
      </c>
      <c r="P65" s="29"/>
      <c r="Q65" s="30"/>
      <c r="R65" s="36"/>
      <c r="S65" s="26"/>
      <c r="T65" s="29"/>
      <c r="U65" s="25"/>
    </row>
    <row r="66" spans="15:21" x14ac:dyDescent="0.2">
      <c r="O66" s="27">
        <v>22</v>
      </c>
      <c r="P66" s="29"/>
      <c r="Q66" s="30"/>
      <c r="R66" s="36"/>
      <c r="S66" s="26"/>
      <c r="T66" s="29"/>
      <c r="U66" s="25"/>
    </row>
  </sheetData>
  <mergeCells count="15">
    <mergeCell ref="O21:U21"/>
    <mergeCell ref="W21:X22"/>
    <mergeCell ref="O22:U22"/>
    <mergeCell ref="B1:K1"/>
    <mergeCell ref="O1:X1"/>
    <mergeCell ref="AA1:AJ1"/>
    <mergeCell ref="B3:H3"/>
    <mergeCell ref="J3:K4"/>
    <mergeCell ref="O3:U3"/>
    <mergeCell ref="W3:X4"/>
    <mergeCell ref="AA3:AG3"/>
    <mergeCell ref="AI3:AJ4"/>
    <mergeCell ref="B4:H4"/>
    <mergeCell ref="O4:U4"/>
    <mergeCell ref="AA4:AG4"/>
  </mergeCells>
  <pageMargins left="0.12" right="0.12" top="0.75" bottom="0.75" header="0.3" footer="0.3"/>
  <pageSetup paperSize="5" scale="83" fitToWidth="0" orientation="landscape" horizontalDpi="360" verticalDpi="360" r:id="rId1"/>
  <rowBreaks count="1" manualBreakCount="1">
    <brk id="39" max="46" man="1"/>
  </rowBreaks>
  <colBreaks count="2" manualBreakCount="2">
    <brk id="13" max="38" man="1"/>
    <brk id="24" max="38" man="1"/>
  </colBreaks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BF79-3BE1-4D11-8559-9F6BB0D43B37}">
  <sheetPr>
    <tabColor theme="7" tint="0.39997558519241921"/>
  </sheetPr>
  <dimension ref="A1:AI65"/>
  <sheetViews>
    <sheetView showGridLines="0" view="pageBreakPreview" topLeftCell="AC1" zoomScaleNormal="55" zoomScaleSheetLayoutView="100" workbookViewId="0">
      <selection activeCell="AA6" sqref="AA6:AF17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1.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3.6640625" bestFit="1" customWidth="1"/>
    <col min="26" max="26" width="7.5" customWidth="1"/>
    <col min="27" max="27" width="14.5" bestFit="1" customWidth="1"/>
    <col min="28" max="28" width="14.5" customWidth="1"/>
    <col min="29" max="29" width="17" bestFit="1" customWidth="1"/>
    <col min="30" max="30" width="14.5" customWidth="1"/>
    <col min="31" max="31" width="7.1640625" customWidth="1"/>
    <col min="32" max="32" width="82.5" customWidth="1"/>
    <col min="33" max="33" width="2.5" customWidth="1"/>
    <col min="34" max="34" width="32.6640625" bestFit="1" customWidth="1"/>
    <col min="35" max="35" width="10" customWidth="1"/>
    <col min="36" max="36" width="17.83203125" customWidth="1"/>
    <col min="37" max="37" width="15.83203125" customWidth="1"/>
  </cols>
  <sheetData>
    <row r="1" spans="1:35" ht="21" x14ac:dyDescent="0.25">
      <c r="B1" s="104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O1" s="104" t="s">
        <v>53</v>
      </c>
      <c r="P1" s="104"/>
      <c r="Q1" s="104"/>
      <c r="R1" s="104"/>
      <c r="S1" s="104"/>
      <c r="T1" s="104"/>
      <c r="U1" s="104"/>
      <c r="V1" s="104"/>
      <c r="W1" s="104"/>
      <c r="X1" s="104"/>
      <c r="Z1" s="104" t="s">
        <v>54</v>
      </c>
      <c r="AA1" s="104"/>
      <c r="AB1" s="104"/>
      <c r="AC1" s="104"/>
      <c r="AD1" s="104"/>
      <c r="AE1" s="104"/>
      <c r="AF1" s="104"/>
      <c r="AG1" s="104"/>
      <c r="AH1" s="104"/>
      <c r="AI1" s="104"/>
    </row>
    <row r="3" spans="1:35" ht="19" x14ac:dyDescent="0.25">
      <c r="B3" s="105" t="s">
        <v>22</v>
      </c>
      <c r="C3" s="105"/>
      <c r="D3" s="105"/>
      <c r="E3" s="105"/>
      <c r="F3" s="105"/>
      <c r="G3" s="105"/>
      <c r="H3" s="105"/>
      <c r="J3" s="106" t="s">
        <v>23</v>
      </c>
      <c r="K3" s="106"/>
      <c r="O3" s="108" t="s">
        <v>95</v>
      </c>
      <c r="P3" s="108"/>
      <c r="Q3" s="108"/>
      <c r="R3" s="108"/>
      <c r="S3" s="108"/>
      <c r="T3" s="108"/>
      <c r="U3" s="108"/>
      <c r="W3" s="106" t="s">
        <v>28</v>
      </c>
      <c r="X3" s="106"/>
      <c r="Z3" s="105" t="s">
        <v>43</v>
      </c>
      <c r="AA3" s="105"/>
      <c r="AB3" s="105"/>
      <c r="AC3" s="105"/>
      <c r="AD3" s="105"/>
      <c r="AE3" s="105"/>
      <c r="AF3" s="105"/>
      <c r="AH3" s="106" t="s">
        <v>44</v>
      </c>
      <c r="AI3" s="106"/>
    </row>
    <row r="4" spans="1:35" x14ac:dyDescent="0.2">
      <c r="B4" s="109">
        <v>45417</v>
      </c>
      <c r="C4" s="109"/>
      <c r="D4" s="109"/>
      <c r="E4" s="109"/>
      <c r="F4" s="109"/>
      <c r="G4" s="109"/>
      <c r="H4" s="109"/>
      <c r="J4" s="107"/>
      <c r="K4" s="107"/>
      <c r="O4" s="109">
        <f>B4</f>
        <v>45417</v>
      </c>
      <c r="P4" s="109"/>
      <c r="Q4" s="109"/>
      <c r="R4" s="109"/>
      <c r="S4" s="109"/>
      <c r="T4" s="109"/>
      <c r="U4" s="109"/>
      <c r="W4" s="107"/>
      <c r="X4" s="107"/>
      <c r="Z4" s="109">
        <f>B4</f>
        <v>45417</v>
      </c>
      <c r="AA4" s="109"/>
      <c r="AB4" s="109"/>
      <c r="AC4" s="109"/>
      <c r="AD4" s="109"/>
      <c r="AE4" s="109"/>
      <c r="AF4" s="109"/>
      <c r="AH4" s="107"/>
      <c r="AI4" s="107"/>
    </row>
    <row r="5" spans="1:35" s="1" customFormat="1" x14ac:dyDescent="0.2">
      <c r="A5"/>
      <c r="B5" s="2" t="s">
        <v>0</v>
      </c>
      <c r="C5" s="2" t="s">
        <v>1</v>
      </c>
      <c r="D5" s="2" t="s">
        <v>61</v>
      </c>
      <c r="E5" s="26" t="s">
        <v>62</v>
      </c>
      <c r="F5" s="2" t="s">
        <v>63</v>
      </c>
      <c r="G5" s="2" t="s">
        <v>2</v>
      </c>
      <c r="H5" s="2" t="s">
        <v>3</v>
      </c>
      <c r="J5" s="3" t="s">
        <v>21</v>
      </c>
      <c r="K5" s="5">
        <f>SUM(K7:K10)</f>
        <v>23</v>
      </c>
      <c r="L5" s="19"/>
      <c r="O5" s="2" t="s">
        <v>0</v>
      </c>
      <c r="P5" s="2" t="s">
        <v>1</v>
      </c>
      <c r="Q5" s="22" t="s">
        <v>61</v>
      </c>
      <c r="R5" s="22" t="s">
        <v>62</v>
      </c>
      <c r="S5" s="22" t="s">
        <v>63</v>
      </c>
      <c r="T5" s="2" t="s">
        <v>2</v>
      </c>
      <c r="U5" s="2" t="s">
        <v>3</v>
      </c>
      <c r="W5" s="3" t="s">
        <v>29</v>
      </c>
      <c r="X5" s="5">
        <f>SUM(X7:X10)</f>
        <v>18</v>
      </c>
      <c r="Z5" s="2" t="s">
        <v>0</v>
      </c>
      <c r="AA5" s="2" t="s">
        <v>1</v>
      </c>
      <c r="AB5" s="2" t="s">
        <v>61</v>
      </c>
      <c r="AC5" s="2" t="s">
        <v>62</v>
      </c>
      <c r="AD5" s="2" t="s">
        <v>63</v>
      </c>
      <c r="AE5" s="2" t="s">
        <v>2</v>
      </c>
      <c r="AF5" s="2" t="s">
        <v>3</v>
      </c>
      <c r="AH5" s="3" t="s">
        <v>21</v>
      </c>
      <c r="AI5" s="5">
        <f>SUM(AI7:AI10)</f>
        <v>15</v>
      </c>
    </row>
    <row r="6" spans="1:35" s="1" customFormat="1" x14ac:dyDescent="0.2">
      <c r="A6"/>
      <c r="B6" s="50">
        <v>1</v>
      </c>
      <c r="C6" s="31" t="s">
        <v>13</v>
      </c>
      <c r="D6" s="32">
        <v>0.29236111111111113</v>
      </c>
      <c r="E6" s="32">
        <v>0.4291666666666667</v>
      </c>
      <c r="F6" s="51">
        <f>Table1324567891011132125293439444954614914192429333642475391978610411011612212713113614191424[[#This Row],[JAM MASUK]]-Table1324567891011132125293439444954614914192429333642475391978610411011612212713113614191424[[#This Row],[JAM KELUAR]]</f>
        <v>0.13680555555555557</v>
      </c>
      <c r="G6" s="31">
        <v>1</v>
      </c>
      <c r="H6" s="53" t="s">
        <v>202</v>
      </c>
      <c r="J6" s="4" t="s">
        <v>10</v>
      </c>
      <c r="K6" s="6">
        <v>23</v>
      </c>
      <c r="L6" s="19"/>
      <c r="O6" s="27">
        <v>1</v>
      </c>
      <c r="P6" s="20" t="s">
        <v>57</v>
      </c>
      <c r="Q6" s="21">
        <v>0.26527777777777778</v>
      </c>
      <c r="R6" s="21">
        <v>0.65763888888888888</v>
      </c>
      <c r="S6" s="37">
        <f t="shared" ref="S6:S18" si="0">R6-Q6</f>
        <v>0.3923611111111111</v>
      </c>
      <c r="T6" s="20">
        <v>2</v>
      </c>
      <c r="U6" s="24" t="s">
        <v>217</v>
      </c>
      <c r="W6" s="4" t="s">
        <v>10</v>
      </c>
      <c r="X6" s="6">
        <v>18</v>
      </c>
      <c r="Z6" s="50">
        <v>1</v>
      </c>
      <c r="AA6" s="31" t="s">
        <v>77</v>
      </c>
      <c r="AB6" s="32">
        <v>0.3125</v>
      </c>
      <c r="AC6" s="32">
        <v>0.44375000000000003</v>
      </c>
      <c r="AD6" s="52">
        <f t="shared" ref="AD6:AD17" si="1">AC6-AB6</f>
        <v>0.13125000000000003</v>
      </c>
      <c r="AE6" s="31">
        <v>1</v>
      </c>
      <c r="AF6" s="55" t="s">
        <v>210</v>
      </c>
      <c r="AH6" s="4" t="s">
        <v>10</v>
      </c>
      <c r="AI6" s="6">
        <v>15</v>
      </c>
    </row>
    <row r="7" spans="1:35" s="1" customFormat="1" x14ac:dyDescent="0.2">
      <c r="A7"/>
      <c r="B7" s="15">
        <v>2</v>
      </c>
      <c r="C7" s="20" t="s">
        <v>73</v>
      </c>
      <c r="D7" s="21">
        <v>0.23472222222222219</v>
      </c>
      <c r="E7" s="21">
        <v>0.49722222222222223</v>
      </c>
      <c r="F7" s="38">
        <f>Table1324567891011132125293439444954614914192429333642475391978610411011612212713113614191424[[#This Row],[JAM MASUK]]-Table1324567891011132125293439444954614914192429333642475391978610411011612212713113614191424[[#This Row],[JAM KELUAR]]</f>
        <v>0.26250000000000007</v>
      </c>
      <c r="G7" s="20">
        <v>2</v>
      </c>
      <c r="H7" s="16" t="s">
        <v>203</v>
      </c>
      <c r="J7" s="4" t="s">
        <v>9</v>
      </c>
      <c r="K7" s="7">
        <v>19</v>
      </c>
      <c r="L7" s="19"/>
      <c r="O7" s="50">
        <v>2</v>
      </c>
      <c r="P7" s="33" t="s">
        <v>40</v>
      </c>
      <c r="Q7" s="44">
        <v>0.29444444444444445</v>
      </c>
      <c r="R7" s="44">
        <v>0.5</v>
      </c>
      <c r="S7" s="52">
        <f t="shared" si="0"/>
        <v>0.20555555555555555</v>
      </c>
      <c r="T7" s="33">
        <v>2</v>
      </c>
      <c r="U7" s="53" t="s">
        <v>218</v>
      </c>
      <c r="W7" s="4" t="s">
        <v>9</v>
      </c>
      <c r="X7" s="7">
        <v>13</v>
      </c>
      <c r="Z7" s="15">
        <v>2</v>
      </c>
      <c r="AA7" s="20" t="s">
        <v>45</v>
      </c>
      <c r="AB7" s="21">
        <v>0.21041666666666667</v>
      </c>
      <c r="AC7" s="21">
        <v>0.66319444444444442</v>
      </c>
      <c r="AD7" s="38">
        <f t="shared" si="1"/>
        <v>0.45277777777777772</v>
      </c>
      <c r="AE7" s="20">
        <v>3</v>
      </c>
      <c r="AF7" s="16" t="s">
        <v>211</v>
      </c>
      <c r="AH7" s="4" t="s">
        <v>9</v>
      </c>
      <c r="AI7" s="6">
        <v>12</v>
      </c>
    </row>
    <row r="8" spans="1:35" s="1" customFormat="1" x14ac:dyDescent="0.2">
      <c r="A8"/>
      <c r="B8" s="15">
        <v>3</v>
      </c>
      <c r="C8" s="20" t="s">
        <v>19</v>
      </c>
      <c r="D8" s="21">
        <v>0.26597222222222222</v>
      </c>
      <c r="E8" s="21">
        <v>0.57638888888888895</v>
      </c>
      <c r="F8" s="38">
        <f>Table1324567891011132125293439444954614914192429333642475391978610411011612212713113614191424[[#This Row],[JAM MASUK]]-Table1324567891011132125293439444954614914192429333642475391978610411011612212713113614191424[[#This Row],[JAM KELUAR]]</f>
        <v>0.31041666666666673</v>
      </c>
      <c r="G8" s="20">
        <v>2</v>
      </c>
      <c r="H8" s="24" t="s">
        <v>204</v>
      </c>
      <c r="J8" s="4" t="s">
        <v>4</v>
      </c>
      <c r="K8" s="7">
        <v>0</v>
      </c>
      <c r="L8" s="19"/>
      <c r="N8" s="54" t="s">
        <v>209</v>
      </c>
      <c r="O8" s="50">
        <v>3</v>
      </c>
      <c r="P8" s="33" t="s">
        <v>32</v>
      </c>
      <c r="Q8" s="44">
        <v>0.42291666666666666</v>
      </c>
      <c r="R8" s="44" t="s">
        <v>199</v>
      </c>
      <c r="S8" s="52" t="e">
        <f t="shared" si="0"/>
        <v>#VALUE!</v>
      </c>
      <c r="T8" s="33">
        <v>3</v>
      </c>
      <c r="U8" s="53" t="s">
        <v>200</v>
      </c>
      <c r="W8" s="4" t="s">
        <v>4</v>
      </c>
      <c r="X8" s="7">
        <v>0</v>
      </c>
      <c r="Z8" s="15">
        <v>3</v>
      </c>
      <c r="AA8" s="20" t="s">
        <v>50</v>
      </c>
      <c r="AB8" s="21">
        <v>0.24027777777777778</v>
      </c>
      <c r="AC8" s="21">
        <v>0.49722222222222223</v>
      </c>
      <c r="AD8" s="38">
        <f t="shared" si="1"/>
        <v>0.25694444444444442</v>
      </c>
      <c r="AE8" s="20">
        <v>3</v>
      </c>
      <c r="AF8" s="16" t="s">
        <v>212</v>
      </c>
      <c r="AH8" s="4" t="s">
        <v>4</v>
      </c>
      <c r="AI8" s="7">
        <v>1</v>
      </c>
    </row>
    <row r="9" spans="1:35" s="1" customFormat="1" x14ac:dyDescent="0.2">
      <c r="A9"/>
      <c r="B9" s="50">
        <v>4</v>
      </c>
      <c r="C9" s="31" t="s">
        <v>119</v>
      </c>
      <c r="D9" s="32">
        <v>0.2986111111111111</v>
      </c>
      <c r="E9" s="32">
        <v>0.64444444444444449</v>
      </c>
      <c r="F9" s="51">
        <f>Table1324567891011132125293439444954614914192429333642475391978610411011612212713113614191424[[#This Row],[JAM MASUK]]-Table1324567891011132125293439444954614914192429333642475391978610411011612212713113614191424[[#This Row],[JAM KELUAR]]</f>
        <v>0.34583333333333338</v>
      </c>
      <c r="G9" s="31">
        <v>3</v>
      </c>
      <c r="H9" s="53" t="s">
        <v>148</v>
      </c>
      <c r="J9" s="4" t="s">
        <v>5</v>
      </c>
      <c r="K9" s="7">
        <v>4</v>
      </c>
      <c r="L9" s="19"/>
      <c r="O9" s="27">
        <v>4</v>
      </c>
      <c r="P9" s="23" t="s">
        <v>34</v>
      </c>
      <c r="Q9" s="40">
        <v>0.27083333333333331</v>
      </c>
      <c r="R9" s="40">
        <v>0.57708333333333328</v>
      </c>
      <c r="S9" s="37">
        <f t="shared" si="0"/>
        <v>0.30624999999999997</v>
      </c>
      <c r="T9" s="23">
        <v>3</v>
      </c>
      <c r="U9" s="16" t="s">
        <v>221</v>
      </c>
      <c r="W9" s="4" t="s">
        <v>5</v>
      </c>
      <c r="X9" s="7">
        <v>3</v>
      </c>
      <c r="Y9" s="54" t="s">
        <v>209</v>
      </c>
      <c r="Z9" s="50">
        <v>4</v>
      </c>
      <c r="AA9" s="31" t="s">
        <v>122</v>
      </c>
      <c r="AB9" s="32">
        <v>0.37361111111111112</v>
      </c>
      <c r="AC9" s="32">
        <v>0.73125000000000007</v>
      </c>
      <c r="AD9" s="51">
        <f t="shared" si="1"/>
        <v>0.35763888888888895</v>
      </c>
      <c r="AE9" s="31">
        <v>4</v>
      </c>
      <c r="AF9" s="55" t="s">
        <v>213</v>
      </c>
      <c r="AH9" s="4" t="s">
        <v>5</v>
      </c>
      <c r="AI9" s="7">
        <v>1</v>
      </c>
    </row>
    <row r="10" spans="1:35" s="1" customFormat="1" x14ac:dyDescent="0.2">
      <c r="A10"/>
      <c r="B10" s="50">
        <v>5</v>
      </c>
      <c r="C10" s="31" t="s">
        <v>20</v>
      </c>
      <c r="D10" s="32">
        <v>0.29375000000000001</v>
      </c>
      <c r="E10" s="32">
        <v>0.63194444444444442</v>
      </c>
      <c r="F10" s="51">
        <f>Table1324567891011132125293439444954614914192429333642475391978610411011612212713113614191424[[#This Row],[JAM MASUK]]-Table1324567891011132125293439444954614914192429333642475391978610411011612212713113614191424[[#This Row],[JAM KELUAR]]</f>
        <v>0.33819444444444441</v>
      </c>
      <c r="G10" s="31">
        <v>3</v>
      </c>
      <c r="H10" s="53" t="s">
        <v>226</v>
      </c>
      <c r="J10" s="4" t="s">
        <v>6</v>
      </c>
      <c r="K10" s="7">
        <v>0</v>
      </c>
      <c r="L10" s="19"/>
      <c r="O10" s="15">
        <v>5</v>
      </c>
      <c r="P10" s="23" t="s">
        <v>35</v>
      </c>
      <c r="Q10" s="40">
        <v>0.26250000000000001</v>
      </c>
      <c r="R10" s="40">
        <v>0.71388888888888891</v>
      </c>
      <c r="S10" s="37">
        <f t="shared" si="0"/>
        <v>0.4513888888888889</v>
      </c>
      <c r="T10" s="23">
        <v>3</v>
      </c>
      <c r="U10" s="16" t="s">
        <v>219</v>
      </c>
      <c r="W10" s="4" t="s">
        <v>33</v>
      </c>
      <c r="X10" s="7">
        <v>2</v>
      </c>
      <c r="Z10" s="15">
        <v>5</v>
      </c>
      <c r="AA10" s="20" t="s">
        <v>49</v>
      </c>
      <c r="AB10" s="21">
        <v>0.23750000000000002</v>
      </c>
      <c r="AC10" s="21">
        <v>0.57986111111111105</v>
      </c>
      <c r="AD10" s="38">
        <f t="shared" si="1"/>
        <v>0.34236111111111101</v>
      </c>
      <c r="AE10" s="20">
        <v>4</v>
      </c>
      <c r="AF10" s="16" t="s">
        <v>214</v>
      </c>
      <c r="AH10" s="4" t="s">
        <v>6</v>
      </c>
      <c r="AI10" s="7">
        <v>1</v>
      </c>
    </row>
    <row r="11" spans="1:35" s="1" customFormat="1" x14ac:dyDescent="0.2">
      <c r="A11"/>
      <c r="B11" s="15">
        <v>6</v>
      </c>
      <c r="C11" s="20" t="s">
        <v>70</v>
      </c>
      <c r="D11" s="21">
        <v>0.26319444444444445</v>
      </c>
      <c r="E11" s="21">
        <v>0.62777777777777777</v>
      </c>
      <c r="F11" s="38">
        <f>Table1324567891011132125293439444954614914192429333642475391978610411011612212713113614191424[[#This Row],[JAM MASUK]]-Table1324567891011132125293439444954614914192429333642475391978610411011612212713113614191424[[#This Row],[JAM KELUAR]]</f>
        <v>0.36458333333333331</v>
      </c>
      <c r="G11" s="20">
        <v>3</v>
      </c>
      <c r="H11" s="24" t="s">
        <v>205</v>
      </c>
      <c r="J11" s="8" t="s">
        <v>8</v>
      </c>
      <c r="K11" s="9">
        <f>SUM(Table1324567891011132125293439444954614914192429333642475391978610411011612212713113614191424[Retase])</f>
        <v>63</v>
      </c>
      <c r="L11" s="19"/>
      <c r="O11" s="15">
        <v>6</v>
      </c>
      <c r="P11" s="23" t="s">
        <v>59</v>
      </c>
      <c r="Q11" s="40">
        <v>0.2638888888888889</v>
      </c>
      <c r="R11" s="40">
        <v>0.70763888888888893</v>
      </c>
      <c r="S11" s="37">
        <f t="shared" si="0"/>
        <v>0.44375000000000003</v>
      </c>
      <c r="T11" s="23">
        <v>3</v>
      </c>
      <c r="U11" s="16" t="s">
        <v>220</v>
      </c>
      <c r="W11" s="8" t="s">
        <v>8</v>
      </c>
      <c r="X11" s="9">
        <f>SUM(Table13456789101117222630354045505562510152025303438434854929887105111117123128132137142101525[Retase])</f>
        <v>51</v>
      </c>
      <c r="Z11" s="1">
        <v>6</v>
      </c>
      <c r="AA11" s="2" t="s">
        <v>48</v>
      </c>
      <c r="AB11" s="41">
        <v>0.27638888888888885</v>
      </c>
      <c r="AC11" s="41">
        <v>0.67638888888888893</v>
      </c>
      <c r="AD11" s="26">
        <f t="shared" si="1"/>
        <v>0.40000000000000008</v>
      </c>
      <c r="AE11" s="2">
        <v>5</v>
      </c>
      <c r="AF11" s="45" t="s">
        <v>25</v>
      </c>
      <c r="AH11" s="8" t="s">
        <v>8</v>
      </c>
      <c r="AI11" s="9">
        <f>SUM(Table13456789101115181923273137424752592712172227322841465290968010310911512112612013514081323[Retase])</f>
        <v>51</v>
      </c>
    </row>
    <row r="12" spans="1:35" s="1" customFormat="1" x14ac:dyDescent="0.2">
      <c r="A12"/>
      <c r="B12" s="15">
        <v>7</v>
      </c>
      <c r="C12" s="20" t="s">
        <v>69</v>
      </c>
      <c r="D12" s="21">
        <v>0.28263888888888888</v>
      </c>
      <c r="E12" s="21">
        <v>0.60833333333333328</v>
      </c>
      <c r="F12" s="38">
        <f>Table1324567891011132125293439444954614914192429333642475391978610411011612212713113614191424[[#This Row],[JAM MASUK]]-Table1324567891011132125293439444954614914192429333642475391978610411011612212713113614191424[[#This Row],[JAM KELUAR]]</f>
        <v>0.3256944444444444</v>
      </c>
      <c r="G12" s="20">
        <v>3</v>
      </c>
      <c r="H12" s="24" t="s">
        <v>206</v>
      </c>
      <c r="J12" s="10" t="s">
        <v>7</v>
      </c>
      <c r="K12" s="11">
        <f>K11/K7</f>
        <v>3.3157894736842106</v>
      </c>
      <c r="L12" s="19"/>
      <c r="O12" s="27">
        <v>7</v>
      </c>
      <c r="P12" s="23" t="s">
        <v>123</v>
      </c>
      <c r="Q12" s="40">
        <v>0.27291666666666664</v>
      </c>
      <c r="R12" s="40">
        <v>0.62916666666666665</v>
      </c>
      <c r="S12" s="37">
        <f t="shared" si="0"/>
        <v>0.35625000000000001</v>
      </c>
      <c r="T12" s="23">
        <v>4</v>
      </c>
      <c r="U12" s="16" t="s">
        <v>222</v>
      </c>
      <c r="W12" s="10" t="s">
        <v>7</v>
      </c>
      <c r="X12" s="11">
        <f>X11/X7</f>
        <v>3.9230769230769229</v>
      </c>
      <c r="Z12" s="1">
        <v>7</v>
      </c>
      <c r="AA12" s="2" t="s">
        <v>46</v>
      </c>
      <c r="AB12" s="41">
        <v>0.24305555555555555</v>
      </c>
      <c r="AC12" s="41">
        <v>0.66597222222222219</v>
      </c>
      <c r="AD12" s="26">
        <f t="shared" si="1"/>
        <v>0.42291666666666661</v>
      </c>
      <c r="AE12" s="2">
        <v>5</v>
      </c>
      <c r="AF12" s="45" t="s">
        <v>25</v>
      </c>
      <c r="AH12" s="10" t="s">
        <v>7</v>
      </c>
      <c r="AI12" s="11">
        <f>AI11/AI7</f>
        <v>4.25</v>
      </c>
    </row>
    <row r="13" spans="1:35" s="1" customFormat="1" x14ac:dyDescent="0.2">
      <c r="A13"/>
      <c r="B13" s="15">
        <v>8</v>
      </c>
      <c r="C13" s="20" t="s">
        <v>120</v>
      </c>
      <c r="D13" s="21">
        <v>0.24791666666666667</v>
      </c>
      <c r="E13" s="21">
        <v>0.62638888888888888</v>
      </c>
      <c r="F13" s="38">
        <f>Table1324567891011132125293439444954614914192429333642475391978610411011612212713113614191424[[#This Row],[JAM MASUK]]-Table1324567891011132125293439444954614914192429333642475391978610411011612212713113614191424[[#This Row],[JAM KELUAR]]</f>
        <v>0.37847222222222221</v>
      </c>
      <c r="G13" s="20">
        <v>3</v>
      </c>
      <c r="H13" s="16" t="s">
        <v>208</v>
      </c>
      <c r="J13" s="12" t="s">
        <v>11</v>
      </c>
      <c r="K13" s="13">
        <v>4</v>
      </c>
      <c r="L13" s="19"/>
      <c r="O13" s="1">
        <v>8</v>
      </c>
      <c r="P13" s="29" t="s">
        <v>82</v>
      </c>
      <c r="Q13" s="30">
        <v>0.2986111111111111</v>
      </c>
      <c r="R13" s="30">
        <v>0.71944444444444444</v>
      </c>
      <c r="S13" s="39">
        <f t="shared" si="0"/>
        <v>0.42083333333333334</v>
      </c>
      <c r="T13" s="29">
        <v>5</v>
      </c>
      <c r="U13" s="45" t="s">
        <v>25</v>
      </c>
      <c r="W13" s="12" t="s">
        <v>11</v>
      </c>
      <c r="X13" s="13">
        <v>5</v>
      </c>
      <c r="Z13" s="1">
        <v>8</v>
      </c>
      <c r="AA13" s="2" t="s">
        <v>80</v>
      </c>
      <c r="AB13" s="41">
        <v>0.25347222222222221</v>
      </c>
      <c r="AC13" s="41">
        <v>0.65694444444444444</v>
      </c>
      <c r="AD13" s="26">
        <f t="shared" si="1"/>
        <v>0.40347222222222223</v>
      </c>
      <c r="AE13" s="2">
        <v>5</v>
      </c>
      <c r="AF13" s="45" t="s">
        <v>25</v>
      </c>
      <c r="AH13" s="12" t="s">
        <v>11</v>
      </c>
      <c r="AI13" s="13">
        <v>5</v>
      </c>
    </row>
    <row r="14" spans="1:35" s="1" customFormat="1" x14ac:dyDescent="0.2">
      <c r="A14"/>
      <c r="B14" s="15">
        <v>9</v>
      </c>
      <c r="C14" s="20" t="s">
        <v>16</v>
      </c>
      <c r="D14" s="21">
        <v>0.25277777777777777</v>
      </c>
      <c r="E14" s="21">
        <v>0.60763888888888895</v>
      </c>
      <c r="F14" s="38">
        <f>Table1324567891011132125293439444954614914192429333642475391978610411011612212713113614191424[[#This Row],[JAM MASUK]]-Table1324567891011132125293439444954614914192429333642475391978610411011612212713113614191424[[#This Row],[JAM KELUAR]]</f>
        <v>0.35486111111111118</v>
      </c>
      <c r="G14" s="20">
        <v>3</v>
      </c>
      <c r="H14" s="24" t="s">
        <v>207</v>
      </c>
      <c r="J14" s="12" t="s">
        <v>88</v>
      </c>
      <c r="K14" s="14">
        <f>9/19</f>
        <v>0.47368421052631576</v>
      </c>
      <c r="L14" s="19"/>
      <c r="O14" s="1">
        <v>9</v>
      </c>
      <c r="P14" s="29" t="s">
        <v>58</v>
      </c>
      <c r="Q14" s="30">
        <v>0.29236111111111113</v>
      </c>
      <c r="R14" s="30">
        <v>0.73472222222222217</v>
      </c>
      <c r="S14" s="39">
        <f t="shared" si="0"/>
        <v>0.44236111111111104</v>
      </c>
      <c r="T14" s="29">
        <v>5</v>
      </c>
      <c r="U14" s="45" t="s">
        <v>25</v>
      </c>
      <c r="W14" s="12" t="s">
        <v>88</v>
      </c>
      <c r="X14" s="14">
        <f>6/13</f>
        <v>0.46153846153846156</v>
      </c>
      <c r="Z14" s="1">
        <v>9</v>
      </c>
      <c r="AA14" s="2" t="s">
        <v>47</v>
      </c>
      <c r="AB14" s="41">
        <v>0.2590277777777778</v>
      </c>
      <c r="AC14" s="41">
        <v>0.7006944444444444</v>
      </c>
      <c r="AD14" s="26">
        <f t="shared" si="1"/>
        <v>0.4416666666666666</v>
      </c>
      <c r="AE14" s="2">
        <v>5</v>
      </c>
      <c r="AF14" s="45" t="s">
        <v>25</v>
      </c>
      <c r="AH14" s="12" t="s">
        <v>88</v>
      </c>
      <c r="AI14" s="14">
        <f>7/12</f>
        <v>0.58333333333333337</v>
      </c>
    </row>
    <row r="15" spans="1:35" x14ac:dyDescent="0.2">
      <c r="B15" s="15">
        <v>10</v>
      </c>
      <c r="C15" s="20" t="s">
        <v>121</v>
      </c>
      <c r="D15" s="21">
        <v>0.24166666666666667</v>
      </c>
      <c r="E15" s="21">
        <v>0.5805555555555556</v>
      </c>
      <c r="F15" s="38">
        <f>Table1324567891011132125293439444954614914192429333642475391978610411011612212713113614191424[[#This Row],[JAM MASUK]]-Table1324567891011132125293439444954614914192429333642475391978610411011612212713113614191424[[#This Row],[JAM KELUAR]]</f>
        <v>0.33888888888888891</v>
      </c>
      <c r="G15" s="20">
        <v>3</v>
      </c>
      <c r="H15" s="24" t="s">
        <v>225</v>
      </c>
      <c r="J15" s="12" t="s">
        <v>24</v>
      </c>
      <c r="K15" s="14">
        <f>K7/K6</f>
        <v>0.82608695652173914</v>
      </c>
      <c r="O15" s="28">
        <v>10</v>
      </c>
      <c r="P15" s="29" t="s">
        <v>30</v>
      </c>
      <c r="Q15" s="30">
        <v>0.24166666666666667</v>
      </c>
      <c r="R15" s="30">
        <v>0.66666666666666663</v>
      </c>
      <c r="S15" s="39">
        <f t="shared" si="0"/>
        <v>0.42499999999999993</v>
      </c>
      <c r="T15" s="29">
        <v>5</v>
      </c>
      <c r="U15" s="45" t="s">
        <v>25</v>
      </c>
      <c r="W15" s="12" t="s">
        <v>27</v>
      </c>
      <c r="X15" s="14">
        <f>X7/X6</f>
        <v>0.72222222222222221</v>
      </c>
      <c r="Z15" s="1">
        <v>10</v>
      </c>
      <c r="AA15" s="2" t="s">
        <v>81</v>
      </c>
      <c r="AB15" s="41">
        <v>0.28263888888888888</v>
      </c>
      <c r="AC15" s="41">
        <v>0.72083333333333333</v>
      </c>
      <c r="AD15" s="26">
        <f t="shared" si="1"/>
        <v>0.43819444444444444</v>
      </c>
      <c r="AE15" s="2">
        <v>5</v>
      </c>
      <c r="AF15" s="45" t="s">
        <v>25</v>
      </c>
      <c r="AH15" s="12" t="s">
        <v>27</v>
      </c>
      <c r="AI15" s="14">
        <f>AI7/AI6</f>
        <v>0.8</v>
      </c>
    </row>
    <row r="16" spans="1:35" x14ac:dyDescent="0.2">
      <c r="B16" s="1">
        <v>11</v>
      </c>
      <c r="C16" s="2" t="s">
        <v>65</v>
      </c>
      <c r="D16" s="41">
        <v>0.24097222222222223</v>
      </c>
      <c r="E16" s="41">
        <v>0.71875</v>
      </c>
      <c r="F16" s="26">
        <f>Table1324567891011132125293439444954614914192429333642475391978610411011612212713113614191424[[#This Row],[JAM MASUK]]-Table1324567891011132125293439444954614914192429333642475391978610411011612212713113614191424[[#This Row],[JAM KELUAR]]</f>
        <v>0.47777777777777775</v>
      </c>
      <c r="G16" s="2">
        <v>4</v>
      </c>
      <c r="H16" s="25" t="s">
        <v>25</v>
      </c>
      <c r="J16" s="12" t="s">
        <v>117</v>
      </c>
      <c r="K16" s="48">
        <f>AVERAGE(Table1324567891011132125293439444954614914192429333642475391978610411011612212713113614191424[JAM KELUAR])</f>
        <v>0.25303362573099414</v>
      </c>
      <c r="O16" s="1">
        <v>11</v>
      </c>
      <c r="P16" s="29" t="s">
        <v>41</v>
      </c>
      <c r="Q16" s="30">
        <v>0.26597222222222222</v>
      </c>
      <c r="R16" s="30">
        <v>0.69236111111111109</v>
      </c>
      <c r="S16" s="39">
        <f t="shared" si="0"/>
        <v>0.42638888888888887</v>
      </c>
      <c r="T16" s="29">
        <v>5</v>
      </c>
      <c r="U16" s="45" t="s">
        <v>25</v>
      </c>
      <c r="W16" s="12" t="s">
        <v>117</v>
      </c>
      <c r="X16" s="48">
        <f>AVERAGE(Table13456789101117222630354045505562510152025303438434854929887105111117123128132137142101525[JAM KELUAR])</f>
        <v>0.27879273504273505</v>
      </c>
      <c r="Z16" s="1">
        <v>11</v>
      </c>
      <c r="AA16" s="2" t="s">
        <v>51</v>
      </c>
      <c r="AB16" s="41">
        <v>0.25833333333333336</v>
      </c>
      <c r="AC16" s="41">
        <v>0.72222222222222221</v>
      </c>
      <c r="AD16" s="26">
        <f t="shared" si="1"/>
        <v>0.46388888888888885</v>
      </c>
      <c r="AE16" s="2">
        <v>5</v>
      </c>
      <c r="AF16" s="45" t="s">
        <v>25</v>
      </c>
      <c r="AH16" s="12" t="s">
        <v>117</v>
      </c>
      <c r="AI16" s="48">
        <f>AVERAGE(Table13456789101115181923273137424752592712172227322841465290968010310911512112612013514081323[JAM KELUAR])</f>
        <v>0.26846064814814813</v>
      </c>
    </row>
    <row r="17" spans="2:34" x14ac:dyDescent="0.2">
      <c r="B17" s="1">
        <v>12</v>
      </c>
      <c r="C17" s="2" t="s">
        <v>71</v>
      </c>
      <c r="D17" s="41">
        <v>0.24652777777777779</v>
      </c>
      <c r="E17" s="41">
        <v>0.67986111111111114</v>
      </c>
      <c r="F17" s="26">
        <f>Table1324567891011132125293439444954614914192429333642475391978610411011612212713113614191424[[#This Row],[JAM MASUK]]-Table1324567891011132125293439444954614914192429333642475391978610411011612212713113614191424[[#This Row],[JAM KELUAR]]</f>
        <v>0.43333333333333335</v>
      </c>
      <c r="G17" s="2">
        <v>4</v>
      </c>
      <c r="H17" s="25" t="s">
        <v>25</v>
      </c>
      <c r="O17" s="1">
        <v>12</v>
      </c>
      <c r="P17" s="29" t="s">
        <v>60</v>
      </c>
      <c r="Q17" s="30">
        <v>0.23958333333333334</v>
      </c>
      <c r="R17" s="30">
        <v>0.67361111111111116</v>
      </c>
      <c r="S17" s="39">
        <f t="shared" si="0"/>
        <v>0.43402777777777779</v>
      </c>
      <c r="T17" s="29">
        <v>5</v>
      </c>
      <c r="U17" s="45" t="s">
        <v>25</v>
      </c>
      <c r="Z17" s="1">
        <v>12</v>
      </c>
      <c r="AA17" s="2" t="s">
        <v>78</v>
      </c>
      <c r="AB17" s="41">
        <v>0.27430555555555552</v>
      </c>
      <c r="AC17" s="41">
        <v>0.75555555555555554</v>
      </c>
      <c r="AD17" s="26">
        <f t="shared" si="1"/>
        <v>0.48125000000000001</v>
      </c>
      <c r="AE17" s="2">
        <v>6</v>
      </c>
      <c r="AF17" s="45" t="s">
        <v>25</v>
      </c>
      <c r="AH17" s="17"/>
    </row>
    <row r="18" spans="2:34" ht="15.75" customHeight="1" x14ac:dyDescent="0.2">
      <c r="B18" s="1">
        <v>13</v>
      </c>
      <c r="C18" s="2" t="s">
        <v>72</v>
      </c>
      <c r="D18" s="41">
        <v>0.22361111111111109</v>
      </c>
      <c r="E18" s="41">
        <v>0.62708333333333333</v>
      </c>
      <c r="F18" s="26">
        <f>Table1324567891011132125293439444954614914192429333642475391978610411011612212713113614191424[[#This Row],[JAM MASUK]]-Table1324567891011132125293439444954614914192429333642475391978610411011612212713113614191424[[#This Row],[JAM KELUAR]]</f>
        <v>0.40347222222222223</v>
      </c>
      <c r="G18" s="2">
        <v>4</v>
      </c>
      <c r="H18" s="25" t="s">
        <v>25</v>
      </c>
      <c r="O18" s="28">
        <v>13</v>
      </c>
      <c r="P18" s="29" t="s">
        <v>67</v>
      </c>
      <c r="Q18" s="30">
        <v>0.23333333333333331</v>
      </c>
      <c r="R18" s="30">
        <v>0.75347222222222221</v>
      </c>
      <c r="S18" s="39">
        <f t="shared" si="0"/>
        <v>0.52013888888888893</v>
      </c>
      <c r="T18" s="29">
        <v>6</v>
      </c>
      <c r="U18" s="45" t="s">
        <v>25</v>
      </c>
    </row>
    <row r="19" spans="2:34" ht="17.25" customHeight="1" x14ac:dyDescent="0.2">
      <c r="B19" s="1">
        <v>14</v>
      </c>
      <c r="C19" s="2" t="s">
        <v>68</v>
      </c>
      <c r="D19" s="41">
        <v>0.24583333333333335</v>
      </c>
      <c r="E19" s="41">
        <v>0.64722222222222225</v>
      </c>
      <c r="F19" s="26">
        <f>Table1324567891011132125293439444954614914192429333642475391978610411011612212713113614191424[[#This Row],[JAM MASUK]]-Table1324567891011132125293439444954614914192429333642475391978610411011612212713113614191424[[#This Row],[JAM KELUAR]]</f>
        <v>0.40138888888888891</v>
      </c>
      <c r="G19" s="2">
        <v>4</v>
      </c>
      <c r="H19" s="25" t="s">
        <v>25</v>
      </c>
      <c r="AE19" s="34"/>
      <c r="AF19" s="35" t="s">
        <v>90</v>
      </c>
    </row>
    <row r="20" spans="2:34" ht="15.75" customHeight="1" x14ac:dyDescent="0.25">
      <c r="B20" s="1">
        <v>15</v>
      </c>
      <c r="C20" s="2" t="s">
        <v>74</v>
      </c>
      <c r="D20" s="41">
        <v>0.25833333333333336</v>
      </c>
      <c r="E20" s="41">
        <v>0.70138888888888884</v>
      </c>
      <c r="F20" s="26">
        <f>Table1324567891011132125293439444954614914192429333642475391978610411011612212713113614191424[[#This Row],[JAM MASUK]]-Table1324567891011132125293439444954614914192429333642475391978610411011612212713113614191424[[#This Row],[JAM KELUAR]]</f>
        <v>0.44305555555555548</v>
      </c>
      <c r="G20" s="2">
        <v>4</v>
      </c>
      <c r="H20" s="25" t="s">
        <v>25</v>
      </c>
      <c r="O20" s="108" t="s">
        <v>66</v>
      </c>
      <c r="P20" s="108"/>
      <c r="Q20" s="108"/>
      <c r="R20" s="108"/>
      <c r="S20" s="108"/>
      <c r="T20" s="108"/>
      <c r="U20" s="108"/>
      <c r="W20" s="106" t="s">
        <v>28</v>
      </c>
      <c r="X20" s="106"/>
      <c r="AE20" s="56" t="s">
        <v>209</v>
      </c>
      <c r="AF20" s="35" t="s">
        <v>92</v>
      </c>
    </row>
    <row r="21" spans="2:34" ht="15" customHeight="1" x14ac:dyDescent="0.2">
      <c r="B21" s="1">
        <v>16</v>
      </c>
      <c r="C21" s="2" t="s">
        <v>75</v>
      </c>
      <c r="D21" s="41">
        <v>0.22916666666666666</v>
      </c>
      <c r="E21" s="41">
        <v>0.62916666666666665</v>
      </c>
      <c r="F21" s="26">
        <f>Table1324567891011132125293439444954614914192429333642475391978610411011612212713113614191424[[#This Row],[JAM MASUK]]-Table1324567891011132125293439444954614914192429333642475391978610411011612212713113614191424[[#This Row],[JAM KELUAR]]</f>
        <v>0.4</v>
      </c>
      <c r="G21" s="2">
        <v>4</v>
      </c>
      <c r="H21" s="25" t="s">
        <v>25</v>
      </c>
      <c r="O21" s="109">
        <f>B4</f>
        <v>45417</v>
      </c>
      <c r="P21" s="109"/>
      <c r="Q21" s="109"/>
      <c r="R21" s="109"/>
      <c r="S21" s="109"/>
      <c r="T21" s="109"/>
      <c r="U21" s="109"/>
      <c r="W21" s="110"/>
      <c r="X21" s="110"/>
    </row>
    <row r="22" spans="2:34" ht="15" customHeight="1" x14ac:dyDescent="0.2">
      <c r="B22" s="1">
        <v>17</v>
      </c>
      <c r="C22" s="2" t="s">
        <v>17</v>
      </c>
      <c r="D22" s="41">
        <v>0.22847222222222222</v>
      </c>
      <c r="E22" s="41">
        <v>0.6645833333333333</v>
      </c>
      <c r="F22" s="26">
        <f>Table1324567891011132125293439444954614914192429333642475391978610411011612212713113614191424[[#This Row],[JAM MASUK]]-Table1324567891011132125293439444954614914192429333642475391978610411011612212713113614191424[[#This Row],[JAM KELUAR]]</f>
        <v>0.43611111111111112</v>
      </c>
      <c r="G22" s="2">
        <v>4</v>
      </c>
      <c r="H22" s="25" t="s">
        <v>25</v>
      </c>
      <c r="O22" s="2" t="s">
        <v>0</v>
      </c>
      <c r="P22" s="2" t="s">
        <v>1</v>
      </c>
      <c r="Q22" s="22" t="s">
        <v>61</v>
      </c>
      <c r="R22" s="22" t="s">
        <v>62</v>
      </c>
      <c r="S22" s="22" t="s">
        <v>63</v>
      </c>
      <c r="T22" s="2" t="s">
        <v>2</v>
      </c>
      <c r="U22" s="2" t="s">
        <v>3</v>
      </c>
      <c r="W22" s="3" t="s">
        <v>29</v>
      </c>
      <c r="X22" s="5">
        <f>SUM(X24:X27)</f>
        <v>8</v>
      </c>
    </row>
    <row r="23" spans="2:34" ht="15" customHeight="1" x14ac:dyDescent="0.2">
      <c r="B23" s="1">
        <v>18</v>
      </c>
      <c r="C23" s="2" t="s">
        <v>18</v>
      </c>
      <c r="D23" s="41">
        <v>0.25208333333333333</v>
      </c>
      <c r="E23" s="41">
        <v>0.67569444444444438</v>
      </c>
      <c r="F23" s="26">
        <f>Table1324567891011132125293439444954614914192429333642475391978610411011612212713113614191424[[#This Row],[JAM MASUK]]-Table1324567891011132125293439444954614914192429333642475391978610411011612212713113614191424[[#This Row],[JAM KELUAR]]</f>
        <v>0.42361111111111105</v>
      </c>
      <c r="G23" s="2">
        <v>4</v>
      </c>
      <c r="H23" s="25" t="s">
        <v>25</v>
      </c>
      <c r="O23" s="15">
        <v>1</v>
      </c>
      <c r="P23" s="23" t="s">
        <v>201</v>
      </c>
      <c r="Q23" s="40">
        <v>0.28472222222222221</v>
      </c>
      <c r="R23" s="40">
        <v>0.41388888888888892</v>
      </c>
      <c r="S23" s="37">
        <f t="shared" ref="S23:S29" si="2">R23-Q23</f>
        <v>0.12916666666666671</v>
      </c>
      <c r="T23" s="23">
        <v>1</v>
      </c>
      <c r="U23" s="16" t="s">
        <v>215</v>
      </c>
      <c r="W23" s="4" t="s">
        <v>10</v>
      </c>
      <c r="X23" s="6">
        <v>8</v>
      </c>
    </row>
    <row r="24" spans="2:34" ht="14.5" customHeight="1" x14ac:dyDescent="0.2">
      <c r="B24" s="1">
        <v>19</v>
      </c>
      <c r="C24" s="2" t="s">
        <v>76</v>
      </c>
      <c r="D24" s="41">
        <v>0.20902777777777778</v>
      </c>
      <c r="E24" s="41">
        <v>0.72083333333333333</v>
      </c>
      <c r="F24" s="26">
        <f>Table1324567891011132125293439444954614914192429333642475391978610411011612212713113614191424[[#This Row],[JAM MASUK]]-Table1324567891011132125293439444954614914192429333642475391978610411011612212713113614191424[[#This Row],[JAM KELUAR]]</f>
        <v>0.51180555555555551</v>
      </c>
      <c r="G24" s="2">
        <v>5</v>
      </c>
      <c r="H24" s="25" t="s">
        <v>25</v>
      </c>
      <c r="O24" s="15">
        <v>2</v>
      </c>
      <c r="P24" s="23" t="s">
        <v>42</v>
      </c>
      <c r="Q24" s="40">
        <v>0.2590277777777778</v>
      </c>
      <c r="R24" s="40">
        <v>0.38472222222222219</v>
      </c>
      <c r="S24" s="37">
        <f t="shared" si="2"/>
        <v>0.12569444444444439</v>
      </c>
      <c r="T24" s="23">
        <v>1</v>
      </c>
      <c r="U24" s="47" t="s">
        <v>216</v>
      </c>
      <c r="W24" s="4" t="s">
        <v>9</v>
      </c>
      <c r="X24" s="7">
        <v>7</v>
      </c>
    </row>
    <row r="25" spans="2:34" ht="14.5" customHeight="1" x14ac:dyDescent="0.2">
      <c r="O25" s="15">
        <v>3</v>
      </c>
      <c r="P25" s="23" t="s">
        <v>84</v>
      </c>
      <c r="Q25" s="40">
        <v>0.24722222222222223</v>
      </c>
      <c r="R25" s="40">
        <v>0.61527777777777781</v>
      </c>
      <c r="S25" s="37">
        <f t="shared" si="2"/>
        <v>0.36805555555555558</v>
      </c>
      <c r="T25" s="23">
        <v>3</v>
      </c>
      <c r="U25" s="24" t="s">
        <v>223</v>
      </c>
      <c r="W25" s="4" t="s">
        <v>4</v>
      </c>
      <c r="X25" s="7">
        <v>0</v>
      </c>
    </row>
    <row r="26" spans="2:34" ht="14.5" customHeight="1" x14ac:dyDescent="0.2">
      <c r="G26" s="34"/>
      <c r="H26" s="35" t="s">
        <v>90</v>
      </c>
      <c r="N26" s="54" t="s">
        <v>209</v>
      </c>
      <c r="O26" s="50">
        <v>4</v>
      </c>
      <c r="P26" s="33" t="s">
        <v>38</v>
      </c>
      <c r="Q26" s="44">
        <v>0.32291666666666669</v>
      </c>
      <c r="R26" s="44">
        <v>0.67569444444444438</v>
      </c>
      <c r="S26" s="52">
        <f t="shared" si="2"/>
        <v>0.35277777777777769</v>
      </c>
      <c r="T26" s="33">
        <v>3</v>
      </c>
      <c r="U26" s="53" t="s">
        <v>224</v>
      </c>
      <c r="W26" s="4" t="s">
        <v>5</v>
      </c>
      <c r="X26" s="7">
        <v>1</v>
      </c>
    </row>
    <row r="27" spans="2:34" x14ac:dyDescent="0.2">
      <c r="G27" s="56" t="s">
        <v>209</v>
      </c>
      <c r="H27" s="35" t="s">
        <v>92</v>
      </c>
      <c r="O27" s="50">
        <v>5</v>
      </c>
      <c r="P27" s="33" t="s">
        <v>83</v>
      </c>
      <c r="Q27" s="44">
        <v>0.29236111111111113</v>
      </c>
      <c r="R27" s="44">
        <v>0.73472222222222217</v>
      </c>
      <c r="S27" s="52">
        <f t="shared" si="2"/>
        <v>0.44236111111111104</v>
      </c>
      <c r="T27" s="33">
        <v>4</v>
      </c>
      <c r="U27" s="53" t="s">
        <v>25</v>
      </c>
      <c r="W27" s="4" t="s">
        <v>33</v>
      </c>
      <c r="X27" s="7">
        <v>0</v>
      </c>
    </row>
    <row r="28" spans="2:34" x14ac:dyDescent="0.2">
      <c r="O28" s="1">
        <v>6</v>
      </c>
      <c r="P28" s="29" t="s">
        <v>36</v>
      </c>
      <c r="Q28" s="30">
        <v>0.26319444444444445</v>
      </c>
      <c r="R28" s="30">
        <v>0.68263888888888891</v>
      </c>
      <c r="S28" s="39">
        <f t="shared" si="2"/>
        <v>0.41944444444444445</v>
      </c>
      <c r="T28" s="29">
        <v>4</v>
      </c>
      <c r="U28" s="25" t="s">
        <v>25</v>
      </c>
      <c r="W28" s="8" t="s">
        <v>8</v>
      </c>
      <c r="X28" s="9">
        <f>SUM(Table1345678910111722263032364146515663611162126313539444955939988106112118124129133138143111626[Retase])</f>
        <v>20</v>
      </c>
      <c r="AE28" s="49"/>
    </row>
    <row r="29" spans="2:34" x14ac:dyDescent="0.2">
      <c r="O29" s="1">
        <v>7</v>
      </c>
      <c r="P29" s="29" t="s">
        <v>37</v>
      </c>
      <c r="Q29" s="30">
        <v>0.2902777777777778</v>
      </c>
      <c r="R29" s="30">
        <v>0.72291666666666676</v>
      </c>
      <c r="S29" s="39">
        <f t="shared" si="2"/>
        <v>0.43263888888888896</v>
      </c>
      <c r="T29" s="29">
        <v>4</v>
      </c>
      <c r="U29" s="25" t="s">
        <v>25</v>
      </c>
      <c r="W29" s="10" t="s">
        <v>7</v>
      </c>
      <c r="X29" s="11">
        <f>X28/X24</f>
        <v>2.8571428571428572</v>
      </c>
    </row>
    <row r="30" spans="2:34" x14ac:dyDescent="0.2">
      <c r="G30" s="49"/>
      <c r="W30" s="12" t="s">
        <v>11</v>
      </c>
      <c r="X30" s="13">
        <v>4</v>
      </c>
    </row>
    <row r="31" spans="2:34" x14ac:dyDescent="0.2">
      <c r="T31" s="34"/>
      <c r="U31" s="35" t="s">
        <v>90</v>
      </c>
      <c r="V31" s="1"/>
      <c r="W31" s="12" t="s">
        <v>88</v>
      </c>
      <c r="X31" s="14">
        <f>3/7</f>
        <v>0.42857142857142855</v>
      </c>
    </row>
    <row r="32" spans="2:34" x14ac:dyDescent="0.2">
      <c r="T32" s="56" t="s">
        <v>209</v>
      </c>
      <c r="U32" s="35" t="s">
        <v>92</v>
      </c>
      <c r="V32" s="1"/>
      <c r="W32" s="12" t="s">
        <v>27</v>
      </c>
      <c r="X32" s="14">
        <f>X24/X23</f>
        <v>0.875</v>
      </c>
    </row>
    <row r="33" spans="1:26" x14ac:dyDescent="0.2">
      <c r="B33" s="49" t="s">
        <v>124</v>
      </c>
      <c r="V33" s="1"/>
      <c r="W33" s="12" t="s">
        <v>117</v>
      </c>
      <c r="X33" s="48">
        <f>AVERAGE(Table1345678910111722263032364146515663611162126313539444955939988106112118124129133138143111626[JAM KELUAR])</f>
        <v>0.27996031746031746</v>
      </c>
      <c r="Z33" s="49" t="s">
        <v>124</v>
      </c>
    </row>
    <row r="34" spans="1:26" x14ac:dyDescent="0.2">
      <c r="V34" s="1"/>
    </row>
    <row r="35" spans="1:26" x14ac:dyDescent="0.2">
      <c r="V35" s="1"/>
    </row>
    <row r="36" spans="1:26" x14ac:dyDescent="0.2">
      <c r="T36" s="49"/>
      <c r="V36" s="1"/>
    </row>
    <row r="37" spans="1:26" x14ac:dyDescent="0.2">
      <c r="V37" s="1"/>
    </row>
    <row r="38" spans="1:26" x14ac:dyDescent="0.2">
      <c r="O38" s="49" t="s">
        <v>124</v>
      </c>
      <c r="V38" s="1"/>
    </row>
    <row r="39" spans="1:26" x14ac:dyDescent="0.2">
      <c r="V39" s="1"/>
    </row>
    <row r="40" spans="1:26" ht="21" x14ac:dyDescent="0.25">
      <c r="A40" s="46"/>
    </row>
    <row r="43" spans="1:26" x14ac:dyDescent="0.2">
      <c r="O43" s="2" t="s">
        <v>0</v>
      </c>
      <c r="P43" s="2" t="s">
        <v>1</v>
      </c>
      <c r="Q43" s="22" t="s">
        <v>61</v>
      </c>
      <c r="R43" s="22" t="s">
        <v>62</v>
      </c>
      <c r="S43" s="22" t="s">
        <v>63</v>
      </c>
      <c r="T43" s="2" t="s">
        <v>2</v>
      </c>
      <c r="U43" s="2" t="s">
        <v>3</v>
      </c>
    </row>
    <row r="44" spans="1:26" x14ac:dyDescent="0.2">
      <c r="O44" s="27">
        <v>1</v>
      </c>
      <c r="P44" s="2"/>
      <c r="Q44" s="41"/>
      <c r="R44" s="42"/>
      <c r="S44" s="26"/>
      <c r="T44" s="2"/>
      <c r="U44" s="24"/>
    </row>
    <row r="45" spans="1:26" x14ac:dyDescent="0.2">
      <c r="O45" s="15">
        <v>2</v>
      </c>
      <c r="P45" s="29"/>
      <c r="Q45" s="30"/>
      <c r="R45" s="36"/>
      <c r="S45" s="26"/>
      <c r="T45" s="29"/>
      <c r="U45" s="24"/>
    </row>
    <row r="46" spans="1:26" x14ac:dyDescent="0.2">
      <c r="O46" s="15">
        <v>3</v>
      </c>
      <c r="P46" s="29"/>
      <c r="Q46" s="30"/>
      <c r="R46" s="36"/>
      <c r="S46" s="39"/>
      <c r="T46" s="29"/>
      <c r="U46" s="16"/>
    </row>
    <row r="47" spans="1:26" x14ac:dyDescent="0.2">
      <c r="O47" s="27">
        <v>4</v>
      </c>
      <c r="P47" s="29"/>
      <c r="Q47" s="30"/>
      <c r="R47" s="36"/>
      <c r="S47" s="39"/>
      <c r="T47" s="29"/>
      <c r="U47" s="24"/>
    </row>
    <row r="48" spans="1:26" x14ac:dyDescent="0.2">
      <c r="O48" s="15">
        <v>5</v>
      </c>
      <c r="P48" s="29"/>
      <c r="Q48" s="30"/>
      <c r="R48" s="36"/>
      <c r="S48" s="26"/>
      <c r="T48" s="29"/>
      <c r="U48" s="24"/>
    </row>
    <row r="49" spans="15:22" x14ac:dyDescent="0.2">
      <c r="O49" s="15">
        <v>6</v>
      </c>
      <c r="P49" s="29"/>
      <c r="Q49" s="30"/>
      <c r="R49" s="36"/>
      <c r="S49" s="26"/>
      <c r="T49" s="29"/>
      <c r="U49" s="24"/>
    </row>
    <row r="50" spans="15:22" x14ac:dyDescent="0.2">
      <c r="O50" s="27">
        <v>7</v>
      </c>
      <c r="P50" s="29"/>
      <c r="Q50" s="30"/>
      <c r="R50" s="36"/>
      <c r="S50" s="39"/>
      <c r="T50" s="29"/>
      <c r="U50" s="24"/>
    </row>
    <row r="51" spans="15:22" x14ac:dyDescent="0.2">
      <c r="O51" s="15">
        <v>8</v>
      </c>
      <c r="P51" s="29"/>
      <c r="Q51" s="30"/>
      <c r="R51" s="36"/>
      <c r="S51" s="26"/>
      <c r="T51" s="29"/>
      <c r="U51" s="24"/>
    </row>
    <row r="52" spans="15:22" x14ac:dyDescent="0.2">
      <c r="O52" s="15">
        <v>9</v>
      </c>
      <c r="P52" s="29"/>
      <c r="Q52" s="30"/>
      <c r="R52" s="36"/>
      <c r="S52" s="26"/>
      <c r="T52" s="29"/>
      <c r="U52" s="24"/>
    </row>
    <row r="53" spans="15:22" x14ac:dyDescent="0.2">
      <c r="O53" s="27">
        <v>10</v>
      </c>
      <c r="P53" s="29"/>
      <c r="Q53" s="30"/>
      <c r="R53" s="36"/>
      <c r="S53" s="26"/>
      <c r="T53" s="29"/>
      <c r="U53" s="24"/>
    </row>
    <row r="54" spans="15:22" x14ac:dyDescent="0.2">
      <c r="O54" s="15">
        <v>11</v>
      </c>
      <c r="P54" s="29"/>
      <c r="Q54" s="30"/>
      <c r="R54" s="36"/>
      <c r="S54" s="26"/>
      <c r="T54" s="29"/>
      <c r="U54" s="24"/>
    </row>
    <row r="55" spans="15:22" x14ac:dyDescent="0.2">
      <c r="O55" s="1">
        <v>12</v>
      </c>
      <c r="P55" s="29"/>
      <c r="Q55" s="30"/>
      <c r="R55" s="36"/>
      <c r="S55" s="39"/>
      <c r="T55" s="29"/>
      <c r="U55" s="25"/>
    </row>
    <row r="56" spans="15:22" x14ac:dyDescent="0.2">
      <c r="O56" s="28">
        <v>13</v>
      </c>
      <c r="P56" s="29"/>
      <c r="Q56" s="30"/>
      <c r="R56" s="36"/>
      <c r="S56" s="26"/>
      <c r="T56" s="29"/>
      <c r="U56" s="25"/>
    </row>
    <row r="57" spans="15:22" x14ac:dyDescent="0.2">
      <c r="O57" s="27">
        <v>14</v>
      </c>
      <c r="P57" s="29"/>
      <c r="Q57" s="30"/>
      <c r="R57" s="36"/>
      <c r="S57" s="26"/>
      <c r="T57" s="29"/>
      <c r="U57" s="24"/>
    </row>
    <row r="58" spans="15:22" x14ac:dyDescent="0.2">
      <c r="O58" s="15">
        <v>15</v>
      </c>
      <c r="P58" s="29"/>
      <c r="Q58" s="30"/>
      <c r="R58" s="36"/>
      <c r="S58" s="26"/>
      <c r="T58" s="29"/>
      <c r="U58" s="24"/>
    </row>
    <row r="59" spans="15:22" x14ac:dyDescent="0.2">
      <c r="O59" s="1">
        <v>16</v>
      </c>
      <c r="P59" s="29"/>
      <c r="Q59" s="30"/>
      <c r="R59" s="36"/>
      <c r="S59" s="26"/>
      <c r="T59" s="29"/>
      <c r="U59" s="25"/>
    </row>
    <row r="60" spans="15:22" x14ac:dyDescent="0.2">
      <c r="O60" s="28">
        <v>17</v>
      </c>
      <c r="P60" s="29"/>
      <c r="Q60" s="30"/>
      <c r="R60" s="36"/>
      <c r="S60" s="26"/>
      <c r="T60" s="29"/>
      <c r="U60" s="25"/>
    </row>
    <row r="61" spans="15:22" x14ac:dyDescent="0.2">
      <c r="O61" s="27">
        <v>18</v>
      </c>
      <c r="P61" s="29"/>
      <c r="Q61" s="30"/>
      <c r="R61" s="36"/>
      <c r="S61" s="26"/>
      <c r="T61" s="29"/>
      <c r="U61" s="24"/>
    </row>
    <row r="62" spans="15:22" x14ac:dyDescent="0.2">
      <c r="O62" s="1">
        <v>19</v>
      </c>
      <c r="P62" s="29"/>
      <c r="Q62" s="30"/>
      <c r="R62" s="36"/>
      <c r="S62" s="39"/>
      <c r="T62" s="29"/>
      <c r="U62" s="25"/>
      <c r="V62" s="1"/>
    </row>
    <row r="63" spans="15:22" x14ac:dyDescent="0.2">
      <c r="O63" s="1">
        <v>20</v>
      </c>
      <c r="P63" s="29"/>
      <c r="Q63" s="30"/>
      <c r="R63" s="36"/>
      <c r="S63" s="39"/>
      <c r="T63" s="29"/>
      <c r="U63" s="25"/>
      <c r="V63" s="1"/>
    </row>
    <row r="64" spans="15:22" x14ac:dyDescent="0.2">
      <c r="O64" s="28">
        <v>21</v>
      </c>
      <c r="P64" s="29"/>
      <c r="Q64" s="30"/>
      <c r="R64" s="36"/>
      <c r="S64" s="26"/>
      <c r="T64" s="29"/>
      <c r="U64" s="25"/>
      <c r="V64" s="1"/>
    </row>
    <row r="65" spans="15:21" x14ac:dyDescent="0.2">
      <c r="O65" s="27">
        <v>22</v>
      </c>
      <c r="P65" s="29"/>
      <c r="Q65" s="30"/>
      <c r="R65" s="36"/>
      <c r="S65" s="26"/>
      <c r="T65" s="29"/>
      <c r="U65" s="25"/>
    </row>
  </sheetData>
  <mergeCells count="15">
    <mergeCell ref="Z1:AI1"/>
    <mergeCell ref="B3:H3"/>
    <mergeCell ref="J3:K4"/>
    <mergeCell ref="O3:U3"/>
    <mergeCell ref="W3:X4"/>
    <mergeCell ref="Z3:AF3"/>
    <mergeCell ref="AH3:AI4"/>
    <mergeCell ref="B4:H4"/>
    <mergeCell ref="O4:U4"/>
    <mergeCell ref="Z4:AF4"/>
    <mergeCell ref="O20:U20"/>
    <mergeCell ref="O21:U21"/>
    <mergeCell ref="W20:X21"/>
    <mergeCell ref="B1:K1"/>
    <mergeCell ref="O1:X1"/>
  </mergeCells>
  <pageMargins left="0.12" right="0.12" top="0.75" bottom="0.75" header="0.3" footer="0.3"/>
  <pageSetup paperSize="5" scale="83" fitToWidth="0" orientation="landscape" horizontalDpi="360" verticalDpi="360" r:id="rId1"/>
  <rowBreaks count="1" manualBreakCount="1">
    <brk id="39" max="46" man="1"/>
  </rowBreaks>
  <colBreaks count="1" manualBreakCount="1">
    <brk id="13" max="38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7069B-5D63-4C16-B365-DE37EA657FEC}">
  <sheetPr>
    <tabColor theme="7" tint="0.39997558519241921"/>
  </sheetPr>
  <dimension ref="A1:AV64"/>
  <sheetViews>
    <sheetView showGridLines="0" view="pageBreakPreview" topLeftCell="AM1" zoomScaleNormal="55" zoomScaleSheetLayoutView="100" workbookViewId="0">
      <selection activeCell="AN6" sqref="AN6:AS16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1.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104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O1" s="104" t="s">
        <v>53</v>
      </c>
      <c r="P1" s="104"/>
      <c r="Q1" s="104"/>
      <c r="R1" s="104"/>
      <c r="S1" s="104"/>
      <c r="T1" s="104"/>
      <c r="U1" s="104"/>
      <c r="V1" s="104"/>
      <c r="W1" s="104"/>
      <c r="X1" s="104"/>
      <c r="AA1" s="104" t="s">
        <v>54</v>
      </c>
      <c r="AB1" s="104"/>
      <c r="AC1" s="104"/>
      <c r="AD1" s="104"/>
      <c r="AE1" s="104"/>
      <c r="AF1" s="104"/>
      <c r="AG1" s="104"/>
      <c r="AH1" s="104"/>
      <c r="AI1" s="104"/>
      <c r="AJ1" s="104"/>
      <c r="AM1" s="104" t="s">
        <v>227</v>
      </c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x14ac:dyDescent="0.2">
      <c r="D2" t="s">
        <v>241</v>
      </c>
    </row>
    <row r="3" spans="1:48" ht="19" x14ac:dyDescent="0.25">
      <c r="B3" s="105" t="s">
        <v>22</v>
      </c>
      <c r="C3" s="105"/>
      <c r="D3" s="105"/>
      <c r="E3" s="105"/>
      <c r="F3" s="105"/>
      <c r="G3" s="105"/>
      <c r="H3" s="105"/>
      <c r="J3" s="106" t="s">
        <v>23</v>
      </c>
      <c r="K3" s="106"/>
      <c r="O3" s="108" t="s">
        <v>95</v>
      </c>
      <c r="P3" s="108"/>
      <c r="Q3" s="108"/>
      <c r="R3" s="108"/>
      <c r="S3" s="108"/>
      <c r="T3" s="108"/>
      <c r="U3" s="108"/>
      <c r="W3" s="106" t="s">
        <v>28</v>
      </c>
      <c r="X3" s="106"/>
      <c r="AA3" s="105" t="s">
        <v>43</v>
      </c>
      <c r="AB3" s="105"/>
      <c r="AC3" s="105"/>
      <c r="AD3" s="105"/>
      <c r="AE3" s="105"/>
      <c r="AF3" s="105"/>
      <c r="AG3" s="105"/>
      <c r="AI3" s="106" t="s">
        <v>44</v>
      </c>
      <c r="AJ3" s="106"/>
      <c r="AM3" s="105" t="s">
        <v>229</v>
      </c>
      <c r="AN3" s="105"/>
      <c r="AO3" s="105"/>
      <c r="AP3" s="105"/>
      <c r="AQ3" s="105"/>
      <c r="AR3" s="105"/>
      <c r="AS3" s="105"/>
      <c r="AU3" s="106" t="s">
        <v>228</v>
      </c>
      <c r="AV3" s="106"/>
    </row>
    <row r="4" spans="1:48" x14ac:dyDescent="0.2">
      <c r="B4" s="109">
        <v>45418</v>
      </c>
      <c r="C4" s="109"/>
      <c r="D4" s="109"/>
      <c r="E4" s="109"/>
      <c r="F4" s="109"/>
      <c r="G4" s="109"/>
      <c r="H4" s="109"/>
      <c r="J4" s="107"/>
      <c r="K4" s="107"/>
      <c r="O4" s="109">
        <f>B4</f>
        <v>45418</v>
      </c>
      <c r="P4" s="109"/>
      <c r="Q4" s="109"/>
      <c r="R4" s="109"/>
      <c r="S4" s="109"/>
      <c r="T4" s="109"/>
      <c r="U4" s="109"/>
      <c r="W4" s="107"/>
      <c r="X4" s="107"/>
      <c r="AA4" s="109">
        <f>B4</f>
        <v>45418</v>
      </c>
      <c r="AB4" s="109"/>
      <c r="AC4" s="109"/>
      <c r="AD4" s="109"/>
      <c r="AE4" s="109"/>
      <c r="AF4" s="109"/>
      <c r="AG4" s="109"/>
      <c r="AI4" s="107"/>
      <c r="AJ4" s="107"/>
      <c r="AM4" s="109">
        <f>B4</f>
        <v>45418</v>
      </c>
      <c r="AN4" s="109"/>
      <c r="AO4" s="109"/>
      <c r="AP4" s="109"/>
      <c r="AQ4" s="109"/>
      <c r="AR4" s="109"/>
      <c r="AS4" s="109"/>
      <c r="AU4" s="107"/>
      <c r="AV4" s="107"/>
    </row>
    <row r="5" spans="1:48" s="1" customFormat="1" x14ac:dyDescent="0.2">
      <c r="A5"/>
      <c r="B5" s="2" t="s">
        <v>0</v>
      </c>
      <c r="C5" s="2" t="s">
        <v>1</v>
      </c>
      <c r="D5" s="2" t="s">
        <v>61</v>
      </c>
      <c r="E5" s="26" t="s">
        <v>62</v>
      </c>
      <c r="F5" s="2" t="s">
        <v>63</v>
      </c>
      <c r="G5" s="2" t="s">
        <v>2</v>
      </c>
      <c r="H5" s="2" t="s">
        <v>3</v>
      </c>
      <c r="J5" s="3" t="s">
        <v>21</v>
      </c>
      <c r="K5" s="5">
        <f>SUM(K7:K10)</f>
        <v>23</v>
      </c>
      <c r="L5" s="19"/>
      <c r="O5" s="2" t="s">
        <v>0</v>
      </c>
      <c r="P5" s="2" t="s">
        <v>1</v>
      </c>
      <c r="Q5" s="22" t="s">
        <v>61</v>
      </c>
      <c r="R5" s="22" t="s">
        <v>62</v>
      </c>
      <c r="S5" s="22" t="s">
        <v>63</v>
      </c>
      <c r="T5" s="2" t="s">
        <v>2</v>
      </c>
      <c r="U5" s="2" t="s">
        <v>3</v>
      </c>
      <c r="W5" s="3" t="s">
        <v>29</v>
      </c>
      <c r="X5" s="5">
        <f>SUM(X7:X10)</f>
        <v>18</v>
      </c>
      <c r="AA5" s="2" t="s">
        <v>0</v>
      </c>
      <c r="AB5" s="2" t="s">
        <v>1</v>
      </c>
      <c r="AC5" s="2" t="s">
        <v>61</v>
      </c>
      <c r="AD5" s="2" t="s">
        <v>62</v>
      </c>
      <c r="AE5" s="2" t="s">
        <v>63</v>
      </c>
      <c r="AF5" s="2" t="s">
        <v>2</v>
      </c>
      <c r="AG5" s="2" t="s">
        <v>3</v>
      </c>
      <c r="AI5" s="3" t="s">
        <v>21</v>
      </c>
      <c r="AJ5" s="5">
        <f>SUM(AJ7:AJ10)</f>
        <v>15</v>
      </c>
      <c r="AM5" s="2" t="s">
        <v>0</v>
      </c>
      <c r="AN5" s="2" t="s">
        <v>1</v>
      </c>
      <c r="AO5" s="2" t="s">
        <v>61</v>
      </c>
      <c r="AP5" s="2" t="s">
        <v>62</v>
      </c>
      <c r="AQ5" s="2" t="s">
        <v>63</v>
      </c>
      <c r="AR5" s="2" t="s">
        <v>2</v>
      </c>
      <c r="AS5" s="2" t="s">
        <v>3</v>
      </c>
      <c r="AU5" s="3" t="s">
        <v>21</v>
      </c>
      <c r="AV5" s="5">
        <f>SUM(AV7:AV10)</f>
        <v>39</v>
      </c>
    </row>
    <row r="6" spans="1:48" s="1" customFormat="1" x14ac:dyDescent="0.2">
      <c r="A6"/>
      <c r="B6" s="50">
        <v>1</v>
      </c>
      <c r="C6" s="31" t="s">
        <v>119</v>
      </c>
      <c r="D6" s="32">
        <v>0.30208333333333331</v>
      </c>
      <c r="E6" s="32">
        <v>0.43263888888888885</v>
      </c>
      <c r="F6" s="51">
        <f>Table132456789101113212529343944495461491419242933364247539197861041101161221271311361419142419[[#This Row],[JAM MASUK]]-Table132456789101113212529343944495461491419242933364247539197861041101161221271311361419142419[[#This Row],[JAM KELUAR]]</f>
        <v>0.13055555555555554</v>
      </c>
      <c r="G6" s="31">
        <v>1</v>
      </c>
      <c r="H6" s="53" t="s">
        <v>261</v>
      </c>
      <c r="J6" s="4" t="s">
        <v>10</v>
      </c>
      <c r="K6" s="6">
        <v>23</v>
      </c>
      <c r="L6" s="19"/>
      <c r="O6" s="27">
        <v>1</v>
      </c>
      <c r="P6" s="20" t="s">
        <v>123</v>
      </c>
      <c r="Q6" s="21">
        <v>0.28263888888888888</v>
      </c>
      <c r="R6" s="21">
        <v>0.41736111111111113</v>
      </c>
      <c r="S6" s="37">
        <f t="shared" ref="S6:S16" si="0">R6-Q6</f>
        <v>0.13472222222222224</v>
      </c>
      <c r="T6" s="20">
        <v>1</v>
      </c>
      <c r="U6" s="24" t="s">
        <v>251</v>
      </c>
      <c r="W6" s="4" t="s">
        <v>10</v>
      </c>
      <c r="X6" s="6">
        <v>18</v>
      </c>
      <c r="AA6" s="15">
        <v>1</v>
      </c>
      <c r="AB6" s="20" t="s">
        <v>78</v>
      </c>
      <c r="AC6" s="21">
        <v>0.27499999999999997</v>
      </c>
      <c r="AD6" s="21">
        <v>0.4201388888888889</v>
      </c>
      <c r="AE6" s="37">
        <f t="shared" ref="AE6:AE17" si="1">AD6-AC6</f>
        <v>0.14513888888888893</v>
      </c>
      <c r="AF6" s="20">
        <v>1</v>
      </c>
      <c r="AG6" s="16" t="s">
        <v>245</v>
      </c>
      <c r="AI6" s="4" t="s">
        <v>10</v>
      </c>
      <c r="AJ6" s="6">
        <v>15</v>
      </c>
      <c r="AM6" s="15">
        <v>1</v>
      </c>
      <c r="AN6" s="20" t="s">
        <v>231</v>
      </c>
      <c r="AO6" s="21">
        <v>0.28263888888888888</v>
      </c>
      <c r="AP6" s="21">
        <v>0.46319444444444446</v>
      </c>
      <c r="AQ6" s="37">
        <f t="shared" ref="AQ6:AQ16" si="2">AP6-AO6</f>
        <v>0.18055555555555558</v>
      </c>
      <c r="AR6" s="20">
        <v>1</v>
      </c>
      <c r="AS6" s="16" t="s">
        <v>242</v>
      </c>
      <c r="AU6" s="4" t="s">
        <v>10</v>
      </c>
      <c r="AV6" s="6">
        <v>10</v>
      </c>
    </row>
    <row r="7" spans="1:48" s="1" customFormat="1" x14ac:dyDescent="0.2">
      <c r="A7"/>
      <c r="B7" s="15">
        <v>2</v>
      </c>
      <c r="C7" s="20" t="s">
        <v>20</v>
      </c>
      <c r="D7" s="21">
        <v>0.28958333333333336</v>
      </c>
      <c r="E7" s="21">
        <v>0.57986111111111105</v>
      </c>
      <c r="F7" s="38">
        <f>Table132456789101113212529343944495461491419242933364247539197861041101161221271311361419142419[[#This Row],[JAM MASUK]]-Table132456789101113212529343944495461491419242933364247539197861041101161221271311361419142419[[#This Row],[JAM KELUAR]]</f>
        <v>0.29027777777777769</v>
      </c>
      <c r="G7" s="20">
        <v>2</v>
      </c>
      <c r="H7" s="16" t="s">
        <v>262</v>
      </c>
      <c r="J7" s="4" t="s">
        <v>9</v>
      </c>
      <c r="K7" s="7">
        <v>19</v>
      </c>
      <c r="L7" s="19"/>
      <c r="O7" s="15">
        <v>2</v>
      </c>
      <c r="P7" s="23" t="s">
        <v>58</v>
      </c>
      <c r="Q7" s="40">
        <v>0.29236111111111113</v>
      </c>
      <c r="R7" s="40">
        <v>0.70000000000000007</v>
      </c>
      <c r="S7" s="37">
        <f t="shared" si="0"/>
        <v>0.40763888888888894</v>
      </c>
      <c r="T7" s="23">
        <v>4</v>
      </c>
      <c r="U7" s="24" t="s">
        <v>254</v>
      </c>
      <c r="W7" s="4" t="s">
        <v>9</v>
      </c>
      <c r="X7" s="7">
        <v>11</v>
      </c>
      <c r="AA7" s="15">
        <v>2</v>
      </c>
      <c r="AB7" s="20" t="s">
        <v>48</v>
      </c>
      <c r="AC7" s="21">
        <v>0.27986111111111112</v>
      </c>
      <c r="AD7" s="21">
        <v>0.57986111111111105</v>
      </c>
      <c r="AE7" s="38">
        <f t="shared" si="1"/>
        <v>0.29999999999999993</v>
      </c>
      <c r="AF7" s="20">
        <v>3</v>
      </c>
      <c r="AG7" s="16" t="s">
        <v>246</v>
      </c>
      <c r="AI7" s="4" t="s">
        <v>9</v>
      </c>
      <c r="AJ7" s="6">
        <v>12</v>
      </c>
      <c r="AM7" s="50">
        <v>2</v>
      </c>
      <c r="AN7" s="31" t="s">
        <v>240</v>
      </c>
      <c r="AO7" s="32">
        <v>0.48819444444444443</v>
      </c>
      <c r="AP7" s="32">
        <v>0.69930555555555562</v>
      </c>
      <c r="AQ7" s="51">
        <f t="shared" si="2"/>
        <v>0.21111111111111119</v>
      </c>
      <c r="AR7" s="31">
        <v>2</v>
      </c>
      <c r="AS7" s="55" t="s">
        <v>244</v>
      </c>
      <c r="AU7" s="4" t="s">
        <v>9</v>
      </c>
      <c r="AV7" s="6">
        <v>11</v>
      </c>
    </row>
    <row r="8" spans="1:48" s="1" customFormat="1" x14ac:dyDescent="0.2">
      <c r="A8"/>
      <c r="B8" s="15">
        <v>3</v>
      </c>
      <c r="C8" s="20" t="s">
        <v>73</v>
      </c>
      <c r="D8" s="21">
        <v>0.2673611111111111</v>
      </c>
      <c r="E8" s="21">
        <v>0.49444444444444446</v>
      </c>
      <c r="F8" s="38">
        <f>Table132456789101113212529343944495461491419242933364247539197861041101161221271311361419142419[[#This Row],[JAM MASUK]]-Table132456789101113212529343944495461491419242933364247539197861041101161221271311361419142419[[#This Row],[JAM KELUAR]]</f>
        <v>0.22708333333333336</v>
      </c>
      <c r="G8" s="20">
        <v>2</v>
      </c>
      <c r="H8" s="24" t="s">
        <v>263</v>
      </c>
      <c r="J8" s="4" t="s">
        <v>4</v>
      </c>
      <c r="K8" s="7">
        <v>0</v>
      </c>
      <c r="L8" s="19"/>
      <c r="N8" s="54"/>
      <c r="O8" s="15">
        <v>3</v>
      </c>
      <c r="P8" s="23" t="s">
        <v>34</v>
      </c>
      <c r="Q8" s="40">
        <v>0.27361111111111108</v>
      </c>
      <c r="R8" s="40">
        <v>0.72569444444444453</v>
      </c>
      <c r="S8" s="37">
        <f t="shared" si="0"/>
        <v>0.45208333333333345</v>
      </c>
      <c r="T8" s="23">
        <v>4</v>
      </c>
      <c r="U8" s="24" t="s">
        <v>252</v>
      </c>
      <c r="W8" s="4" t="s">
        <v>4</v>
      </c>
      <c r="X8" s="7">
        <v>0</v>
      </c>
      <c r="AA8" s="15">
        <v>3</v>
      </c>
      <c r="AB8" s="20" t="s">
        <v>79</v>
      </c>
      <c r="AC8" s="21">
        <v>0.26666666666666666</v>
      </c>
      <c r="AD8" s="21">
        <v>0.55208333333333337</v>
      </c>
      <c r="AE8" s="38">
        <f t="shared" si="1"/>
        <v>0.28541666666666671</v>
      </c>
      <c r="AF8" s="20">
        <v>3</v>
      </c>
      <c r="AG8" s="16" t="s">
        <v>247</v>
      </c>
      <c r="AI8" s="4" t="s">
        <v>4</v>
      </c>
      <c r="AJ8" s="7">
        <v>1</v>
      </c>
      <c r="AM8" s="15">
        <v>3</v>
      </c>
      <c r="AN8" s="20" t="s">
        <v>234</v>
      </c>
      <c r="AO8" s="21">
        <v>0.26527777777777778</v>
      </c>
      <c r="AP8" s="21">
        <v>0.69861111111111107</v>
      </c>
      <c r="AQ8" s="38">
        <f t="shared" si="2"/>
        <v>0.43333333333333329</v>
      </c>
      <c r="AR8" s="20">
        <v>3</v>
      </c>
      <c r="AS8" s="16" t="s">
        <v>268</v>
      </c>
      <c r="AU8" s="4" t="s">
        <v>4</v>
      </c>
      <c r="AV8" s="7">
        <v>1</v>
      </c>
    </row>
    <row r="9" spans="1:48" s="1" customFormat="1" x14ac:dyDescent="0.2">
      <c r="A9"/>
      <c r="B9" s="15">
        <v>4</v>
      </c>
      <c r="C9" s="20" t="s">
        <v>16</v>
      </c>
      <c r="D9" s="21">
        <v>0.27152777777777776</v>
      </c>
      <c r="E9" s="21">
        <v>0.52569444444444446</v>
      </c>
      <c r="F9" s="38">
        <f>Table132456789101113212529343944495461491419242933364247539197861041101161221271311361419142419[[#This Row],[JAM MASUK]]-Table132456789101113212529343944495461491419242933364247539197861041101161221271311361419142419[[#This Row],[JAM KELUAR]]</f>
        <v>0.25416666666666671</v>
      </c>
      <c r="G9" s="20">
        <v>2</v>
      </c>
      <c r="H9" s="24" t="s">
        <v>265</v>
      </c>
      <c r="J9" s="4" t="s">
        <v>5</v>
      </c>
      <c r="K9" s="7">
        <v>4</v>
      </c>
      <c r="L9" s="19"/>
      <c r="O9" s="57">
        <v>4</v>
      </c>
      <c r="P9" s="33" t="s">
        <v>35</v>
      </c>
      <c r="Q9" s="44">
        <v>0.31597222222222221</v>
      </c>
      <c r="R9" s="44">
        <v>0.69097222222222221</v>
      </c>
      <c r="S9" s="52">
        <f t="shared" si="0"/>
        <v>0.375</v>
      </c>
      <c r="T9" s="33">
        <v>4</v>
      </c>
      <c r="U9" s="55" t="s">
        <v>255</v>
      </c>
      <c r="W9" s="4" t="s">
        <v>5</v>
      </c>
      <c r="X9" s="7">
        <v>5</v>
      </c>
      <c r="Z9" s="54"/>
      <c r="AA9" s="15">
        <v>4</v>
      </c>
      <c r="AB9" s="20" t="s">
        <v>122</v>
      </c>
      <c r="AC9" s="21">
        <v>0.29097222222222224</v>
      </c>
      <c r="AD9" s="21">
        <v>0.64861111111111114</v>
      </c>
      <c r="AE9" s="38">
        <f t="shared" si="1"/>
        <v>0.3576388888888889</v>
      </c>
      <c r="AF9" s="20">
        <v>4</v>
      </c>
      <c r="AG9" s="16" t="s">
        <v>248</v>
      </c>
      <c r="AI9" s="4" t="s">
        <v>5</v>
      </c>
      <c r="AJ9" s="7">
        <v>1</v>
      </c>
      <c r="AL9" s="54"/>
      <c r="AM9" s="15">
        <v>4</v>
      </c>
      <c r="AN9" s="20" t="s">
        <v>238</v>
      </c>
      <c r="AO9" s="21">
        <v>0.27430555555555552</v>
      </c>
      <c r="AP9" s="21">
        <v>0.69861111111111107</v>
      </c>
      <c r="AQ9" s="38">
        <f t="shared" si="2"/>
        <v>0.42430555555555555</v>
      </c>
      <c r="AR9" s="20">
        <v>3</v>
      </c>
      <c r="AS9" s="16" t="s">
        <v>243</v>
      </c>
      <c r="AU9" s="4" t="s">
        <v>5</v>
      </c>
      <c r="AV9" s="7">
        <v>2</v>
      </c>
    </row>
    <row r="10" spans="1:48" s="1" customFormat="1" x14ac:dyDescent="0.2">
      <c r="A10"/>
      <c r="B10" s="15">
        <v>5</v>
      </c>
      <c r="C10" s="20" t="s">
        <v>118</v>
      </c>
      <c r="D10" s="21">
        <v>0.26805555555555555</v>
      </c>
      <c r="E10" s="21">
        <v>0.6069444444444444</v>
      </c>
      <c r="F10" s="38">
        <f>Table132456789101113212529343944495461491419242933364247539197861041101161221271311361419142419[[#This Row],[JAM MASUK]]-Table132456789101113212529343944495461491419242933364247539197861041101161221271311361419142419[[#This Row],[JAM KELUAR]]</f>
        <v>0.33888888888888885</v>
      </c>
      <c r="G10" s="20">
        <v>3</v>
      </c>
      <c r="H10" s="24" t="s">
        <v>264</v>
      </c>
      <c r="J10" s="4" t="s">
        <v>6</v>
      </c>
      <c r="K10" s="7">
        <v>0</v>
      </c>
      <c r="L10" s="19"/>
      <c r="O10" s="15">
        <v>5</v>
      </c>
      <c r="P10" s="23" t="s">
        <v>60</v>
      </c>
      <c r="Q10" s="40">
        <v>0.27638888888888885</v>
      </c>
      <c r="R10" s="40">
        <v>0.65625</v>
      </c>
      <c r="S10" s="37">
        <f t="shared" si="0"/>
        <v>0.37986111111111115</v>
      </c>
      <c r="T10" s="23">
        <v>4</v>
      </c>
      <c r="U10" s="16" t="s">
        <v>253</v>
      </c>
      <c r="W10" s="4" t="s">
        <v>33</v>
      </c>
      <c r="X10" s="7">
        <v>2</v>
      </c>
      <c r="AA10" s="15">
        <v>5</v>
      </c>
      <c r="AB10" s="20" t="s">
        <v>50</v>
      </c>
      <c r="AC10" s="21">
        <v>0.26111111111111113</v>
      </c>
      <c r="AD10" s="21">
        <v>0.57916666666666672</v>
      </c>
      <c r="AE10" s="38">
        <f t="shared" si="1"/>
        <v>0.31805555555555559</v>
      </c>
      <c r="AF10" s="20">
        <v>4</v>
      </c>
      <c r="AG10" s="16" t="s">
        <v>249</v>
      </c>
      <c r="AI10" s="4" t="s">
        <v>6</v>
      </c>
      <c r="AJ10" s="7">
        <v>1</v>
      </c>
      <c r="AM10" s="1">
        <v>5</v>
      </c>
      <c r="AN10" s="2" t="s">
        <v>230</v>
      </c>
      <c r="AO10" s="41">
        <v>0.26319444444444445</v>
      </c>
      <c r="AP10" s="41">
        <v>0.7368055555555556</v>
      </c>
      <c r="AQ10" s="26">
        <f t="shared" si="2"/>
        <v>0.47361111111111115</v>
      </c>
      <c r="AR10" s="2">
        <v>4</v>
      </c>
      <c r="AS10" s="45" t="s">
        <v>25</v>
      </c>
      <c r="AU10" s="4" t="s">
        <v>6</v>
      </c>
      <c r="AV10" s="7">
        <v>25</v>
      </c>
    </row>
    <row r="11" spans="1:48" s="1" customFormat="1" x14ac:dyDescent="0.2">
      <c r="A11"/>
      <c r="B11" s="50">
        <v>6</v>
      </c>
      <c r="C11" s="31" t="s">
        <v>12</v>
      </c>
      <c r="D11" s="32">
        <v>0.32013888888888892</v>
      </c>
      <c r="E11" s="32">
        <v>0.66249999999999998</v>
      </c>
      <c r="F11" s="51">
        <f>Table132456789101113212529343944495461491419242933364247539197861041101161221271311361419142419[[#This Row],[JAM MASUK]]-Table132456789101113212529343944495461491419242933364247539197861041101161221271311361419142419[[#This Row],[JAM KELUAR]]</f>
        <v>0.34236111111111106</v>
      </c>
      <c r="G11" s="31">
        <v>3</v>
      </c>
      <c r="H11" s="53" t="s">
        <v>266</v>
      </c>
      <c r="J11" s="8" t="s">
        <v>8</v>
      </c>
      <c r="K11" s="9">
        <f>SUM(Table132456789101113212529343944495461491419242933364247539197861041101161221271311361419142419[Retase])</f>
        <v>61</v>
      </c>
      <c r="L11" s="19"/>
      <c r="O11" s="1">
        <v>6</v>
      </c>
      <c r="P11" s="29" t="s">
        <v>82</v>
      </c>
      <c r="Q11" s="30">
        <v>0.2902777777777778</v>
      </c>
      <c r="R11" s="30">
        <v>0.72916666666666663</v>
      </c>
      <c r="S11" s="39">
        <f t="shared" si="0"/>
        <v>0.43888888888888883</v>
      </c>
      <c r="T11" s="29">
        <v>5</v>
      </c>
      <c r="U11" s="45" t="s">
        <v>25</v>
      </c>
      <c r="W11" s="8" t="s">
        <v>8</v>
      </c>
      <c r="X11" s="9">
        <f>SUM(Table1345678910111722263035404550556251015202530343843485492988710511111712312813213714210152520[Retase])</f>
        <v>47</v>
      </c>
      <c r="AA11" s="15">
        <v>6</v>
      </c>
      <c r="AB11" s="20" t="s">
        <v>51</v>
      </c>
      <c r="AC11" s="21">
        <v>0.27916666666666667</v>
      </c>
      <c r="AD11" s="21">
        <v>0.6479166666666667</v>
      </c>
      <c r="AE11" s="38">
        <f t="shared" si="1"/>
        <v>0.36875000000000002</v>
      </c>
      <c r="AF11" s="20">
        <v>4</v>
      </c>
      <c r="AG11" s="16" t="s">
        <v>250</v>
      </c>
      <c r="AI11" s="8" t="s">
        <v>8</v>
      </c>
      <c r="AJ11" s="9">
        <f>SUM(Table134567891011151819232731374247525927121722273228414652909680103109115121126120135140813231828[Retase])</f>
        <v>51</v>
      </c>
      <c r="AM11" s="1">
        <v>6</v>
      </c>
      <c r="AN11" s="2" t="s">
        <v>232</v>
      </c>
      <c r="AO11" s="41">
        <v>0.25833333333333336</v>
      </c>
      <c r="AP11" s="41">
        <v>0.74375000000000002</v>
      </c>
      <c r="AQ11" s="26">
        <f t="shared" si="2"/>
        <v>0.48541666666666666</v>
      </c>
      <c r="AR11" s="2">
        <v>4</v>
      </c>
      <c r="AS11" s="45" t="s">
        <v>25</v>
      </c>
      <c r="AU11" s="8" t="s">
        <v>8</v>
      </c>
      <c r="AV11" s="9">
        <f>SUM(Table1345678910111518192327313742475259271217222732284146529096801031091151211261201351408132318[Retase])</f>
        <v>38</v>
      </c>
    </row>
    <row r="12" spans="1:48" s="1" customFormat="1" x14ac:dyDescent="0.2">
      <c r="A12"/>
      <c r="B12" s="15">
        <v>7</v>
      </c>
      <c r="C12" s="20" t="s">
        <v>70</v>
      </c>
      <c r="D12" s="21">
        <v>0.27013888888888887</v>
      </c>
      <c r="E12" s="21">
        <v>0.6118055555555556</v>
      </c>
      <c r="F12" s="38">
        <f>Table132456789101113212529343944495461491419242933364247539197861041101161221271311361419142419[[#This Row],[JAM MASUK]]-Table132456789101113212529343944495461491419242933364247539197861041101161221271311361419142419[[#This Row],[JAM KELUAR]]</f>
        <v>0.34166666666666673</v>
      </c>
      <c r="G12" s="20">
        <v>3</v>
      </c>
      <c r="H12" s="24" t="s">
        <v>267</v>
      </c>
      <c r="J12" s="10" t="s">
        <v>7</v>
      </c>
      <c r="K12" s="11">
        <f>K11/K7</f>
        <v>3.2105263157894739</v>
      </c>
      <c r="L12" s="19"/>
      <c r="O12" s="28">
        <v>7</v>
      </c>
      <c r="P12" s="29" t="s">
        <v>40</v>
      </c>
      <c r="Q12" s="30">
        <v>0.26805555555555555</v>
      </c>
      <c r="R12" s="30">
        <v>0.65555555555555556</v>
      </c>
      <c r="S12" s="39">
        <f t="shared" si="0"/>
        <v>0.38750000000000001</v>
      </c>
      <c r="T12" s="29">
        <v>5</v>
      </c>
      <c r="U12" s="45" t="s">
        <v>25</v>
      </c>
      <c r="W12" s="10" t="s">
        <v>7</v>
      </c>
      <c r="X12" s="11">
        <f>X11/X7</f>
        <v>4.2727272727272725</v>
      </c>
      <c r="AA12" s="1">
        <v>7</v>
      </c>
      <c r="AB12" s="2" t="s">
        <v>46</v>
      </c>
      <c r="AC12" s="41">
        <v>0.26597222222222222</v>
      </c>
      <c r="AD12" s="41">
        <v>0.65555555555555556</v>
      </c>
      <c r="AE12" s="26">
        <f t="shared" si="1"/>
        <v>0.38958333333333334</v>
      </c>
      <c r="AF12" s="2">
        <v>5</v>
      </c>
      <c r="AG12" s="45" t="s">
        <v>25</v>
      </c>
      <c r="AI12" s="10" t="s">
        <v>7</v>
      </c>
      <c r="AJ12" s="11">
        <f>AJ11/AJ7</f>
        <v>4.25</v>
      </c>
      <c r="AM12" s="1">
        <v>7</v>
      </c>
      <c r="AN12" s="2" t="s">
        <v>233</v>
      </c>
      <c r="AO12" s="41">
        <v>0.26458333333333334</v>
      </c>
      <c r="AP12" s="41">
        <v>0.73333333333333339</v>
      </c>
      <c r="AQ12" s="26">
        <f t="shared" si="2"/>
        <v>0.46875000000000006</v>
      </c>
      <c r="AR12" s="2">
        <v>4</v>
      </c>
      <c r="AS12" s="45" t="s">
        <v>25</v>
      </c>
      <c r="AU12" s="10" t="s">
        <v>7</v>
      </c>
      <c r="AV12" s="11">
        <f>AV11/AV7</f>
        <v>3.4545454545454546</v>
      </c>
    </row>
    <row r="13" spans="1:48" s="1" customFormat="1" x14ac:dyDescent="0.2">
      <c r="A13"/>
      <c r="B13" s="15">
        <v>8</v>
      </c>
      <c r="C13" s="20" t="s">
        <v>76</v>
      </c>
      <c r="D13" s="21">
        <v>0.27291666666666664</v>
      </c>
      <c r="E13" s="21">
        <v>0.63263888888888886</v>
      </c>
      <c r="F13" s="38">
        <f>Table132456789101113212529343944495461491419242933364247539197861041101161221271311361419142419[[#This Row],[JAM MASUK]]-Table132456789101113212529343944495461491419242933364247539197861041101161221271311361419142419[[#This Row],[JAM KELUAR]]</f>
        <v>0.35972222222222222</v>
      </c>
      <c r="G13" s="20">
        <v>3</v>
      </c>
      <c r="H13" s="16" t="s">
        <v>269</v>
      </c>
      <c r="J13" s="12" t="s">
        <v>11</v>
      </c>
      <c r="K13" s="13">
        <v>4</v>
      </c>
      <c r="L13" s="19"/>
      <c r="O13" s="1">
        <v>8</v>
      </c>
      <c r="P13" s="29" t="s">
        <v>30</v>
      </c>
      <c r="Q13" s="30">
        <v>0.26180555555555557</v>
      </c>
      <c r="R13" s="30">
        <v>0.70000000000000007</v>
      </c>
      <c r="S13" s="39">
        <f t="shared" si="0"/>
        <v>0.4381944444444445</v>
      </c>
      <c r="T13" s="29">
        <v>5</v>
      </c>
      <c r="U13" s="45" t="s">
        <v>25</v>
      </c>
      <c r="W13" s="12" t="s">
        <v>11</v>
      </c>
      <c r="X13" s="13">
        <v>5</v>
      </c>
      <c r="AA13" s="1">
        <v>8</v>
      </c>
      <c r="AB13" s="2" t="s">
        <v>49</v>
      </c>
      <c r="AC13" s="41">
        <v>0.26944444444444443</v>
      </c>
      <c r="AD13" s="41">
        <v>0.71944444444444444</v>
      </c>
      <c r="AE13" s="26">
        <f t="shared" si="1"/>
        <v>0.45</v>
      </c>
      <c r="AF13" s="2">
        <v>5</v>
      </c>
      <c r="AG13" s="45" t="s">
        <v>25</v>
      </c>
      <c r="AI13" s="12" t="s">
        <v>11</v>
      </c>
      <c r="AJ13" s="13">
        <v>5</v>
      </c>
      <c r="AM13" s="1">
        <v>8</v>
      </c>
      <c r="AN13" s="2" t="s">
        <v>235</v>
      </c>
      <c r="AO13" s="41">
        <v>0.2673611111111111</v>
      </c>
      <c r="AP13" s="41">
        <v>0.68194444444444446</v>
      </c>
      <c r="AQ13" s="26">
        <f t="shared" si="2"/>
        <v>0.41458333333333336</v>
      </c>
      <c r="AR13" s="2">
        <v>4</v>
      </c>
      <c r="AS13" s="45" t="s">
        <v>25</v>
      </c>
      <c r="AU13" s="12" t="s">
        <v>11</v>
      </c>
      <c r="AV13" s="13">
        <v>5</v>
      </c>
    </row>
    <row r="14" spans="1:48" s="1" customFormat="1" x14ac:dyDescent="0.2">
      <c r="A14"/>
      <c r="B14" s="15">
        <v>9</v>
      </c>
      <c r="C14" s="20" t="s">
        <v>120</v>
      </c>
      <c r="D14" s="21">
        <v>0.26944444444444443</v>
      </c>
      <c r="E14" s="21">
        <v>0.66180555555555554</v>
      </c>
      <c r="F14" s="38">
        <f>Table132456789101113212529343944495461491419242933364247539197861041101161221271311361419142419[[#This Row],[JAM MASUK]]-Table132456789101113212529343944495461491419242933364247539197861041101161221271311361419142419[[#This Row],[JAM KELUAR]]</f>
        <v>0.3923611111111111</v>
      </c>
      <c r="G14" s="20">
        <v>3</v>
      </c>
      <c r="H14" s="16" t="s">
        <v>270</v>
      </c>
      <c r="J14" s="12" t="s">
        <v>88</v>
      </c>
      <c r="K14" s="14">
        <f>9/19</f>
        <v>0.47368421052631576</v>
      </c>
      <c r="L14" s="19"/>
      <c r="O14" s="1">
        <v>9</v>
      </c>
      <c r="P14" s="29" t="s">
        <v>32</v>
      </c>
      <c r="Q14" s="30">
        <v>0.2638888888888889</v>
      </c>
      <c r="R14" s="30">
        <v>0.71666666666666667</v>
      </c>
      <c r="S14" s="39">
        <f t="shared" si="0"/>
        <v>0.45277777777777778</v>
      </c>
      <c r="T14" s="29">
        <v>5</v>
      </c>
      <c r="U14" s="45" t="s">
        <v>25</v>
      </c>
      <c r="W14" s="12" t="s">
        <v>88</v>
      </c>
      <c r="X14" s="14">
        <f>6/11</f>
        <v>0.54545454545454541</v>
      </c>
      <c r="AA14" s="1">
        <v>9</v>
      </c>
      <c r="AB14" s="2" t="s">
        <v>47</v>
      </c>
      <c r="AC14" s="41">
        <v>0.26874999999999999</v>
      </c>
      <c r="AD14" s="41">
        <v>0.70624999999999993</v>
      </c>
      <c r="AE14" s="26">
        <f t="shared" si="1"/>
        <v>0.43749999999999994</v>
      </c>
      <c r="AF14" s="2">
        <v>5</v>
      </c>
      <c r="AG14" s="45" t="s">
        <v>25</v>
      </c>
      <c r="AI14" s="12" t="s">
        <v>88</v>
      </c>
      <c r="AJ14" s="14">
        <f>6/12</f>
        <v>0.5</v>
      </c>
      <c r="AM14" s="1">
        <v>9</v>
      </c>
      <c r="AN14" s="2" t="s">
        <v>236</v>
      </c>
      <c r="AO14" s="41">
        <v>0.27083333333333331</v>
      </c>
      <c r="AP14" s="41">
        <v>0.68263888888888891</v>
      </c>
      <c r="AQ14" s="26">
        <f t="shared" si="2"/>
        <v>0.41180555555555559</v>
      </c>
      <c r="AR14" s="2">
        <v>4</v>
      </c>
      <c r="AS14" s="45" t="s">
        <v>25</v>
      </c>
      <c r="AU14" s="12" t="s">
        <v>88</v>
      </c>
      <c r="AV14" s="14">
        <f>7/11</f>
        <v>0.63636363636363635</v>
      </c>
    </row>
    <row r="15" spans="1:48" x14ac:dyDescent="0.2">
      <c r="B15" s="15">
        <v>10</v>
      </c>
      <c r="C15" s="20" t="s">
        <v>18</v>
      </c>
      <c r="D15" s="21">
        <v>0.27569444444444446</v>
      </c>
      <c r="E15" s="21">
        <v>0.66041666666666665</v>
      </c>
      <c r="F15" s="38">
        <f>Table132456789101113212529343944495461491419242933364247539197861041101161221271311361419142419[[#This Row],[JAM MASUK]]-Table132456789101113212529343944495461491419242933364247539197861041101161221271311361419142419[[#This Row],[JAM KELUAR]]</f>
        <v>0.38472222222222219</v>
      </c>
      <c r="G15" s="20">
        <v>3</v>
      </c>
      <c r="H15" s="16" t="s">
        <v>270</v>
      </c>
      <c r="J15" s="12" t="s">
        <v>24</v>
      </c>
      <c r="K15" s="14">
        <f>K7/K6</f>
        <v>0.82608695652173914</v>
      </c>
      <c r="O15" s="28">
        <v>10</v>
      </c>
      <c r="P15" s="29" t="s">
        <v>41</v>
      </c>
      <c r="Q15" s="30">
        <v>0.26944444444444443</v>
      </c>
      <c r="R15" s="30">
        <v>0.7284722222222223</v>
      </c>
      <c r="S15" s="39">
        <f t="shared" si="0"/>
        <v>0.45902777777777787</v>
      </c>
      <c r="T15" s="29">
        <v>5</v>
      </c>
      <c r="U15" s="45" t="s">
        <v>25</v>
      </c>
      <c r="W15" s="12" t="s">
        <v>27</v>
      </c>
      <c r="X15" s="14">
        <f>X7/X6</f>
        <v>0.61111111111111116</v>
      </c>
      <c r="AA15" s="1">
        <v>10</v>
      </c>
      <c r="AB15" s="2" t="s">
        <v>81</v>
      </c>
      <c r="AC15" s="41">
        <v>0.26250000000000001</v>
      </c>
      <c r="AD15" s="41">
        <v>0.6430555555555556</v>
      </c>
      <c r="AE15" s="26">
        <f t="shared" si="1"/>
        <v>0.38055555555555559</v>
      </c>
      <c r="AF15" s="2">
        <v>5</v>
      </c>
      <c r="AG15" s="45" t="s">
        <v>25</v>
      </c>
      <c r="AI15" s="12" t="s">
        <v>27</v>
      </c>
      <c r="AJ15" s="14">
        <f>AJ7/AJ6</f>
        <v>0.8</v>
      </c>
      <c r="AM15" s="1">
        <v>10</v>
      </c>
      <c r="AN15" s="2" t="s">
        <v>239</v>
      </c>
      <c r="AO15" s="41">
        <v>0.29097222222222224</v>
      </c>
      <c r="AP15" s="41">
        <v>0.6972222222222223</v>
      </c>
      <c r="AQ15" s="26">
        <f t="shared" si="2"/>
        <v>0.40625000000000006</v>
      </c>
      <c r="AR15" s="2">
        <v>4</v>
      </c>
      <c r="AS15" s="45" t="s">
        <v>25</v>
      </c>
      <c r="AU15" s="12" t="s">
        <v>27</v>
      </c>
      <c r="AV15" s="14">
        <f>AV7/AV6</f>
        <v>1.1000000000000001</v>
      </c>
    </row>
    <row r="16" spans="1:48" x14ac:dyDescent="0.2">
      <c r="B16" s="1">
        <v>11</v>
      </c>
      <c r="C16" s="2" t="s">
        <v>65</v>
      </c>
      <c r="D16" s="41">
        <v>0.26597222222222222</v>
      </c>
      <c r="E16" s="41">
        <v>0.70208333333333339</v>
      </c>
      <c r="F16" s="26">
        <f>Table132456789101113212529343944495461491419242933364247539197861041101161221271311361419142419[[#This Row],[JAM MASUK]]-Table132456789101113212529343944495461491419242933364247539197861041101161221271311361419142419[[#This Row],[JAM KELUAR]]</f>
        <v>0.43611111111111117</v>
      </c>
      <c r="G16" s="2">
        <v>4</v>
      </c>
      <c r="H16" s="25" t="s">
        <v>25</v>
      </c>
      <c r="J16" s="12" t="s">
        <v>117</v>
      </c>
      <c r="K16" s="48">
        <f>AVERAGE(Table132456789101113212529343944495461491419242933364247539197861041101161221271311361419142419[JAM KELUAR])</f>
        <v>0.27415935672514619</v>
      </c>
      <c r="O16" s="1">
        <v>11</v>
      </c>
      <c r="P16" s="29" t="s">
        <v>59</v>
      </c>
      <c r="Q16" s="30">
        <v>0.27430555555555552</v>
      </c>
      <c r="R16" s="30">
        <v>0.7104166666666667</v>
      </c>
      <c r="S16" s="39">
        <f t="shared" si="0"/>
        <v>0.43611111111111117</v>
      </c>
      <c r="T16" s="29">
        <v>5</v>
      </c>
      <c r="U16" s="45" t="s">
        <v>25</v>
      </c>
      <c r="W16" s="12" t="s">
        <v>117</v>
      </c>
      <c r="X16" s="48">
        <f>AVERAGE(Table1345678910111722263035404550556251015202530343843485492988710511111712312813213714210152520[JAM KELUAR])</f>
        <v>0.27897727272727268</v>
      </c>
      <c r="AA16" s="1">
        <v>11</v>
      </c>
      <c r="AB16" s="2" t="s">
        <v>45</v>
      </c>
      <c r="AC16" s="41">
        <v>0.26180555555555557</v>
      </c>
      <c r="AD16" s="41">
        <v>0.71180555555555547</v>
      </c>
      <c r="AE16" s="26">
        <f t="shared" si="1"/>
        <v>0.4499999999999999</v>
      </c>
      <c r="AF16" s="2">
        <v>6</v>
      </c>
      <c r="AG16" s="45" t="s">
        <v>25</v>
      </c>
      <c r="AI16" s="12" t="s">
        <v>117</v>
      </c>
      <c r="AJ16" s="48">
        <f>AVERAGE(Table134567891011151819232731374247525927121722273228414652909680103109115121126120135140813231828[JAM KELUAR])</f>
        <v>0.27037037037037037</v>
      </c>
      <c r="AM16" s="1">
        <v>11</v>
      </c>
      <c r="AN16" s="2" t="s">
        <v>237</v>
      </c>
      <c r="AO16" s="41">
        <v>0.2722222222222222</v>
      </c>
      <c r="AP16" s="41">
        <v>0.72083333333333333</v>
      </c>
      <c r="AQ16" s="26">
        <f t="shared" si="2"/>
        <v>0.44861111111111113</v>
      </c>
      <c r="AR16" s="2">
        <v>5</v>
      </c>
      <c r="AS16" s="45" t="s">
        <v>25</v>
      </c>
      <c r="AU16" s="12" t="s">
        <v>117</v>
      </c>
      <c r="AV16" s="48">
        <f>AVERAGE(Table1345678910111518192327313742475259271217222732284146529096801031091151211261201351408132318[JAM KELUAR])</f>
        <v>0.29071969696969702</v>
      </c>
    </row>
    <row r="17" spans="2:47" x14ac:dyDescent="0.2">
      <c r="B17" s="1">
        <v>12</v>
      </c>
      <c r="C17" s="2" t="s">
        <v>71</v>
      </c>
      <c r="D17" s="41">
        <v>0.2638888888888889</v>
      </c>
      <c r="E17" s="41">
        <v>0.67847222222222225</v>
      </c>
      <c r="F17" s="26">
        <f>Table132456789101113212529343944495461491419242933364247539197861041101161221271311361419142419[[#This Row],[JAM MASUK]]-Table132456789101113212529343944495461491419242933364247539197861041101161221271311361419142419[[#This Row],[JAM KELUAR]]</f>
        <v>0.41458333333333336</v>
      </c>
      <c r="G17" s="2">
        <v>4</v>
      </c>
      <c r="H17" s="25" t="s">
        <v>25</v>
      </c>
      <c r="AA17" s="1">
        <v>12</v>
      </c>
      <c r="AB17" s="2" t="s">
        <v>80</v>
      </c>
      <c r="AC17" s="41">
        <v>0.26319444444444445</v>
      </c>
      <c r="AD17" s="41">
        <v>0.72083333333333333</v>
      </c>
      <c r="AE17" s="26">
        <f t="shared" si="1"/>
        <v>0.45763888888888887</v>
      </c>
      <c r="AF17" s="2">
        <v>6</v>
      </c>
      <c r="AG17" s="45" t="s">
        <v>25</v>
      </c>
      <c r="AI17" s="17"/>
      <c r="AU17" s="17"/>
    </row>
    <row r="18" spans="2:47" ht="15.75" customHeight="1" x14ac:dyDescent="0.25">
      <c r="B18" s="1">
        <v>13</v>
      </c>
      <c r="C18" s="2" t="s">
        <v>72</v>
      </c>
      <c r="D18" s="41">
        <v>0.26874999999999999</v>
      </c>
      <c r="E18" s="41">
        <v>0.68541666666666667</v>
      </c>
      <c r="F18" s="26">
        <f>Table132456789101113212529343944495461491419242933364247539197861041101161221271311361419142419[[#This Row],[JAM MASUK]]-Table132456789101113212529343944495461491419242933364247539197861041101161221271311361419142419[[#This Row],[JAM KELUAR]]</f>
        <v>0.41666666666666669</v>
      </c>
      <c r="G18" s="2">
        <v>4</v>
      </c>
      <c r="H18" s="25" t="s">
        <v>25</v>
      </c>
      <c r="O18" s="108" t="s">
        <v>66</v>
      </c>
      <c r="P18" s="108"/>
      <c r="Q18" s="108"/>
      <c r="R18" s="108"/>
      <c r="S18" s="108"/>
      <c r="T18" s="108"/>
      <c r="U18" s="108"/>
      <c r="W18" s="106" t="s">
        <v>28</v>
      </c>
      <c r="X18" s="106"/>
      <c r="AR18" s="34"/>
      <c r="AS18" s="35" t="s">
        <v>90</v>
      </c>
    </row>
    <row r="19" spans="2:47" ht="17.25" customHeight="1" x14ac:dyDescent="0.2">
      <c r="B19" s="1">
        <v>14</v>
      </c>
      <c r="C19" s="2" t="s">
        <v>68</v>
      </c>
      <c r="D19" s="41">
        <v>0.26805555555555555</v>
      </c>
      <c r="E19" s="41">
        <v>0.69930555555555562</v>
      </c>
      <c r="F19" s="26">
        <f>Table132456789101113212529343944495461491419242933364247539197861041101161221271311361419142419[[#This Row],[JAM MASUK]]-Table132456789101113212529343944495461491419242933364247539197861041101161221271311361419142419[[#This Row],[JAM KELUAR]]</f>
        <v>0.43125000000000008</v>
      </c>
      <c r="G19" s="2">
        <v>4</v>
      </c>
      <c r="H19" s="25" t="s">
        <v>25</v>
      </c>
      <c r="O19" s="109">
        <f>B4</f>
        <v>45418</v>
      </c>
      <c r="P19" s="109"/>
      <c r="Q19" s="109"/>
      <c r="R19" s="109"/>
      <c r="S19" s="109"/>
      <c r="T19" s="109"/>
      <c r="U19" s="109"/>
      <c r="W19" s="110"/>
      <c r="X19" s="110"/>
      <c r="AF19" s="34"/>
      <c r="AG19" s="35" t="s">
        <v>90</v>
      </c>
      <c r="AR19" s="56" t="s">
        <v>209</v>
      </c>
      <c r="AS19" s="35" t="s">
        <v>92</v>
      </c>
    </row>
    <row r="20" spans="2:47" ht="15.75" customHeight="1" x14ac:dyDescent="0.2">
      <c r="B20" s="1">
        <v>15</v>
      </c>
      <c r="C20" s="2" t="s">
        <v>74</v>
      </c>
      <c r="D20" s="41">
        <v>0.27569444444444446</v>
      </c>
      <c r="E20" s="41">
        <v>0.71875</v>
      </c>
      <c r="F20" s="26">
        <f>Table132456789101113212529343944495461491419242933364247539197861041101161221271311361419142419[[#This Row],[JAM MASUK]]-Table132456789101113212529343944495461491419242933364247539197861041101161221271311361419142419[[#This Row],[JAM KELUAR]]</f>
        <v>0.44305555555555554</v>
      </c>
      <c r="G20" s="2">
        <v>4</v>
      </c>
      <c r="H20" s="25" t="s">
        <v>25</v>
      </c>
      <c r="O20" s="2" t="s">
        <v>0</v>
      </c>
      <c r="P20" s="2" t="s">
        <v>1</v>
      </c>
      <c r="Q20" s="22" t="s">
        <v>61</v>
      </c>
      <c r="R20" s="22" t="s">
        <v>62</v>
      </c>
      <c r="S20" s="22" t="s">
        <v>63</v>
      </c>
      <c r="T20" s="2" t="s">
        <v>2</v>
      </c>
      <c r="U20" s="2" t="s">
        <v>3</v>
      </c>
      <c r="W20" s="3" t="s">
        <v>29</v>
      </c>
      <c r="X20" s="5">
        <f>SUM(X22:X25)</f>
        <v>8</v>
      </c>
      <c r="AF20" s="56" t="s">
        <v>209</v>
      </c>
      <c r="AG20" s="35" t="s">
        <v>92</v>
      </c>
    </row>
    <row r="21" spans="2:47" ht="15" customHeight="1" x14ac:dyDescent="0.2">
      <c r="B21" s="1">
        <v>16</v>
      </c>
      <c r="C21" s="2" t="s">
        <v>75</v>
      </c>
      <c r="D21" s="41">
        <v>0.2638888888888889</v>
      </c>
      <c r="E21" s="41">
        <v>0.65</v>
      </c>
      <c r="F21" s="26">
        <f>Table132456789101113212529343944495461491419242933364247539197861041101161221271311361419142419[[#This Row],[JAM MASUK]]-Table132456789101113212529343944495461491419242933364247539197861041101161221271311361419142419[[#This Row],[JAM KELUAR]]</f>
        <v>0.38611111111111113</v>
      </c>
      <c r="G21" s="2">
        <v>4</v>
      </c>
      <c r="H21" s="25" t="s">
        <v>25</v>
      </c>
      <c r="O21" s="15">
        <v>1</v>
      </c>
      <c r="P21" s="23" t="s">
        <v>85</v>
      </c>
      <c r="Q21" s="40">
        <v>0.26944444444444443</v>
      </c>
      <c r="R21" s="40">
        <v>0.30486111111111108</v>
      </c>
      <c r="S21" s="37">
        <f t="shared" ref="S21:S28" si="3">R21-Q21</f>
        <v>3.5416666666666652E-2</v>
      </c>
      <c r="T21" s="23">
        <v>0</v>
      </c>
      <c r="U21" s="16" t="s">
        <v>256</v>
      </c>
      <c r="W21" s="4" t="s">
        <v>10</v>
      </c>
      <c r="X21" s="6">
        <v>8</v>
      </c>
    </row>
    <row r="22" spans="2:47" ht="15" customHeight="1" x14ac:dyDescent="0.2">
      <c r="B22" s="1">
        <v>17</v>
      </c>
      <c r="C22" s="2" t="s">
        <v>15</v>
      </c>
      <c r="D22" s="41">
        <v>0.2673611111111111</v>
      </c>
      <c r="E22" s="41">
        <v>0.70277777777777783</v>
      </c>
      <c r="F22" s="26">
        <f>Table132456789101113212529343944495461491419242933364247539197861041101161221271311361419142419[[#This Row],[JAM MASUK]]-Table132456789101113212529343944495461491419242933364247539197861041101161221271311361419142419[[#This Row],[JAM KELUAR]]</f>
        <v>0.43541666666666673</v>
      </c>
      <c r="G22" s="2">
        <v>4</v>
      </c>
      <c r="H22" s="25" t="s">
        <v>25</v>
      </c>
      <c r="O22" s="50">
        <v>2</v>
      </c>
      <c r="P22" s="33" t="s">
        <v>37</v>
      </c>
      <c r="Q22" s="44">
        <v>0.30555555555555552</v>
      </c>
      <c r="R22" s="44">
        <v>0.4916666666666667</v>
      </c>
      <c r="S22" s="52">
        <f t="shared" si="3"/>
        <v>0.18611111111111117</v>
      </c>
      <c r="T22" s="33">
        <v>2</v>
      </c>
      <c r="U22" s="58" t="s">
        <v>257</v>
      </c>
      <c r="W22" s="4" t="s">
        <v>9</v>
      </c>
      <c r="X22" s="7">
        <v>8</v>
      </c>
    </row>
    <row r="23" spans="2:47" ht="15" customHeight="1" x14ac:dyDescent="0.2">
      <c r="B23" s="1">
        <v>18</v>
      </c>
      <c r="C23" s="2" t="s">
        <v>121</v>
      </c>
      <c r="D23" s="41">
        <v>0.2638888888888889</v>
      </c>
      <c r="E23" s="41">
        <v>0.65069444444444446</v>
      </c>
      <c r="F23" s="26">
        <f>Table132456789101113212529343944495461491419242933364247539197861041101161221271311361419142419[[#This Row],[JAM MASUK]]-Table132456789101113212529343944495461491419242933364247539197861041101161221271311361419142419[[#This Row],[JAM KELUAR]]</f>
        <v>0.38680555555555557</v>
      </c>
      <c r="G23" s="2">
        <v>4</v>
      </c>
      <c r="H23" s="25" t="s">
        <v>25</v>
      </c>
      <c r="O23" s="50">
        <v>3</v>
      </c>
      <c r="P23" s="33" t="s">
        <v>38</v>
      </c>
      <c r="Q23" s="44">
        <v>0.30902777777777779</v>
      </c>
      <c r="R23" s="44">
        <v>0.64861111111111114</v>
      </c>
      <c r="S23" s="52">
        <f t="shared" si="3"/>
        <v>0.33958333333333335</v>
      </c>
      <c r="T23" s="33">
        <v>3</v>
      </c>
      <c r="U23" s="53" t="s">
        <v>258</v>
      </c>
      <c r="W23" s="4" t="s">
        <v>4</v>
      </c>
      <c r="X23" s="7">
        <v>0</v>
      </c>
    </row>
    <row r="24" spans="2:47" ht="14.5" customHeight="1" x14ac:dyDescent="0.2">
      <c r="B24" s="1">
        <v>19</v>
      </c>
      <c r="C24" s="2" t="s">
        <v>17</v>
      </c>
      <c r="D24" s="41">
        <v>0.26458333333333334</v>
      </c>
      <c r="E24" s="41">
        <v>0.69652777777777775</v>
      </c>
      <c r="F24" s="26">
        <f>Table132456789101113212529343944495461491419242933364247539197861041101161221271311361419142419[[#This Row],[JAM MASUK]]-Table132456789101113212529343944495461491419242933364247539197861041101161221271311361419142419[[#This Row],[JAM KELUAR]]</f>
        <v>0.43194444444444441</v>
      </c>
      <c r="G24" s="2">
        <v>4</v>
      </c>
      <c r="H24" s="25" t="s">
        <v>25</v>
      </c>
      <c r="O24" s="50">
        <v>4</v>
      </c>
      <c r="P24" s="33" t="s">
        <v>39</v>
      </c>
      <c r="Q24" s="44">
        <v>0.30694444444444441</v>
      </c>
      <c r="R24" s="44">
        <v>0.64722222222222225</v>
      </c>
      <c r="S24" s="52">
        <f t="shared" si="3"/>
        <v>0.34027777777777785</v>
      </c>
      <c r="T24" s="33">
        <v>3</v>
      </c>
      <c r="U24" s="53" t="s">
        <v>259</v>
      </c>
      <c r="W24" s="4" t="s">
        <v>5</v>
      </c>
      <c r="X24" s="7">
        <v>0</v>
      </c>
    </row>
    <row r="25" spans="2:47" ht="14.5" customHeight="1" x14ac:dyDescent="0.2">
      <c r="N25" s="54" t="s">
        <v>209</v>
      </c>
      <c r="O25" s="50">
        <v>5</v>
      </c>
      <c r="P25" s="33" t="s">
        <v>42</v>
      </c>
      <c r="Q25" s="44">
        <v>0.30277777777777776</v>
      </c>
      <c r="R25" s="44">
        <v>0.60902777777777783</v>
      </c>
      <c r="S25" s="52">
        <f t="shared" si="3"/>
        <v>0.30625000000000008</v>
      </c>
      <c r="T25" s="33">
        <v>3</v>
      </c>
      <c r="U25" s="53" t="s">
        <v>260</v>
      </c>
      <c r="W25" s="4" t="s">
        <v>33</v>
      </c>
      <c r="X25" s="7">
        <v>0</v>
      </c>
    </row>
    <row r="26" spans="2:47" ht="14.5" customHeight="1" x14ac:dyDescent="0.2">
      <c r="G26" s="34"/>
      <c r="H26" s="35" t="s">
        <v>90</v>
      </c>
      <c r="O26" s="1">
        <v>6</v>
      </c>
      <c r="P26" s="29" t="s">
        <v>83</v>
      </c>
      <c r="Q26" s="30">
        <v>0.28194444444444444</v>
      </c>
      <c r="R26" s="30">
        <v>0.69930555555555562</v>
      </c>
      <c r="S26" s="39">
        <f t="shared" si="3"/>
        <v>0.41736111111111118</v>
      </c>
      <c r="T26" s="29">
        <v>4</v>
      </c>
      <c r="U26" s="25" t="s">
        <v>25</v>
      </c>
      <c r="W26" s="8" t="s">
        <v>8</v>
      </c>
      <c r="X26" s="9">
        <f>SUM(Table134567891011172226303236414651566361116212631353944495593998810611211812412913313814311162621[Retase])</f>
        <v>23</v>
      </c>
    </row>
    <row r="27" spans="2:47" x14ac:dyDescent="0.2">
      <c r="G27" s="56" t="s">
        <v>209</v>
      </c>
      <c r="H27" s="35" t="s">
        <v>92</v>
      </c>
      <c r="O27" s="1">
        <v>7</v>
      </c>
      <c r="P27" s="29" t="s">
        <v>84</v>
      </c>
      <c r="Q27" s="30">
        <v>0.27708333333333335</v>
      </c>
      <c r="R27" s="30">
        <v>0.69652777777777775</v>
      </c>
      <c r="S27" s="39">
        <f t="shared" si="3"/>
        <v>0.4194444444444444</v>
      </c>
      <c r="T27" s="29">
        <v>4</v>
      </c>
      <c r="U27" s="25" t="s">
        <v>25</v>
      </c>
      <c r="W27" s="10" t="s">
        <v>7</v>
      </c>
      <c r="X27" s="11">
        <f>X26/X22</f>
        <v>2.875</v>
      </c>
      <c r="AR27" s="49"/>
    </row>
    <row r="28" spans="2:47" x14ac:dyDescent="0.2">
      <c r="O28" s="1">
        <v>8</v>
      </c>
      <c r="P28" s="29" t="s">
        <v>36</v>
      </c>
      <c r="Q28" s="30">
        <v>0.27361111111111108</v>
      </c>
      <c r="R28" s="30">
        <v>0.67638888888888893</v>
      </c>
      <c r="S28" s="39">
        <f t="shared" si="3"/>
        <v>0.40277777777777785</v>
      </c>
      <c r="T28" s="29">
        <v>4</v>
      </c>
      <c r="U28" s="25" t="s">
        <v>25</v>
      </c>
      <c r="W28" s="12" t="s">
        <v>11</v>
      </c>
      <c r="X28" s="13">
        <v>4</v>
      </c>
      <c r="AF28" s="49"/>
    </row>
    <row r="29" spans="2:47" x14ac:dyDescent="0.2">
      <c r="W29" s="12" t="s">
        <v>88</v>
      </c>
      <c r="X29" s="14">
        <f>3/7</f>
        <v>0.42857142857142855</v>
      </c>
    </row>
    <row r="30" spans="2:47" x14ac:dyDescent="0.2">
      <c r="G30" s="49"/>
      <c r="W30" s="12" t="s">
        <v>27</v>
      </c>
      <c r="X30" s="14">
        <f>X22/X21</f>
        <v>1</v>
      </c>
    </row>
    <row r="31" spans="2:47" x14ac:dyDescent="0.2">
      <c r="T31" s="34"/>
      <c r="U31" s="35" t="s">
        <v>90</v>
      </c>
      <c r="V31" s="1"/>
      <c r="W31" s="12" t="s">
        <v>117</v>
      </c>
      <c r="X31" s="48">
        <f>AVERAGE(Table134567891011172226303236414651566361116212631353944495593998810611211812412913313814311162621[JAM KELUAR])</f>
        <v>0.29079861111111116</v>
      </c>
    </row>
    <row r="32" spans="2:47" x14ac:dyDescent="0.2">
      <c r="T32" s="56" t="s">
        <v>209</v>
      </c>
      <c r="U32" s="35" t="s">
        <v>92</v>
      </c>
      <c r="V32" s="1"/>
      <c r="AM32" s="49" t="s">
        <v>124</v>
      </c>
    </row>
    <row r="33" spans="1:27" x14ac:dyDescent="0.2">
      <c r="B33" s="49" t="s">
        <v>124</v>
      </c>
      <c r="V33" s="1"/>
      <c r="AA33" s="49" t="s">
        <v>124</v>
      </c>
    </row>
    <row r="34" spans="1:27" x14ac:dyDescent="0.2">
      <c r="V34" s="1"/>
    </row>
    <row r="35" spans="1:27" x14ac:dyDescent="0.2">
      <c r="O35" s="49" t="s">
        <v>124</v>
      </c>
      <c r="T35" s="49"/>
      <c r="V35" s="1"/>
    </row>
    <row r="36" spans="1:27" x14ac:dyDescent="0.2">
      <c r="V36" s="1"/>
    </row>
    <row r="37" spans="1:27" x14ac:dyDescent="0.2">
      <c r="V37" s="1"/>
    </row>
    <row r="38" spans="1:27" x14ac:dyDescent="0.2">
      <c r="V38" s="1"/>
    </row>
    <row r="39" spans="1:27" x14ac:dyDescent="0.2">
      <c r="V39" s="1"/>
    </row>
    <row r="40" spans="1:27" ht="21" x14ac:dyDescent="0.25">
      <c r="A40" s="46"/>
    </row>
    <row r="42" spans="1:27" x14ac:dyDescent="0.2">
      <c r="O42" s="2" t="s">
        <v>0</v>
      </c>
      <c r="P42" s="2" t="s">
        <v>1</v>
      </c>
      <c r="Q42" s="22" t="s">
        <v>61</v>
      </c>
      <c r="R42" s="22" t="s">
        <v>62</v>
      </c>
      <c r="S42" s="22" t="s">
        <v>63</v>
      </c>
      <c r="T42" s="2" t="s">
        <v>2</v>
      </c>
      <c r="U42" s="2" t="s">
        <v>3</v>
      </c>
    </row>
    <row r="43" spans="1:27" x14ac:dyDescent="0.2">
      <c r="O43" s="27">
        <v>1</v>
      </c>
      <c r="P43" s="2"/>
      <c r="Q43" s="41"/>
      <c r="R43" s="42"/>
      <c r="S43" s="26"/>
      <c r="T43" s="2"/>
      <c r="U43" s="24"/>
    </row>
    <row r="44" spans="1:27" x14ac:dyDescent="0.2">
      <c r="O44" s="15">
        <v>2</v>
      </c>
      <c r="P44" s="29"/>
      <c r="Q44" s="30"/>
      <c r="R44" s="36"/>
      <c r="S44" s="26"/>
      <c r="T44" s="29"/>
      <c r="U44" s="24"/>
    </row>
    <row r="45" spans="1:27" x14ac:dyDescent="0.2">
      <c r="O45" s="15">
        <v>3</v>
      </c>
      <c r="P45" s="29"/>
      <c r="Q45" s="30"/>
      <c r="R45" s="36"/>
      <c r="S45" s="39"/>
      <c r="T45" s="29"/>
      <c r="U45" s="16"/>
    </row>
    <row r="46" spans="1:27" x14ac:dyDescent="0.2">
      <c r="O46" s="27">
        <v>4</v>
      </c>
      <c r="P46" s="29"/>
      <c r="Q46" s="30"/>
      <c r="R46" s="36"/>
      <c r="S46" s="39"/>
      <c r="T46" s="29"/>
      <c r="U46" s="24"/>
    </row>
    <row r="47" spans="1:27" x14ac:dyDescent="0.2">
      <c r="O47" s="15">
        <v>5</v>
      </c>
      <c r="P47" s="29"/>
      <c r="Q47" s="30"/>
      <c r="R47" s="36"/>
      <c r="S47" s="26"/>
      <c r="T47" s="29"/>
      <c r="U47" s="24"/>
    </row>
    <row r="48" spans="1:27" x14ac:dyDescent="0.2">
      <c r="O48" s="15">
        <v>6</v>
      </c>
      <c r="P48" s="29"/>
      <c r="Q48" s="30"/>
      <c r="R48" s="36"/>
      <c r="S48" s="26"/>
      <c r="T48" s="29"/>
      <c r="U48" s="24"/>
    </row>
    <row r="49" spans="15:22" x14ac:dyDescent="0.2">
      <c r="O49" s="27">
        <v>7</v>
      </c>
      <c r="P49" s="29"/>
      <c r="Q49" s="30"/>
      <c r="R49" s="36"/>
      <c r="S49" s="39"/>
      <c r="T49" s="29"/>
      <c r="U49" s="24"/>
    </row>
    <row r="50" spans="15:22" x14ac:dyDescent="0.2">
      <c r="O50" s="15">
        <v>8</v>
      </c>
      <c r="P50" s="29"/>
      <c r="Q50" s="30"/>
      <c r="R50" s="36"/>
      <c r="S50" s="26"/>
      <c r="T50" s="29"/>
      <c r="U50" s="24"/>
    </row>
    <row r="51" spans="15:22" x14ac:dyDescent="0.2">
      <c r="O51" s="15">
        <v>9</v>
      </c>
      <c r="P51" s="29"/>
      <c r="Q51" s="30"/>
      <c r="R51" s="36"/>
      <c r="S51" s="26"/>
      <c r="T51" s="29"/>
      <c r="U51" s="24"/>
    </row>
    <row r="52" spans="15:22" x14ac:dyDescent="0.2">
      <c r="O52" s="27">
        <v>10</v>
      </c>
      <c r="P52" s="29"/>
      <c r="Q52" s="30"/>
      <c r="R52" s="36"/>
      <c r="S52" s="26"/>
      <c r="T52" s="29"/>
      <c r="U52" s="24"/>
    </row>
    <row r="53" spans="15:22" x14ac:dyDescent="0.2">
      <c r="O53" s="15">
        <v>11</v>
      </c>
      <c r="P53" s="29"/>
      <c r="Q53" s="30"/>
      <c r="R53" s="36"/>
      <c r="S53" s="26"/>
      <c r="T53" s="29"/>
      <c r="U53" s="24"/>
    </row>
    <row r="54" spans="15:22" x14ac:dyDescent="0.2">
      <c r="O54" s="1">
        <v>12</v>
      </c>
      <c r="P54" s="29"/>
      <c r="Q54" s="30"/>
      <c r="R54" s="36"/>
      <c r="S54" s="39"/>
      <c r="T54" s="29"/>
      <c r="U54" s="25"/>
    </row>
    <row r="55" spans="15:22" x14ac:dyDescent="0.2">
      <c r="O55" s="28">
        <v>13</v>
      </c>
      <c r="P55" s="29"/>
      <c r="Q55" s="30"/>
      <c r="R55" s="36"/>
      <c r="S55" s="26"/>
      <c r="T55" s="29"/>
      <c r="U55" s="25"/>
    </row>
    <row r="56" spans="15:22" x14ac:dyDescent="0.2">
      <c r="O56" s="27">
        <v>14</v>
      </c>
      <c r="P56" s="29"/>
      <c r="Q56" s="30"/>
      <c r="R56" s="36"/>
      <c r="S56" s="26"/>
      <c r="T56" s="29"/>
      <c r="U56" s="24"/>
    </row>
    <row r="57" spans="15:22" x14ac:dyDescent="0.2">
      <c r="O57" s="15">
        <v>15</v>
      </c>
      <c r="P57" s="29"/>
      <c r="Q57" s="30"/>
      <c r="R57" s="36"/>
      <c r="S57" s="26"/>
      <c r="T57" s="29"/>
      <c r="U57" s="24"/>
    </row>
    <row r="58" spans="15:22" x14ac:dyDescent="0.2">
      <c r="O58" s="1">
        <v>16</v>
      </c>
      <c r="P58" s="29"/>
      <c r="Q58" s="30"/>
      <c r="R58" s="36"/>
      <c r="S58" s="26"/>
      <c r="T58" s="29"/>
      <c r="U58" s="25"/>
    </row>
    <row r="59" spans="15:22" x14ac:dyDescent="0.2">
      <c r="O59" s="28">
        <v>17</v>
      </c>
      <c r="P59" s="29"/>
      <c r="Q59" s="30"/>
      <c r="R59" s="36"/>
      <c r="S59" s="26"/>
      <c r="T59" s="29"/>
      <c r="U59" s="25"/>
    </row>
    <row r="60" spans="15:22" x14ac:dyDescent="0.2">
      <c r="O60" s="27">
        <v>18</v>
      </c>
      <c r="P60" s="29"/>
      <c r="Q60" s="30"/>
      <c r="R60" s="36"/>
      <c r="S60" s="26"/>
      <c r="T60" s="29"/>
      <c r="U60" s="24"/>
    </row>
    <row r="61" spans="15:22" x14ac:dyDescent="0.2">
      <c r="O61" s="1">
        <v>19</v>
      </c>
      <c r="P61" s="29"/>
      <c r="Q61" s="30"/>
      <c r="R61" s="36"/>
      <c r="S61" s="39"/>
      <c r="T61" s="29"/>
      <c r="U61" s="25"/>
    </row>
    <row r="62" spans="15:22" x14ac:dyDescent="0.2">
      <c r="O62" s="1">
        <v>20</v>
      </c>
      <c r="P62" s="29"/>
      <c r="Q62" s="30"/>
      <c r="R62" s="36"/>
      <c r="S62" s="39"/>
      <c r="T62" s="29"/>
      <c r="U62" s="25"/>
      <c r="V62" s="1"/>
    </row>
    <row r="63" spans="15:22" x14ac:dyDescent="0.2">
      <c r="O63" s="28">
        <v>21</v>
      </c>
      <c r="P63" s="29"/>
      <c r="Q63" s="30"/>
      <c r="R63" s="36"/>
      <c r="S63" s="26"/>
      <c r="T63" s="29"/>
      <c r="U63" s="25"/>
      <c r="V63" s="1"/>
    </row>
    <row r="64" spans="15:22" x14ac:dyDescent="0.2">
      <c r="O64" s="27">
        <v>22</v>
      </c>
      <c r="P64" s="29"/>
      <c r="Q64" s="30"/>
      <c r="R64" s="36"/>
      <c r="S64" s="26"/>
      <c r="T64" s="29"/>
      <c r="U64" s="25"/>
      <c r="V64" s="1"/>
    </row>
  </sheetData>
  <mergeCells count="19">
    <mergeCell ref="B1:K1"/>
    <mergeCell ref="O1:X1"/>
    <mergeCell ref="AM1:AV1"/>
    <mergeCell ref="B3:H3"/>
    <mergeCell ref="J3:K4"/>
    <mergeCell ref="O3:U3"/>
    <mergeCell ref="W3:X4"/>
    <mergeCell ref="AM3:AS3"/>
    <mergeCell ref="AU3:AV4"/>
    <mergeCell ref="B4:H4"/>
    <mergeCell ref="O4:U4"/>
    <mergeCell ref="AM4:AS4"/>
    <mergeCell ref="O18:U18"/>
    <mergeCell ref="O19:U19"/>
    <mergeCell ref="AA1:AJ1"/>
    <mergeCell ref="AA3:AG3"/>
    <mergeCell ref="AI3:AJ4"/>
    <mergeCell ref="AA4:AG4"/>
    <mergeCell ref="W18:X19"/>
  </mergeCells>
  <pageMargins left="0.12" right="0.12" top="0.75" bottom="0.75" header="0.3" footer="0.3"/>
  <pageSetup paperSize="5" scale="82" fitToWidth="0" orientation="landscape" horizontalDpi="360" verticalDpi="360" r:id="rId1"/>
  <rowBreaks count="1" manualBreakCount="1">
    <brk id="39" max="46" man="1"/>
  </rowBreaks>
  <colBreaks count="3" manualBreakCount="3">
    <brk id="13" max="38" man="1"/>
    <brk id="25" max="38" man="1"/>
    <brk id="37" max="38" man="1"/>
  </colBreaks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347E-CC18-4E3B-BA0D-7C94CE314F7C}">
  <sheetPr>
    <tabColor theme="7" tint="0.39997558519241921"/>
  </sheetPr>
  <dimension ref="A1:AV64"/>
  <sheetViews>
    <sheetView showGridLines="0" view="pageBreakPreview" topLeftCell="AS1" zoomScaleNormal="55" zoomScaleSheetLayoutView="100" workbookViewId="0">
      <selection activeCell="AN6" sqref="AN6:AS16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1.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104" t="s">
        <v>52</v>
      </c>
      <c r="C1" s="104"/>
      <c r="D1" s="104"/>
      <c r="E1" s="104"/>
      <c r="F1" s="104"/>
      <c r="G1" s="104"/>
      <c r="H1" s="104"/>
      <c r="I1" s="104"/>
      <c r="J1" s="104"/>
      <c r="K1" s="104"/>
      <c r="O1" s="104" t="s">
        <v>53</v>
      </c>
      <c r="P1" s="104"/>
      <c r="Q1" s="104"/>
      <c r="R1" s="104"/>
      <c r="S1" s="104"/>
      <c r="T1" s="104"/>
      <c r="U1" s="104"/>
      <c r="V1" s="104"/>
      <c r="W1" s="104"/>
      <c r="X1" s="104"/>
      <c r="AA1" s="104" t="s">
        <v>54</v>
      </c>
      <c r="AB1" s="104"/>
      <c r="AC1" s="104"/>
      <c r="AD1" s="104"/>
      <c r="AE1" s="104"/>
      <c r="AF1" s="104"/>
      <c r="AG1" s="104"/>
      <c r="AH1" s="104"/>
      <c r="AI1" s="104"/>
      <c r="AJ1" s="104"/>
      <c r="AM1" s="104" t="s">
        <v>227</v>
      </c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x14ac:dyDescent="0.2">
      <c r="D2" t="s">
        <v>241</v>
      </c>
    </row>
    <row r="3" spans="1:48" ht="19" x14ac:dyDescent="0.25">
      <c r="B3" s="105" t="s">
        <v>22</v>
      </c>
      <c r="C3" s="105"/>
      <c r="D3" s="105"/>
      <c r="E3" s="105"/>
      <c r="F3" s="105"/>
      <c r="G3" s="105"/>
      <c r="H3" s="105"/>
      <c r="J3" s="106" t="s">
        <v>23</v>
      </c>
      <c r="K3" s="106"/>
      <c r="O3" s="108" t="s">
        <v>95</v>
      </c>
      <c r="P3" s="108"/>
      <c r="Q3" s="108"/>
      <c r="R3" s="108"/>
      <c r="S3" s="108"/>
      <c r="T3" s="108"/>
      <c r="U3" s="108"/>
      <c r="W3" s="106" t="s">
        <v>28</v>
      </c>
      <c r="X3" s="106"/>
      <c r="AA3" s="105" t="s">
        <v>43</v>
      </c>
      <c r="AB3" s="105"/>
      <c r="AC3" s="105"/>
      <c r="AD3" s="105"/>
      <c r="AE3" s="105"/>
      <c r="AF3" s="105"/>
      <c r="AG3" s="105"/>
      <c r="AI3" s="106" t="s">
        <v>44</v>
      </c>
      <c r="AJ3" s="106"/>
      <c r="AM3" s="105" t="s">
        <v>229</v>
      </c>
      <c r="AN3" s="105"/>
      <c r="AO3" s="105"/>
      <c r="AP3" s="105"/>
      <c r="AQ3" s="105"/>
      <c r="AR3" s="105"/>
      <c r="AS3" s="105"/>
      <c r="AU3" s="106" t="s">
        <v>228</v>
      </c>
      <c r="AV3" s="106"/>
    </row>
    <row r="4" spans="1:48" x14ac:dyDescent="0.2">
      <c r="B4" s="109">
        <v>45419</v>
      </c>
      <c r="C4" s="109"/>
      <c r="D4" s="109"/>
      <c r="E4" s="109"/>
      <c r="F4" s="109"/>
      <c r="G4" s="109"/>
      <c r="H4" s="109"/>
      <c r="J4" s="107"/>
      <c r="K4" s="107"/>
      <c r="O4" s="109">
        <f>B4</f>
        <v>45419</v>
      </c>
      <c r="P4" s="109"/>
      <c r="Q4" s="109"/>
      <c r="R4" s="109"/>
      <c r="S4" s="109"/>
      <c r="T4" s="109"/>
      <c r="U4" s="109"/>
      <c r="W4" s="107"/>
      <c r="X4" s="107"/>
      <c r="AA4" s="109">
        <f>B4</f>
        <v>45419</v>
      </c>
      <c r="AB4" s="109"/>
      <c r="AC4" s="109"/>
      <c r="AD4" s="109"/>
      <c r="AE4" s="109"/>
      <c r="AF4" s="109"/>
      <c r="AG4" s="109"/>
      <c r="AI4" s="107"/>
      <c r="AJ4" s="107"/>
      <c r="AM4" s="109">
        <f>B4</f>
        <v>45419</v>
      </c>
      <c r="AN4" s="109"/>
      <c r="AO4" s="109"/>
      <c r="AP4" s="109"/>
      <c r="AQ4" s="109"/>
      <c r="AR4" s="109"/>
      <c r="AS4" s="109"/>
      <c r="AU4" s="107"/>
      <c r="AV4" s="107"/>
    </row>
    <row r="5" spans="1:48" s="1" customFormat="1" x14ac:dyDescent="0.2">
      <c r="A5"/>
      <c r="B5" s="2" t="s">
        <v>0</v>
      </c>
      <c r="C5" s="2" t="s">
        <v>1</v>
      </c>
      <c r="D5" s="2" t="s">
        <v>61</v>
      </c>
      <c r="E5" s="26" t="s">
        <v>62</v>
      </c>
      <c r="F5" s="2" t="s">
        <v>63</v>
      </c>
      <c r="G5" s="2" t="s">
        <v>2</v>
      </c>
      <c r="H5" s="2" t="s">
        <v>3</v>
      </c>
      <c r="J5" s="3" t="s">
        <v>21</v>
      </c>
      <c r="K5" s="5">
        <f>SUM(K7:K10)</f>
        <v>23</v>
      </c>
      <c r="L5" s="19"/>
      <c r="O5" s="2" t="s">
        <v>0</v>
      </c>
      <c r="P5" s="2" t="s">
        <v>1</v>
      </c>
      <c r="Q5" s="22" t="s">
        <v>61</v>
      </c>
      <c r="R5" s="22" t="s">
        <v>62</v>
      </c>
      <c r="S5" s="22" t="s">
        <v>63</v>
      </c>
      <c r="T5" s="2" t="s">
        <v>2</v>
      </c>
      <c r="U5" s="2" t="s">
        <v>3</v>
      </c>
      <c r="W5" s="3" t="s">
        <v>29</v>
      </c>
      <c r="X5" s="5">
        <f>SUM(X7:X10)</f>
        <v>18</v>
      </c>
      <c r="AA5" s="2" t="s">
        <v>0</v>
      </c>
      <c r="AB5" s="2" t="s">
        <v>1</v>
      </c>
      <c r="AC5" s="2" t="s">
        <v>61</v>
      </c>
      <c r="AD5" s="2" t="s">
        <v>62</v>
      </c>
      <c r="AE5" s="2" t="s">
        <v>63</v>
      </c>
      <c r="AF5" s="2" t="s">
        <v>2</v>
      </c>
      <c r="AG5" s="2" t="s">
        <v>3</v>
      </c>
      <c r="AI5" s="3" t="s">
        <v>21</v>
      </c>
      <c r="AJ5" s="5">
        <f>SUM(AJ7:AJ10)</f>
        <v>15</v>
      </c>
      <c r="AM5" s="2" t="s">
        <v>0</v>
      </c>
      <c r="AN5" s="2" t="s">
        <v>1</v>
      </c>
      <c r="AO5" s="2" t="s">
        <v>61</v>
      </c>
      <c r="AP5" s="2" t="s">
        <v>62</v>
      </c>
      <c r="AQ5" s="2" t="s">
        <v>63</v>
      </c>
      <c r="AR5" s="2" t="s">
        <v>2</v>
      </c>
      <c r="AS5" s="2" t="s">
        <v>3</v>
      </c>
      <c r="AU5" s="3" t="s">
        <v>21</v>
      </c>
      <c r="AV5" s="5">
        <f>SUM(AV7:AV10)</f>
        <v>39</v>
      </c>
    </row>
    <row r="6" spans="1:48" s="1" customFormat="1" x14ac:dyDescent="0.2">
      <c r="A6" s="56" t="s">
        <v>209</v>
      </c>
      <c r="B6" s="50">
        <v>1</v>
      </c>
      <c r="C6" s="31" t="s">
        <v>70</v>
      </c>
      <c r="D6" s="32">
        <v>0.33402777777777781</v>
      </c>
      <c r="E6" s="32">
        <v>0.44236111111111115</v>
      </c>
      <c r="F6" s="51">
        <f>Table13245678910111321252934394449546149141924293336424753919786104110116122127131136141914241930[[#This Row],[JAM MASUK]]-Table13245678910111321252934394449546149141924293336424753919786104110116122127131136141914241930[[#This Row],[JAM KELUAR]]</f>
        <v>0.10833333333333334</v>
      </c>
      <c r="G6" s="31">
        <v>1</v>
      </c>
      <c r="H6" s="53" t="s">
        <v>282</v>
      </c>
      <c r="J6" s="4" t="s">
        <v>10</v>
      </c>
      <c r="K6" s="6">
        <v>23</v>
      </c>
      <c r="L6" s="19"/>
      <c r="N6" s="54" t="s">
        <v>209</v>
      </c>
      <c r="O6" s="57">
        <v>1</v>
      </c>
      <c r="P6" s="31" t="s">
        <v>82</v>
      </c>
      <c r="Q6" s="32">
        <v>0.36736111111111108</v>
      </c>
      <c r="R6" s="32">
        <v>0.49444444444444446</v>
      </c>
      <c r="S6" s="52">
        <f t="shared" ref="S6:S17" si="0">R6-Q6</f>
        <v>0.12708333333333338</v>
      </c>
      <c r="T6" s="31">
        <v>1</v>
      </c>
      <c r="U6" s="53" t="s">
        <v>289</v>
      </c>
      <c r="W6" s="4" t="s">
        <v>10</v>
      </c>
      <c r="X6" s="6">
        <v>18</v>
      </c>
      <c r="AA6" s="15">
        <v>1</v>
      </c>
      <c r="AB6" s="20" t="s">
        <v>46</v>
      </c>
      <c r="AC6" s="21">
        <v>0.25833333333333336</v>
      </c>
      <c r="AD6" s="21">
        <v>0.59027777777777779</v>
      </c>
      <c r="AE6" s="37">
        <f t="shared" ref="AE6:AE17" si="1">AD6-AC6</f>
        <v>0.33194444444444443</v>
      </c>
      <c r="AF6" s="20">
        <v>3</v>
      </c>
      <c r="AG6" s="16" t="s">
        <v>295</v>
      </c>
      <c r="AI6" s="4" t="s">
        <v>10</v>
      </c>
      <c r="AJ6" s="6">
        <v>15</v>
      </c>
      <c r="AM6" s="50">
        <v>1</v>
      </c>
      <c r="AN6" s="31" t="s">
        <v>271</v>
      </c>
      <c r="AO6" s="32">
        <v>0.29166666666666669</v>
      </c>
      <c r="AP6" s="32">
        <v>0.70486111111111116</v>
      </c>
      <c r="AQ6" s="52">
        <f t="shared" ref="AQ6:AQ16" si="2">AP6-AO6</f>
        <v>0.41319444444444448</v>
      </c>
      <c r="AR6" s="31">
        <v>1</v>
      </c>
      <c r="AS6" s="55" t="s">
        <v>281</v>
      </c>
      <c r="AU6" s="4" t="s">
        <v>10</v>
      </c>
      <c r="AV6" s="6">
        <v>10</v>
      </c>
    </row>
    <row r="7" spans="1:48" s="1" customFormat="1" x14ac:dyDescent="0.2">
      <c r="A7"/>
      <c r="B7" s="15">
        <v>2</v>
      </c>
      <c r="C7" s="20" t="s">
        <v>120</v>
      </c>
      <c r="D7" s="21">
        <v>0.24513888888888888</v>
      </c>
      <c r="E7" s="21">
        <v>0.71875</v>
      </c>
      <c r="F7" s="38">
        <f>Table13245678910111321252934394449546149141924293336424753919786104110116122127131136141914241930[[#This Row],[JAM MASUK]]-Table13245678910111321252934394449546149141924293336424753919786104110116122127131136141914241930[[#This Row],[JAM KELUAR]]</f>
        <v>0.47361111111111109</v>
      </c>
      <c r="G7" s="20">
        <v>2</v>
      </c>
      <c r="H7" s="16" t="s">
        <v>283</v>
      </c>
      <c r="J7" s="4" t="s">
        <v>9</v>
      </c>
      <c r="K7" s="7">
        <v>22</v>
      </c>
      <c r="L7" s="19"/>
      <c r="O7" s="15">
        <v>2</v>
      </c>
      <c r="P7" s="23" t="s">
        <v>35</v>
      </c>
      <c r="Q7" s="40">
        <v>0.26319444444444445</v>
      </c>
      <c r="R7" s="40">
        <v>0.61597222222222225</v>
      </c>
      <c r="S7" s="37">
        <f t="shared" si="0"/>
        <v>0.3527777777777778</v>
      </c>
      <c r="T7" s="23">
        <v>3</v>
      </c>
      <c r="U7" s="24" t="s">
        <v>290</v>
      </c>
      <c r="W7" s="4" t="s">
        <v>9</v>
      </c>
      <c r="X7" s="7">
        <v>12</v>
      </c>
      <c r="Z7" s="56" t="s">
        <v>209</v>
      </c>
      <c r="AA7" s="50">
        <v>2</v>
      </c>
      <c r="AB7" s="31" t="s">
        <v>51</v>
      </c>
      <c r="AC7" s="32">
        <v>0.43402777777777773</v>
      </c>
      <c r="AD7" s="32">
        <v>0.72291666666666676</v>
      </c>
      <c r="AE7" s="51">
        <f t="shared" si="1"/>
        <v>0.28888888888888903</v>
      </c>
      <c r="AF7" s="31">
        <v>3</v>
      </c>
      <c r="AG7" s="55" t="s">
        <v>250</v>
      </c>
      <c r="AI7" s="4" t="s">
        <v>9</v>
      </c>
      <c r="AJ7" s="6">
        <v>12</v>
      </c>
      <c r="AM7" s="15">
        <v>2</v>
      </c>
      <c r="AN7" s="20" t="s">
        <v>273</v>
      </c>
      <c r="AO7" s="21">
        <v>0.24652777777777779</v>
      </c>
      <c r="AP7" s="21">
        <v>0.64027777777777783</v>
      </c>
      <c r="AQ7" s="38">
        <f t="shared" si="2"/>
        <v>0.39375000000000004</v>
      </c>
      <c r="AR7" s="20">
        <v>1</v>
      </c>
      <c r="AS7" s="16" t="s">
        <v>296</v>
      </c>
      <c r="AU7" s="4" t="s">
        <v>9</v>
      </c>
      <c r="AV7" s="6">
        <v>11</v>
      </c>
    </row>
    <row r="8" spans="1:48" s="1" customFormat="1" x14ac:dyDescent="0.2">
      <c r="A8"/>
      <c r="B8" s="15">
        <v>3</v>
      </c>
      <c r="C8" s="20" t="s">
        <v>118</v>
      </c>
      <c r="D8" s="21">
        <v>0.26041666666666669</v>
      </c>
      <c r="E8" s="21">
        <v>0.69861111111111107</v>
      </c>
      <c r="F8" s="38">
        <f>Table13245678910111321252934394449546149141924293336424753919786104110116122127131136141914241930[[#This Row],[JAM MASUK]]-Table13245678910111321252934394449546149141924293336424753919786104110116122127131136141914241930[[#This Row],[JAM KELUAR]]</f>
        <v>0.43819444444444439</v>
      </c>
      <c r="G8" s="20">
        <v>3</v>
      </c>
      <c r="H8" s="24" t="s">
        <v>284</v>
      </c>
      <c r="J8" s="4" t="s">
        <v>4</v>
      </c>
      <c r="K8" s="7">
        <v>0</v>
      </c>
      <c r="L8" s="19"/>
      <c r="N8" s="54"/>
      <c r="O8" s="50">
        <v>3</v>
      </c>
      <c r="P8" s="33" t="s">
        <v>58</v>
      </c>
      <c r="Q8" s="44">
        <v>0.29236111111111113</v>
      </c>
      <c r="R8" s="44">
        <v>0.70972222222222225</v>
      </c>
      <c r="S8" s="52">
        <f t="shared" si="0"/>
        <v>0.41736111111111113</v>
      </c>
      <c r="T8" s="33">
        <v>4</v>
      </c>
      <c r="U8" s="53" t="s">
        <v>291</v>
      </c>
      <c r="W8" s="4" t="s">
        <v>4</v>
      </c>
      <c r="X8" s="7">
        <v>0</v>
      </c>
      <c r="AA8" s="15">
        <v>3</v>
      </c>
      <c r="AB8" s="20" t="s">
        <v>45</v>
      </c>
      <c r="AC8" s="21">
        <v>0.23819444444444446</v>
      </c>
      <c r="AD8" s="21">
        <v>0.56597222222222221</v>
      </c>
      <c r="AE8" s="38">
        <f t="shared" si="1"/>
        <v>0.32777777777777772</v>
      </c>
      <c r="AF8" s="20">
        <v>4</v>
      </c>
      <c r="AG8" s="16" t="s">
        <v>297</v>
      </c>
      <c r="AI8" s="4" t="s">
        <v>4</v>
      </c>
      <c r="AJ8" s="7">
        <v>1</v>
      </c>
      <c r="AM8" s="1">
        <v>3</v>
      </c>
      <c r="AN8" s="2" t="s">
        <v>274</v>
      </c>
      <c r="AO8" s="41">
        <v>0.25347222222222221</v>
      </c>
      <c r="AP8" s="41">
        <v>0.63958333333333328</v>
      </c>
      <c r="AQ8" s="26">
        <f t="shared" si="2"/>
        <v>0.38611111111111107</v>
      </c>
      <c r="AR8" s="2">
        <v>4</v>
      </c>
      <c r="AS8" s="45" t="s">
        <v>25</v>
      </c>
      <c r="AU8" s="4" t="s">
        <v>4</v>
      </c>
      <c r="AV8" s="7">
        <v>1</v>
      </c>
    </row>
    <row r="9" spans="1:48" s="1" customFormat="1" x14ac:dyDescent="0.2">
      <c r="A9"/>
      <c r="B9" s="15">
        <v>4</v>
      </c>
      <c r="C9" s="20" t="s">
        <v>119</v>
      </c>
      <c r="D9" s="21">
        <v>0.23263888888888887</v>
      </c>
      <c r="E9" s="21">
        <v>0.58750000000000002</v>
      </c>
      <c r="F9" s="38">
        <f>Table13245678910111321252934394449546149141924293336424753919786104110116122127131136141914241930[[#This Row],[JAM MASUK]]-Table13245678910111321252934394449546149141924293336424753919786104110116122127131136141914241930[[#This Row],[JAM KELUAR]]</f>
        <v>0.35486111111111118</v>
      </c>
      <c r="G9" s="20">
        <v>3</v>
      </c>
      <c r="H9" s="24" t="s">
        <v>285</v>
      </c>
      <c r="J9" s="4" t="s">
        <v>5</v>
      </c>
      <c r="K9" s="7">
        <v>1</v>
      </c>
      <c r="L9" s="19"/>
      <c r="O9" s="28">
        <v>4</v>
      </c>
      <c r="P9" s="29" t="s">
        <v>123</v>
      </c>
      <c r="Q9" s="30">
        <v>0.25416666666666665</v>
      </c>
      <c r="R9" s="30">
        <v>0.71527777777777779</v>
      </c>
      <c r="S9" s="39">
        <f t="shared" si="0"/>
        <v>0.46111111111111114</v>
      </c>
      <c r="T9" s="29">
        <v>5</v>
      </c>
      <c r="U9" s="45" t="s">
        <v>25</v>
      </c>
      <c r="W9" s="4" t="s">
        <v>5</v>
      </c>
      <c r="X9" s="7">
        <v>4</v>
      </c>
      <c r="Z9" s="56" t="s">
        <v>209</v>
      </c>
      <c r="AA9" s="50">
        <v>4</v>
      </c>
      <c r="AB9" s="31" t="s">
        <v>81</v>
      </c>
      <c r="AC9" s="32">
        <v>0.39930555555555558</v>
      </c>
      <c r="AD9" s="32">
        <v>0.74930555555555556</v>
      </c>
      <c r="AE9" s="51">
        <f t="shared" si="1"/>
        <v>0.35</v>
      </c>
      <c r="AF9" s="31">
        <v>4</v>
      </c>
      <c r="AG9" s="55" t="s">
        <v>299</v>
      </c>
      <c r="AI9" s="4" t="s">
        <v>5</v>
      </c>
      <c r="AJ9" s="7">
        <v>1</v>
      </c>
      <c r="AL9" s="54"/>
      <c r="AM9" s="1">
        <v>4</v>
      </c>
      <c r="AN9" s="2" t="s">
        <v>275</v>
      </c>
      <c r="AO9" s="41">
        <v>0.27708333333333335</v>
      </c>
      <c r="AP9" s="41">
        <v>0.67569444444444438</v>
      </c>
      <c r="AQ9" s="26">
        <f t="shared" si="2"/>
        <v>0.39861111111111103</v>
      </c>
      <c r="AR9" s="2">
        <v>4</v>
      </c>
      <c r="AS9" s="45" t="s">
        <v>25</v>
      </c>
      <c r="AU9" s="4" t="s">
        <v>5</v>
      </c>
      <c r="AV9" s="7">
        <v>2</v>
      </c>
    </row>
    <row r="10" spans="1:48" s="1" customFormat="1" x14ac:dyDescent="0.2">
      <c r="A10"/>
      <c r="B10" s="15">
        <v>5</v>
      </c>
      <c r="C10" s="20" t="s">
        <v>12</v>
      </c>
      <c r="D10" s="21">
        <v>0.28541666666666665</v>
      </c>
      <c r="E10" s="21">
        <v>0.63958333333333328</v>
      </c>
      <c r="F10" s="38">
        <f>Table13245678910111321252934394449546149141924293336424753919786104110116122127131136141914241930[[#This Row],[JAM MASUK]]-Table13245678910111321252934394449546149141924293336424753919786104110116122127131136141914241930[[#This Row],[JAM KELUAR]]</f>
        <v>0.35416666666666663</v>
      </c>
      <c r="G10" s="20">
        <v>3</v>
      </c>
      <c r="H10" s="24" t="s">
        <v>286</v>
      </c>
      <c r="J10" s="4" t="s">
        <v>6</v>
      </c>
      <c r="K10" s="7">
        <v>0</v>
      </c>
      <c r="L10" s="19"/>
      <c r="O10" s="1">
        <v>5</v>
      </c>
      <c r="P10" s="29" t="s">
        <v>40</v>
      </c>
      <c r="Q10" s="30">
        <v>0.21388888888888891</v>
      </c>
      <c r="R10" s="30">
        <v>0.68472222222222223</v>
      </c>
      <c r="S10" s="39">
        <f t="shared" si="0"/>
        <v>0.47083333333333333</v>
      </c>
      <c r="T10" s="29">
        <v>5</v>
      </c>
      <c r="U10" s="45" t="s">
        <v>25</v>
      </c>
      <c r="W10" s="4" t="s">
        <v>33</v>
      </c>
      <c r="X10" s="7">
        <v>2</v>
      </c>
      <c r="AA10" s="1">
        <v>5</v>
      </c>
      <c r="AB10" s="2" t="s">
        <v>77</v>
      </c>
      <c r="AC10" s="41">
        <v>0.25625000000000003</v>
      </c>
      <c r="AD10" s="41">
        <v>0.72013888888888899</v>
      </c>
      <c r="AE10" s="26">
        <f t="shared" si="1"/>
        <v>0.46388888888888896</v>
      </c>
      <c r="AF10" s="2">
        <v>5</v>
      </c>
      <c r="AG10" s="45" t="s">
        <v>25</v>
      </c>
      <c r="AI10" s="4" t="s">
        <v>6</v>
      </c>
      <c r="AJ10" s="7">
        <v>1</v>
      </c>
      <c r="AM10" s="1">
        <v>5</v>
      </c>
      <c r="AN10" s="2" t="s">
        <v>272</v>
      </c>
      <c r="AO10" s="41">
        <v>0.23958333333333334</v>
      </c>
      <c r="AP10" s="41">
        <v>0.72499999999999998</v>
      </c>
      <c r="AQ10" s="26">
        <f t="shared" si="2"/>
        <v>0.48541666666666661</v>
      </c>
      <c r="AR10" s="2">
        <v>5</v>
      </c>
      <c r="AS10" s="45" t="s">
        <v>25</v>
      </c>
      <c r="AU10" s="4" t="s">
        <v>6</v>
      </c>
      <c r="AV10" s="7">
        <v>25</v>
      </c>
    </row>
    <row r="11" spans="1:48" s="1" customFormat="1" x14ac:dyDescent="0.2">
      <c r="A11"/>
      <c r="B11" s="15">
        <v>6</v>
      </c>
      <c r="C11" s="20" t="s">
        <v>20</v>
      </c>
      <c r="D11" s="21">
        <v>0.26527777777777778</v>
      </c>
      <c r="E11" s="21">
        <v>0.63263888888888886</v>
      </c>
      <c r="F11" s="38">
        <f>Table13245678910111321252934394449546149141924293336424753919786104110116122127131136141914241930[[#This Row],[JAM MASUK]]-Table13245678910111321252934394449546149141924293336424753919786104110116122127131136141914241930[[#This Row],[JAM KELUAR]]</f>
        <v>0.36736111111111108</v>
      </c>
      <c r="G11" s="20">
        <v>3</v>
      </c>
      <c r="H11" s="24" t="s">
        <v>287</v>
      </c>
      <c r="J11" s="8" t="s">
        <v>8</v>
      </c>
      <c r="K11" s="9">
        <f>SUM(Table13245678910111321252934394449546149141924293336424753919786104110116122127131136141914241930[Retase])</f>
        <v>80</v>
      </c>
      <c r="L11" s="19"/>
      <c r="O11" s="1">
        <v>6</v>
      </c>
      <c r="P11" s="29" t="s">
        <v>30</v>
      </c>
      <c r="Q11" s="30">
        <v>0.20277777777777781</v>
      </c>
      <c r="R11" s="30">
        <v>0.69513888888888886</v>
      </c>
      <c r="S11" s="39">
        <f t="shared" si="0"/>
        <v>0.49236111111111103</v>
      </c>
      <c r="T11" s="29">
        <v>5</v>
      </c>
      <c r="U11" s="45" t="s">
        <v>25</v>
      </c>
      <c r="W11" s="8" t="s">
        <v>8</v>
      </c>
      <c r="X11" s="9">
        <f>SUM(Table134567891011172226303540455055625101520253034384348549298871051111171231281321371421015252031[Retase])</f>
        <v>55</v>
      </c>
      <c r="AA11" s="1">
        <v>6</v>
      </c>
      <c r="AB11" s="2" t="s">
        <v>122</v>
      </c>
      <c r="AC11" s="41">
        <v>0.29305555555555557</v>
      </c>
      <c r="AD11" s="41">
        <v>0.70972222222222225</v>
      </c>
      <c r="AE11" s="26">
        <f t="shared" si="1"/>
        <v>0.41666666666666669</v>
      </c>
      <c r="AF11" s="2">
        <v>5</v>
      </c>
      <c r="AG11" s="45" t="s">
        <v>25</v>
      </c>
      <c r="AI11" s="8" t="s">
        <v>8</v>
      </c>
      <c r="AJ11" s="9">
        <f>SUM(Table13456789101115181923273137424752592712172227322841465290968010310911512112612013514081323182834[Retase])</f>
        <v>55</v>
      </c>
      <c r="AM11" s="1">
        <v>6</v>
      </c>
      <c r="AN11" s="2" t="s">
        <v>240</v>
      </c>
      <c r="AO11" s="41">
        <v>0.22847222222222222</v>
      </c>
      <c r="AP11" s="41">
        <v>0.71875</v>
      </c>
      <c r="AQ11" s="26">
        <f t="shared" si="2"/>
        <v>0.49027777777777781</v>
      </c>
      <c r="AR11" s="2">
        <v>5</v>
      </c>
      <c r="AS11" s="45" t="s">
        <v>25</v>
      </c>
      <c r="AU11" s="8" t="s">
        <v>8</v>
      </c>
      <c r="AV11" s="9">
        <f>SUM(Table134567891011151819232731374247525927121722273228414652909680103109115121126120135140813231829[Retase])</f>
        <v>45</v>
      </c>
    </row>
    <row r="12" spans="1:48" s="1" customFormat="1" x14ac:dyDescent="0.2">
      <c r="A12"/>
      <c r="B12" s="15">
        <v>7</v>
      </c>
      <c r="C12" s="20" t="s">
        <v>121</v>
      </c>
      <c r="D12" s="21">
        <v>0.25555555555555559</v>
      </c>
      <c r="E12" s="21">
        <v>0.58819444444444446</v>
      </c>
      <c r="F12" s="38">
        <f>Table13245678910111321252934394449546149141924293336424753919786104110116122127131136141914241930[[#This Row],[JAM MASUK]]-Table13245678910111321252934394449546149141924293336424753919786104110116122127131136141914241930[[#This Row],[JAM KELUAR]]</f>
        <v>0.33263888888888887</v>
      </c>
      <c r="G12" s="20">
        <v>3</v>
      </c>
      <c r="H12" s="24" t="s">
        <v>288</v>
      </c>
      <c r="J12" s="10" t="s">
        <v>7</v>
      </c>
      <c r="K12" s="11">
        <f>K11/K7</f>
        <v>3.6363636363636362</v>
      </c>
      <c r="L12" s="19"/>
      <c r="O12" s="28">
        <v>7</v>
      </c>
      <c r="P12" s="29" t="s">
        <v>34</v>
      </c>
      <c r="Q12" s="30">
        <v>0.25208333333333333</v>
      </c>
      <c r="R12" s="30">
        <v>0.73611111111111116</v>
      </c>
      <c r="S12" s="39">
        <f t="shared" si="0"/>
        <v>0.48402777777777783</v>
      </c>
      <c r="T12" s="29">
        <v>5</v>
      </c>
      <c r="U12" s="45" t="s">
        <v>25</v>
      </c>
      <c r="W12" s="10" t="s">
        <v>7</v>
      </c>
      <c r="X12" s="11">
        <f>X11/X7</f>
        <v>4.583333333333333</v>
      </c>
      <c r="AA12" s="1">
        <v>7</v>
      </c>
      <c r="AB12" s="2" t="s">
        <v>78</v>
      </c>
      <c r="AC12" s="41">
        <v>0.2638888888888889</v>
      </c>
      <c r="AD12" s="41">
        <v>0.7402777777777777</v>
      </c>
      <c r="AE12" s="26">
        <f t="shared" si="1"/>
        <v>0.47638888888888881</v>
      </c>
      <c r="AF12" s="2">
        <v>5</v>
      </c>
      <c r="AG12" s="45" t="s">
        <v>25</v>
      </c>
      <c r="AI12" s="10" t="s">
        <v>7</v>
      </c>
      <c r="AJ12" s="11">
        <f>AJ11/AJ7</f>
        <v>4.583333333333333</v>
      </c>
      <c r="AM12" s="1">
        <v>7</v>
      </c>
      <c r="AN12" s="2" t="s">
        <v>276</v>
      </c>
      <c r="AO12" s="41">
        <v>0.25277777777777777</v>
      </c>
      <c r="AP12" s="41">
        <v>0.72430555555555554</v>
      </c>
      <c r="AQ12" s="26">
        <f t="shared" si="2"/>
        <v>0.47152777777777777</v>
      </c>
      <c r="AR12" s="2">
        <v>5</v>
      </c>
      <c r="AS12" s="45" t="s">
        <v>25</v>
      </c>
      <c r="AU12" s="10" t="s">
        <v>7</v>
      </c>
      <c r="AV12" s="11">
        <f>AV11/AV7</f>
        <v>4.0909090909090908</v>
      </c>
    </row>
    <row r="13" spans="1:48" s="1" customFormat="1" x14ac:dyDescent="0.2">
      <c r="A13"/>
      <c r="B13" s="15">
        <v>8</v>
      </c>
      <c r="C13" s="20" t="s">
        <v>17</v>
      </c>
      <c r="D13" s="21">
        <v>0.25347222222222221</v>
      </c>
      <c r="E13" s="21">
        <v>0.64652777777777781</v>
      </c>
      <c r="F13" s="38">
        <f>Table13245678910111321252934394449546149141924293336424753919786104110116122127131136141914241930[[#This Row],[JAM MASUK]]-Table13245678910111321252934394449546149141924293336424753919786104110116122127131136141914241930[[#This Row],[JAM KELUAR]]</f>
        <v>0.3930555555555556</v>
      </c>
      <c r="G13" s="20">
        <v>3</v>
      </c>
      <c r="H13" s="16" t="s">
        <v>298</v>
      </c>
      <c r="J13" s="12" t="s">
        <v>11</v>
      </c>
      <c r="K13" s="13">
        <v>4</v>
      </c>
      <c r="L13" s="19"/>
      <c r="O13" s="1">
        <v>8</v>
      </c>
      <c r="P13" s="29" t="s">
        <v>67</v>
      </c>
      <c r="Q13" s="30">
        <v>0.21666666666666667</v>
      </c>
      <c r="R13" s="30">
        <v>0.75069444444444444</v>
      </c>
      <c r="S13" s="39">
        <f t="shared" si="0"/>
        <v>0.53402777777777777</v>
      </c>
      <c r="T13" s="29">
        <v>5</v>
      </c>
      <c r="U13" s="45" t="s">
        <v>25</v>
      </c>
      <c r="W13" s="12" t="s">
        <v>11</v>
      </c>
      <c r="X13" s="13">
        <v>5</v>
      </c>
      <c r="AA13" s="1">
        <v>8</v>
      </c>
      <c r="AB13" s="2" t="s">
        <v>79</v>
      </c>
      <c r="AC13" s="41">
        <v>0.27499999999999997</v>
      </c>
      <c r="AD13" s="41">
        <v>0.7416666666666667</v>
      </c>
      <c r="AE13" s="26">
        <f t="shared" si="1"/>
        <v>0.46666666666666673</v>
      </c>
      <c r="AF13" s="2">
        <v>5</v>
      </c>
      <c r="AG13" s="45" t="s">
        <v>25</v>
      </c>
      <c r="AI13" s="12" t="s">
        <v>11</v>
      </c>
      <c r="AJ13" s="13">
        <v>5</v>
      </c>
      <c r="AM13" s="1">
        <v>8</v>
      </c>
      <c r="AN13" s="2" t="s">
        <v>277</v>
      </c>
      <c r="AO13" s="41">
        <v>0.27083333333333331</v>
      </c>
      <c r="AP13" s="41">
        <v>0.73472222222222217</v>
      </c>
      <c r="AQ13" s="26">
        <f t="shared" si="2"/>
        <v>0.46388888888888885</v>
      </c>
      <c r="AR13" s="2">
        <v>5</v>
      </c>
      <c r="AS13" s="45" t="s">
        <v>25</v>
      </c>
      <c r="AU13" s="12" t="s">
        <v>11</v>
      </c>
      <c r="AV13" s="13">
        <v>4</v>
      </c>
    </row>
    <row r="14" spans="1:48" s="1" customFormat="1" x14ac:dyDescent="0.2">
      <c r="A14"/>
      <c r="B14" s="1">
        <v>9</v>
      </c>
      <c r="C14" s="2" t="s">
        <v>65</v>
      </c>
      <c r="D14" s="41">
        <v>0.26527777777777778</v>
      </c>
      <c r="E14" s="41">
        <v>0.71805555555555556</v>
      </c>
      <c r="F14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0.45277777777777778</v>
      </c>
      <c r="G14" s="2">
        <v>4</v>
      </c>
      <c r="H14" s="45" t="s">
        <v>25</v>
      </c>
      <c r="J14" s="12" t="s">
        <v>88</v>
      </c>
      <c r="K14" s="14">
        <f>14/22</f>
        <v>0.63636363636363635</v>
      </c>
      <c r="L14" s="19"/>
      <c r="O14" s="1">
        <v>9</v>
      </c>
      <c r="P14" s="29" t="s">
        <v>59</v>
      </c>
      <c r="Q14" s="30">
        <v>0.25416666666666665</v>
      </c>
      <c r="R14" s="30">
        <v>0.70000000000000007</v>
      </c>
      <c r="S14" s="39">
        <f t="shared" si="0"/>
        <v>0.44583333333333341</v>
      </c>
      <c r="T14" s="29">
        <v>5</v>
      </c>
      <c r="U14" s="45" t="s">
        <v>25</v>
      </c>
      <c r="W14" s="12" t="s">
        <v>88</v>
      </c>
      <c r="X14" s="14">
        <f>9/12</f>
        <v>0.75</v>
      </c>
      <c r="AA14" s="1">
        <v>9</v>
      </c>
      <c r="AB14" s="2" t="s">
        <v>80</v>
      </c>
      <c r="AC14" s="41">
        <v>0.20416666666666669</v>
      </c>
      <c r="AD14" s="41">
        <v>0.69444444444444453</v>
      </c>
      <c r="AE14" s="26">
        <f t="shared" si="1"/>
        <v>0.49027777777777781</v>
      </c>
      <c r="AF14" s="2">
        <v>5</v>
      </c>
      <c r="AG14" s="45" t="s">
        <v>25</v>
      </c>
      <c r="AI14" s="12" t="s">
        <v>88</v>
      </c>
      <c r="AJ14" s="14">
        <f>8/12</f>
        <v>0.66666666666666663</v>
      </c>
      <c r="AM14" s="1">
        <v>9</v>
      </c>
      <c r="AN14" s="2" t="s">
        <v>278</v>
      </c>
      <c r="AO14" s="41">
        <v>0.25833333333333336</v>
      </c>
      <c r="AP14" s="41">
        <v>0.73402777777777783</v>
      </c>
      <c r="AQ14" s="26">
        <f t="shared" si="2"/>
        <v>0.47569444444444448</v>
      </c>
      <c r="AR14" s="2">
        <v>5</v>
      </c>
      <c r="AS14" s="45" t="s">
        <v>25</v>
      </c>
      <c r="AU14" s="12" t="s">
        <v>88</v>
      </c>
      <c r="AV14" s="14">
        <f>9/11</f>
        <v>0.81818181818181823</v>
      </c>
    </row>
    <row r="15" spans="1:48" x14ac:dyDescent="0.2">
      <c r="B15" s="1">
        <v>10</v>
      </c>
      <c r="C15" s="2" t="s">
        <v>13</v>
      </c>
      <c r="D15" s="41">
        <v>0.24722222222222223</v>
      </c>
      <c r="E15" s="41">
        <v>0.64374999999999993</v>
      </c>
      <c r="F15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0.3965277777777777</v>
      </c>
      <c r="G15" s="2">
        <v>4</v>
      </c>
      <c r="H15" s="45" t="s">
        <v>25</v>
      </c>
      <c r="J15" s="12" t="s">
        <v>24</v>
      </c>
      <c r="K15" s="14">
        <f>K7/K6</f>
        <v>0.95652173913043481</v>
      </c>
      <c r="O15" s="28">
        <v>10</v>
      </c>
      <c r="P15" s="29" t="s">
        <v>60</v>
      </c>
      <c r="Q15" s="30">
        <v>0.26111111111111113</v>
      </c>
      <c r="R15" s="30">
        <v>0.77083333333333337</v>
      </c>
      <c r="S15" s="39">
        <f t="shared" si="0"/>
        <v>0.50972222222222219</v>
      </c>
      <c r="T15" s="29">
        <v>5</v>
      </c>
      <c r="U15" s="45" t="s">
        <v>25</v>
      </c>
      <c r="W15" s="12" t="s">
        <v>27</v>
      </c>
      <c r="X15" s="14">
        <f>X7/X6</f>
        <v>0.66666666666666663</v>
      </c>
      <c r="AA15" s="1">
        <v>10</v>
      </c>
      <c r="AB15" s="2" t="s">
        <v>50</v>
      </c>
      <c r="AC15" s="41">
        <v>0.26319444444444445</v>
      </c>
      <c r="AD15" s="41">
        <v>0.71250000000000002</v>
      </c>
      <c r="AE15" s="26">
        <f t="shared" si="1"/>
        <v>0.44930555555555557</v>
      </c>
      <c r="AF15" s="2">
        <v>5</v>
      </c>
      <c r="AG15" s="45" t="s">
        <v>25</v>
      </c>
      <c r="AI15" s="12" t="s">
        <v>27</v>
      </c>
      <c r="AJ15" s="14">
        <f>AJ7/AJ6</f>
        <v>0.8</v>
      </c>
      <c r="AM15" s="1">
        <v>10</v>
      </c>
      <c r="AN15" s="2" t="s">
        <v>279</v>
      </c>
      <c r="AO15" s="41">
        <v>0.23541666666666669</v>
      </c>
      <c r="AP15" s="41">
        <v>0.70208333333333339</v>
      </c>
      <c r="AQ15" s="26">
        <f t="shared" si="2"/>
        <v>0.46666666666666667</v>
      </c>
      <c r="AR15" s="2">
        <v>5</v>
      </c>
      <c r="AS15" s="45" t="s">
        <v>25</v>
      </c>
      <c r="AU15" s="12" t="s">
        <v>27</v>
      </c>
      <c r="AV15" s="14">
        <f>AV7/AV6</f>
        <v>1.1000000000000001</v>
      </c>
    </row>
    <row r="16" spans="1:48" x14ac:dyDescent="0.2">
      <c r="B16" s="1">
        <v>11</v>
      </c>
      <c r="C16" s="2" t="s">
        <v>14</v>
      </c>
      <c r="D16" s="41">
        <v>0.26597222222222222</v>
      </c>
      <c r="E16" s="41">
        <v>0.7104166666666667</v>
      </c>
      <c r="F16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0.44444444444444448</v>
      </c>
      <c r="G16" s="2">
        <v>4</v>
      </c>
      <c r="H16" s="45" t="s">
        <v>25</v>
      </c>
      <c r="J16" s="12" t="s">
        <v>117</v>
      </c>
      <c r="K16" s="48">
        <f>AVERAGE(Table13245678910111321252934394449546149141924293336424753919786104110116122127131136141914241930[JAM KELUAR])</f>
        <v>0.25091540404040408</v>
      </c>
      <c r="O16" s="1">
        <v>11</v>
      </c>
      <c r="P16" s="29" t="s">
        <v>32</v>
      </c>
      <c r="Q16" s="30">
        <v>0.29166666666666669</v>
      </c>
      <c r="R16" s="30">
        <v>0.73819444444444438</v>
      </c>
      <c r="S16" s="39">
        <f t="shared" si="0"/>
        <v>0.44652777777777769</v>
      </c>
      <c r="T16" s="29">
        <v>6</v>
      </c>
      <c r="U16" s="45" t="s">
        <v>25</v>
      </c>
      <c r="W16" s="12" t="s">
        <v>117</v>
      </c>
      <c r="X16" s="48">
        <f>AVERAGE(Table134567891011172226303540455055625101520253034384348549298871051111171231281321371421015252031[JAM KELUAR])</f>
        <v>0.25914351851851847</v>
      </c>
      <c r="AA16" s="1">
        <v>11</v>
      </c>
      <c r="AB16" s="2" t="s">
        <v>47</v>
      </c>
      <c r="AC16" s="41">
        <v>0.25416666666666665</v>
      </c>
      <c r="AD16" s="41">
        <v>0.6875</v>
      </c>
      <c r="AE16" s="26">
        <f t="shared" si="1"/>
        <v>0.43333333333333335</v>
      </c>
      <c r="AF16" s="2">
        <v>5</v>
      </c>
      <c r="AG16" s="45" t="s">
        <v>25</v>
      </c>
      <c r="AI16" s="12" t="s">
        <v>117</v>
      </c>
      <c r="AJ16" s="48">
        <f>AVERAGE(Table13456789101115181923273137424752592712172227322841465290968010310911512112612013514081323182834[JAM KELUAR])</f>
        <v>0.28096064814814814</v>
      </c>
      <c r="AM16" s="1">
        <v>11</v>
      </c>
      <c r="AN16" s="2" t="s">
        <v>280</v>
      </c>
      <c r="AO16" s="41">
        <v>0.23055555555555554</v>
      </c>
      <c r="AP16" s="41">
        <v>0.68958333333333333</v>
      </c>
      <c r="AQ16" s="26">
        <f t="shared" si="2"/>
        <v>0.45902777777777781</v>
      </c>
      <c r="AR16" s="2">
        <v>5</v>
      </c>
      <c r="AS16" s="45" t="s">
        <v>25</v>
      </c>
      <c r="AU16" s="12" t="s">
        <v>117</v>
      </c>
      <c r="AV16" s="48">
        <f>AVERAGE(Table134567891011151819232731374247525927121722273228414652909680103109115121126120135140813231829[JAM KELUAR])</f>
        <v>0.25315656565656569</v>
      </c>
    </row>
    <row r="17" spans="2:47" x14ac:dyDescent="0.2">
      <c r="B17" s="1">
        <v>12</v>
      </c>
      <c r="C17" s="2" t="s">
        <v>71</v>
      </c>
      <c r="D17" s="41">
        <v>0.2388888888888889</v>
      </c>
      <c r="E17" s="41">
        <v>0.68194444444444446</v>
      </c>
      <c r="F17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0.44305555555555554</v>
      </c>
      <c r="G17" s="2">
        <v>4</v>
      </c>
      <c r="H17" s="45" t="s">
        <v>25</v>
      </c>
      <c r="O17" s="1">
        <v>12</v>
      </c>
      <c r="P17" s="29" t="s">
        <v>41</v>
      </c>
      <c r="Q17" s="30">
        <v>0.24027777777777778</v>
      </c>
      <c r="R17" s="30">
        <v>0.76388888888888884</v>
      </c>
      <c r="S17" s="39">
        <f t="shared" si="0"/>
        <v>0.52361111111111103</v>
      </c>
      <c r="T17" s="29">
        <v>6</v>
      </c>
      <c r="U17" s="45" t="s">
        <v>25</v>
      </c>
      <c r="AA17" s="1">
        <v>12</v>
      </c>
      <c r="AB17" s="2" t="s">
        <v>49</v>
      </c>
      <c r="AC17" s="41">
        <v>0.23194444444444443</v>
      </c>
      <c r="AD17" s="41">
        <v>0.76736111111111116</v>
      </c>
      <c r="AE17" s="26">
        <f t="shared" si="1"/>
        <v>0.53541666666666676</v>
      </c>
      <c r="AF17" s="2">
        <v>6</v>
      </c>
      <c r="AG17" s="45" t="s">
        <v>25</v>
      </c>
      <c r="AI17" s="17"/>
      <c r="AU17" s="17"/>
    </row>
    <row r="18" spans="2:47" ht="15.75" customHeight="1" x14ac:dyDescent="0.2">
      <c r="B18" s="1">
        <v>13</v>
      </c>
      <c r="C18" s="2" t="s">
        <v>68</v>
      </c>
      <c r="D18" s="41">
        <v>0.24513888888888888</v>
      </c>
      <c r="E18" s="41">
        <v>0.6479166666666667</v>
      </c>
      <c r="F18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0.40277777777777779</v>
      </c>
      <c r="G18" s="2">
        <v>4</v>
      </c>
      <c r="H18" s="45" t="s">
        <v>25</v>
      </c>
      <c r="AR18" s="34"/>
      <c r="AS18" s="35" t="s">
        <v>90</v>
      </c>
    </row>
    <row r="19" spans="2:47" ht="17.25" customHeight="1" x14ac:dyDescent="0.2">
      <c r="B19" s="1">
        <v>14</v>
      </c>
      <c r="C19" s="2" t="s">
        <v>73</v>
      </c>
      <c r="D19" s="41">
        <v>0.23541666666666669</v>
      </c>
      <c r="E19" s="41">
        <v>0.72291666666666676</v>
      </c>
      <c r="F19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0.48750000000000004</v>
      </c>
      <c r="G19" s="2">
        <v>4</v>
      </c>
      <c r="H19" s="45" t="s">
        <v>25</v>
      </c>
      <c r="AF19" s="34"/>
      <c r="AG19" s="35" t="s">
        <v>90</v>
      </c>
      <c r="AR19" s="56" t="s">
        <v>209</v>
      </c>
      <c r="AS19" s="35" t="s">
        <v>92</v>
      </c>
    </row>
    <row r="20" spans="2:47" ht="15.75" customHeight="1" x14ac:dyDescent="0.25">
      <c r="B20" s="1">
        <v>15</v>
      </c>
      <c r="C20" s="2" t="s">
        <v>69</v>
      </c>
      <c r="D20" s="41">
        <v>0.25972222222222224</v>
      </c>
      <c r="E20" s="41">
        <v>0.70624999999999993</v>
      </c>
      <c r="F20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0.44652777777777769</v>
      </c>
      <c r="G20" s="2">
        <v>4</v>
      </c>
      <c r="H20" s="45" t="s">
        <v>25</v>
      </c>
      <c r="O20" s="108" t="s">
        <v>66</v>
      </c>
      <c r="P20" s="108"/>
      <c r="Q20" s="108"/>
      <c r="R20" s="108"/>
      <c r="S20" s="108"/>
      <c r="T20" s="108"/>
      <c r="U20" s="108"/>
      <c r="W20" s="106" t="s">
        <v>28</v>
      </c>
      <c r="X20" s="106"/>
      <c r="AF20" s="56" t="s">
        <v>209</v>
      </c>
      <c r="AG20" s="35" t="s">
        <v>92</v>
      </c>
    </row>
    <row r="21" spans="2:47" ht="15" customHeight="1" x14ac:dyDescent="0.2">
      <c r="B21" s="1">
        <v>16</v>
      </c>
      <c r="C21" s="2" t="s">
        <v>74</v>
      </c>
      <c r="D21" s="41">
        <v>0.26597222222222222</v>
      </c>
      <c r="E21" s="41">
        <v>0.66249999999999998</v>
      </c>
      <c r="F21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0.39652777777777776</v>
      </c>
      <c r="G21" s="2">
        <v>4</v>
      </c>
      <c r="H21" s="45" t="s">
        <v>25</v>
      </c>
      <c r="O21" s="109">
        <f>B4</f>
        <v>45419</v>
      </c>
      <c r="P21" s="109"/>
      <c r="Q21" s="109"/>
      <c r="R21" s="109"/>
      <c r="S21" s="109"/>
      <c r="T21" s="109"/>
      <c r="U21" s="109"/>
      <c r="W21" s="110"/>
      <c r="X21" s="110"/>
    </row>
    <row r="22" spans="2:47" ht="15" customHeight="1" x14ac:dyDescent="0.2">
      <c r="B22" s="1">
        <v>17</v>
      </c>
      <c r="C22" s="2" t="s">
        <v>15</v>
      </c>
      <c r="D22" s="41">
        <v>0.21875</v>
      </c>
      <c r="E22" s="41">
        <v>0.65347222222222223</v>
      </c>
      <c r="F22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0.43472222222222223</v>
      </c>
      <c r="G22" s="2">
        <v>4</v>
      </c>
      <c r="H22" s="45" t="s">
        <v>25</v>
      </c>
      <c r="O22" s="2" t="s">
        <v>0</v>
      </c>
      <c r="P22" s="2" t="s">
        <v>1</v>
      </c>
      <c r="Q22" s="22" t="s">
        <v>61</v>
      </c>
      <c r="R22" s="22" t="s">
        <v>62</v>
      </c>
      <c r="S22" s="22" t="s">
        <v>63</v>
      </c>
      <c r="T22" s="2" t="s">
        <v>2</v>
      </c>
      <c r="U22" s="2" t="s">
        <v>3</v>
      </c>
      <c r="W22" s="3" t="s">
        <v>29</v>
      </c>
      <c r="X22" s="5">
        <f>SUM(X24:X27)</f>
        <v>8</v>
      </c>
    </row>
    <row r="23" spans="2:47" ht="15" customHeight="1" x14ac:dyDescent="0.2">
      <c r="B23" s="1">
        <v>18</v>
      </c>
      <c r="C23" s="2" t="s">
        <v>16</v>
      </c>
      <c r="D23" s="41">
        <v>0.25138888888888888</v>
      </c>
      <c r="E23" s="41">
        <v>0.66875000000000007</v>
      </c>
      <c r="F23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0.41736111111111118</v>
      </c>
      <c r="G23" s="2">
        <v>4</v>
      </c>
      <c r="H23" s="45" t="s">
        <v>25</v>
      </c>
      <c r="O23" s="15">
        <v>1</v>
      </c>
      <c r="P23" s="23" t="s">
        <v>36</v>
      </c>
      <c r="Q23" s="40">
        <v>0.2638888888888889</v>
      </c>
      <c r="R23" s="40">
        <v>0.50069444444444444</v>
      </c>
      <c r="S23" s="37">
        <f t="shared" ref="S23:S28" si="3">R23-Q23</f>
        <v>0.23680555555555555</v>
      </c>
      <c r="T23" s="23">
        <v>2</v>
      </c>
      <c r="U23" s="16" t="s">
        <v>292</v>
      </c>
      <c r="W23" s="4" t="s">
        <v>10</v>
      </c>
      <c r="X23" s="6">
        <v>8</v>
      </c>
    </row>
    <row r="24" spans="2:47" ht="14.5" customHeight="1" x14ac:dyDescent="0.2">
      <c r="B24" s="1">
        <v>19</v>
      </c>
      <c r="C24" s="2" t="s">
        <v>18</v>
      </c>
      <c r="D24" s="41">
        <v>0.23541666666666669</v>
      </c>
      <c r="E24" s="41">
        <v>0.65833333333333333</v>
      </c>
      <c r="F24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0.42291666666666661</v>
      </c>
      <c r="G24" s="2">
        <v>4</v>
      </c>
      <c r="H24" s="45" t="s">
        <v>25</v>
      </c>
      <c r="O24" s="15">
        <v>2</v>
      </c>
      <c r="P24" s="23" t="s">
        <v>39</v>
      </c>
      <c r="Q24" s="40">
        <v>0.28888888888888892</v>
      </c>
      <c r="R24" s="40">
        <v>0.60277777777777775</v>
      </c>
      <c r="S24" s="37">
        <f t="shared" si="3"/>
        <v>0.31388888888888883</v>
      </c>
      <c r="T24" s="23">
        <v>3</v>
      </c>
      <c r="U24" s="47" t="s">
        <v>294</v>
      </c>
      <c r="W24" s="4" t="s">
        <v>9</v>
      </c>
      <c r="X24" s="7">
        <v>6</v>
      </c>
    </row>
    <row r="25" spans="2:47" ht="14.5" customHeight="1" x14ac:dyDescent="0.2">
      <c r="B25" s="1">
        <v>20</v>
      </c>
      <c r="C25" s="2" t="s">
        <v>72</v>
      </c>
      <c r="D25" s="41">
        <v>0.23472222222222219</v>
      </c>
      <c r="E25" s="41">
        <v>0.69236111111111109</v>
      </c>
      <c r="F25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0.45763888888888893</v>
      </c>
      <c r="G25" s="2">
        <v>5</v>
      </c>
      <c r="H25" s="45" t="s">
        <v>25</v>
      </c>
      <c r="N25" s="54" t="s">
        <v>209</v>
      </c>
      <c r="O25" s="50">
        <v>3</v>
      </c>
      <c r="P25" s="33" t="s">
        <v>42</v>
      </c>
      <c r="Q25" s="44">
        <v>0.39097222222222222</v>
      </c>
      <c r="R25" s="44">
        <v>0.70833333333333337</v>
      </c>
      <c r="S25" s="52">
        <f t="shared" si="3"/>
        <v>0.31736111111111115</v>
      </c>
      <c r="T25" s="33">
        <v>3</v>
      </c>
      <c r="U25" s="53" t="s">
        <v>293</v>
      </c>
      <c r="W25" s="4" t="s">
        <v>4</v>
      </c>
      <c r="X25" s="7">
        <v>0</v>
      </c>
    </row>
    <row r="26" spans="2:47" ht="14.5" customHeight="1" x14ac:dyDescent="0.2">
      <c r="B26" s="1">
        <v>21</v>
      </c>
      <c r="C26" s="2" t="s">
        <v>75</v>
      </c>
      <c r="D26" s="41">
        <v>0.22291666666666665</v>
      </c>
      <c r="E26" s="41">
        <v>0.67499999999999993</v>
      </c>
      <c r="F26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0.45208333333333328</v>
      </c>
      <c r="G26" s="2">
        <v>5</v>
      </c>
      <c r="H26" s="45" t="s">
        <v>25</v>
      </c>
      <c r="O26" s="1">
        <v>4</v>
      </c>
      <c r="P26" s="29" t="s">
        <v>83</v>
      </c>
      <c r="Q26" s="30">
        <v>0.27013888888888887</v>
      </c>
      <c r="R26" s="30">
        <v>0.64652777777777781</v>
      </c>
      <c r="S26" s="39">
        <f t="shared" si="3"/>
        <v>0.37638888888888894</v>
      </c>
      <c r="T26" s="29">
        <v>4</v>
      </c>
      <c r="U26" s="45" t="s">
        <v>25</v>
      </c>
      <c r="W26" s="4" t="s">
        <v>5</v>
      </c>
      <c r="X26" s="7">
        <v>2</v>
      </c>
    </row>
    <row r="27" spans="2:47" x14ac:dyDescent="0.2">
      <c r="B27" s="1">
        <v>22</v>
      </c>
      <c r="C27" s="2" t="s">
        <v>76</v>
      </c>
      <c r="D27" s="41">
        <v>0.20138888888888887</v>
      </c>
      <c r="E27" s="41">
        <v>0.69791666666666663</v>
      </c>
      <c r="F27" s="26">
        <f>Table13245678910111321252934394449546149141924293336424753919786104110116122127131136141914241930[[#This Row],[JAM MASUK]]-Table13245678910111321252934394449546149141924293336424753919786104110116122127131136141914241930[[#This Row],[JAM KELUAR]]</f>
        <v>0.49652777777777779</v>
      </c>
      <c r="G27" s="2">
        <v>5</v>
      </c>
      <c r="H27" s="45" t="s">
        <v>25</v>
      </c>
      <c r="O27" s="1">
        <v>5</v>
      </c>
      <c r="P27" s="29" t="s">
        <v>38</v>
      </c>
      <c r="Q27" s="30">
        <v>0.29097222222222224</v>
      </c>
      <c r="R27" s="30">
        <v>0.68958333333333333</v>
      </c>
      <c r="S27" s="39">
        <f t="shared" si="3"/>
        <v>0.39861111111111108</v>
      </c>
      <c r="T27" s="29">
        <v>4</v>
      </c>
      <c r="U27" s="45" t="s">
        <v>25</v>
      </c>
      <c r="W27" s="4" t="s">
        <v>33</v>
      </c>
      <c r="X27" s="7">
        <v>0</v>
      </c>
      <c r="AR27" s="49"/>
    </row>
    <row r="28" spans="2:47" x14ac:dyDescent="0.2">
      <c r="O28" s="1">
        <v>6</v>
      </c>
      <c r="P28" s="29" t="s">
        <v>201</v>
      </c>
      <c r="Q28" s="30">
        <v>0.28402777777777777</v>
      </c>
      <c r="R28" s="30">
        <v>0.65</v>
      </c>
      <c r="S28" s="39">
        <f t="shared" si="3"/>
        <v>0.36597222222222225</v>
      </c>
      <c r="T28" s="29">
        <v>4</v>
      </c>
      <c r="U28" s="45" t="s">
        <v>25</v>
      </c>
      <c r="W28" s="8" t="s">
        <v>8</v>
      </c>
      <c r="X28" s="9">
        <f>SUM(Table13456789101117222630323641465156636111621263135394449559399881061121181241291331381431116262132[Retase])</f>
        <v>20</v>
      </c>
      <c r="AF28" s="49"/>
    </row>
    <row r="29" spans="2:47" x14ac:dyDescent="0.2">
      <c r="W29" s="10" t="s">
        <v>7</v>
      </c>
      <c r="X29" s="11">
        <f>X28/X24</f>
        <v>3.3333333333333335</v>
      </c>
    </row>
    <row r="30" spans="2:47" x14ac:dyDescent="0.2">
      <c r="W30" s="12" t="s">
        <v>11</v>
      </c>
      <c r="X30" s="13">
        <v>4</v>
      </c>
    </row>
    <row r="31" spans="2:47" x14ac:dyDescent="0.2">
      <c r="G31" s="34"/>
      <c r="H31" s="35" t="s">
        <v>90</v>
      </c>
      <c r="V31" s="1"/>
      <c r="W31" s="12" t="s">
        <v>88</v>
      </c>
      <c r="X31" s="14">
        <f>3/6</f>
        <v>0.5</v>
      </c>
    </row>
    <row r="32" spans="2:47" x14ac:dyDescent="0.2">
      <c r="G32" s="56" t="s">
        <v>209</v>
      </c>
      <c r="H32" s="35" t="s">
        <v>92</v>
      </c>
      <c r="T32" s="34"/>
      <c r="U32" s="35" t="s">
        <v>90</v>
      </c>
      <c r="V32" s="1"/>
      <c r="W32" s="12" t="s">
        <v>27</v>
      </c>
      <c r="X32" s="14">
        <f>X24/X23</f>
        <v>0.75</v>
      </c>
      <c r="AM32" s="49"/>
    </row>
    <row r="33" spans="1:27" x14ac:dyDescent="0.2">
      <c r="T33" s="56" t="s">
        <v>209</v>
      </c>
      <c r="U33" s="35" t="s">
        <v>92</v>
      </c>
      <c r="V33" s="1"/>
      <c r="W33" s="12" t="s">
        <v>117</v>
      </c>
      <c r="X33" s="48">
        <f>AVERAGE(Table13456789101117222630323641465156636111621263135394449559399881061121181241291331381431116262132[JAM KELUAR])</f>
        <v>0.29814814814814816</v>
      </c>
      <c r="AA33" s="49"/>
    </row>
    <row r="34" spans="1:27" x14ac:dyDescent="0.2">
      <c r="V34" s="1"/>
    </row>
    <row r="35" spans="1:27" x14ac:dyDescent="0.2">
      <c r="B35" s="49"/>
      <c r="V35" s="1"/>
    </row>
    <row r="36" spans="1:27" x14ac:dyDescent="0.2">
      <c r="O36" s="49"/>
      <c r="T36" s="49"/>
      <c r="V36" s="1"/>
    </row>
    <row r="37" spans="1:27" x14ac:dyDescent="0.2">
      <c r="V37" s="1"/>
    </row>
    <row r="38" spans="1:27" x14ac:dyDescent="0.2">
      <c r="V38" s="1"/>
    </row>
    <row r="39" spans="1:27" x14ac:dyDescent="0.2">
      <c r="V39" s="1"/>
    </row>
    <row r="40" spans="1:27" ht="21" x14ac:dyDescent="0.25">
      <c r="A40" s="46"/>
    </row>
    <row r="41" spans="1:27" x14ac:dyDescent="0.2">
      <c r="O41" s="2" t="s">
        <v>0</v>
      </c>
      <c r="P41" s="2" t="s">
        <v>1</v>
      </c>
      <c r="Q41" s="22" t="s">
        <v>61</v>
      </c>
      <c r="R41" s="22" t="s">
        <v>62</v>
      </c>
      <c r="S41" s="22" t="s">
        <v>63</v>
      </c>
      <c r="T41" s="2" t="s">
        <v>2</v>
      </c>
      <c r="U41" s="2" t="s">
        <v>3</v>
      </c>
    </row>
    <row r="42" spans="1:27" x14ac:dyDescent="0.2">
      <c r="O42" s="27">
        <v>1</v>
      </c>
      <c r="P42" s="2"/>
      <c r="Q42" s="41"/>
      <c r="R42" s="42"/>
      <c r="S42" s="26"/>
      <c r="T42" s="2"/>
      <c r="U42" s="24"/>
    </row>
    <row r="43" spans="1:27" x14ac:dyDescent="0.2">
      <c r="O43" s="15">
        <v>2</v>
      </c>
      <c r="P43" s="29"/>
      <c r="Q43" s="30"/>
      <c r="R43" s="36"/>
      <c r="S43" s="26"/>
      <c r="T43" s="29"/>
      <c r="U43" s="24"/>
    </row>
    <row r="44" spans="1:27" x14ac:dyDescent="0.2">
      <c r="O44" s="15">
        <v>3</v>
      </c>
      <c r="P44" s="29"/>
      <c r="Q44" s="30"/>
      <c r="R44" s="36"/>
      <c r="S44" s="39"/>
      <c r="T44" s="29"/>
      <c r="U44" s="16"/>
    </row>
    <row r="45" spans="1:27" x14ac:dyDescent="0.2">
      <c r="O45" s="27">
        <v>4</v>
      </c>
      <c r="P45" s="29"/>
      <c r="Q45" s="30"/>
      <c r="R45" s="36"/>
      <c r="S45" s="39"/>
      <c r="T45" s="29"/>
      <c r="U45" s="24"/>
    </row>
    <row r="46" spans="1:27" x14ac:dyDescent="0.2">
      <c r="O46" s="15">
        <v>5</v>
      </c>
      <c r="P46" s="29"/>
      <c r="Q46" s="30"/>
      <c r="R46" s="36"/>
      <c r="S46" s="26"/>
      <c r="T46" s="29"/>
      <c r="U46" s="24"/>
    </row>
    <row r="47" spans="1:27" x14ac:dyDescent="0.2">
      <c r="O47" s="15">
        <v>6</v>
      </c>
      <c r="P47" s="29"/>
      <c r="Q47" s="30"/>
      <c r="R47" s="36"/>
      <c r="S47" s="26"/>
      <c r="T47" s="29"/>
      <c r="U47" s="24"/>
    </row>
    <row r="48" spans="1:27" x14ac:dyDescent="0.2">
      <c r="O48" s="27">
        <v>7</v>
      </c>
      <c r="P48" s="29"/>
      <c r="Q48" s="30"/>
      <c r="R48" s="36"/>
      <c r="S48" s="39"/>
      <c r="T48" s="29"/>
      <c r="U48" s="24"/>
    </row>
    <row r="49" spans="15:22" x14ac:dyDescent="0.2">
      <c r="O49" s="15">
        <v>8</v>
      </c>
      <c r="P49" s="29"/>
      <c r="Q49" s="30"/>
      <c r="R49" s="36"/>
      <c r="S49" s="26"/>
      <c r="T49" s="29"/>
      <c r="U49" s="24"/>
    </row>
    <row r="50" spans="15:22" x14ac:dyDescent="0.2">
      <c r="O50" s="15">
        <v>9</v>
      </c>
      <c r="P50" s="29"/>
      <c r="Q50" s="30"/>
      <c r="R50" s="36"/>
      <c r="S50" s="26"/>
      <c r="T50" s="29"/>
      <c r="U50" s="24"/>
    </row>
    <row r="51" spans="15:22" x14ac:dyDescent="0.2">
      <c r="O51" s="27">
        <v>10</v>
      </c>
      <c r="P51" s="29"/>
      <c r="Q51" s="30"/>
      <c r="R51" s="36"/>
      <c r="S51" s="26"/>
      <c r="T51" s="29"/>
      <c r="U51" s="24"/>
    </row>
    <row r="52" spans="15:22" x14ac:dyDescent="0.2">
      <c r="O52" s="15">
        <v>11</v>
      </c>
      <c r="P52" s="29"/>
      <c r="Q52" s="30"/>
      <c r="R52" s="36"/>
      <c r="S52" s="26"/>
      <c r="T52" s="29"/>
      <c r="U52" s="24"/>
    </row>
    <row r="53" spans="15:22" x14ac:dyDescent="0.2">
      <c r="O53" s="1">
        <v>12</v>
      </c>
      <c r="P53" s="29"/>
      <c r="Q53" s="30"/>
      <c r="R53" s="36"/>
      <c r="S53" s="39"/>
      <c r="T53" s="29"/>
      <c r="U53" s="25"/>
    </row>
    <row r="54" spans="15:22" x14ac:dyDescent="0.2">
      <c r="O54" s="28">
        <v>13</v>
      </c>
      <c r="P54" s="29"/>
      <c r="Q54" s="30"/>
      <c r="R54" s="36"/>
      <c r="S54" s="26"/>
      <c r="T54" s="29"/>
      <c r="U54" s="25"/>
    </row>
    <row r="55" spans="15:22" x14ac:dyDescent="0.2">
      <c r="O55" s="27">
        <v>14</v>
      </c>
      <c r="P55" s="29"/>
      <c r="Q55" s="30"/>
      <c r="R55" s="36"/>
      <c r="S55" s="26"/>
      <c r="T55" s="29"/>
      <c r="U55" s="24"/>
    </row>
    <row r="56" spans="15:22" x14ac:dyDescent="0.2">
      <c r="O56" s="15">
        <v>15</v>
      </c>
      <c r="P56" s="29"/>
      <c r="Q56" s="30"/>
      <c r="R56" s="36"/>
      <c r="S56" s="26"/>
      <c r="T56" s="29"/>
      <c r="U56" s="24"/>
    </row>
    <row r="57" spans="15:22" x14ac:dyDescent="0.2">
      <c r="O57" s="1">
        <v>16</v>
      </c>
      <c r="P57" s="29"/>
      <c r="Q57" s="30"/>
      <c r="R57" s="36"/>
      <c r="S57" s="26"/>
      <c r="T57" s="29"/>
      <c r="U57" s="25"/>
    </row>
    <row r="58" spans="15:22" x14ac:dyDescent="0.2">
      <c r="O58" s="28">
        <v>17</v>
      </c>
      <c r="P58" s="29"/>
      <c r="Q58" s="30"/>
      <c r="R58" s="36"/>
      <c r="S58" s="26"/>
      <c r="T58" s="29"/>
      <c r="U58" s="25"/>
    </row>
    <row r="59" spans="15:22" x14ac:dyDescent="0.2">
      <c r="O59" s="27">
        <v>18</v>
      </c>
      <c r="P59" s="29"/>
      <c r="Q59" s="30"/>
      <c r="R59" s="36"/>
      <c r="S59" s="26"/>
      <c r="T59" s="29"/>
      <c r="U59" s="24"/>
    </row>
    <row r="60" spans="15:22" x14ac:dyDescent="0.2">
      <c r="O60" s="1">
        <v>19</v>
      </c>
      <c r="P60" s="29"/>
      <c r="Q60" s="30"/>
      <c r="R60" s="36"/>
      <c r="S60" s="39"/>
      <c r="T60" s="29"/>
      <c r="U60" s="25"/>
    </row>
    <row r="61" spans="15:22" x14ac:dyDescent="0.2">
      <c r="O61" s="1">
        <v>20</v>
      </c>
      <c r="P61" s="29"/>
      <c r="Q61" s="30"/>
      <c r="R61" s="36"/>
      <c r="S61" s="39"/>
      <c r="T61" s="29"/>
      <c r="U61" s="25"/>
    </row>
    <row r="62" spans="15:22" x14ac:dyDescent="0.2">
      <c r="O62" s="28">
        <v>21</v>
      </c>
      <c r="P62" s="29"/>
      <c r="Q62" s="30"/>
      <c r="R62" s="36"/>
      <c r="S62" s="26"/>
      <c r="T62" s="29"/>
      <c r="U62" s="25"/>
      <c r="V62" s="1"/>
    </row>
    <row r="63" spans="15:22" x14ac:dyDescent="0.2">
      <c r="O63" s="27">
        <v>22</v>
      </c>
      <c r="P63" s="29"/>
      <c r="Q63" s="30"/>
      <c r="R63" s="36"/>
      <c r="S63" s="26"/>
      <c r="T63" s="29"/>
      <c r="U63" s="25"/>
      <c r="V63" s="1"/>
    </row>
    <row r="64" spans="15:22" x14ac:dyDescent="0.2">
      <c r="V64" s="1"/>
    </row>
  </sheetData>
  <mergeCells count="19">
    <mergeCell ref="B4:H4"/>
    <mergeCell ref="O4:U4"/>
    <mergeCell ref="AA4:AG4"/>
    <mergeCell ref="AM4:AS4"/>
    <mergeCell ref="B1:K1"/>
    <mergeCell ref="O1:X1"/>
    <mergeCell ref="AA1:AJ1"/>
    <mergeCell ref="AM1:AV1"/>
    <mergeCell ref="B3:H3"/>
    <mergeCell ref="J3:K4"/>
    <mergeCell ref="O3:U3"/>
    <mergeCell ref="W3:X4"/>
    <mergeCell ref="AA3:AG3"/>
    <mergeCell ref="AI3:AJ4"/>
    <mergeCell ref="O20:U20"/>
    <mergeCell ref="W20:X21"/>
    <mergeCell ref="O21:U21"/>
    <mergeCell ref="AM3:AS3"/>
    <mergeCell ref="AU3:AV4"/>
  </mergeCells>
  <pageMargins left="0.12" right="0.12" top="0.75" bottom="0.75" header="0.3" footer="0.3"/>
  <pageSetup paperSize="5" scale="82" fitToWidth="0" orientation="landscape" horizontalDpi="360" verticalDpi="360" r:id="rId1"/>
  <rowBreaks count="1" manualBreakCount="1">
    <brk id="39" max="46" man="1"/>
  </rowBreaks>
  <colBreaks count="3" manualBreakCount="3">
    <brk id="13" max="38" man="1"/>
    <brk id="25" max="38" man="1"/>
    <brk id="37" max="38" man="1"/>
  </colBreaks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693A-BC26-418D-9BF8-69E9CD665D36}">
  <sheetPr>
    <tabColor theme="7" tint="0.39997558519241921"/>
  </sheetPr>
  <dimension ref="A1:AV71"/>
  <sheetViews>
    <sheetView showGridLines="0" view="pageBreakPreview" topLeftCell="AQ1" zoomScaleNormal="55" zoomScaleSheetLayoutView="100" workbookViewId="0">
      <selection activeCell="AN7" sqref="AN7:AS16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1.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COUNTIF(Table1324567891011132125293439444954614914192429333642475391978610411011612212713113614191424193036[Retase],"&gt;3")</f>
        <v>16</v>
      </c>
      <c r="D3" t="s">
        <v>241</v>
      </c>
      <c r="O3" s="60">
        <f>COUNTIF(Table13456789101117222630354045505562510152025303438434854929887105111117123128132137142101525203137[Retase],"&gt;4")</f>
        <v>12</v>
      </c>
      <c r="P3" s="60">
        <f>COUNTIF(Table1345678910111722263032364146515663611162126313539444955939988106112118124129133138143111626213238[Retase],"&gt;3")</f>
        <v>4</v>
      </c>
      <c r="AA3" s="60">
        <f>COUNTIF(Table1345678910111518192327313742475259271217222732284146529096801031091151211261201351408132318283440[Retase],"&gt;4")</f>
        <v>10</v>
      </c>
      <c r="AM3" s="60">
        <f>COUNTIF(Table13456789101115181923273137424752592712172227322841465290968010310911512112612013514081323182935[Retase],"&gt;3")</f>
        <v>8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45420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45420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45420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45420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18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15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15">
        <v>1</v>
      </c>
      <c r="C7" s="20" t="s">
        <v>118</v>
      </c>
      <c r="D7" s="21">
        <v>0.26874999999999999</v>
      </c>
      <c r="E7" s="21">
        <v>0.45069444444444445</v>
      </c>
      <c r="F7" s="38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0.18194444444444446</v>
      </c>
      <c r="G7" s="20">
        <v>1</v>
      </c>
      <c r="H7" s="24" t="s">
        <v>311</v>
      </c>
      <c r="J7" s="4" t="s">
        <v>10</v>
      </c>
      <c r="K7" s="6">
        <v>23</v>
      </c>
      <c r="L7" s="19"/>
      <c r="N7" s="54"/>
      <c r="O7" s="57">
        <v>1</v>
      </c>
      <c r="P7" s="31" t="s">
        <v>35</v>
      </c>
      <c r="Q7" s="32">
        <v>0.29166666666666669</v>
      </c>
      <c r="R7" s="32">
        <v>0.43541666666666662</v>
      </c>
      <c r="S7" s="52">
        <f t="shared" ref="S7:S21" si="0">R7-Q7</f>
        <v>0.14374999999999993</v>
      </c>
      <c r="T7" s="31">
        <v>1</v>
      </c>
      <c r="U7" s="53" t="s">
        <v>316</v>
      </c>
      <c r="W7" s="4" t="s">
        <v>10</v>
      </c>
      <c r="X7" s="6">
        <v>18</v>
      </c>
      <c r="AA7" s="15">
        <v>1</v>
      </c>
      <c r="AB7" s="20" t="s">
        <v>46</v>
      </c>
      <c r="AC7" s="21">
        <v>0.28333333333333333</v>
      </c>
      <c r="AD7" s="21">
        <v>0.4375</v>
      </c>
      <c r="AE7" s="37">
        <f t="shared" ref="AE7:AE20" si="1">AD7-AC7</f>
        <v>0.15416666666666667</v>
      </c>
      <c r="AF7" s="20">
        <v>1</v>
      </c>
      <c r="AG7" s="16" t="s">
        <v>322</v>
      </c>
      <c r="AI7" s="4" t="s">
        <v>10</v>
      </c>
      <c r="AJ7" s="6">
        <v>15</v>
      </c>
      <c r="AM7" s="15">
        <v>1</v>
      </c>
      <c r="AN7" s="20" t="s">
        <v>300</v>
      </c>
      <c r="AO7" s="21">
        <v>0.2902777777777778</v>
      </c>
      <c r="AP7" s="21">
        <v>0.68611111111111101</v>
      </c>
      <c r="AQ7" s="37">
        <f t="shared" ref="AQ7:AQ16" si="2">AP7-AO7</f>
        <v>0.3958333333333332</v>
      </c>
      <c r="AR7" s="20">
        <v>3</v>
      </c>
      <c r="AS7" s="16" t="s">
        <v>137</v>
      </c>
      <c r="AU7" s="4" t="s">
        <v>10</v>
      </c>
      <c r="AV7" s="6">
        <v>10</v>
      </c>
    </row>
    <row r="8" spans="1:48" s="1" customFormat="1" x14ac:dyDescent="0.2">
      <c r="A8"/>
      <c r="B8" s="15">
        <v>2</v>
      </c>
      <c r="C8" s="20" t="s">
        <v>16</v>
      </c>
      <c r="D8" s="21">
        <v>0.25</v>
      </c>
      <c r="E8" s="21">
        <v>0.375</v>
      </c>
      <c r="F8" s="38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0.125</v>
      </c>
      <c r="G8" s="20">
        <v>1</v>
      </c>
      <c r="H8" s="16" t="s">
        <v>312</v>
      </c>
      <c r="J8" s="4" t="s">
        <v>9</v>
      </c>
      <c r="K8" s="7">
        <v>22</v>
      </c>
      <c r="L8" s="19"/>
      <c r="O8" s="50">
        <v>2</v>
      </c>
      <c r="P8" s="33" t="s">
        <v>32</v>
      </c>
      <c r="Q8" s="44">
        <v>0.29375000000000001</v>
      </c>
      <c r="R8" s="44">
        <v>0.57222222222222219</v>
      </c>
      <c r="S8" s="52">
        <f t="shared" si="0"/>
        <v>0.27847222222222218</v>
      </c>
      <c r="T8" s="33">
        <v>2</v>
      </c>
      <c r="U8" s="53" t="s">
        <v>317</v>
      </c>
      <c r="W8" s="4" t="s">
        <v>9</v>
      </c>
      <c r="X8" s="7">
        <v>15</v>
      </c>
      <c r="Z8" s="56"/>
      <c r="AA8" s="15">
        <v>2</v>
      </c>
      <c r="AB8" s="20" t="s">
        <v>78</v>
      </c>
      <c r="AC8" s="21">
        <v>0.26666666666666666</v>
      </c>
      <c r="AD8" s="21">
        <v>0.68958333333333333</v>
      </c>
      <c r="AE8" s="38">
        <f t="shared" si="1"/>
        <v>0.42291666666666666</v>
      </c>
      <c r="AF8" s="20">
        <v>4</v>
      </c>
      <c r="AG8" s="16" t="s">
        <v>323</v>
      </c>
      <c r="AI8" s="4" t="s">
        <v>9</v>
      </c>
      <c r="AJ8" s="6">
        <v>14</v>
      </c>
      <c r="AM8" s="50">
        <v>2</v>
      </c>
      <c r="AN8" s="31" t="s">
        <v>271</v>
      </c>
      <c r="AO8" s="32">
        <v>0.29236111111111113</v>
      </c>
      <c r="AP8" s="32">
        <v>0.66180555555555554</v>
      </c>
      <c r="AQ8" s="51">
        <f t="shared" si="2"/>
        <v>0.36944444444444441</v>
      </c>
      <c r="AR8" s="31">
        <v>3</v>
      </c>
      <c r="AS8" s="55" t="s">
        <v>281</v>
      </c>
      <c r="AU8" s="4" t="s">
        <v>9</v>
      </c>
      <c r="AV8" s="6">
        <v>10</v>
      </c>
    </row>
    <row r="9" spans="1:48" s="1" customFormat="1" x14ac:dyDescent="0.2">
      <c r="A9" s="56" t="s">
        <v>209</v>
      </c>
      <c r="B9" s="50">
        <v>3</v>
      </c>
      <c r="C9" s="31" t="s">
        <v>65</v>
      </c>
      <c r="D9" s="32">
        <v>0.34166666666666662</v>
      </c>
      <c r="E9" s="32">
        <v>0.57291666666666663</v>
      </c>
      <c r="F9" s="51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0.23125000000000001</v>
      </c>
      <c r="G9" s="31">
        <v>2</v>
      </c>
      <c r="H9" s="53" t="s">
        <v>313</v>
      </c>
      <c r="J9" s="4" t="s">
        <v>4</v>
      </c>
      <c r="K9" s="7">
        <v>0</v>
      </c>
      <c r="L9" s="19"/>
      <c r="N9" s="54"/>
      <c r="O9" s="15">
        <v>3</v>
      </c>
      <c r="P9" s="23" t="s">
        <v>60</v>
      </c>
      <c r="Q9" s="40">
        <v>0.26319444444444445</v>
      </c>
      <c r="R9" s="40">
        <v>0.5805555555555556</v>
      </c>
      <c r="S9" s="37">
        <f t="shared" si="0"/>
        <v>0.31736111111111115</v>
      </c>
      <c r="T9" s="23">
        <v>3</v>
      </c>
      <c r="U9" s="24" t="s">
        <v>318</v>
      </c>
      <c r="W9" s="4" t="s">
        <v>4</v>
      </c>
      <c r="X9" s="7">
        <v>0</v>
      </c>
      <c r="AA9" s="15">
        <v>3</v>
      </c>
      <c r="AB9" s="20" t="s">
        <v>79</v>
      </c>
      <c r="AC9" s="21">
        <v>0.28472222222222221</v>
      </c>
      <c r="AD9" s="21">
        <v>0.68472222222222223</v>
      </c>
      <c r="AE9" s="38">
        <f t="shared" si="1"/>
        <v>0.4</v>
      </c>
      <c r="AF9" s="20">
        <v>4</v>
      </c>
      <c r="AG9" s="16" t="s">
        <v>325</v>
      </c>
      <c r="AI9" s="4" t="s">
        <v>4</v>
      </c>
      <c r="AJ9" s="7">
        <v>1</v>
      </c>
      <c r="AM9" s="1">
        <v>3</v>
      </c>
      <c r="AN9" s="2" t="s">
        <v>302</v>
      </c>
      <c r="AO9" s="41">
        <v>0.28819444444444448</v>
      </c>
      <c r="AP9" s="41">
        <v>0.68263888888888891</v>
      </c>
      <c r="AQ9" s="26">
        <f t="shared" si="2"/>
        <v>0.39444444444444443</v>
      </c>
      <c r="AR9" s="2">
        <v>4</v>
      </c>
      <c r="AS9" s="45" t="s">
        <v>25</v>
      </c>
      <c r="AU9" s="4" t="s">
        <v>4</v>
      </c>
      <c r="AV9" s="7">
        <v>1</v>
      </c>
    </row>
    <row r="10" spans="1:48" s="1" customFormat="1" x14ac:dyDescent="0.2">
      <c r="A10"/>
      <c r="B10" s="50">
        <v>4</v>
      </c>
      <c r="C10" s="31" t="s">
        <v>12</v>
      </c>
      <c r="D10" s="32">
        <v>0.2951388888888889</v>
      </c>
      <c r="E10" s="32">
        <v>0.65</v>
      </c>
      <c r="F10" s="51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0.35486111111111113</v>
      </c>
      <c r="G10" s="31">
        <v>3</v>
      </c>
      <c r="H10" s="53" t="s">
        <v>314</v>
      </c>
      <c r="J10" s="4" t="s">
        <v>5</v>
      </c>
      <c r="K10" s="7">
        <v>1</v>
      </c>
      <c r="L10" s="19"/>
      <c r="O10" s="28">
        <v>4</v>
      </c>
      <c r="P10" s="29" t="s">
        <v>82</v>
      </c>
      <c r="Q10" s="30">
        <v>0.29097222222222224</v>
      </c>
      <c r="R10" s="30">
        <v>0.69444444444444453</v>
      </c>
      <c r="S10" s="39">
        <f t="shared" si="0"/>
        <v>0.40347222222222229</v>
      </c>
      <c r="T10" s="29">
        <v>5</v>
      </c>
      <c r="U10" s="45" t="s">
        <v>25</v>
      </c>
      <c r="W10" s="4" t="s">
        <v>5</v>
      </c>
      <c r="X10" s="7">
        <v>3</v>
      </c>
      <c r="Z10" s="56"/>
      <c r="AA10" s="15">
        <v>4</v>
      </c>
      <c r="AB10" s="20" t="s">
        <v>56</v>
      </c>
      <c r="AC10" s="21">
        <v>0.26874999999999999</v>
      </c>
      <c r="AD10" s="21">
        <v>0.67083333333333339</v>
      </c>
      <c r="AE10" s="38">
        <f t="shared" si="1"/>
        <v>0.4020833333333334</v>
      </c>
      <c r="AF10" s="20">
        <v>4</v>
      </c>
      <c r="AG10" s="16" t="s">
        <v>325</v>
      </c>
      <c r="AI10" s="4" t="s">
        <v>5</v>
      </c>
      <c r="AJ10" s="7">
        <v>0</v>
      </c>
      <c r="AL10" s="54"/>
      <c r="AM10" s="1">
        <v>4</v>
      </c>
      <c r="AN10" s="2" t="s">
        <v>303</v>
      </c>
      <c r="AO10" s="41">
        <v>0.26597222222222222</v>
      </c>
      <c r="AP10" s="41">
        <v>0.66527777777777775</v>
      </c>
      <c r="AQ10" s="26">
        <f t="shared" si="2"/>
        <v>0.39930555555555552</v>
      </c>
      <c r="AR10" s="2">
        <v>4</v>
      </c>
      <c r="AS10" s="45" t="s">
        <v>25</v>
      </c>
      <c r="AU10" s="4" t="s">
        <v>5</v>
      </c>
      <c r="AV10" s="7">
        <v>1</v>
      </c>
    </row>
    <row r="11" spans="1:48" s="1" customFormat="1" x14ac:dyDescent="0.2">
      <c r="A11"/>
      <c r="B11" s="15">
        <v>5</v>
      </c>
      <c r="C11" s="20" t="s">
        <v>15</v>
      </c>
      <c r="D11" s="21">
        <v>0.29097222222222224</v>
      </c>
      <c r="E11" s="21">
        <v>0.63680555555555551</v>
      </c>
      <c r="F11" s="38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0.34583333333333327</v>
      </c>
      <c r="G11" s="20">
        <v>3</v>
      </c>
      <c r="H11" s="24" t="s">
        <v>315</v>
      </c>
      <c r="J11" s="4" t="s">
        <v>6</v>
      </c>
      <c r="K11" s="7">
        <v>0</v>
      </c>
      <c r="O11" s="1">
        <v>5</v>
      </c>
      <c r="P11" s="29" t="s">
        <v>123</v>
      </c>
      <c r="Q11" s="30">
        <v>0.29097222222222224</v>
      </c>
      <c r="R11" s="30">
        <v>0.70763888888888893</v>
      </c>
      <c r="S11" s="39">
        <f t="shared" si="0"/>
        <v>0.41666666666666669</v>
      </c>
      <c r="T11" s="29">
        <v>5</v>
      </c>
      <c r="U11" s="45" t="s">
        <v>25</v>
      </c>
      <c r="W11" s="4" t="s">
        <v>33</v>
      </c>
      <c r="X11" s="7">
        <v>0</v>
      </c>
      <c r="Z11" s="56" t="s">
        <v>209</v>
      </c>
      <c r="AA11" s="50">
        <v>5</v>
      </c>
      <c r="AB11" s="31" t="s">
        <v>48</v>
      </c>
      <c r="AC11" s="32">
        <v>0.35416666666666669</v>
      </c>
      <c r="AD11" s="32">
        <v>0.69444444444444453</v>
      </c>
      <c r="AE11" s="51">
        <f t="shared" si="1"/>
        <v>0.34027777777777785</v>
      </c>
      <c r="AF11" s="31">
        <v>5</v>
      </c>
      <c r="AG11" s="55" t="s">
        <v>25</v>
      </c>
      <c r="AI11" s="4" t="s">
        <v>6</v>
      </c>
      <c r="AJ11" s="7">
        <v>0</v>
      </c>
      <c r="AM11" s="1">
        <v>5</v>
      </c>
      <c r="AN11" s="2" t="s">
        <v>304</v>
      </c>
      <c r="AO11" s="41">
        <v>0.27430555555555552</v>
      </c>
      <c r="AP11" s="41">
        <v>0.6743055555555556</v>
      </c>
      <c r="AQ11" s="26">
        <f t="shared" si="2"/>
        <v>0.40000000000000008</v>
      </c>
      <c r="AR11" s="2">
        <v>4</v>
      </c>
      <c r="AS11" s="45" t="s">
        <v>25</v>
      </c>
      <c r="AU11" s="4" t="s">
        <v>6</v>
      </c>
      <c r="AV11" s="7">
        <v>27</v>
      </c>
    </row>
    <row r="12" spans="1:48" s="1" customFormat="1" x14ac:dyDescent="0.2">
      <c r="A12"/>
      <c r="B12" s="15">
        <v>6</v>
      </c>
      <c r="C12" s="20" t="s">
        <v>121</v>
      </c>
      <c r="D12" s="21">
        <v>0.25555555555555559</v>
      </c>
      <c r="E12" s="21">
        <v>0.65069444444444446</v>
      </c>
      <c r="F12" s="38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0.39513888888888887</v>
      </c>
      <c r="G12" s="20">
        <v>3</v>
      </c>
      <c r="H12" s="24" t="s">
        <v>312</v>
      </c>
      <c r="J12" s="8" t="s">
        <v>8</v>
      </c>
      <c r="K12" s="9">
        <f>SUM(Table1324567891011132125293439444954614914192429333642475391978610411011612212713113614191424193036[Retase])</f>
        <v>80</v>
      </c>
      <c r="L12" s="19"/>
      <c r="O12" s="1">
        <v>6</v>
      </c>
      <c r="P12" s="29" t="s">
        <v>57</v>
      </c>
      <c r="Q12" s="30">
        <v>0.28958333333333336</v>
      </c>
      <c r="R12" s="30">
        <v>0.72013888888888899</v>
      </c>
      <c r="S12" s="39">
        <f t="shared" si="0"/>
        <v>0.43055555555555564</v>
      </c>
      <c r="T12" s="29">
        <v>5</v>
      </c>
      <c r="U12" s="45" t="s">
        <v>25</v>
      </c>
      <c r="W12" s="8" t="s">
        <v>8</v>
      </c>
      <c r="X12" s="9">
        <f>SUM(Table13456789101117222630354045505562510152025303438434854929887105111117123128132137142101525203137[Retase])</f>
        <v>68</v>
      </c>
      <c r="AA12" s="1">
        <v>6</v>
      </c>
      <c r="AB12" s="2" t="s">
        <v>77</v>
      </c>
      <c r="AC12" s="41">
        <v>0.26458333333333334</v>
      </c>
      <c r="AD12" s="41">
        <v>0.71875</v>
      </c>
      <c r="AE12" s="26">
        <f t="shared" si="1"/>
        <v>0.45416666666666666</v>
      </c>
      <c r="AF12" s="2">
        <v>5</v>
      </c>
      <c r="AG12" s="45" t="s">
        <v>25</v>
      </c>
      <c r="AI12" s="8" t="s">
        <v>8</v>
      </c>
      <c r="AJ12" s="9">
        <f>SUM(Table1345678910111518192327313742475259271217222732284146529096801031091151211261201351408132318283440[Retase])</f>
        <v>66</v>
      </c>
      <c r="AM12" s="1">
        <v>6</v>
      </c>
      <c r="AN12" s="2" t="s">
        <v>305</v>
      </c>
      <c r="AO12" s="41">
        <v>0.23472222222222219</v>
      </c>
      <c r="AP12" s="41">
        <v>0.67847222222222225</v>
      </c>
      <c r="AQ12" s="26">
        <f t="shared" si="2"/>
        <v>0.44375000000000009</v>
      </c>
      <c r="AR12" s="2">
        <v>4</v>
      </c>
      <c r="AS12" s="45" t="s">
        <v>25</v>
      </c>
      <c r="AU12" s="8" t="s">
        <v>8</v>
      </c>
      <c r="AV12" s="9">
        <f>SUM(Table13456789101115181923273137424752592712172227322841465290968010310911512112612013514081323182935[Retase])</f>
        <v>41</v>
      </c>
    </row>
    <row r="13" spans="1:48" s="1" customFormat="1" x14ac:dyDescent="0.2">
      <c r="A13"/>
      <c r="B13" s="1">
        <v>7</v>
      </c>
      <c r="C13" s="2" t="s">
        <v>119</v>
      </c>
      <c r="D13" s="41">
        <v>0.26666666666666666</v>
      </c>
      <c r="E13" s="41">
        <v>0.68402777777777779</v>
      </c>
      <c r="F13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0.41736111111111113</v>
      </c>
      <c r="G13" s="2">
        <v>4</v>
      </c>
      <c r="H13" s="25" t="s">
        <v>25</v>
      </c>
      <c r="J13" s="10" t="s">
        <v>7</v>
      </c>
      <c r="K13" s="11">
        <f>K12/K8</f>
        <v>3.6363636363636362</v>
      </c>
      <c r="L13" s="19"/>
      <c r="O13" s="28">
        <v>7</v>
      </c>
      <c r="P13" s="29" t="s">
        <v>58</v>
      </c>
      <c r="Q13" s="30">
        <v>0.28888888888888892</v>
      </c>
      <c r="R13" s="30">
        <v>0.72291666666666676</v>
      </c>
      <c r="S13" s="39">
        <f t="shared" si="0"/>
        <v>0.43402777777777785</v>
      </c>
      <c r="T13" s="29">
        <v>5</v>
      </c>
      <c r="U13" s="45" t="s">
        <v>25</v>
      </c>
      <c r="W13" s="10" t="s">
        <v>7</v>
      </c>
      <c r="X13" s="11">
        <f>X12/X8</f>
        <v>4.5333333333333332</v>
      </c>
      <c r="AA13" s="50">
        <v>7</v>
      </c>
      <c r="AB13" s="31" t="s">
        <v>122</v>
      </c>
      <c r="AC13" s="32">
        <v>0.29166666666666669</v>
      </c>
      <c r="AD13" s="32">
        <v>0.69305555555555554</v>
      </c>
      <c r="AE13" s="51">
        <f t="shared" si="1"/>
        <v>0.40138888888888885</v>
      </c>
      <c r="AF13" s="31">
        <v>5</v>
      </c>
      <c r="AG13" s="55" t="s">
        <v>25</v>
      </c>
      <c r="AI13" s="10" t="s">
        <v>7</v>
      </c>
      <c r="AJ13" s="11">
        <f>AJ12/AJ8</f>
        <v>4.7142857142857144</v>
      </c>
      <c r="AM13" s="1">
        <v>7</v>
      </c>
      <c r="AN13" s="2" t="s">
        <v>308</v>
      </c>
      <c r="AO13" s="41">
        <v>0.26250000000000001</v>
      </c>
      <c r="AP13" s="41">
        <v>0.68194444444444446</v>
      </c>
      <c r="AQ13" s="26">
        <f t="shared" si="2"/>
        <v>0.41944444444444445</v>
      </c>
      <c r="AR13" s="2">
        <v>4</v>
      </c>
      <c r="AS13" s="45" t="s">
        <v>25</v>
      </c>
      <c r="AU13" s="10" t="s">
        <v>7</v>
      </c>
      <c r="AV13" s="11">
        <f>AV12/AV8</f>
        <v>4.0999999999999996</v>
      </c>
    </row>
    <row r="14" spans="1:48" s="1" customFormat="1" x14ac:dyDescent="0.2">
      <c r="A14"/>
      <c r="B14" s="1">
        <v>8</v>
      </c>
      <c r="C14" s="2" t="s">
        <v>13</v>
      </c>
      <c r="D14" s="41">
        <v>0.25138888888888888</v>
      </c>
      <c r="E14" s="41">
        <v>0.65</v>
      </c>
      <c r="F14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0.39861111111111114</v>
      </c>
      <c r="G14" s="2">
        <v>4</v>
      </c>
      <c r="H14" s="25" t="s">
        <v>25</v>
      </c>
      <c r="J14" s="12" t="s">
        <v>11</v>
      </c>
      <c r="K14" s="13">
        <v>4</v>
      </c>
      <c r="L14" s="19"/>
      <c r="O14" s="1">
        <v>8</v>
      </c>
      <c r="P14" s="29" t="s">
        <v>40</v>
      </c>
      <c r="Q14" s="30">
        <v>0.22222222222222221</v>
      </c>
      <c r="R14" s="30">
        <v>0.67847222222222225</v>
      </c>
      <c r="S14" s="39">
        <f t="shared" si="0"/>
        <v>0.45625000000000004</v>
      </c>
      <c r="T14" s="29">
        <v>5</v>
      </c>
      <c r="U14" s="45" t="s">
        <v>25</v>
      </c>
      <c r="W14" s="12" t="s">
        <v>11</v>
      </c>
      <c r="X14" s="13">
        <v>5</v>
      </c>
      <c r="AA14" s="1">
        <v>8</v>
      </c>
      <c r="AB14" s="2" t="s">
        <v>49</v>
      </c>
      <c r="AC14" s="41">
        <v>0.27083333333333331</v>
      </c>
      <c r="AD14" s="41" t="s">
        <v>310</v>
      </c>
      <c r="AE14" s="26" t="e">
        <f t="shared" si="1"/>
        <v>#VALUE!</v>
      </c>
      <c r="AF14" s="2">
        <v>5</v>
      </c>
      <c r="AG14" s="45" t="s">
        <v>25</v>
      </c>
      <c r="AI14" s="12" t="s">
        <v>11</v>
      </c>
      <c r="AJ14" s="13">
        <v>5</v>
      </c>
      <c r="AM14" s="1">
        <v>8</v>
      </c>
      <c r="AN14" s="2" t="s">
        <v>301</v>
      </c>
      <c r="AO14" s="41">
        <v>0.25416666666666665</v>
      </c>
      <c r="AP14" s="41">
        <v>0.70486111111111116</v>
      </c>
      <c r="AQ14" s="26">
        <f t="shared" si="2"/>
        <v>0.45069444444444451</v>
      </c>
      <c r="AR14" s="2">
        <v>5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">
        <v>9</v>
      </c>
      <c r="C15" s="2" t="s">
        <v>20</v>
      </c>
      <c r="D15" s="41">
        <v>0.27083333333333331</v>
      </c>
      <c r="E15" s="41">
        <v>0.67638888888888893</v>
      </c>
      <c r="F15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0.40555555555555561</v>
      </c>
      <c r="G15" s="2">
        <v>4</v>
      </c>
      <c r="H15" s="25" t="s">
        <v>25</v>
      </c>
      <c r="J15" s="12" t="s">
        <v>88</v>
      </c>
      <c r="K15" s="14">
        <f>B3/K8</f>
        <v>0.72727272727272729</v>
      </c>
      <c r="L15" s="19"/>
      <c r="O15" s="1">
        <v>9</v>
      </c>
      <c r="P15" s="29" t="s">
        <v>30</v>
      </c>
      <c r="Q15" s="30">
        <v>0.21249999999999999</v>
      </c>
      <c r="R15" s="30">
        <v>0.67847222222222225</v>
      </c>
      <c r="S15" s="39">
        <f t="shared" si="0"/>
        <v>0.46597222222222223</v>
      </c>
      <c r="T15" s="29">
        <v>5</v>
      </c>
      <c r="U15" s="45" t="s">
        <v>25</v>
      </c>
      <c r="W15" s="12" t="s">
        <v>88</v>
      </c>
      <c r="X15" s="14">
        <f>O3/X8</f>
        <v>0.8</v>
      </c>
      <c r="AA15" s="1">
        <v>9</v>
      </c>
      <c r="AB15" s="2" t="s">
        <v>80</v>
      </c>
      <c r="AC15" s="41">
        <v>0.22222222222222221</v>
      </c>
      <c r="AD15" s="41">
        <v>0.67361111111111116</v>
      </c>
      <c r="AE15" s="26">
        <f t="shared" si="1"/>
        <v>0.45138888888888895</v>
      </c>
      <c r="AF15" s="2">
        <v>5</v>
      </c>
      <c r="AG15" s="45" t="s">
        <v>25</v>
      </c>
      <c r="AI15" s="12" t="s">
        <v>88</v>
      </c>
      <c r="AJ15" s="14">
        <f>AA3/AJ8</f>
        <v>0.7142857142857143</v>
      </c>
      <c r="AM15" s="1">
        <v>9</v>
      </c>
      <c r="AN15" s="2" t="s">
        <v>306</v>
      </c>
      <c r="AO15" s="41">
        <v>0.24097222222222223</v>
      </c>
      <c r="AP15" s="41">
        <v>0.69236111111111109</v>
      </c>
      <c r="AQ15" s="26">
        <f t="shared" si="2"/>
        <v>0.45138888888888884</v>
      </c>
      <c r="AR15" s="2">
        <v>5</v>
      </c>
      <c r="AS15" s="45" t="s">
        <v>25</v>
      </c>
      <c r="AU15" s="12" t="s">
        <v>88</v>
      </c>
      <c r="AV15" s="14">
        <f>AM3/AV8</f>
        <v>0.8</v>
      </c>
    </row>
    <row r="16" spans="1:48" x14ac:dyDescent="0.2">
      <c r="B16" s="1">
        <v>10</v>
      </c>
      <c r="C16" s="2" t="s">
        <v>14</v>
      </c>
      <c r="D16" s="41">
        <v>0.26597222222222222</v>
      </c>
      <c r="E16" s="41">
        <v>0.67499999999999993</v>
      </c>
      <c r="F16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0.40902777777777771</v>
      </c>
      <c r="G16" s="2">
        <v>4</v>
      </c>
      <c r="H16" s="25" t="s">
        <v>25</v>
      </c>
      <c r="J16" s="12" t="s">
        <v>24</v>
      </c>
      <c r="K16" s="14">
        <f>K8/K7</f>
        <v>0.95652173913043481</v>
      </c>
      <c r="O16" s="28">
        <v>10</v>
      </c>
      <c r="P16" s="29" t="s">
        <v>309</v>
      </c>
      <c r="Q16" s="30">
        <v>0.24583333333333335</v>
      </c>
      <c r="R16" s="30">
        <v>0.71458333333333324</v>
      </c>
      <c r="S16" s="39">
        <f t="shared" si="0"/>
        <v>0.46874999999999989</v>
      </c>
      <c r="T16" s="29">
        <v>5</v>
      </c>
      <c r="U16" s="45" t="s">
        <v>25</v>
      </c>
      <c r="W16" s="12" t="s">
        <v>27</v>
      </c>
      <c r="X16" s="14">
        <f>X8/X7</f>
        <v>0.83333333333333337</v>
      </c>
      <c r="AA16" s="1">
        <v>10</v>
      </c>
      <c r="AB16" s="2" t="s">
        <v>47</v>
      </c>
      <c r="AC16" s="41">
        <v>0.26111111111111113</v>
      </c>
      <c r="AD16" s="41">
        <v>0.6972222222222223</v>
      </c>
      <c r="AE16" s="26">
        <f t="shared" si="1"/>
        <v>0.43611111111111117</v>
      </c>
      <c r="AF16" s="2">
        <v>5</v>
      </c>
      <c r="AG16" s="45" t="s">
        <v>25</v>
      </c>
      <c r="AI16" s="12" t="s">
        <v>27</v>
      </c>
      <c r="AJ16" s="14">
        <f>AJ8/AJ7</f>
        <v>0.93333333333333335</v>
      </c>
      <c r="AM16" s="1">
        <v>10</v>
      </c>
      <c r="AN16" s="2" t="s">
        <v>307</v>
      </c>
      <c r="AO16" s="41">
        <v>0.26527777777777778</v>
      </c>
      <c r="AP16" s="41">
        <v>0.68888888888888899</v>
      </c>
      <c r="AQ16" s="26">
        <f t="shared" si="2"/>
        <v>0.42361111111111122</v>
      </c>
      <c r="AR16" s="2">
        <v>5</v>
      </c>
      <c r="AS16" s="45" t="s">
        <v>25</v>
      </c>
      <c r="AU16" s="12" t="s">
        <v>27</v>
      </c>
      <c r="AV16" s="14">
        <f>AV8/AV7</f>
        <v>1</v>
      </c>
    </row>
    <row r="17" spans="2:48" x14ac:dyDescent="0.2">
      <c r="B17" s="1">
        <v>11</v>
      </c>
      <c r="C17" s="2" t="s">
        <v>70</v>
      </c>
      <c r="D17" s="41">
        <v>0.26458333333333334</v>
      </c>
      <c r="E17" s="41">
        <v>0.67152777777777783</v>
      </c>
      <c r="F17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0.4069444444444445</v>
      </c>
      <c r="G17" s="2">
        <v>4</v>
      </c>
      <c r="H17" s="25" t="s">
        <v>25</v>
      </c>
      <c r="J17" s="12" t="s">
        <v>117</v>
      </c>
      <c r="K17" s="48">
        <f>AVERAGE(Table1324567891011132125293439444954614914192429333642475391978610411011612212713113614191424193036[JAM KELUAR])</f>
        <v>0.25849116161616159</v>
      </c>
      <c r="O17" s="1">
        <v>11</v>
      </c>
      <c r="P17" s="29" t="s">
        <v>41</v>
      </c>
      <c r="Q17" s="30">
        <v>0.27916666666666667</v>
      </c>
      <c r="R17" s="30">
        <v>0.74097222222222225</v>
      </c>
      <c r="S17" s="39">
        <f t="shared" si="0"/>
        <v>0.46180555555555558</v>
      </c>
      <c r="T17" s="29">
        <v>5</v>
      </c>
      <c r="U17" s="45" t="s">
        <v>25</v>
      </c>
      <c r="W17" s="12" t="s">
        <v>117</v>
      </c>
      <c r="X17" s="48">
        <f>AVERAGE(Table13456789101117222630354045505562510152025303438434854929887105111117123128132137142101525203137[JAM KELUAR])</f>
        <v>0.26837962962962963</v>
      </c>
      <c r="AA17" s="1">
        <v>11</v>
      </c>
      <c r="AB17" s="2" t="s">
        <v>51</v>
      </c>
      <c r="AC17" s="41">
        <v>0.25416666666666665</v>
      </c>
      <c r="AD17" s="41">
        <v>0.67986111111111114</v>
      </c>
      <c r="AE17" s="26">
        <f t="shared" si="1"/>
        <v>0.42569444444444449</v>
      </c>
      <c r="AF17" s="2">
        <v>5</v>
      </c>
      <c r="AG17" s="45" t="s">
        <v>25</v>
      </c>
      <c r="AI17" s="12" t="s">
        <v>117</v>
      </c>
      <c r="AJ17" s="48">
        <f>AVERAGE(Table1345678910111518192327313742475259271217222732284146529096801031091151211261201351408132318283440[JAM KELUAR])</f>
        <v>0.26651785714285714</v>
      </c>
      <c r="AU17" s="12" t="s">
        <v>117</v>
      </c>
      <c r="AV17" s="48">
        <f>AVERAGE(Table13456789101115181923273137424752592712172227322841465290968010310911512112612013514081323182935[JAM KELUAR])</f>
        <v>0.26687500000000003</v>
      </c>
    </row>
    <row r="18" spans="2:48" x14ac:dyDescent="0.2">
      <c r="B18" s="1">
        <v>12</v>
      </c>
      <c r="C18" s="2" t="s">
        <v>71</v>
      </c>
      <c r="D18" s="41">
        <v>0.23541666666666669</v>
      </c>
      <c r="E18" s="41">
        <v>0.66111111111111109</v>
      </c>
      <c r="F18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0.42569444444444438</v>
      </c>
      <c r="G18" s="2">
        <v>4</v>
      </c>
      <c r="H18" s="25" t="s">
        <v>25</v>
      </c>
      <c r="O18" s="1">
        <v>12</v>
      </c>
      <c r="P18" s="29" t="s">
        <v>67</v>
      </c>
      <c r="Q18" s="30">
        <v>0.22638888888888889</v>
      </c>
      <c r="R18" s="30">
        <v>0.73611111111111116</v>
      </c>
      <c r="S18" s="39">
        <f t="shared" si="0"/>
        <v>0.5097222222222223</v>
      </c>
      <c r="T18" s="29">
        <v>5</v>
      </c>
      <c r="U18" s="45" t="s">
        <v>25</v>
      </c>
      <c r="AA18" s="1">
        <v>12</v>
      </c>
      <c r="AB18" s="2" t="s">
        <v>45</v>
      </c>
      <c r="AC18" s="41">
        <v>0.20347222222222219</v>
      </c>
      <c r="AD18" s="41">
        <v>0.70763888888888893</v>
      </c>
      <c r="AE18" s="26">
        <f t="shared" si="1"/>
        <v>0.50416666666666676</v>
      </c>
      <c r="AF18" s="2">
        <v>6</v>
      </c>
      <c r="AG18" s="45" t="s">
        <v>25</v>
      </c>
      <c r="AI18" s="17"/>
      <c r="AR18" s="34"/>
      <c r="AS18" s="35" t="s">
        <v>90</v>
      </c>
      <c r="AU18" s="17"/>
    </row>
    <row r="19" spans="2:48" ht="15.75" customHeight="1" x14ac:dyDescent="0.2">
      <c r="B19" s="1">
        <v>13</v>
      </c>
      <c r="C19" s="2" t="s">
        <v>68</v>
      </c>
      <c r="D19" s="41">
        <v>0.26180555555555557</v>
      </c>
      <c r="E19" s="41">
        <v>0.65138888888888891</v>
      </c>
      <c r="F19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0.38958333333333334</v>
      </c>
      <c r="G19" s="2">
        <v>4</v>
      </c>
      <c r="H19" s="25" t="s">
        <v>25</v>
      </c>
      <c r="O19" s="28">
        <v>13</v>
      </c>
      <c r="P19" s="29" t="s">
        <v>59</v>
      </c>
      <c r="Q19" s="30">
        <v>0.29444444444444445</v>
      </c>
      <c r="R19" s="30">
        <v>0.7416666666666667</v>
      </c>
      <c r="S19" s="39">
        <f t="shared" si="0"/>
        <v>0.44722222222222224</v>
      </c>
      <c r="T19" s="29">
        <v>5</v>
      </c>
      <c r="U19" s="45" t="s">
        <v>25</v>
      </c>
      <c r="AA19" s="1">
        <v>13</v>
      </c>
      <c r="AB19" s="2" t="s">
        <v>50</v>
      </c>
      <c r="AC19" s="41">
        <v>0.22152777777777777</v>
      </c>
      <c r="AD19" s="41">
        <v>0.69374999999999998</v>
      </c>
      <c r="AE19" s="26">
        <f t="shared" si="1"/>
        <v>0.47222222222222221</v>
      </c>
      <c r="AF19" s="2">
        <v>6</v>
      </c>
      <c r="AG19" s="45" t="s">
        <v>25</v>
      </c>
      <c r="AR19" s="56" t="s">
        <v>209</v>
      </c>
      <c r="AS19" s="35" t="s">
        <v>92</v>
      </c>
    </row>
    <row r="20" spans="2:48" ht="17.25" customHeight="1" x14ac:dyDescent="0.2">
      <c r="B20" s="1">
        <v>14</v>
      </c>
      <c r="C20" s="2" t="s">
        <v>73</v>
      </c>
      <c r="D20" s="41">
        <v>0.2388888888888889</v>
      </c>
      <c r="E20" s="41">
        <v>0.68611111111111101</v>
      </c>
      <c r="F20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0.44722222222222208</v>
      </c>
      <c r="G20" s="2">
        <v>4</v>
      </c>
      <c r="H20" s="25" t="s">
        <v>25</v>
      </c>
      <c r="O20" s="1">
        <v>14</v>
      </c>
      <c r="P20" s="29" t="s">
        <v>31</v>
      </c>
      <c r="Q20" s="30">
        <v>0.28055555555555556</v>
      </c>
      <c r="R20" s="30">
        <v>0.73819444444444438</v>
      </c>
      <c r="S20" s="39">
        <f t="shared" si="0"/>
        <v>0.45763888888888882</v>
      </c>
      <c r="T20" s="29">
        <v>6</v>
      </c>
      <c r="U20" s="45" t="s">
        <v>25</v>
      </c>
      <c r="AA20" s="1">
        <v>14</v>
      </c>
      <c r="AB20" s="2" t="s">
        <v>81</v>
      </c>
      <c r="AC20" s="41">
        <v>0.28402777777777777</v>
      </c>
      <c r="AD20" s="41">
        <v>0.74652777777777779</v>
      </c>
      <c r="AE20" s="26">
        <f t="shared" si="1"/>
        <v>0.46250000000000002</v>
      </c>
      <c r="AF20" s="2">
        <v>6</v>
      </c>
      <c r="AG20" s="45" t="s">
        <v>25</v>
      </c>
    </row>
    <row r="21" spans="2:48" ht="15.75" customHeight="1" x14ac:dyDescent="0.2">
      <c r="B21" s="1">
        <v>15</v>
      </c>
      <c r="C21" s="2" t="s">
        <v>69</v>
      </c>
      <c r="D21" s="41">
        <v>0.27986111111111112</v>
      </c>
      <c r="E21" s="41">
        <v>0.70277777777777783</v>
      </c>
      <c r="F21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0.42291666666666672</v>
      </c>
      <c r="G21" s="2">
        <v>4</v>
      </c>
      <c r="H21" s="25" t="s">
        <v>25</v>
      </c>
      <c r="O21" s="1">
        <v>15</v>
      </c>
      <c r="P21" s="29" t="s">
        <v>34</v>
      </c>
      <c r="Q21" s="30">
        <v>0.25555555555555559</v>
      </c>
      <c r="R21" s="30">
        <v>0.73819444444444438</v>
      </c>
      <c r="S21" s="39">
        <f t="shared" si="0"/>
        <v>0.48263888888888878</v>
      </c>
      <c r="T21" s="29">
        <v>6</v>
      </c>
      <c r="U21" s="45" t="s">
        <v>25</v>
      </c>
    </row>
    <row r="22" spans="2:48" ht="15" customHeight="1" x14ac:dyDescent="0.2">
      <c r="B22" s="1">
        <v>16</v>
      </c>
      <c r="C22" s="2" t="s">
        <v>76</v>
      </c>
      <c r="D22" s="41">
        <v>0.20902777777777778</v>
      </c>
      <c r="E22" s="41">
        <v>0.66041666666666665</v>
      </c>
      <c r="F22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0.45138888888888884</v>
      </c>
      <c r="G22" s="2">
        <v>4</v>
      </c>
      <c r="H22" s="25" t="s">
        <v>25</v>
      </c>
    </row>
    <row r="23" spans="2:48" ht="15" customHeight="1" x14ac:dyDescent="0.25">
      <c r="B23" s="1">
        <v>17</v>
      </c>
      <c r="C23" s="2" t="s">
        <v>120</v>
      </c>
      <c r="D23" s="41">
        <v>0.26319444444444445</v>
      </c>
      <c r="E23" s="41">
        <v>0.68333333333333324</v>
      </c>
      <c r="F23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0.42013888888888878</v>
      </c>
      <c r="G23" s="2">
        <v>4</v>
      </c>
      <c r="H23" s="25" t="s">
        <v>25</v>
      </c>
      <c r="O23" s="108" t="s">
        <v>66</v>
      </c>
      <c r="P23" s="108"/>
      <c r="Q23" s="108"/>
      <c r="R23" s="108"/>
      <c r="S23" s="108"/>
      <c r="T23" s="108"/>
      <c r="U23" s="108"/>
      <c r="W23" s="106" t="s">
        <v>28</v>
      </c>
      <c r="X23" s="106"/>
    </row>
    <row r="24" spans="2:48" ht="15" customHeight="1" x14ac:dyDescent="0.2">
      <c r="B24" s="1">
        <v>18</v>
      </c>
      <c r="C24" s="2" t="s">
        <v>17</v>
      </c>
      <c r="D24" s="41">
        <v>0.23472222222222219</v>
      </c>
      <c r="E24" s="41">
        <v>0.66736111111111107</v>
      </c>
      <c r="F24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0.43263888888888891</v>
      </c>
      <c r="G24" s="2">
        <v>4</v>
      </c>
      <c r="H24" s="25" t="s">
        <v>25</v>
      </c>
      <c r="O24" s="109">
        <f>B5</f>
        <v>45420</v>
      </c>
      <c r="P24" s="109"/>
      <c r="Q24" s="109"/>
      <c r="R24" s="109"/>
      <c r="S24" s="109"/>
      <c r="T24" s="109"/>
      <c r="U24" s="109"/>
      <c r="W24" s="110"/>
      <c r="X24" s="110"/>
      <c r="AF24" s="34"/>
      <c r="AG24" s="35" t="s">
        <v>90</v>
      </c>
    </row>
    <row r="25" spans="2:48" ht="14.5" customHeight="1" x14ac:dyDescent="0.2">
      <c r="B25" s="1">
        <v>19</v>
      </c>
      <c r="C25" s="2" t="s">
        <v>18</v>
      </c>
      <c r="D25" s="41">
        <v>0.23958333333333334</v>
      </c>
      <c r="E25" s="41">
        <v>0.66249999999999998</v>
      </c>
      <c r="F25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0.42291666666666661</v>
      </c>
      <c r="G25" s="2">
        <v>4</v>
      </c>
      <c r="H25" s="25" t="s">
        <v>25</v>
      </c>
      <c r="O25" s="2" t="s">
        <v>0</v>
      </c>
      <c r="P25" s="2" t="s">
        <v>1</v>
      </c>
      <c r="Q25" s="22" t="s">
        <v>61</v>
      </c>
      <c r="R25" s="22" t="s">
        <v>62</v>
      </c>
      <c r="S25" s="22" t="s">
        <v>63</v>
      </c>
      <c r="T25" s="2" t="s">
        <v>2</v>
      </c>
      <c r="U25" s="2" t="s">
        <v>3</v>
      </c>
      <c r="W25" s="3" t="s">
        <v>29</v>
      </c>
      <c r="X25" s="5">
        <f>SUM(X27:X30)</f>
        <v>8</v>
      </c>
      <c r="AF25" s="56" t="s">
        <v>209</v>
      </c>
      <c r="AG25" s="35" t="s">
        <v>92</v>
      </c>
    </row>
    <row r="26" spans="2:48" ht="14.5" customHeight="1" x14ac:dyDescent="0.2">
      <c r="B26" s="1">
        <v>20</v>
      </c>
      <c r="C26" s="2" t="s">
        <v>72</v>
      </c>
      <c r="D26" s="41">
        <v>0.21388888888888891</v>
      </c>
      <c r="E26" s="41">
        <v>0.66597222222222219</v>
      </c>
      <c r="F26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0.45208333333333328</v>
      </c>
      <c r="G26" s="2">
        <v>5</v>
      </c>
      <c r="H26" s="25" t="s">
        <v>25</v>
      </c>
      <c r="N26" s="54"/>
      <c r="O26" s="15">
        <v>1</v>
      </c>
      <c r="P26" s="23" t="s">
        <v>37</v>
      </c>
      <c r="Q26" s="40">
        <v>0.2951388888888889</v>
      </c>
      <c r="R26" s="40">
        <v>0.61944444444444446</v>
      </c>
      <c r="S26" s="37">
        <f t="shared" ref="S26:S33" si="3">R26-Q26</f>
        <v>0.32430555555555557</v>
      </c>
      <c r="T26" s="23">
        <v>3</v>
      </c>
      <c r="U26" s="16" t="s">
        <v>319</v>
      </c>
      <c r="W26" s="4" t="s">
        <v>10</v>
      </c>
      <c r="X26" s="6">
        <v>8</v>
      </c>
    </row>
    <row r="27" spans="2:48" ht="14.5" customHeight="1" x14ac:dyDescent="0.2">
      <c r="B27" s="1">
        <v>21</v>
      </c>
      <c r="C27" s="2" t="s">
        <v>74</v>
      </c>
      <c r="D27" s="41">
        <v>0.25833333333333336</v>
      </c>
      <c r="E27" s="41">
        <v>0.71875</v>
      </c>
      <c r="F27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0.46041666666666664</v>
      </c>
      <c r="G27" s="2">
        <v>5</v>
      </c>
      <c r="H27" s="25" t="s">
        <v>25</v>
      </c>
      <c r="O27" s="15">
        <v>2</v>
      </c>
      <c r="P27" s="23" t="s">
        <v>201</v>
      </c>
      <c r="Q27" s="40">
        <v>0.27013888888888887</v>
      </c>
      <c r="R27" s="40" t="s">
        <v>310</v>
      </c>
      <c r="S27" s="37" t="e">
        <f t="shared" si="3"/>
        <v>#VALUE!</v>
      </c>
      <c r="T27" s="23">
        <v>3</v>
      </c>
      <c r="U27" s="47" t="s">
        <v>320</v>
      </c>
      <c r="W27" s="4" t="s">
        <v>9</v>
      </c>
      <c r="X27" s="7">
        <v>8</v>
      </c>
      <c r="AR27" s="49"/>
    </row>
    <row r="28" spans="2:48" x14ac:dyDescent="0.2">
      <c r="B28" s="1">
        <v>22</v>
      </c>
      <c r="C28" s="2" t="s">
        <v>75</v>
      </c>
      <c r="D28" s="41">
        <v>0.23055555555555554</v>
      </c>
      <c r="E28" s="41">
        <v>0.69166666666666676</v>
      </c>
      <c r="F28" s="26">
        <f>Table1324567891011132125293439444954614914192429333642475391978610411011612212713113614191424193036[[#This Row],[JAM MASUK]]-Table1324567891011132125293439444954614914192429333642475391978610411011612212713113614191424193036[[#This Row],[JAM KELUAR]]</f>
        <v>0.46111111111111125</v>
      </c>
      <c r="G28" s="2">
        <v>5</v>
      </c>
      <c r="H28" s="25" t="s">
        <v>25</v>
      </c>
      <c r="O28" s="50">
        <v>3</v>
      </c>
      <c r="P28" s="33" t="s">
        <v>39</v>
      </c>
      <c r="Q28" s="44">
        <v>0.29166666666666669</v>
      </c>
      <c r="R28" s="44">
        <v>0.65</v>
      </c>
      <c r="S28" s="52">
        <f t="shared" si="3"/>
        <v>0.35833333333333334</v>
      </c>
      <c r="T28" s="33">
        <v>3</v>
      </c>
      <c r="U28" s="53" t="s">
        <v>324</v>
      </c>
      <c r="W28" s="4" t="s">
        <v>4</v>
      </c>
      <c r="X28" s="7">
        <v>0</v>
      </c>
    </row>
    <row r="29" spans="2:48" x14ac:dyDescent="0.2">
      <c r="N29" s="54" t="s">
        <v>209</v>
      </c>
      <c r="O29" s="50">
        <v>4</v>
      </c>
      <c r="P29" s="33" t="s">
        <v>42</v>
      </c>
      <c r="Q29" s="44">
        <v>0.36041666666666666</v>
      </c>
      <c r="R29" s="44">
        <v>0.66597222222222219</v>
      </c>
      <c r="S29" s="52">
        <f t="shared" si="3"/>
        <v>0.30555555555555552</v>
      </c>
      <c r="T29" s="33">
        <v>3</v>
      </c>
      <c r="U29" s="55" t="s">
        <v>321</v>
      </c>
      <c r="W29" s="4" t="s">
        <v>5</v>
      </c>
      <c r="X29" s="7">
        <v>0</v>
      </c>
      <c r="AF29" s="49"/>
    </row>
    <row r="30" spans="2:48" x14ac:dyDescent="0.2">
      <c r="O30" s="1">
        <v>5</v>
      </c>
      <c r="P30" s="29" t="s">
        <v>83</v>
      </c>
      <c r="Q30" s="30">
        <v>0.27361111111111108</v>
      </c>
      <c r="R30" s="30">
        <v>0.69305555555555554</v>
      </c>
      <c r="S30" s="39">
        <f t="shared" si="3"/>
        <v>0.41944444444444445</v>
      </c>
      <c r="T30" s="29">
        <v>4</v>
      </c>
      <c r="U30" s="45" t="s">
        <v>25</v>
      </c>
      <c r="W30" s="4" t="s">
        <v>33</v>
      </c>
      <c r="X30" s="7">
        <v>0</v>
      </c>
    </row>
    <row r="31" spans="2:48" x14ac:dyDescent="0.2">
      <c r="O31" s="1">
        <v>6</v>
      </c>
      <c r="P31" s="29" t="s">
        <v>84</v>
      </c>
      <c r="Q31" s="30">
        <v>0.26944444444444443</v>
      </c>
      <c r="R31" s="30">
        <v>0.68611111111111101</v>
      </c>
      <c r="S31" s="39">
        <f t="shared" si="3"/>
        <v>0.41666666666666657</v>
      </c>
      <c r="T31" s="29">
        <v>4</v>
      </c>
      <c r="U31" s="45" t="s">
        <v>25</v>
      </c>
      <c r="W31" s="8" t="s">
        <v>8</v>
      </c>
      <c r="X31" s="9">
        <f>SUM(Table1345678910111722263032364146515663611162126313539444955939988106112118124129133138143111626213238[Retase])</f>
        <v>28</v>
      </c>
    </row>
    <row r="32" spans="2:48" x14ac:dyDescent="0.2">
      <c r="G32" s="34"/>
      <c r="H32" s="35" t="s">
        <v>90</v>
      </c>
      <c r="O32" s="1">
        <v>7</v>
      </c>
      <c r="P32" s="29" t="s">
        <v>36</v>
      </c>
      <c r="Q32" s="30">
        <v>0.26597222222222222</v>
      </c>
      <c r="R32" s="30">
        <v>0.71527777777777779</v>
      </c>
      <c r="S32" s="39">
        <f t="shared" si="3"/>
        <v>0.44930555555555557</v>
      </c>
      <c r="T32" s="29">
        <v>4</v>
      </c>
      <c r="U32" s="45" t="s">
        <v>25</v>
      </c>
      <c r="V32" s="1"/>
      <c r="W32" s="10" t="s">
        <v>7</v>
      </c>
      <c r="X32" s="11">
        <f>X31/X27</f>
        <v>3.5</v>
      </c>
      <c r="AM32" s="49"/>
    </row>
    <row r="33" spans="1:27" x14ac:dyDescent="0.2">
      <c r="G33" s="56" t="s">
        <v>209</v>
      </c>
      <c r="H33" s="35" t="s">
        <v>92</v>
      </c>
      <c r="O33" s="1">
        <v>8</v>
      </c>
      <c r="P33" s="29" t="s">
        <v>38</v>
      </c>
      <c r="Q33" s="30">
        <v>0.28680555555555554</v>
      </c>
      <c r="R33" s="30">
        <v>0.69236111111111109</v>
      </c>
      <c r="S33" s="39">
        <f t="shared" si="3"/>
        <v>0.40555555555555556</v>
      </c>
      <c r="T33" s="29">
        <v>4</v>
      </c>
      <c r="U33" s="45" t="s">
        <v>25</v>
      </c>
      <c r="V33" s="1"/>
      <c r="W33" s="12" t="s">
        <v>11</v>
      </c>
      <c r="X33" s="13">
        <v>4</v>
      </c>
    </row>
    <row r="34" spans="1:27" x14ac:dyDescent="0.2">
      <c r="V34" s="1"/>
      <c r="W34" s="12" t="s">
        <v>88</v>
      </c>
      <c r="X34" s="14">
        <f>P3/X27</f>
        <v>0.5</v>
      </c>
      <c r="AA34" s="49"/>
    </row>
    <row r="35" spans="1:27" x14ac:dyDescent="0.2">
      <c r="V35" s="1"/>
      <c r="W35" s="12" t="s">
        <v>27</v>
      </c>
      <c r="X35" s="14">
        <f>X27/X26</f>
        <v>1</v>
      </c>
    </row>
    <row r="36" spans="1:27" x14ac:dyDescent="0.2">
      <c r="B36" s="49"/>
      <c r="O36" s="49"/>
      <c r="T36" s="34"/>
      <c r="U36" s="35" t="s">
        <v>90</v>
      </c>
      <c r="V36" s="1"/>
      <c r="W36" s="12" t="s">
        <v>117</v>
      </c>
      <c r="X36" s="48">
        <f>AVERAGE(Table1345678910111722263032364146515663611162126313539444955939988106112118124129133138143111626213238[JAM KELUAR])</f>
        <v>0.28914930555555551</v>
      </c>
    </row>
    <row r="37" spans="1:27" x14ac:dyDescent="0.2">
      <c r="T37" s="56" t="s">
        <v>209</v>
      </c>
      <c r="U37" s="35" t="s">
        <v>92</v>
      </c>
      <c r="V37" s="1"/>
    </row>
    <row r="38" spans="1:27" x14ac:dyDescent="0.2">
      <c r="V38" s="1"/>
    </row>
    <row r="39" spans="1:27" x14ac:dyDescent="0.2">
      <c r="V39" s="1"/>
    </row>
    <row r="40" spans="1:27" x14ac:dyDescent="0.2">
      <c r="V40" s="1"/>
    </row>
    <row r="41" spans="1:27" ht="21" x14ac:dyDescent="0.25">
      <c r="A41" s="46"/>
    </row>
    <row r="49" spans="15:22" x14ac:dyDescent="0.2">
      <c r="O49" s="2" t="s">
        <v>0</v>
      </c>
      <c r="P49" s="2" t="s">
        <v>1</v>
      </c>
      <c r="Q49" s="22" t="s">
        <v>61</v>
      </c>
      <c r="R49" s="22" t="s">
        <v>62</v>
      </c>
      <c r="S49" s="22" t="s">
        <v>63</v>
      </c>
      <c r="T49" s="2" t="s">
        <v>2</v>
      </c>
      <c r="U49" s="2" t="s">
        <v>3</v>
      </c>
    </row>
    <row r="50" spans="15:22" x14ac:dyDescent="0.2">
      <c r="O50" s="27">
        <v>1</v>
      </c>
      <c r="P50" s="2"/>
      <c r="Q50" s="41"/>
      <c r="R50" s="42"/>
      <c r="S50" s="26"/>
      <c r="T50" s="2"/>
      <c r="U50" s="24"/>
    </row>
    <row r="51" spans="15:22" x14ac:dyDescent="0.2">
      <c r="O51" s="15">
        <v>2</v>
      </c>
      <c r="P51" s="29"/>
      <c r="Q51" s="30"/>
      <c r="R51" s="36"/>
      <c r="S51" s="26"/>
      <c r="T51" s="29"/>
      <c r="U51" s="24"/>
    </row>
    <row r="52" spans="15:22" x14ac:dyDescent="0.2">
      <c r="O52" s="15">
        <v>3</v>
      </c>
      <c r="P52" s="29"/>
      <c r="Q52" s="30"/>
      <c r="R52" s="36"/>
      <c r="S52" s="39"/>
      <c r="T52" s="29"/>
      <c r="U52" s="16"/>
    </row>
    <row r="53" spans="15:22" x14ac:dyDescent="0.2">
      <c r="O53" s="27">
        <v>4</v>
      </c>
      <c r="P53" s="29"/>
      <c r="Q53" s="30"/>
      <c r="R53" s="36"/>
      <c r="S53" s="39"/>
      <c r="T53" s="29"/>
      <c r="U53" s="24"/>
    </row>
    <row r="54" spans="15:22" x14ac:dyDescent="0.2">
      <c r="O54" s="15">
        <v>5</v>
      </c>
      <c r="P54" s="29"/>
      <c r="Q54" s="30"/>
      <c r="R54" s="36"/>
      <c r="S54" s="26"/>
      <c r="T54" s="29"/>
      <c r="U54" s="24"/>
    </row>
    <row r="55" spans="15:22" x14ac:dyDescent="0.2">
      <c r="O55" s="15">
        <v>6</v>
      </c>
      <c r="P55" s="29"/>
      <c r="Q55" s="30"/>
      <c r="R55" s="36"/>
      <c r="S55" s="26"/>
      <c r="T55" s="29"/>
      <c r="U55" s="24"/>
    </row>
    <row r="56" spans="15:22" x14ac:dyDescent="0.2">
      <c r="O56" s="27">
        <v>7</v>
      </c>
      <c r="P56" s="29"/>
      <c r="Q56" s="30"/>
      <c r="R56" s="36"/>
      <c r="S56" s="39"/>
      <c r="T56" s="29"/>
      <c r="U56" s="24"/>
    </row>
    <row r="57" spans="15:22" x14ac:dyDescent="0.2">
      <c r="O57" s="15">
        <v>8</v>
      </c>
      <c r="P57" s="29"/>
      <c r="Q57" s="30"/>
      <c r="R57" s="36"/>
      <c r="S57" s="26"/>
      <c r="T57" s="29"/>
      <c r="U57" s="24"/>
    </row>
    <row r="58" spans="15:22" x14ac:dyDescent="0.2">
      <c r="O58" s="15">
        <v>9</v>
      </c>
      <c r="P58" s="29"/>
      <c r="Q58" s="30"/>
      <c r="R58" s="36"/>
      <c r="S58" s="26"/>
      <c r="T58" s="29"/>
      <c r="U58" s="24"/>
    </row>
    <row r="59" spans="15:22" x14ac:dyDescent="0.2">
      <c r="O59" s="27">
        <v>10</v>
      </c>
      <c r="P59" s="29"/>
      <c r="Q59" s="30"/>
      <c r="R59" s="36"/>
      <c r="S59" s="26"/>
      <c r="T59" s="29"/>
      <c r="U59" s="24"/>
    </row>
    <row r="60" spans="15:22" x14ac:dyDescent="0.2">
      <c r="O60" s="15">
        <v>11</v>
      </c>
      <c r="P60" s="29"/>
      <c r="Q60" s="30"/>
      <c r="R60" s="36"/>
      <c r="S60" s="26"/>
      <c r="T60" s="29"/>
      <c r="U60" s="24"/>
    </row>
    <row r="61" spans="15:22" x14ac:dyDescent="0.2">
      <c r="O61" s="1">
        <v>12</v>
      </c>
      <c r="P61" s="29"/>
      <c r="Q61" s="30"/>
      <c r="R61" s="36"/>
      <c r="S61" s="39"/>
      <c r="T61" s="29"/>
      <c r="U61" s="25"/>
    </row>
    <row r="62" spans="15:22" x14ac:dyDescent="0.2">
      <c r="O62" s="28">
        <v>13</v>
      </c>
      <c r="P62" s="29"/>
      <c r="Q62" s="30"/>
      <c r="R62" s="36"/>
      <c r="S62" s="26"/>
      <c r="T62" s="29"/>
      <c r="U62" s="25"/>
    </row>
    <row r="63" spans="15:22" x14ac:dyDescent="0.2">
      <c r="O63" s="27">
        <v>14</v>
      </c>
      <c r="P63" s="29"/>
      <c r="Q63" s="30"/>
      <c r="R63" s="36"/>
      <c r="S63" s="26"/>
      <c r="T63" s="29"/>
      <c r="U63" s="24"/>
      <c r="V63" s="1"/>
    </row>
    <row r="64" spans="15:22" x14ac:dyDescent="0.2">
      <c r="O64" s="15">
        <v>15</v>
      </c>
      <c r="P64" s="29"/>
      <c r="Q64" s="30"/>
      <c r="R64" s="36"/>
      <c r="S64" s="26"/>
      <c r="T64" s="29"/>
      <c r="U64" s="24"/>
      <c r="V64" s="1"/>
    </row>
    <row r="65" spans="15:22" x14ac:dyDescent="0.2">
      <c r="O65" s="1">
        <v>16</v>
      </c>
      <c r="P65" s="29"/>
      <c r="Q65" s="30"/>
      <c r="R65" s="36"/>
      <c r="S65" s="26"/>
      <c r="T65" s="29"/>
      <c r="U65" s="25"/>
      <c r="V65" s="1"/>
    </row>
    <row r="66" spans="15:22" x14ac:dyDescent="0.2">
      <c r="O66" s="28">
        <v>17</v>
      </c>
      <c r="P66" s="29"/>
      <c r="Q66" s="30"/>
      <c r="R66" s="36"/>
      <c r="S66" s="26"/>
      <c r="T66" s="29"/>
      <c r="U66" s="25"/>
    </row>
    <row r="67" spans="15:22" x14ac:dyDescent="0.2">
      <c r="O67" s="27">
        <v>18</v>
      </c>
      <c r="P67" s="29"/>
      <c r="Q67" s="30"/>
      <c r="R67" s="36"/>
      <c r="S67" s="26"/>
      <c r="T67" s="29"/>
      <c r="U67" s="24"/>
    </row>
    <row r="68" spans="15:22" x14ac:dyDescent="0.2">
      <c r="O68" s="1">
        <v>19</v>
      </c>
      <c r="P68" s="29"/>
      <c r="Q68" s="30"/>
      <c r="R68" s="36"/>
      <c r="S68" s="39"/>
      <c r="T68" s="29"/>
      <c r="U68" s="25"/>
    </row>
    <row r="69" spans="15:22" x14ac:dyDescent="0.2">
      <c r="O69" s="1">
        <v>20</v>
      </c>
      <c r="P69" s="29"/>
      <c r="Q69" s="30"/>
      <c r="R69" s="36"/>
      <c r="S69" s="39"/>
      <c r="T69" s="29"/>
      <c r="U69" s="25"/>
    </row>
    <row r="70" spans="15:22" x14ac:dyDescent="0.2">
      <c r="O70" s="28">
        <v>21</v>
      </c>
      <c r="P70" s="29"/>
      <c r="Q70" s="30"/>
      <c r="R70" s="36"/>
      <c r="S70" s="26"/>
      <c r="T70" s="29"/>
      <c r="U70" s="25"/>
    </row>
    <row r="71" spans="15:22" x14ac:dyDescent="0.2">
      <c r="O71" s="27">
        <v>22</v>
      </c>
      <c r="P71" s="29"/>
      <c r="Q71" s="30"/>
      <c r="R71" s="36"/>
      <c r="S71" s="26"/>
      <c r="T71" s="29"/>
      <c r="U71" s="25"/>
    </row>
  </sheetData>
  <mergeCells count="22">
    <mergeCell ref="AM1:AV1"/>
    <mergeCell ref="O23:U23"/>
    <mergeCell ref="W23:X24"/>
    <mergeCell ref="O24:U24"/>
    <mergeCell ref="O1:X1"/>
    <mergeCell ref="AA1:AJ1"/>
    <mergeCell ref="AM4:AS4"/>
    <mergeCell ref="AU4:AV5"/>
    <mergeCell ref="B5:H5"/>
    <mergeCell ref="O5:U5"/>
    <mergeCell ref="AA5:AG5"/>
    <mergeCell ref="AM5:AS5"/>
    <mergeCell ref="B2:K2"/>
    <mergeCell ref="O2:X2"/>
    <mergeCell ref="AA2:AJ2"/>
    <mergeCell ref="AM2:AV2"/>
    <mergeCell ref="B4:H4"/>
    <mergeCell ref="J4:K5"/>
    <mergeCell ref="O4:U4"/>
    <mergeCell ref="W4:X5"/>
    <mergeCell ref="AA4:AG4"/>
    <mergeCell ref="AI4:AJ5"/>
  </mergeCells>
  <pageMargins left="0.12" right="0.12" top="0.75" bottom="0.75" header="0.3" footer="0.3"/>
  <pageSetup paperSize="5" scale="82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5" min="1" max="39" man="1"/>
    <brk id="37" min="1" max="39" man="1"/>
  </colBreaks>
  <tableParts count="6">
    <tablePart r:id="rId2"/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3B43-BE0E-4080-9E4A-41F7790CA450}">
  <sheetPr>
    <tabColor theme="7" tint="0.39997558519241921"/>
  </sheetPr>
  <dimension ref="A1:AV69"/>
  <sheetViews>
    <sheetView showGridLines="0" view="pageBreakPreview" zoomScale="70" zoomScaleNormal="55" zoomScaleSheetLayoutView="70" workbookViewId="0">
      <selection activeCell="AN7" sqref="AN7:AS16"/>
    </sheetView>
  </sheetViews>
  <sheetFormatPr baseColWidth="10" defaultColWidth="8.83203125" defaultRowHeight="15" x14ac:dyDescent="0.2"/>
  <cols>
    <col min="1" max="1" width="2.83203125" customWidth="1"/>
    <col min="2" max="2" width="6" customWidth="1"/>
    <col min="3" max="3" width="10.6640625" customWidth="1"/>
    <col min="4" max="4" width="14" customWidth="1"/>
    <col min="5" max="5" width="19.5" bestFit="1" customWidth="1"/>
    <col min="6" max="6" width="17.1640625" customWidth="1"/>
    <col min="7" max="7" width="7.5" customWidth="1"/>
    <col min="8" max="8" width="79.33203125" customWidth="1"/>
    <col min="9" max="9" width="3.1640625" customWidth="1"/>
    <col min="10" max="10" width="32.6640625" bestFit="1" customWidth="1"/>
    <col min="11" max="11" width="18.1640625" customWidth="1"/>
    <col min="12" max="12" width="0.33203125" style="18" hidden="1" customWidth="1"/>
    <col min="13" max="13" width="1.5" customWidth="1"/>
    <col min="14" max="14" width="3.6640625" bestFit="1" customWidth="1"/>
    <col min="15" max="15" width="6.83203125" customWidth="1"/>
    <col min="16" max="16" width="11.6640625" bestFit="1" customWidth="1"/>
    <col min="17" max="17" width="11.6640625" customWidth="1"/>
    <col min="18" max="18" width="24.5" customWidth="1"/>
    <col min="19" max="19" width="16.5" customWidth="1"/>
    <col min="20" max="20" width="7.5" customWidth="1"/>
    <col min="21" max="21" width="78.5" customWidth="1"/>
    <col min="22" max="22" width="1.6640625" customWidth="1"/>
    <col min="23" max="23" width="32.6640625" bestFit="1" customWidth="1"/>
    <col min="24" max="24" width="16.5" customWidth="1"/>
    <col min="25" max="25" width="1.5" customWidth="1"/>
    <col min="26" max="26" width="3.6640625" bestFit="1" customWidth="1"/>
    <col min="27" max="27" width="7.5" customWidth="1"/>
    <col min="28" max="28" width="14.5" bestFit="1" customWidth="1"/>
    <col min="29" max="29" width="14.5" customWidth="1"/>
    <col min="30" max="30" width="17" bestFit="1" customWidth="1"/>
    <col min="31" max="31" width="14.5" customWidth="1"/>
    <col min="32" max="32" width="7.1640625" customWidth="1"/>
    <col min="33" max="33" width="82.5" customWidth="1"/>
    <col min="34" max="34" width="2.5" customWidth="1"/>
    <col min="35" max="35" width="32.6640625" bestFit="1" customWidth="1"/>
    <col min="36" max="36" width="10" customWidth="1"/>
    <col min="37" max="37" width="1.5" customWidth="1"/>
    <col min="38" max="38" width="3.6640625" bestFit="1" customWidth="1"/>
    <col min="39" max="39" width="7.5" customWidth="1"/>
    <col min="40" max="40" width="14.5" bestFit="1" customWidth="1"/>
    <col min="41" max="41" width="14.5" customWidth="1"/>
    <col min="42" max="42" width="17" bestFit="1" customWidth="1"/>
    <col min="43" max="43" width="14.5" customWidth="1"/>
    <col min="44" max="44" width="7.1640625" customWidth="1"/>
    <col min="45" max="45" width="82.5" customWidth="1"/>
    <col min="46" max="46" width="2.5" customWidth="1"/>
    <col min="47" max="47" width="32.6640625" bestFit="1" customWidth="1"/>
    <col min="48" max="48" width="10" customWidth="1"/>
    <col min="49" max="49" width="17.83203125" customWidth="1"/>
    <col min="50" max="50" width="15.83203125" customWidth="1"/>
  </cols>
  <sheetData>
    <row r="1" spans="1:48" ht="21" x14ac:dyDescent="0.25">
      <c r="B1" s="59"/>
      <c r="C1" s="59"/>
      <c r="D1" s="59"/>
      <c r="E1" s="59"/>
      <c r="F1" s="59"/>
      <c r="G1" s="59"/>
      <c r="H1" s="59"/>
      <c r="I1" s="59"/>
      <c r="J1" s="59"/>
      <c r="K1" s="59"/>
      <c r="O1" s="104"/>
      <c r="P1" s="104"/>
      <c r="Q1" s="104"/>
      <c r="R1" s="104"/>
      <c r="S1" s="104"/>
      <c r="T1" s="104"/>
      <c r="U1" s="104"/>
      <c r="V1" s="104"/>
      <c r="W1" s="104"/>
      <c r="X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</row>
    <row r="2" spans="1:48" ht="21" x14ac:dyDescent="0.25">
      <c r="B2" s="104" t="s">
        <v>52</v>
      </c>
      <c r="C2" s="104"/>
      <c r="D2" s="104"/>
      <c r="E2" s="104"/>
      <c r="F2" s="104"/>
      <c r="G2" s="104"/>
      <c r="H2" s="104"/>
      <c r="I2" s="104"/>
      <c r="J2" s="104"/>
      <c r="K2" s="104"/>
      <c r="O2" s="104" t="s">
        <v>53</v>
      </c>
      <c r="P2" s="104"/>
      <c r="Q2" s="104"/>
      <c r="R2" s="104"/>
      <c r="S2" s="104"/>
      <c r="T2" s="104"/>
      <c r="U2" s="104"/>
      <c r="V2" s="104"/>
      <c r="W2" s="104"/>
      <c r="X2" s="104"/>
      <c r="AA2" s="104" t="s">
        <v>54</v>
      </c>
      <c r="AB2" s="104"/>
      <c r="AC2" s="104"/>
      <c r="AD2" s="104"/>
      <c r="AE2" s="104"/>
      <c r="AF2" s="104"/>
      <c r="AG2" s="104"/>
      <c r="AH2" s="104"/>
      <c r="AI2" s="104"/>
      <c r="AJ2" s="104"/>
      <c r="AM2" s="104" t="s">
        <v>227</v>
      </c>
      <c r="AN2" s="104"/>
      <c r="AO2" s="104"/>
      <c r="AP2" s="104"/>
      <c r="AQ2" s="104"/>
      <c r="AR2" s="104"/>
      <c r="AS2" s="104"/>
      <c r="AT2" s="104"/>
      <c r="AU2" s="104"/>
      <c r="AV2" s="104"/>
    </row>
    <row r="3" spans="1:48" x14ac:dyDescent="0.2">
      <c r="B3" s="60">
        <f>COUNTIF(Table132456789101113212529343944495461491419242933364247539197861041101161221271311361419142419303642[Retase],"&gt;3")</f>
        <v>3</v>
      </c>
      <c r="D3" t="s">
        <v>241</v>
      </c>
      <c r="O3" s="60">
        <f>COUNTIF(Table1345678910111722263035404550556251015202530343843485492988710511111712312813213714210152520313743[Retase],"&gt;4")</f>
        <v>7</v>
      </c>
      <c r="P3" s="60">
        <f>COUNTIF(Table134567891011172226303236414651566361116212631353944495593998810611211812412913313814311162621323844[Retase],"&gt;3")</f>
        <v>3</v>
      </c>
      <c r="AA3" s="60">
        <f>COUNTIF(Table134567891011151819232731374247525927121722273228414652909680103109115121126120135140813231828344046[Retase],"&gt;4")</f>
        <v>9</v>
      </c>
      <c r="AM3" s="60">
        <f>COUNTIF(Table1345678910111518192327313742475259271217222732284146529096801031091151211261201351408132318293541[Retase],"&gt;3")</f>
        <v>9</v>
      </c>
      <c r="AN3" s="60"/>
    </row>
    <row r="4" spans="1:48" ht="19" x14ac:dyDescent="0.25">
      <c r="B4" s="105" t="s">
        <v>22</v>
      </c>
      <c r="C4" s="105"/>
      <c r="D4" s="105"/>
      <c r="E4" s="105"/>
      <c r="F4" s="105"/>
      <c r="G4" s="105"/>
      <c r="H4" s="105"/>
      <c r="J4" s="106" t="s">
        <v>23</v>
      </c>
      <c r="K4" s="106"/>
      <c r="O4" s="108" t="s">
        <v>95</v>
      </c>
      <c r="P4" s="108"/>
      <c r="Q4" s="108"/>
      <c r="R4" s="108"/>
      <c r="S4" s="108"/>
      <c r="T4" s="108"/>
      <c r="U4" s="108"/>
      <c r="W4" s="106" t="s">
        <v>28</v>
      </c>
      <c r="X4" s="106"/>
      <c r="AA4" s="105" t="s">
        <v>43</v>
      </c>
      <c r="AB4" s="105"/>
      <c r="AC4" s="105"/>
      <c r="AD4" s="105"/>
      <c r="AE4" s="105"/>
      <c r="AF4" s="105"/>
      <c r="AG4" s="105"/>
      <c r="AI4" s="106" t="s">
        <v>44</v>
      </c>
      <c r="AJ4" s="106"/>
      <c r="AM4" s="105" t="s">
        <v>229</v>
      </c>
      <c r="AN4" s="105"/>
      <c r="AO4" s="105"/>
      <c r="AP4" s="105"/>
      <c r="AQ4" s="105"/>
      <c r="AR4" s="105"/>
      <c r="AS4" s="105"/>
      <c r="AU4" s="106" t="s">
        <v>228</v>
      </c>
      <c r="AV4" s="106"/>
    </row>
    <row r="5" spans="1:48" x14ac:dyDescent="0.2">
      <c r="B5" s="109">
        <v>45421</v>
      </c>
      <c r="C5" s="109"/>
      <c r="D5" s="109"/>
      <c r="E5" s="109"/>
      <c r="F5" s="109"/>
      <c r="G5" s="109"/>
      <c r="H5" s="109"/>
      <c r="J5" s="107"/>
      <c r="K5" s="107"/>
      <c r="O5" s="109">
        <f>B5</f>
        <v>45421</v>
      </c>
      <c r="P5" s="109"/>
      <c r="Q5" s="109"/>
      <c r="R5" s="109"/>
      <c r="S5" s="109"/>
      <c r="T5" s="109"/>
      <c r="U5" s="109"/>
      <c r="W5" s="107"/>
      <c r="X5" s="107"/>
      <c r="AA5" s="109">
        <f>B5</f>
        <v>45421</v>
      </c>
      <c r="AB5" s="109"/>
      <c r="AC5" s="109"/>
      <c r="AD5" s="109"/>
      <c r="AE5" s="109"/>
      <c r="AF5" s="109"/>
      <c r="AG5" s="109"/>
      <c r="AI5" s="107"/>
      <c r="AJ5" s="107"/>
      <c r="AM5" s="109">
        <f>B5</f>
        <v>45421</v>
      </c>
      <c r="AN5" s="109"/>
      <c r="AO5" s="109"/>
      <c r="AP5" s="109"/>
      <c r="AQ5" s="109"/>
      <c r="AR5" s="109"/>
      <c r="AS5" s="109"/>
      <c r="AU5" s="107"/>
      <c r="AV5" s="107"/>
    </row>
    <row r="6" spans="1:48" s="1" customFormat="1" x14ac:dyDescent="0.2">
      <c r="A6"/>
      <c r="B6" s="2" t="s">
        <v>0</v>
      </c>
      <c r="C6" s="2" t="s">
        <v>1</v>
      </c>
      <c r="D6" s="2" t="s">
        <v>61</v>
      </c>
      <c r="E6" s="26" t="s">
        <v>62</v>
      </c>
      <c r="F6" s="2" t="s">
        <v>63</v>
      </c>
      <c r="G6" s="2" t="s">
        <v>2</v>
      </c>
      <c r="H6" s="2" t="s">
        <v>3</v>
      </c>
      <c r="J6" s="3" t="s">
        <v>21</v>
      </c>
      <c r="K6" s="5">
        <f>SUM(K8:K11)</f>
        <v>23</v>
      </c>
      <c r="L6" s="19"/>
      <c r="O6" s="2" t="s">
        <v>0</v>
      </c>
      <c r="P6" s="2" t="s">
        <v>1</v>
      </c>
      <c r="Q6" s="22" t="s">
        <v>61</v>
      </c>
      <c r="R6" s="22" t="s">
        <v>62</v>
      </c>
      <c r="S6" s="22" t="s">
        <v>63</v>
      </c>
      <c r="T6" s="2" t="s">
        <v>2</v>
      </c>
      <c r="U6" s="2" t="s">
        <v>3</v>
      </c>
      <c r="W6" s="3" t="s">
        <v>29</v>
      </c>
      <c r="X6" s="5">
        <f>SUM(X8:X11)</f>
        <v>18</v>
      </c>
      <c r="AA6" s="2" t="s">
        <v>0</v>
      </c>
      <c r="AB6" s="2" t="s">
        <v>1</v>
      </c>
      <c r="AC6" s="2" t="s">
        <v>61</v>
      </c>
      <c r="AD6" s="2" t="s">
        <v>62</v>
      </c>
      <c r="AE6" s="2" t="s">
        <v>63</v>
      </c>
      <c r="AF6" s="2" t="s">
        <v>2</v>
      </c>
      <c r="AG6" s="2" t="s">
        <v>3</v>
      </c>
      <c r="AI6" s="3" t="s">
        <v>21</v>
      </c>
      <c r="AJ6" s="5">
        <f>SUM(AJ8:AJ11)</f>
        <v>15</v>
      </c>
      <c r="AM6" s="2" t="s">
        <v>0</v>
      </c>
      <c r="AN6" s="2" t="s">
        <v>1</v>
      </c>
      <c r="AO6" s="2" t="s">
        <v>61</v>
      </c>
      <c r="AP6" s="2" t="s">
        <v>62</v>
      </c>
      <c r="AQ6" s="2" t="s">
        <v>63</v>
      </c>
      <c r="AR6" s="2" t="s">
        <v>2</v>
      </c>
      <c r="AS6" s="2" t="s">
        <v>3</v>
      </c>
      <c r="AU6" s="3" t="s">
        <v>21</v>
      </c>
      <c r="AV6" s="5">
        <f>SUM(AV8:AV11)</f>
        <v>39</v>
      </c>
    </row>
    <row r="7" spans="1:48" s="1" customFormat="1" x14ac:dyDescent="0.2">
      <c r="A7" s="56"/>
      <c r="B7" s="50">
        <v>1</v>
      </c>
      <c r="C7" s="31" t="s">
        <v>12</v>
      </c>
      <c r="D7" s="32">
        <v>0.2986111111111111</v>
      </c>
      <c r="E7" s="32">
        <v>0.45208333333333334</v>
      </c>
      <c r="F7" s="51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0.15347222222222223</v>
      </c>
      <c r="G7" s="31">
        <v>1</v>
      </c>
      <c r="H7" s="53" t="s">
        <v>338</v>
      </c>
      <c r="J7" s="4" t="s">
        <v>10</v>
      </c>
      <c r="K7" s="6">
        <v>23</v>
      </c>
      <c r="L7" s="19"/>
      <c r="N7" s="54"/>
      <c r="O7" s="57">
        <v>1</v>
      </c>
      <c r="P7" s="31" t="s">
        <v>67</v>
      </c>
      <c r="Q7" s="32">
        <v>0.30208333333333331</v>
      </c>
      <c r="R7" s="32">
        <v>0.49861111111111112</v>
      </c>
      <c r="S7" s="52">
        <f t="shared" ref="S7:S21" si="0">R7-Q7</f>
        <v>0.1965277777777778</v>
      </c>
      <c r="T7" s="31">
        <v>2</v>
      </c>
      <c r="U7" s="53" t="s">
        <v>332</v>
      </c>
      <c r="W7" s="4" t="s">
        <v>10</v>
      </c>
      <c r="X7" s="6">
        <v>18</v>
      </c>
      <c r="AA7" s="50">
        <v>1</v>
      </c>
      <c r="AB7" s="31" t="s">
        <v>122</v>
      </c>
      <c r="AC7" s="32">
        <v>0.29791666666666666</v>
      </c>
      <c r="AD7" s="32">
        <v>0.59652777777777777</v>
      </c>
      <c r="AE7" s="52">
        <f t="shared" ref="AE7:AE20" si="1">AD7-AC7</f>
        <v>0.2986111111111111</v>
      </c>
      <c r="AF7" s="31">
        <v>3</v>
      </c>
      <c r="AG7" s="55" t="s">
        <v>55</v>
      </c>
      <c r="AI7" s="4" t="s">
        <v>10</v>
      </c>
      <c r="AJ7" s="6">
        <v>15</v>
      </c>
      <c r="AM7" s="15">
        <v>1</v>
      </c>
      <c r="AN7" s="20" t="s">
        <v>238</v>
      </c>
      <c r="AO7" s="21">
        <v>0.25625000000000003</v>
      </c>
      <c r="AP7" s="21">
        <v>0.4861111111111111</v>
      </c>
      <c r="AQ7" s="37">
        <f t="shared" ref="AQ7:AQ16" si="2">AP7-AO7</f>
        <v>0.22986111111111107</v>
      </c>
      <c r="AR7" s="20">
        <v>2</v>
      </c>
      <c r="AS7" s="16" t="s">
        <v>326</v>
      </c>
      <c r="AU7" s="4" t="s">
        <v>10</v>
      </c>
      <c r="AV7" s="6">
        <v>10</v>
      </c>
    </row>
    <row r="8" spans="1:48" s="1" customFormat="1" x14ac:dyDescent="0.2">
      <c r="A8"/>
      <c r="B8" s="15">
        <v>2</v>
      </c>
      <c r="C8" s="20" t="s">
        <v>14</v>
      </c>
      <c r="D8" s="21">
        <v>0.27152777777777776</v>
      </c>
      <c r="E8" s="21" t="s">
        <v>310</v>
      </c>
      <c r="F8" s="38" t="e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#VALUE!</v>
      </c>
      <c r="G8" s="20">
        <v>1</v>
      </c>
      <c r="H8" s="16" t="s">
        <v>339</v>
      </c>
      <c r="J8" s="4" t="s">
        <v>9</v>
      </c>
      <c r="K8" s="7">
        <v>22</v>
      </c>
      <c r="L8" s="19"/>
      <c r="O8" s="15">
        <v>2</v>
      </c>
      <c r="P8" s="23" t="s">
        <v>82</v>
      </c>
      <c r="Q8" s="40">
        <v>0.28194444444444444</v>
      </c>
      <c r="R8" s="40" t="s">
        <v>310</v>
      </c>
      <c r="S8" s="37" t="e">
        <f t="shared" si="0"/>
        <v>#VALUE!</v>
      </c>
      <c r="T8" s="23">
        <v>3</v>
      </c>
      <c r="U8" s="24" t="s">
        <v>331</v>
      </c>
      <c r="W8" s="4" t="s">
        <v>9</v>
      </c>
      <c r="X8" s="7">
        <v>15</v>
      </c>
      <c r="Z8" s="56"/>
      <c r="AA8" s="15">
        <v>2</v>
      </c>
      <c r="AB8" s="20" t="s">
        <v>48</v>
      </c>
      <c r="AC8" s="21">
        <v>0.27777777777777779</v>
      </c>
      <c r="AD8" s="21">
        <v>0.67013888888888884</v>
      </c>
      <c r="AE8" s="38">
        <f t="shared" si="1"/>
        <v>0.39236111111111105</v>
      </c>
      <c r="AF8" s="20">
        <v>4</v>
      </c>
      <c r="AG8" s="16" t="s">
        <v>336</v>
      </c>
      <c r="AI8" s="4" t="s">
        <v>9</v>
      </c>
      <c r="AJ8" s="6">
        <v>14</v>
      </c>
      <c r="AM8" s="1">
        <v>2</v>
      </c>
      <c r="AN8" s="2" t="s">
        <v>230</v>
      </c>
      <c r="AO8" s="41">
        <v>0.22638888888888889</v>
      </c>
      <c r="AP8" s="41">
        <v>0.64861111111111114</v>
      </c>
      <c r="AQ8" s="26">
        <f t="shared" si="2"/>
        <v>0.42222222222222228</v>
      </c>
      <c r="AR8" s="2">
        <v>4</v>
      </c>
      <c r="AS8" s="45" t="s">
        <v>25</v>
      </c>
      <c r="AU8" s="4" t="s">
        <v>9</v>
      </c>
      <c r="AV8" s="6">
        <v>10</v>
      </c>
    </row>
    <row r="9" spans="1:48" s="1" customFormat="1" x14ac:dyDescent="0.2">
      <c r="A9" s="56"/>
      <c r="B9" s="15">
        <v>3</v>
      </c>
      <c r="C9" s="20" t="s">
        <v>16</v>
      </c>
      <c r="D9" s="21">
        <v>0.25625000000000003</v>
      </c>
      <c r="E9" s="21">
        <v>0.45</v>
      </c>
      <c r="F9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0.19374999999999998</v>
      </c>
      <c r="G9" s="20">
        <v>1</v>
      </c>
      <c r="H9" s="24" t="s">
        <v>340</v>
      </c>
      <c r="J9" s="4" t="s">
        <v>4</v>
      </c>
      <c r="K9" s="7">
        <v>0</v>
      </c>
      <c r="L9" s="19"/>
      <c r="N9" s="54"/>
      <c r="O9" s="15">
        <v>3</v>
      </c>
      <c r="P9" s="23" t="s">
        <v>30</v>
      </c>
      <c r="Q9" s="40">
        <v>0.20486111111111113</v>
      </c>
      <c r="R9" s="40">
        <v>0.58819444444444446</v>
      </c>
      <c r="S9" s="37">
        <f t="shared" si="0"/>
        <v>0.3833333333333333</v>
      </c>
      <c r="T9" s="23">
        <v>3</v>
      </c>
      <c r="U9" s="24" t="s">
        <v>330</v>
      </c>
      <c r="W9" s="4" t="s">
        <v>4</v>
      </c>
      <c r="X9" s="7">
        <v>0</v>
      </c>
      <c r="AA9" s="15">
        <v>3</v>
      </c>
      <c r="AB9" s="20" t="s">
        <v>78</v>
      </c>
      <c r="AC9" s="21">
        <v>0.27152777777777776</v>
      </c>
      <c r="AD9" s="21">
        <v>0.69027777777777777</v>
      </c>
      <c r="AE9" s="38">
        <f t="shared" si="1"/>
        <v>0.41875000000000001</v>
      </c>
      <c r="AF9" s="20">
        <v>4</v>
      </c>
      <c r="AG9" s="16" t="s">
        <v>334</v>
      </c>
      <c r="AI9" s="4" t="s">
        <v>4</v>
      </c>
      <c r="AJ9" s="7">
        <v>1</v>
      </c>
      <c r="AM9" s="50">
        <v>3</v>
      </c>
      <c r="AN9" s="31" t="s">
        <v>231</v>
      </c>
      <c r="AO9" s="32">
        <v>0.29236111111111113</v>
      </c>
      <c r="AP9" s="32">
        <v>0.70347222222222217</v>
      </c>
      <c r="AQ9" s="51">
        <f t="shared" si="2"/>
        <v>0.41111111111111104</v>
      </c>
      <c r="AR9" s="31">
        <v>4</v>
      </c>
      <c r="AS9" s="55" t="s">
        <v>25</v>
      </c>
      <c r="AU9" s="4" t="s">
        <v>4</v>
      </c>
      <c r="AV9" s="7">
        <v>1</v>
      </c>
    </row>
    <row r="10" spans="1:48" s="1" customFormat="1" x14ac:dyDescent="0.2">
      <c r="A10"/>
      <c r="B10" s="15">
        <v>4</v>
      </c>
      <c r="C10" s="20" t="s">
        <v>118</v>
      </c>
      <c r="D10" s="21">
        <v>0.24791666666666667</v>
      </c>
      <c r="E10" s="21">
        <v>0.57777777777777783</v>
      </c>
      <c r="F10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0.32986111111111116</v>
      </c>
      <c r="G10" s="20">
        <v>2</v>
      </c>
      <c r="H10" s="24" t="s">
        <v>341</v>
      </c>
      <c r="J10" s="4" t="s">
        <v>5</v>
      </c>
      <c r="K10" s="7">
        <v>1</v>
      </c>
      <c r="L10" s="19"/>
      <c r="O10" s="27">
        <v>4</v>
      </c>
      <c r="P10" s="23" t="s">
        <v>123</v>
      </c>
      <c r="Q10" s="40">
        <v>0.28888888888888892</v>
      </c>
      <c r="R10" s="40">
        <v>0.68611111111111101</v>
      </c>
      <c r="S10" s="37">
        <f t="shared" si="0"/>
        <v>0.39722222222222209</v>
      </c>
      <c r="T10" s="23">
        <v>4</v>
      </c>
      <c r="U10" s="16" t="s">
        <v>350</v>
      </c>
      <c r="W10" s="4" t="s">
        <v>5</v>
      </c>
      <c r="X10" s="7">
        <v>3</v>
      </c>
      <c r="Z10" s="56"/>
      <c r="AA10" s="50">
        <v>4</v>
      </c>
      <c r="AB10" s="31" t="s">
        <v>56</v>
      </c>
      <c r="AC10" s="32">
        <v>0.29375000000000001</v>
      </c>
      <c r="AD10" s="32">
        <v>0.65833333333333333</v>
      </c>
      <c r="AE10" s="51">
        <f t="shared" si="1"/>
        <v>0.36458333333333331</v>
      </c>
      <c r="AF10" s="31">
        <v>4</v>
      </c>
      <c r="AG10" s="55" t="s">
        <v>87</v>
      </c>
      <c r="AI10" s="4" t="s">
        <v>5</v>
      </c>
      <c r="AJ10" s="7">
        <v>0</v>
      </c>
      <c r="AL10" s="54"/>
      <c r="AM10" s="1">
        <v>4</v>
      </c>
      <c r="AN10" s="2" t="s">
        <v>232</v>
      </c>
      <c r="AO10" s="41">
        <v>0.27569444444444446</v>
      </c>
      <c r="AP10" s="41">
        <v>0.6875</v>
      </c>
      <c r="AQ10" s="26">
        <f t="shared" si="2"/>
        <v>0.41180555555555554</v>
      </c>
      <c r="AR10" s="2">
        <v>4</v>
      </c>
      <c r="AS10" s="45" t="s">
        <v>25</v>
      </c>
      <c r="AU10" s="4" t="s">
        <v>5</v>
      </c>
      <c r="AV10" s="7">
        <v>1</v>
      </c>
    </row>
    <row r="11" spans="1:48" s="1" customFormat="1" x14ac:dyDescent="0.2">
      <c r="A11"/>
      <c r="B11" s="15">
        <v>5</v>
      </c>
      <c r="C11" s="20" t="s">
        <v>13</v>
      </c>
      <c r="D11" s="21">
        <v>0.26319444444444445</v>
      </c>
      <c r="E11" s="21">
        <v>0.57916666666666672</v>
      </c>
      <c r="F11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0.31597222222222227</v>
      </c>
      <c r="G11" s="20">
        <v>2</v>
      </c>
      <c r="H11" s="24" t="s">
        <v>342</v>
      </c>
      <c r="J11" s="4" t="s">
        <v>6</v>
      </c>
      <c r="K11" s="7">
        <v>0</v>
      </c>
      <c r="O11" s="50">
        <v>5</v>
      </c>
      <c r="P11" s="33" t="s">
        <v>58</v>
      </c>
      <c r="Q11" s="44">
        <v>0.2986111111111111</v>
      </c>
      <c r="R11" s="44">
        <v>0.67222222222222217</v>
      </c>
      <c r="S11" s="52">
        <f t="shared" si="0"/>
        <v>0.37361111111111106</v>
      </c>
      <c r="T11" s="33">
        <v>4</v>
      </c>
      <c r="U11" s="55" t="s">
        <v>329</v>
      </c>
      <c r="W11" s="4" t="s">
        <v>33</v>
      </c>
      <c r="X11" s="7">
        <v>0</v>
      </c>
      <c r="Z11" s="56"/>
      <c r="AA11" s="15">
        <v>5</v>
      </c>
      <c r="AB11" s="20" t="s">
        <v>50</v>
      </c>
      <c r="AC11" s="21">
        <v>0.25833333333333336</v>
      </c>
      <c r="AD11" s="21">
        <v>0.65486111111111112</v>
      </c>
      <c r="AE11" s="38">
        <f t="shared" si="1"/>
        <v>0.39652777777777776</v>
      </c>
      <c r="AF11" s="20">
        <v>4</v>
      </c>
      <c r="AG11" s="16" t="s">
        <v>335</v>
      </c>
      <c r="AI11" s="4" t="s">
        <v>6</v>
      </c>
      <c r="AJ11" s="7">
        <v>0</v>
      </c>
      <c r="AM11" s="1">
        <v>5</v>
      </c>
      <c r="AN11" s="2" t="s">
        <v>235</v>
      </c>
      <c r="AO11" s="41">
        <v>0.26250000000000001</v>
      </c>
      <c r="AP11" s="41">
        <v>0.63680555555555551</v>
      </c>
      <c r="AQ11" s="26">
        <f t="shared" si="2"/>
        <v>0.3743055555555555</v>
      </c>
      <c r="AR11" s="2">
        <v>4</v>
      </c>
      <c r="AS11" s="45" t="s">
        <v>25</v>
      </c>
      <c r="AU11" s="4" t="s">
        <v>6</v>
      </c>
      <c r="AV11" s="7">
        <v>27</v>
      </c>
    </row>
    <row r="12" spans="1:48" s="1" customFormat="1" x14ac:dyDescent="0.2">
      <c r="A12"/>
      <c r="B12" s="15">
        <v>6</v>
      </c>
      <c r="C12" s="20" t="s">
        <v>69</v>
      </c>
      <c r="D12" s="21">
        <v>0.27916666666666667</v>
      </c>
      <c r="E12" s="40">
        <v>0.57986111111111105</v>
      </c>
      <c r="F12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0.30069444444444438</v>
      </c>
      <c r="G12" s="20">
        <v>2</v>
      </c>
      <c r="H12" s="24" t="s">
        <v>343</v>
      </c>
      <c r="J12" s="8" t="s">
        <v>8</v>
      </c>
      <c r="K12" s="9">
        <f>SUM(Table132456789101113212529343944495461491419242933364247539197861041101161221271311361419142419303642[Retase])</f>
        <v>54</v>
      </c>
      <c r="L12" s="19"/>
      <c r="N12" s="54" t="s">
        <v>209</v>
      </c>
      <c r="O12" s="50">
        <v>6</v>
      </c>
      <c r="P12" s="33" t="s">
        <v>32</v>
      </c>
      <c r="Q12" s="44">
        <v>0.3520833333333333</v>
      </c>
      <c r="R12" s="44">
        <v>0.70763888888888893</v>
      </c>
      <c r="S12" s="52">
        <f t="shared" si="0"/>
        <v>0.35555555555555562</v>
      </c>
      <c r="T12" s="33">
        <v>4</v>
      </c>
      <c r="U12" s="55" t="s">
        <v>328</v>
      </c>
      <c r="W12" s="8" t="s">
        <v>8</v>
      </c>
      <c r="X12" s="9">
        <f>SUM(Table1345678910111722263035404550556251015202530343843485492988710511111712312813213714210152520313743[Retase])</f>
        <v>63</v>
      </c>
      <c r="AA12" s="1">
        <v>6</v>
      </c>
      <c r="AB12" s="2" t="s">
        <v>45</v>
      </c>
      <c r="AC12" s="41">
        <v>0.22569444444444445</v>
      </c>
      <c r="AD12" s="41">
        <v>0.67361111111111116</v>
      </c>
      <c r="AE12" s="26">
        <f t="shared" si="1"/>
        <v>0.44791666666666674</v>
      </c>
      <c r="AF12" s="2">
        <v>5</v>
      </c>
      <c r="AG12" s="45" t="s">
        <v>25</v>
      </c>
      <c r="AI12" s="8" t="s">
        <v>8</v>
      </c>
      <c r="AJ12" s="9">
        <f>SUM(Table134567891011151819232731374247525927121722273228414652909680103109115121126120135140813231828344046[Retase])</f>
        <v>65</v>
      </c>
      <c r="AM12" s="1">
        <v>6</v>
      </c>
      <c r="AN12" s="2" t="s">
        <v>237</v>
      </c>
      <c r="AO12" s="41">
        <v>0.23611111111111113</v>
      </c>
      <c r="AP12" s="41">
        <v>0.62638888888888888</v>
      </c>
      <c r="AQ12" s="26">
        <f t="shared" si="2"/>
        <v>0.39027777777777772</v>
      </c>
      <c r="AR12" s="2">
        <v>4</v>
      </c>
      <c r="AS12" s="45" t="s">
        <v>25</v>
      </c>
      <c r="AU12" s="8" t="s">
        <v>8</v>
      </c>
      <c r="AV12" s="9">
        <f>SUM(Table1345678910111518192327313742475259271217222732284146529096801031091151211261201351408132318293541[Retase])</f>
        <v>41</v>
      </c>
    </row>
    <row r="13" spans="1:48" s="1" customFormat="1" x14ac:dyDescent="0.2">
      <c r="A13"/>
      <c r="B13" s="15">
        <v>7</v>
      </c>
      <c r="C13" s="20" t="s">
        <v>74</v>
      </c>
      <c r="D13" s="21">
        <v>0.27361111111111108</v>
      </c>
      <c r="E13" s="21">
        <v>0.59513888888888888</v>
      </c>
      <c r="F13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0.3215277777777778</v>
      </c>
      <c r="G13" s="20">
        <v>2</v>
      </c>
      <c r="H13" s="24" t="s">
        <v>344</v>
      </c>
      <c r="J13" s="10" t="s">
        <v>7</v>
      </c>
      <c r="K13" s="11">
        <f>K12/K8</f>
        <v>2.4545454545454546</v>
      </c>
      <c r="L13" s="19"/>
      <c r="O13" s="27">
        <v>7</v>
      </c>
      <c r="P13" s="23" t="s">
        <v>309</v>
      </c>
      <c r="Q13" s="40">
        <v>0.30138888888888887</v>
      </c>
      <c r="R13" s="40">
        <v>0.73402777777777783</v>
      </c>
      <c r="S13" s="37">
        <f t="shared" si="0"/>
        <v>0.43263888888888896</v>
      </c>
      <c r="T13" s="23">
        <v>4</v>
      </c>
      <c r="U13" s="16" t="s">
        <v>327</v>
      </c>
      <c r="W13" s="10" t="s">
        <v>7</v>
      </c>
      <c r="X13" s="11">
        <f>X12/X8</f>
        <v>4.2</v>
      </c>
      <c r="AA13" s="1">
        <v>7</v>
      </c>
      <c r="AB13" s="2" t="s">
        <v>77</v>
      </c>
      <c r="AC13" s="41">
        <v>0.28055555555555556</v>
      </c>
      <c r="AD13" s="41">
        <v>0.70694444444444438</v>
      </c>
      <c r="AE13" s="26">
        <f t="shared" si="1"/>
        <v>0.42638888888888882</v>
      </c>
      <c r="AF13" s="2">
        <v>5</v>
      </c>
      <c r="AG13" s="45" t="s">
        <v>25</v>
      </c>
      <c r="AI13" s="10" t="s">
        <v>7</v>
      </c>
      <c r="AJ13" s="11">
        <f>AJ12/AJ8</f>
        <v>4.6428571428571432</v>
      </c>
      <c r="AM13" s="50">
        <v>7</v>
      </c>
      <c r="AN13" s="31" t="s">
        <v>239</v>
      </c>
      <c r="AO13" s="32">
        <v>0.29166666666666669</v>
      </c>
      <c r="AP13" s="32">
        <v>0.68125000000000002</v>
      </c>
      <c r="AQ13" s="51">
        <f t="shared" si="2"/>
        <v>0.38958333333333334</v>
      </c>
      <c r="AR13" s="31">
        <v>4</v>
      </c>
      <c r="AS13" s="55" t="s">
        <v>25</v>
      </c>
      <c r="AU13" s="10" t="s">
        <v>7</v>
      </c>
      <c r="AV13" s="11">
        <f>AV12/AV8</f>
        <v>4.0999999999999996</v>
      </c>
    </row>
    <row r="14" spans="1:48" s="1" customFormat="1" x14ac:dyDescent="0.2">
      <c r="A14"/>
      <c r="B14" s="15">
        <v>8</v>
      </c>
      <c r="C14" s="20" t="s">
        <v>76</v>
      </c>
      <c r="D14" s="21">
        <v>0.20208333333333331</v>
      </c>
      <c r="E14" s="21">
        <v>0.64583333333333337</v>
      </c>
      <c r="F14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0.44375000000000009</v>
      </c>
      <c r="G14" s="20">
        <v>2</v>
      </c>
      <c r="H14" s="24" t="s">
        <v>345</v>
      </c>
      <c r="J14" s="12" t="s">
        <v>11</v>
      </c>
      <c r="K14" s="13">
        <v>4</v>
      </c>
      <c r="L14" s="19"/>
      <c r="O14" s="15">
        <v>8</v>
      </c>
      <c r="P14" s="23" t="s">
        <v>59</v>
      </c>
      <c r="Q14" s="40">
        <v>0.27708333333333335</v>
      </c>
      <c r="R14" s="40">
        <v>0.73472222222222217</v>
      </c>
      <c r="S14" s="37">
        <f t="shared" si="0"/>
        <v>0.45763888888888882</v>
      </c>
      <c r="T14" s="23">
        <v>4</v>
      </c>
      <c r="U14" s="16" t="s">
        <v>350</v>
      </c>
      <c r="W14" s="12" t="s">
        <v>11</v>
      </c>
      <c r="X14" s="13">
        <v>5</v>
      </c>
      <c r="AA14" s="1">
        <v>8</v>
      </c>
      <c r="AB14" s="2" t="s">
        <v>79</v>
      </c>
      <c r="AC14" s="41">
        <v>0.28125</v>
      </c>
      <c r="AD14" s="41">
        <v>0.68541666666666667</v>
      </c>
      <c r="AE14" s="26">
        <f t="shared" si="1"/>
        <v>0.40416666666666667</v>
      </c>
      <c r="AF14" s="2">
        <v>5</v>
      </c>
      <c r="AG14" s="45" t="s">
        <v>25</v>
      </c>
      <c r="AI14" s="12" t="s">
        <v>11</v>
      </c>
      <c r="AJ14" s="13">
        <v>5</v>
      </c>
      <c r="AM14" s="1">
        <v>8</v>
      </c>
      <c r="AN14" s="2" t="s">
        <v>233</v>
      </c>
      <c r="AO14" s="41">
        <v>0.23819444444444446</v>
      </c>
      <c r="AP14" s="41">
        <v>0.70416666666666661</v>
      </c>
      <c r="AQ14" s="26">
        <f t="shared" si="2"/>
        <v>0.46597222222222212</v>
      </c>
      <c r="AR14" s="2">
        <v>5</v>
      </c>
      <c r="AS14" s="45" t="s">
        <v>25</v>
      </c>
      <c r="AU14" s="12" t="s">
        <v>11</v>
      </c>
      <c r="AV14" s="13">
        <v>4</v>
      </c>
    </row>
    <row r="15" spans="1:48" s="1" customFormat="1" x14ac:dyDescent="0.2">
      <c r="A15"/>
      <c r="B15" s="15">
        <v>9</v>
      </c>
      <c r="C15" s="20" t="s">
        <v>17</v>
      </c>
      <c r="D15" s="21">
        <v>0.24652777777777779</v>
      </c>
      <c r="E15" s="21">
        <v>0.57847222222222217</v>
      </c>
      <c r="F15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0.33194444444444438</v>
      </c>
      <c r="G15" s="20">
        <v>2</v>
      </c>
      <c r="H15" s="24" t="s">
        <v>346</v>
      </c>
      <c r="J15" s="12" t="s">
        <v>88</v>
      </c>
      <c r="K15" s="14">
        <f>B3/K8</f>
        <v>0.13636363636363635</v>
      </c>
      <c r="L15" s="19"/>
      <c r="O15" s="1">
        <v>9</v>
      </c>
      <c r="P15" s="29" t="s">
        <v>57</v>
      </c>
      <c r="Q15" s="30">
        <v>0.27291666666666664</v>
      </c>
      <c r="R15" s="30">
        <v>0.70694444444444438</v>
      </c>
      <c r="S15" s="39">
        <f t="shared" si="0"/>
        <v>0.43402777777777773</v>
      </c>
      <c r="T15" s="29">
        <v>5</v>
      </c>
      <c r="U15" s="45" t="s">
        <v>25</v>
      </c>
      <c r="W15" s="12" t="s">
        <v>88</v>
      </c>
      <c r="X15" s="14">
        <f>O3/X8</f>
        <v>0.46666666666666667</v>
      </c>
      <c r="AA15" s="1">
        <v>9</v>
      </c>
      <c r="AB15" s="2" t="s">
        <v>46</v>
      </c>
      <c r="AC15" s="41">
        <v>0.2673611111111111</v>
      </c>
      <c r="AD15" s="41">
        <v>0.68402777777777779</v>
      </c>
      <c r="AE15" s="26">
        <f t="shared" si="1"/>
        <v>0.41666666666666669</v>
      </c>
      <c r="AF15" s="2">
        <v>5</v>
      </c>
      <c r="AG15" s="45" t="s">
        <v>25</v>
      </c>
      <c r="AI15" s="12" t="s">
        <v>88</v>
      </c>
      <c r="AJ15" s="14">
        <f>AA3/AJ8</f>
        <v>0.6428571428571429</v>
      </c>
      <c r="AM15" s="1">
        <v>9</v>
      </c>
      <c r="AN15" s="2" t="s">
        <v>234</v>
      </c>
      <c r="AO15" s="41">
        <v>0.24583333333333335</v>
      </c>
      <c r="AP15" s="41">
        <v>0.72569444444444453</v>
      </c>
      <c r="AQ15" s="26">
        <f t="shared" si="2"/>
        <v>0.47986111111111118</v>
      </c>
      <c r="AR15" s="2">
        <v>5</v>
      </c>
      <c r="AS15" s="45" t="s">
        <v>25</v>
      </c>
      <c r="AU15" s="12" t="s">
        <v>88</v>
      </c>
      <c r="AV15" s="14">
        <f>AM3/AV8</f>
        <v>0.9</v>
      </c>
    </row>
    <row r="16" spans="1:48" x14ac:dyDescent="0.2">
      <c r="B16" s="15">
        <v>10</v>
      </c>
      <c r="C16" s="20" t="s">
        <v>65</v>
      </c>
      <c r="D16" s="21">
        <v>0.2722222222222222</v>
      </c>
      <c r="E16" s="21">
        <v>0.67152777777777783</v>
      </c>
      <c r="F16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0.39930555555555564</v>
      </c>
      <c r="G16" s="20">
        <v>3</v>
      </c>
      <c r="H16" s="24" t="s">
        <v>349</v>
      </c>
      <c r="J16" s="12" t="s">
        <v>24</v>
      </c>
      <c r="K16" s="14">
        <f>K8/K7</f>
        <v>0.95652173913043481</v>
      </c>
      <c r="O16" s="28">
        <v>10</v>
      </c>
      <c r="P16" s="29" t="s">
        <v>40</v>
      </c>
      <c r="Q16" s="30">
        <v>0.30069444444444443</v>
      </c>
      <c r="R16" s="30">
        <v>0.72777777777777775</v>
      </c>
      <c r="S16" s="39">
        <f t="shared" si="0"/>
        <v>0.42708333333333331</v>
      </c>
      <c r="T16" s="29">
        <v>5</v>
      </c>
      <c r="U16" s="45" t="s">
        <v>25</v>
      </c>
      <c r="W16" s="12" t="s">
        <v>27</v>
      </c>
      <c r="X16" s="14">
        <f>X8/X7</f>
        <v>0.83333333333333337</v>
      </c>
      <c r="AA16" s="1">
        <v>10</v>
      </c>
      <c r="AB16" s="2" t="s">
        <v>49</v>
      </c>
      <c r="AC16" s="41">
        <v>0.22916666666666666</v>
      </c>
      <c r="AD16" s="41">
        <v>0.71388888888888891</v>
      </c>
      <c r="AE16" s="26">
        <f t="shared" si="1"/>
        <v>0.48472222222222228</v>
      </c>
      <c r="AF16" s="2">
        <v>5</v>
      </c>
      <c r="AG16" s="45" t="s">
        <v>25</v>
      </c>
      <c r="AI16" s="12" t="s">
        <v>27</v>
      </c>
      <c r="AJ16" s="14">
        <f>AJ8/AJ7</f>
        <v>0.93333333333333335</v>
      </c>
      <c r="AM16" s="1">
        <v>10</v>
      </c>
      <c r="AN16" s="2" t="s">
        <v>236</v>
      </c>
      <c r="AO16" s="41">
        <v>0.25763888888888892</v>
      </c>
      <c r="AP16" s="41">
        <v>0.72430555555555554</v>
      </c>
      <c r="AQ16" s="26">
        <f t="shared" si="2"/>
        <v>0.46666666666666662</v>
      </c>
      <c r="AR16" s="2">
        <v>5</v>
      </c>
      <c r="AS16" s="45" t="s">
        <v>25</v>
      </c>
      <c r="AU16" s="12" t="s">
        <v>27</v>
      </c>
      <c r="AV16" s="14">
        <f>AV8/AV7</f>
        <v>1</v>
      </c>
    </row>
    <row r="17" spans="2:48" x14ac:dyDescent="0.2">
      <c r="B17" s="50">
        <v>11</v>
      </c>
      <c r="C17" s="31" t="s">
        <v>119</v>
      </c>
      <c r="D17" s="32">
        <v>0.29930555555555555</v>
      </c>
      <c r="E17" s="32">
        <v>0.68402777777777779</v>
      </c>
      <c r="F17" s="51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0.38472222222222224</v>
      </c>
      <c r="G17" s="31">
        <v>3</v>
      </c>
      <c r="H17" s="53" t="s">
        <v>349</v>
      </c>
      <c r="J17" s="12" t="s">
        <v>117</v>
      </c>
      <c r="K17" s="48">
        <f>AVERAGE(Table132456789101113212529343944495461491419242933364247539197861041101161221271311361419142419303642[JAM KELUAR])</f>
        <v>0.2536044973544973</v>
      </c>
      <c r="O17" s="1">
        <v>11</v>
      </c>
      <c r="P17" s="29" t="s">
        <v>31</v>
      </c>
      <c r="Q17" s="30">
        <v>0.2951388888888889</v>
      </c>
      <c r="R17" s="30">
        <v>0.74722222222222223</v>
      </c>
      <c r="S17" s="39">
        <f t="shared" si="0"/>
        <v>0.45208333333333334</v>
      </c>
      <c r="T17" s="29">
        <v>5</v>
      </c>
      <c r="U17" s="45" t="s">
        <v>25</v>
      </c>
      <c r="W17" s="12" t="s">
        <v>117</v>
      </c>
      <c r="X17" s="48">
        <f>AVERAGE(Table1345678910111722263035404550556251015202530343843485492988710511111712312813213714210152520313743[JAM KELUAR])</f>
        <v>0.28310185185185183</v>
      </c>
      <c r="AA17" s="1">
        <v>11</v>
      </c>
      <c r="AB17" s="2" t="s">
        <v>80</v>
      </c>
      <c r="AC17" s="41">
        <v>0.21875</v>
      </c>
      <c r="AD17" s="41">
        <v>0.71527777777777779</v>
      </c>
      <c r="AE17" s="26">
        <f t="shared" si="1"/>
        <v>0.49652777777777779</v>
      </c>
      <c r="AF17" s="2">
        <v>5</v>
      </c>
      <c r="AG17" s="45" t="s">
        <v>25</v>
      </c>
      <c r="AI17" s="12" t="s">
        <v>117</v>
      </c>
      <c r="AJ17" s="48">
        <f>AVERAGE(Table134567891011151819232731374247525927121722273228414652909680103109115121126120135140813231828344046[JAM KELUAR])</f>
        <v>0.2638888888888889</v>
      </c>
      <c r="AU17" s="12" t="s">
        <v>117</v>
      </c>
      <c r="AV17" s="48">
        <f>AVERAGE(Table1345678910111518192327313742475259271217222732284146529096801031091151211261201351408132318293541[JAM KELUAR])</f>
        <v>0.2582638888888889</v>
      </c>
    </row>
    <row r="18" spans="2:48" x14ac:dyDescent="0.2">
      <c r="B18" s="15">
        <v>12</v>
      </c>
      <c r="C18" s="20" t="s">
        <v>70</v>
      </c>
      <c r="D18" s="21">
        <v>0.26874999999999999</v>
      </c>
      <c r="E18" s="21">
        <v>0.70486111111111116</v>
      </c>
      <c r="F18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0.43611111111111117</v>
      </c>
      <c r="G18" s="20">
        <v>3</v>
      </c>
      <c r="H18" s="24" t="s">
        <v>349</v>
      </c>
      <c r="O18" s="1">
        <v>12</v>
      </c>
      <c r="P18" s="29" t="s">
        <v>34</v>
      </c>
      <c r="Q18" s="30">
        <v>0.26250000000000001</v>
      </c>
      <c r="R18" s="30">
        <v>0.72986111111111107</v>
      </c>
      <c r="S18" s="39">
        <f t="shared" si="0"/>
        <v>0.46736111111111106</v>
      </c>
      <c r="T18" s="29">
        <v>5</v>
      </c>
      <c r="U18" s="45" t="s">
        <v>25</v>
      </c>
      <c r="AA18" s="1">
        <v>12</v>
      </c>
      <c r="AB18" s="2" t="s">
        <v>47</v>
      </c>
      <c r="AC18" s="41">
        <v>0.26319444444444445</v>
      </c>
      <c r="AD18" s="41">
        <v>0.68194444444444446</v>
      </c>
      <c r="AE18" s="26">
        <f t="shared" si="1"/>
        <v>0.41875000000000001</v>
      </c>
      <c r="AF18" s="2">
        <v>5</v>
      </c>
      <c r="AG18" s="45" t="s">
        <v>25</v>
      </c>
      <c r="AI18" s="17"/>
      <c r="AR18" s="34"/>
      <c r="AS18" s="35" t="s">
        <v>90</v>
      </c>
      <c r="AU18" s="17"/>
    </row>
    <row r="19" spans="2:48" ht="15.75" customHeight="1" x14ac:dyDescent="0.2">
      <c r="B19" s="15">
        <v>13</v>
      </c>
      <c r="C19" s="20" t="s">
        <v>71</v>
      </c>
      <c r="D19" s="21">
        <v>0.24027777777777778</v>
      </c>
      <c r="E19" s="21">
        <v>0.6333333333333333</v>
      </c>
      <c r="F19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0.39305555555555549</v>
      </c>
      <c r="G19" s="20">
        <v>3</v>
      </c>
      <c r="H19" s="24" t="s">
        <v>349</v>
      </c>
      <c r="O19" s="28">
        <v>13</v>
      </c>
      <c r="P19" s="29" t="s">
        <v>35</v>
      </c>
      <c r="Q19" s="30">
        <v>0.27430555555555552</v>
      </c>
      <c r="R19" s="30">
        <v>0.7368055555555556</v>
      </c>
      <c r="S19" s="39">
        <f t="shared" si="0"/>
        <v>0.46250000000000008</v>
      </c>
      <c r="T19" s="29">
        <v>5</v>
      </c>
      <c r="U19" s="45" t="s">
        <v>25</v>
      </c>
      <c r="AA19" s="1">
        <v>13</v>
      </c>
      <c r="AB19" s="2" t="s">
        <v>51</v>
      </c>
      <c r="AC19" s="41">
        <v>0.2673611111111111</v>
      </c>
      <c r="AD19" s="41">
        <v>0.70694444444444438</v>
      </c>
      <c r="AE19" s="26">
        <f t="shared" si="1"/>
        <v>0.43958333333333327</v>
      </c>
      <c r="AF19" s="2">
        <v>5</v>
      </c>
      <c r="AG19" s="45" t="s">
        <v>25</v>
      </c>
      <c r="AR19" s="56" t="s">
        <v>209</v>
      </c>
      <c r="AS19" s="35" t="s">
        <v>92</v>
      </c>
    </row>
    <row r="20" spans="2:48" ht="17.25" customHeight="1" x14ac:dyDescent="0.2">
      <c r="B20" s="15">
        <v>14</v>
      </c>
      <c r="C20" s="20" t="s">
        <v>68</v>
      </c>
      <c r="D20" s="21">
        <v>0.28263888888888888</v>
      </c>
      <c r="E20" s="21">
        <v>0.65763888888888888</v>
      </c>
      <c r="F20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0.375</v>
      </c>
      <c r="G20" s="20">
        <v>3</v>
      </c>
      <c r="H20" s="24" t="s">
        <v>349</v>
      </c>
      <c r="O20" s="1">
        <v>14</v>
      </c>
      <c r="P20" s="29" t="s">
        <v>41</v>
      </c>
      <c r="Q20" s="30">
        <v>0.28125</v>
      </c>
      <c r="R20" s="30">
        <v>0.74791666666666667</v>
      </c>
      <c r="S20" s="39">
        <f t="shared" si="0"/>
        <v>0.46666666666666667</v>
      </c>
      <c r="T20" s="29">
        <v>5</v>
      </c>
      <c r="U20" s="45" t="s">
        <v>25</v>
      </c>
      <c r="AA20" s="1">
        <v>14</v>
      </c>
      <c r="AB20" s="2" t="s">
        <v>81</v>
      </c>
      <c r="AC20" s="41">
        <v>0.26180555555555557</v>
      </c>
      <c r="AD20" s="41">
        <v>0.7416666666666667</v>
      </c>
      <c r="AE20" s="26">
        <f t="shared" si="1"/>
        <v>0.47986111111111113</v>
      </c>
      <c r="AF20" s="2">
        <v>6</v>
      </c>
      <c r="AG20" s="45" t="s">
        <v>25</v>
      </c>
    </row>
    <row r="21" spans="2:48" ht="15.75" customHeight="1" x14ac:dyDescent="0.2">
      <c r="B21" s="15">
        <v>15</v>
      </c>
      <c r="C21" s="20" t="s">
        <v>75</v>
      </c>
      <c r="D21" s="21">
        <v>0.23472222222222219</v>
      </c>
      <c r="E21" s="21">
        <v>0.60347222222222219</v>
      </c>
      <c r="F21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0.36875000000000002</v>
      </c>
      <c r="G21" s="20">
        <v>3</v>
      </c>
      <c r="H21" s="24" t="s">
        <v>347</v>
      </c>
      <c r="O21" s="1">
        <v>15</v>
      </c>
      <c r="P21" s="29" t="s">
        <v>60</v>
      </c>
      <c r="Q21" s="30">
        <v>0.25277777777777777</v>
      </c>
      <c r="R21" s="30">
        <v>0.7402777777777777</v>
      </c>
      <c r="S21" s="39">
        <f t="shared" si="0"/>
        <v>0.48749999999999993</v>
      </c>
      <c r="T21" s="29">
        <v>5</v>
      </c>
      <c r="U21" s="45" t="s">
        <v>25</v>
      </c>
    </row>
    <row r="22" spans="2:48" ht="15" customHeight="1" x14ac:dyDescent="0.2">
      <c r="B22" s="15">
        <v>16</v>
      </c>
      <c r="C22" s="20" t="s">
        <v>15</v>
      </c>
      <c r="D22" s="21">
        <v>0.23680555555555557</v>
      </c>
      <c r="E22" s="21">
        <v>0.63055555555555554</v>
      </c>
      <c r="F22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0.39374999999999993</v>
      </c>
      <c r="G22" s="20">
        <v>3</v>
      </c>
      <c r="H22" s="24" t="s">
        <v>349</v>
      </c>
    </row>
    <row r="23" spans="2:48" ht="15" customHeight="1" x14ac:dyDescent="0.25">
      <c r="B23" s="15">
        <v>17</v>
      </c>
      <c r="C23" s="20" t="s">
        <v>120</v>
      </c>
      <c r="D23" s="21">
        <v>0.22638888888888889</v>
      </c>
      <c r="E23" s="21">
        <v>0.62638888888888888</v>
      </c>
      <c r="F23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0.4</v>
      </c>
      <c r="G23" s="20">
        <v>3</v>
      </c>
      <c r="H23" s="24" t="s">
        <v>348</v>
      </c>
      <c r="O23" s="108" t="s">
        <v>66</v>
      </c>
      <c r="P23" s="108"/>
      <c r="Q23" s="108"/>
      <c r="R23" s="108"/>
      <c r="S23" s="108"/>
      <c r="T23" s="108"/>
      <c r="U23" s="108"/>
      <c r="W23" s="106" t="s">
        <v>28</v>
      </c>
      <c r="X23" s="106"/>
    </row>
    <row r="24" spans="2:48" ht="15" customHeight="1" x14ac:dyDescent="0.2">
      <c r="B24" s="15">
        <v>18</v>
      </c>
      <c r="C24" s="20" t="s">
        <v>121</v>
      </c>
      <c r="D24" s="21">
        <v>0.24374999999999999</v>
      </c>
      <c r="E24" s="21">
        <v>0.63750000000000007</v>
      </c>
      <c r="F24" s="38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0.39375000000000004</v>
      </c>
      <c r="G24" s="20">
        <v>3</v>
      </c>
      <c r="H24" s="24" t="s">
        <v>349</v>
      </c>
      <c r="O24" s="109">
        <f>B5</f>
        <v>45421</v>
      </c>
      <c r="P24" s="109"/>
      <c r="Q24" s="109"/>
      <c r="R24" s="109"/>
      <c r="S24" s="109"/>
      <c r="T24" s="109"/>
      <c r="U24" s="109"/>
      <c r="W24" s="110"/>
      <c r="X24" s="110"/>
      <c r="AF24" s="34"/>
      <c r="AG24" s="35" t="s">
        <v>90</v>
      </c>
    </row>
    <row r="25" spans="2:48" ht="14.5" customHeight="1" x14ac:dyDescent="0.2">
      <c r="B25" s="1">
        <v>19</v>
      </c>
      <c r="C25" s="2" t="s">
        <v>72</v>
      </c>
      <c r="D25" s="41">
        <v>0.21666666666666667</v>
      </c>
      <c r="E25" s="41">
        <v>0.70277777777777783</v>
      </c>
      <c r="F25" s="26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0.48611111111111116</v>
      </c>
      <c r="G25" s="2">
        <v>4</v>
      </c>
      <c r="H25" s="25" t="s">
        <v>25</v>
      </c>
      <c r="O25" s="2" t="s">
        <v>0</v>
      </c>
      <c r="P25" s="2" t="s">
        <v>1</v>
      </c>
      <c r="Q25" s="22" t="s">
        <v>61</v>
      </c>
      <c r="R25" s="22" t="s">
        <v>62</v>
      </c>
      <c r="S25" s="22" t="s">
        <v>63</v>
      </c>
      <c r="T25" s="2" t="s">
        <v>2</v>
      </c>
      <c r="U25" s="2" t="s">
        <v>3</v>
      </c>
      <c r="W25" s="3" t="s">
        <v>29</v>
      </c>
      <c r="X25" s="5">
        <f>SUM(X27:X30)</f>
        <v>8</v>
      </c>
      <c r="AF25" s="56" t="s">
        <v>209</v>
      </c>
      <c r="AG25" s="35" t="s">
        <v>92</v>
      </c>
    </row>
    <row r="26" spans="2:48" ht="14.5" customHeight="1" x14ac:dyDescent="0.2">
      <c r="B26" s="1">
        <v>20</v>
      </c>
      <c r="C26" s="2" t="s">
        <v>73</v>
      </c>
      <c r="D26" s="41">
        <v>0.22569444444444445</v>
      </c>
      <c r="E26" s="41">
        <v>0.70486111111111116</v>
      </c>
      <c r="F26" s="26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0.47916666666666674</v>
      </c>
      <c r="G26" s="2">
        <v>4</v>
      </c>
      <c r="H26" s="25" t="s">
        <v>25</v>
      </c>
      <c r="N26" s="54"/>
      <c r="O26" s="15">
        <v>1</v>
      </c>
      <c r="P26" s="23" t="s">
        <v>84</v>
      </c>
      <c r="Q26" s="40">
        <v>0.27291666666666664</v>
      </c>
      <c r="R26" s="40" t="s">
        <v>310</v>
      </c>
      <c r="S26" s="37" t="e">
        <f t="shared" ref="S26:S31" si="3">R26-Q26</f>
        <v>#VALUE!</v>
      </c>
      <c r="T26" s="23">
        <v>1</v>
      </c>
      <c r="U26" s="16" t="s">
        <v>333</v>
      </c>
      <c r="W26" s="4" t="s">
        <v>10</v>
      </c>
      <c r="X26" s="6">
        <v>8</v>
      </c>
    </row>
    <row r="27" spans="2:48" ht="14.5" customHeight="1" x14ac:dyDescent="0.2">
      <c r="B27" s="1">
        <v>21</v>
      </c>
      <c r="C27" s="2" t="s">
        <v>18</v>
      </c>
      <c r="D27" s="41">
        <v>0.23958333333333334</v>
      </c>
      <c r="E27" s="41">
        <v>0.72152777777777777</v>
      </c>
      <c r="F27" s="26">
        <f>Table132456789101113212529343944495461491419242933364247539197861041101161221271311361419142419303642[[#This Row],[JAM MASUK]]-Table132456789101113212529343944495461491419242933364247539197861041101161221271311361419142419303642[[#This Row],[JAM KELUAR]]</f>
        <v>0.4819444444444444</v>
      </c>
      <c r="G27" s="2">
        <v>4</v>
      </c>
      <c r="H27" s="25" t="s">
        <v>25</v>
      </c>
      <c r="N27" s="54" t="s">
        <v>209</v>
      </c>
      <c r="O27" s="50">
        <v>2</v>
      </c>
      <c r="P27" s="33" t="s">
        <v>38</v>
      </c>
      <c r="Q27" s="44">
        <v>0.33819444444444446</v>
      </c>
      <c r="R27" s="44">
        <v>0.65694444444444444</v>
      </c>
      <c r="S27" s="52">
        <f t="shared" si="3"/>
        <v>0.31874999999999998</v>
      </c>
      <c r="T27" s="33">
        <v>2</v>
      </c>
      <c r="U27" s="58" t="s">
        <v>351</v>
      </c>
      <c r="W27" s="4" t="s">
        <v>9</v>
      </c>
      <c r="X27" s="7">
        <v>6</v>
      </c>
      <c r="AR27" s="49"/>
    </row>
    <row r="28" spans="2:48" x14ac:dyDescent="0.2">
      <c r="N28" s="54"/>
      <c r="O28" s="15">
        <v>3</v>
      </c>
      <c r="P28" s="23" t="s">
        <v>37</v>
      </c>
      <c r="Q28" s="40">
        <v>0.28958333333333336</v>
      </c>
      <c r="R28" s="40">
        <v>0.7270833333333333</v>
      </c>
      <c r="S28" s="37">
        <f t="shared" si="3"/>
        <v>0.43749999999999994</v>
      </c>
      <c r="T28" s="23">
        <v>3</v>
      </c>
      <c r="U28" s="24" t="s">
        <v>337</v>
      </c>
      <c r="W28" s="4" t="s">
        <v>4</v>
      </c>
      <c r="X28" s="7">
        <v>0</v>
      </c>
    </row>
    <row r="29" spans="2:48" x14ac:dyDescent="0.2">
      <c r="N29" s="54"/>
      <c r="O29" s="1">
        <v>4</v>
      </c>
      <c r="P29" s="29" t="s">
        <v>83</v>
      </c>
      <c r="Q29" s="30">
        <v>0.26666666666666666</v>
      </c>
      <c r="R29" s="30">
        <v>0.67986111111111114</v>
      </c>
      <c r="S29" s="39">
        <f t="shared" si="3"/>
        <v>0.41319444444444448</v>
      </c>
      <c r="T29" s="29">
        <v>4</v>
      </c>
      <c r="U29" s="45" t="s">
        <v>25</v>
      </c>
      <c r="W29" s="4" t="s">
        <v>5</v>
      </c>
      <c r="X29" s="7">
        <v>2</v>
      </c>
      <c r="AF29" s="49"/>
    </row>
    <row r="30" spans="2:48" x14ac:dyDescent="0.2">
      <c r="O30" s="1">
        <v>5</v>
      </c>
      <c r="P30" s="29" t="s">
        <v>39</v>
      </c>
      <c r="Q30" s="30">
        <v>0.29305555555555557</v>
      </c>
      <c r="R30" s="30">
        <v>0.68680555555555556</v>
      </c>
      <c r="S30" s="39">
        <f t="shared" si="3"/>
        <v>0.39374999999999999</v>
      </c>
      <c r="T30" s="29">
        <v>4</v>
      </c>
      <c r="U30" s="45" t="s">
        <v>25</v>
      </c>
      <c r="W30" s="4" t="s">
        <v>33</v>
      </c>
      <c r="X30" s="7">
        <v>0</v>
      </c>
    </row>
    <row r="31" spans="2:48" x14ac:dyDescent="0.2">
      <c r="G31" s="34"/>
      <c r="H31" s="35" t="s">
        <v>90</v>
      </c>
      <c r="O31" s="1">
        <v>6</v>
      </c>
      <c r="P31" s="29" t="s">
        <v>42</v>
      </c>
      <c r="Q31" s="30">
        <v>0.28263888888888888</v>
      </c>
      <c r="R31" s="30">
        <v>0.70763888888888893</v>
      </c>
      <c r="S31" s="39">
        <f t="shared" si="3"/>
        <v>0.42500000000000004</v>
      </c>
      <c r="T31" s="29">
        <v>4</v>
      </c>
      <c r="U31" s="45" t="s">
        <v>25</v>
      </c>
      <c r="W31" s="8" t="s">
        <v>8</v>
      </c>
      <c r="X31" s="9">
        <f>SUM(Table134567891011172226303236414651566361116212631353944495593998810611211812412913313814311162621323844[Retase])</f>
        <v>18</v>
      </c>
    </row>
    <row r="32" spans="2:48" x14ac:dyDescent="0.2">
      <c r="G32" s="56" t="s">
        <v>209</v>
      </c>
      <c r="H32" s="35" t="s">
        <v>92</v>
      </c>
      <c r="V32" s="1"/>
      <c r="W32" s="10" t="s">
        <v>7</v>
      </c>
      <c r="X32" s="11">
        <f>X31/X27</f>
        <v>3</v>
      </c>
      <c r="AM32" s="49"/>
    </row>
    <row r="33" spans="1:27" x14ac:dyDescent="0.2">
      <c r="V33" s="1"/>
      <c r="W33" s="12" t="s">
        <v>11</v>
      </c>
      <c r="X33" s="13">
        <v>4</v>
      </c>
    </row>
    <row r="34" spans="1:27" x14ac:dyDescent="0.2">
      <c r="O34" s="49"/>
      <c r="T34" s="34"/>
      <c r="U34" s="35" t="s">
        <v>90</v>
      </c>
      <c r="V34" s="1"/>
      <c r="W34" s="12" t="s">
        <v>88</v>
      </c>
      <c r="X34" s="14">
        <f>P3/X27</f>
        <v>0.5</v>
      </c>
      <c r="AA34" s="49"/>
    </row>
    <row r="35" spans="1:27" x14ac:dyDescent="0.2">
      <c r="B35" s="49"/>
      <c r="T35" s="56" t="s">
        <v>209</v>
      </c>
      <c r="U35" s="35" t="s">
        <v>92</v>
      </c>
      <c r="V35" s="1"/>
      <c r="W35" s="12" t="s">
        <v>27</v>
      </c>
      <c r="X35" s="14">
        <f>X27/X26</f>
        <v>0.75</v>
      </c>
    </row>
    <row r="36" spans="1:27" x14ac:dyDescent="0.2">
      <c r="V36" s="1"/>
      <c r="W36" s="12" t="s">
        <v>117</v>
      </c>
      <c r="X36" s="48">
        <f>AVERAGE(Table134567891011172226303236414651566361116212631353944495593998810611211812412913313814311162621323844[JAM KELUAR])</f>
        <v>0.29050925925925924</v>
      </c>
    </row>
    <row r="37" spans="1:27" x14ac:dyDescent="0.2">
      <c r="V37" s="1"/>
    </row>
    <row r="38" spans="1:27" x14ac:dyDescent="0.2">
      <c r="V38" s="1"/>
    </row>
    <row r="39" spans="1:27" x14ac:dyDescent="0.2">
      <c r="V39" s="1"/>
    </row>
    <row r="40" spans="1:27" x14ac:dyDescent="0.2">
      <c r="V40" s="1"/>
    </row>
    <row r="41" spans="1:27" ht="21" x14ac:dyDescent="0.25">
      <c r="A41" s="46"/>
    </row>
    <row r="47" spans="1:27" x14ac:dyDescent="0.2">
      <c r="O47" s="2" t="s">
        <v>0</v>
      </c>
      <c r="P47" s="2" t="s">
        <v>1</v>
      </c>
      <c r="Q47" s="22" t="s">
        <v>61</v>
      </c>
      <c r="R47" s="22" t="s">
        <v>62</v>
      </c>
      <c r="S47" s="22" t="s">
        <v>63</v>
      </c>
      <c r="T47" s="2" t="s">
        <v>2</v>
      </c>
      <c r="U47" s="2" t="s">
        <v>3</v>
      </c>
    </row>
    <row r="48" spans="1:27" x14ac:dyDescent="0.2">
      <c r="O48" s="27">
        <v>1</v>
      </c>
      <c r="P48" s="2"/>
      <c r="Q48" s="41"/>
      <c r="R48" s="42"/>
      <c r="S48" s="26"/>
      <c r="T48" s="2"/>
      <c r="U48" s="24"/>
    </row>
    <row r="49" spans="15:22" x14ac:dyDescent="0.2">
      <c r="O49" s="15">
        <v>2</v>
      </c>
      <c r="P49" s="29"/>
      <c r="Q49" s="30"/>
      <c r="R49" s="36"/>
      <c r="S49" s="26"/>
      <c r="T49" s="29"/>
      <c r="U49" s="24"/>
    </row>
    <row r="50" spans="15:22" x14ac:dyDescent="0.2">
      <c r="O50" s="15">
        <v>3</v>
      </c>
      <c r="P50" s="29"/>
      <c r="Q50" s="30"/>
      <c r="R50" s="36"/>
      <c r="S50" s="39"/>
      <c r="T50" s="29"/>
      <c r="U50" s="16"/>
    </row>
    <row r="51" spans="15:22" x14ac:dyDescent="0.2">
      <c r="O51" s="27">
        <v>4</v>
      </c>
      <c r="P51" s="29"/>
      <c r="Q51" s="30"/>
      <c r="R51" s="36"/>
      <c r="S51" s="39"/>
      <c r="T51" s="29"/>
      <c r="U51" s="24"/>
    </row>
    <row r="52" spans="15:22" x14ac:dyDescent="0.2">
      <c r="O52" s="15">
        <v>5</v>
      </c>
      <c r="P52" s="29"/>
      <c r="Q52" s="30"/>
      <c r="R52" s="36"/>
      <c r="S52" s="26"/>
      <c r="T52" s="29"/>
      <c r="U52" s="24"/>
    </row>
    <row r="53" spans="15:22" x14ac:dyDescent="0.2">
      <c r="O53" s="15">
        <v>6</v>
      </c>
      <c r="P53" s="29"/>
      <c r="Q53" s="30"/>
      <c r="R53" s="36"/>
      <c r="S53" s="26"/>
      <c r="T53" s="29"/>
      <c r="U53" s="24"/>
    </row>
    <row r="54" spans="15:22" x14ac:dyDescent="0.2">
      <c r="O54" s="27">
        <v>7</v>
      </c>
      <c r="P54" s="29"/>
      <c r="Q54" s="30"/>
      <c r="R54" s="36"/>
      <c r="S54" s="39"/>
      <c r="T54" s="29"/>
      <c r="U54" s="24"/>
    </row>
    <row r="55" spans="15:22" x14ac:dyDescent="0.2">
      <c r="O55" s="15">
        <v>8</v>
      </c>
      <c r="P55" s="29"/>
      <c r="Q55" s="30"/>
      <c r="R55" s="36"/>
      <c r="S55" s="26"/>
      <c r="T55" s="29"/>
      <c r="U55" s="24"/>
    </row>
    <row r="56" spans="15:22" x14ac:dyDescent="0.2">
      <c r="O56" s="15">
        <v>9</v>
      </c>
      <c r="P56" s="29"/>
      <c r="Q56" s="30"/>
      <c r="R56" s="36"/>
      <c r="S56" s="26"/>
      <c r="T56" s="29"/>
      <c r="U56" s="24"/>
    </row>
    <row r="57" spans="15:22" x14ac:dyDescent="0.2">
      <c r="O57" s="27">
        <v>10</v>
      </c>
      <c r="P57" s="29"/>
      <c r="Q57" s="30"/>
      <c r="R57" s="36"/>
      <c r="S57" s="26"/>
      <c r="T57" s="29"/>
      <c r="U57" s="24"/>
    </row>
    <row r="58" spans="15:22" x14ac:dyDescent="0.2">
      <c r="O58" s="15">
        <v>11</v>
      </c>
      <c r="P58" s="29"/>
      <c r="Q58" s="30"/>
      <c r="R58" s="36"/>
      <c r="S58" s="26"/>
      <c r="T58" s="29"/>
      <c r="U58" s="24"/>
    </row>
    <row r="59" spans="15:22" x14ac:dyDescent="0.2">
      <c r="O59" s="1">
        <v>12</v>
      </c>
      <c r="P59" s="29"/>
      <c r="Q59" s="30"/>
      <c r="R59" s="36"/>
      <c r="S59" s="39"/>
      <c r="T59" s="29"/>
      <c r="U59" s="25"/>
    </row>
    <row r="60" spans="15:22" x14ac:dyDescent="0.2">
      <c r="O60" s="28">
        <v>13</v>
      </c>
      <c r="P60" s="29"/>
      <c r="Q60" s="30"/>
      <c r="R60" s="36"/>
      <c r="S60" s="26"/>
      <c r="T60" s="29"/>
      <c r="U60" s="25"/>
    </row>
    <row r="61" spans="15:22" x14ac:dyDescent="0.2">
      <c r="O61" s="27">
        <v>14</v>
      </c>
      <c r="P61" s="29"/>
      <c r="Q61" s="30"/>
      <c r="R61" s="36"/>
      <c r="S61" s="26"/>
      <c r="T61" s="29"/>
      <c r="U61" s="24"/>
    </row>
    <row r="62" spans="15:22" x14ac:dyDescent="0.2">
      <c r="O62" s="15">
        <v>15</v>
      </c>
      <c r="P62" s="29"/>
      <c r="Q62" s="30"/>
      <c r="R62" s="36"/>
      <c r="S62" s="26"/>
      <c r="T62" s="29"/>
      <c r="U62" s="24"/>
    </row>
    <row r="63" spans="15:22" x14ac:dyDescent="0.2">
      <c r="O63" s="1">
        <v>16</v>
      </c>
      <c r="P63" s="29"/>
      <c r="Q63" s="30"/>
      <c r="R63" s="36"/>
      <c r="S63" s="26"/>
      <c r="T63" s="29"/>
      <c r="U63" s="25"/>
      <c r="V63" s="1"/>
    </row>
    <row r="64" spans="15:22" x14ac:dyDescent="0.2">
      <c r="O64" s="28">
        <v>17</v>
      </c>
      <c r="P64" s="29"/>
      <c r="Q64" s="30"/>
      <c r="R64" s="36"/>
      <c r="S64" s="26"/>
      <c r="T64" s="29"/>
      <c r="U64" s="25"/>
      <c r="V64" s="1"/>
    </row>
    <row r="65" spans="15:22" x14ac:dyDescent="0.2">
      <c r="O65" s="27">
        <v>18</v>
      </c>
      <c r="P65" s="29"/>
      <c r="Q65" s="30"/>
      <c r="R65" s="36"/>
      <c r="S65" s="26"/>
      <c r="T65" s="29"/>
      <c r="U65" s="24"/>
      <c r="V65" s="1"/>
    </row>
    <row r="66" spans="15:22" x14ac:dyDescent="0.2">
      <c r="O66" s="1">
        <v>19</v>
      </c>
      <c r="P66" s="29"/>
      <c r="Q66" s="30"/>
      <c r="R66" s="36"/>
      <c r="S66" s="39"/>
      <c r="T66" s="29"/>
      <c r="U66" s="25"/>
    </row>
    <row r="67" spans="15:22" x14ac:dyDescent="0.2">
      <c r="O67" s="1">
        <v>20</v>
      </c>
      <c r="P67" s="29"/>
      <c r="Q67" s="30"/>
      <c r="R67" s="36"/>
      <c r="S67" s="39"/>
      <c r="T67" s="29"/>
      <c r="U67" s="25"/>
    </row>
    <row r="68" spans="15:22" x14ac:dyDescent="0.2">
      <c r="O68" s="28">
        <v>21</v>
      </c>
      <c r="P68" s="29"/>
      <c r="Q68" s="30"/>
      <c r="R68" s="36"/>
      <c r="S68" s="26"/>
      <c r="T68" s="29"/>
      <c r="U68" s="25"/>
    </row>
    <row r="69" spans="15:22" x14ac:dyDescent="0.2">
      <c r="O69" s="27">
        <v>22</v>
      </c>
      <c r="P69" s="29"/>
      <c r="Q69" s="30"/>
      <c r="R69" s="36"/>
      <c r="S69" s="26"/>
      <c r="T69" s="29"/>
      <c r="U69" s="25"/>
    </row>
  </sheetData>
  <mergeCells count="22">
    <mergeCell ref="O23:U23"/>
    <mergeCell ref="W23:X24"/>
    <mergeCell ref="O24:U24"/>
    <mergeCell ref="AM4:AS4"/>
    <mergeCell ref="AU4:AV5"/>
    <mergeCell ref="B5:H5"/>
    <mergeCell ref="O5:U5"/>
    <mergeCell ref="AA5:AG5"/>
    <mergeCell ref="AM5:AS5"/>
    <mergeCell ref="B4:H4"/>
    <mergeCell ref="J4:K5"/>
    <mergeCell ref="O4:U4"/>
    <mergeCell ref="W4:X5"/>
    <mergeCell ref="AA4:AG4"/>
    <mergeCell ref="AI4:AJ5"/>
    <mergeCell ref="O1:X1"/>
    <mergeCell ref="AA1:AJ1"/>
    <mergeCell ref="AM1:AV1"/>
    <mergeCell ref="B2:K2"/>
    <mergeCell ref="O2:X2"/>
    <mergeCell ref="AA2:AJ2"/>
    <mergeCell ref="AM2:AV2"/>
  </mergeCells>
  <pageMargins left="0.12" right="0.12" top="0.75" bottom="0.75" header="0.3" footer="0.3"/>
  <pageSetup paperSize="5" scale="68" fitToWidth="0" orientation="landscape" horizontalDpi="360" verticalDpi="360" r:id="rId1"/>
  <rowBreaks count="1" manualBreakCount="1">
    <brk id="40" max="46" man="1"/>
  </rowBreaks>
  <colBreaks count="3" manualBreakCount="3">
    <brk id="13" min="1" max="39" man="1"/>
    <brk id="25" min="1" max="39" man="1"/>
    <brk id="37" min="1" max="39" man="1"/>
  </colBreaks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34</vt:i4>
      </vt:variant>
    </vt:vector>
  </HeadingPairs>
  <TitlesOfParts>
    <vt:vector size="6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27 bermasalah</vt:lpstr>
      <vt:lpstr>Sheet2</vt:lpstr>
      <vt:lpstr>INTERMEDIATE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'27 bermasalah'!Print_Area</vt:lpstr>
      <vt:lpstr>'28'!Print_Area</vt:lpstr>
      <vt:lpstr>'29'!Print_Area</vt:lpstr>
      <vt:lpstr>'3'!Print_Area</vt:lpstr>
      <vt:lpstr>'30'!Print_Area</vt:lpstr>
      <vt:lpstr>'31'!Print_Area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INTERMEDIATE!Print_Area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PT.Adil Prima Perkasa</dc:creator>
  <cp:lastModifiedBy>dicky02102000</cp:lastModifiedBy>
  <cp:lastPrinted>2024-06-01T07:30:36Z</cp:lastPrinted>
  <dcterms:created xsi:type="dcterms:W3CDTF">2024-03-09T06:51:53Z</dcterms:created>
  <dcterms:modified xsi:type="dcterms:W3CDTF">2024-06-13T00:15:11Z</dcterms:modified>
</cp:coreProperties>
</file>